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RESUPUESTO1\Desktop\2019\EJECUCIONES\"/>
    </mc:Choice>
  </mc:AlternateContent>
  <bookViews>
    <workbookView xWindow="0" yWindow="0" windowWidth="28800" windowHeight="12435" tabRatio="944" firstSheet="4" activeTab="12"/>
  </bookViews>
  <sheets>
    <sheet name="INSTRUCCIONES" sheetId="4" r:id="rId1"/>
    <sheet name="ENERO" sheetId="5" r:id="rId2"/>
    <sheet name="FEBRERO" sheetId="6" r:id="rId3"/>
    <sheet name="MARZO" sheetId="7" r:id="rId4"/>
    <sheet name="ABRIL" sheetId="8" r:id="rId5"/>
    <sheet name="MAYO" sheetId="9" r:id="rId6"/>
    <sheet name="JUNIO" sheetId="10" r:id="rId7"/>
    <sheet name="JULIO" sheetId="11" r:id="rId8"/>
    <sheet name="AGOSTO" sheetId="12" r:id="rId9"/>
    <sheet name="SEPTIEMBRE" sheetId="13" r:id="rId10"/>
    <sheet name="OCTUBRE" sheetId="14" r:id="rId11"/>
    <sheet name="NOVIEMBRE" sheetId="15" r:id="rId12"/>
    <sheet name="DICIEMBRE" sheetId="16" r:id="rId13"/>
    <sheet name="Datos para el 2193" sheetId="20" r:id="rId14"/>
    <sheet name="SEGUIMIENTO EQUILIBRIOS" sheetId="19" r:id="rId15"/>
    <sheet name="VERIFICACION MANTENIMIENTO" sheetId="18" r:id="rId16"/>
  </sheets>
  <externalReferences>
    <externalReference r:id="rId17"/>
    <externalReference r:id="rId18"/>
  </externalReferences>
  <definedNames>
    <definedName name="Adiciones_y_modificaciones_gastos_abr">ABRIL!$AL$17:$AM$19,ABRIL!$AL$21:$AM$33,ABRIL!$AL$36:$AM$41,ABRIL!$AL$45:$AM$48,ABRIL!$AL$50:$AM$55,ABRIL!$AL$59:$AM$61,ABRIL!$AL$66:$AM$68,ABRIL!$AL$70:$AM$81,ABRIL!$AL$84:$AM$88,ABRIL!$AL$92:$AM$95,ABRIL!$AL$97:$AM$102,ABRIL!$AL$106:$AM$108,ABRIL!$AL$115:$AM$121,ABRIL!$AL$124:$AM$139,ABRIL!$AL$142:$AM$143,ABRIL!$AL$148:$AM$148,ABRIL!$AL$150:$AM$153,ABRIL!$AL$156:$AM$157,ABRIL!$AL$158:$AM$168,ABRIL!$AL$173:$AM$174,ABRIL!$AL$177:$AM$183,ABRIL!$AL$186:$AM$187,ABRIL!$AL$188:$AM$191,ABRIL!$AL$198:$AM$204,ABRIL!$AL$206:$AM$207,ABRIL!$AL$212:$AM$218,ABRIL!$AL$223:$AM$225,ABRIL!$AL$228:$AM$230,ABRIL!$AL$236:$AM$241,ABRIL!$AL$244:$AM$256</definedName>
    <definedName name="Adiciones_y_modificaciones_gastos_ago">AGOSTO!$AL$17:$AM$19,AGOSTO!$AL$21:$AM$33,AGOSTO!$AL$36:$AM$41,AGOSTO!$AL$45:$AM$48,AGOSTO!$AL$50:$AM$55,AGOSTO!$AL$59:$AM$61,AGOSTO!$AL$66:$AM$68,AGOSTO!$AL$70:$AM$81,AGOSTO!$AL$84:$AM$88,AGOSTO!$AL$92:$AM$95,AGOSTO!$AL$97:$AM$102,AGOSTO!$AL$106:$AM$108,AGOSTO!$AL$115:$AM$121,AGOSTO!$AL$124:$AM$139,AGOSTO!$AL$142:$AM$143,AGOSTO!$AL$148:$AM$148,AGOSTO!$AL$150:$AM$153,AGOSTO!$AL$156:$AM$157,AGOSTO!$AL$158:$AM$168,AGOSTO!$AL$173:$AM$174,AGOSTO!$AL$177:$AM$183,AGOSTO!$AL$186:$AM$187,AGOSTO!$AL$188:$AM$191,AGOSTO!$AL$198:$AM$204,AGOSTO!$AL$206:$AM$207,AGOSTO!$AL$212:$AM$218,AGOSTO!$AL$223:$AM$225,AGOSTO!$AL$228:$AM$230,AGOSTO!$AL$236:$AM$241,AGOSTO!$AL$244:$AM$256</definedName>
    <definedName name="Adiciones_y_modificaciones_gastos_dic">DICIEMBRE!$AL$17:$AM$19,DICIEMBRE!$AL$21:$AM$33,DICIEMBRE!$AL$36:$AM$41,DICIEMBRE!$AL$45:$AM$48,DICIEMBRE!$AL$50:$AM$55,DICIEMBRE!$AL$59:$AM$61,DICIEMBRE!$AL$66:$AM$68,DICIEMBRE!$AL$70:$AM$81,DICIEMBRE!$AL$84:$AM$88,DICIEMBRE!$AL$92:$AM$95,DICIEMBRE!$AL$97:$AM$102,DICIEMBRE!$AL$106:$AM$108,DICIEMBRE!$AL$115:$AM$121,DICIEMBRE!$AL$124:$AM$139,DICIEMBRE!$AL$142:$AM$143,DICIEMBRE!$AL$148:$AM$148,DICIEMBRE!$AL$150:$AM$153,DICIEMBRE!$AL$156:$AM$157,DICIEMBRE!$AL$158:$AM$168,DICIEMBRE!$AL$173:$AM$174,DICIEMBRE!$AL$177:$AM$183,DICIEMBRE!$AL$186:$AM$187,DICIEMBRE!$AL$188:$AM$191,DICIEMBRE!$AL$198:$AM$204,DICIEMBRE!$AL$206:$AM$207,DICIEMBRE!$AL$212:$AM$218,DICIEMBRE!$AL$223:$AM$225,DICIEMBRE!$AL$228:$AM$230,DICIEMBRE!$AL$236:$AM$241,DICIEMBRE!$AL$244:$AM$256</definedName>
    <definedName name="Adiciones_y_modificaciones_gastos_ene">ENERO!$AL$17:$AM$19,ENERO!$AL$21:$AM$33,ENERO!$AL$36:$AM$41,ENERO!$AL$45:$AM$48,ENERO!$AL$50:$AM$55,ENERO!$AL$59:$AM$61,ENERO!$AL$66:$AM$68,ENERO!$AL$70:$AM$81,ENERO!$AL$84:$AM$88,ENERO!$AL$92:$AM$95,ENERO!$AL$97:$AM$102,ENERO!$AL$106:$AM$108,ENERO!$AL$115:$AM$121,ENERO!$AL$124:$AM$139,ENERO!$AL$142:$AM$143,ENERO!$AL$148:$AM$148,ENERO!$AL$150:$AM$153,ENERO!$AL$156:$AM$157,ENERO!$AL$158:$AM$168,ENERO!$AL$173:$AM$174,ENERO!$AL$177:$AM$183,ENERO!$AL$186:$AM$187,ENERO!$AL$188:$AM$191,ENERO!$AL$198:$AM$204,ENERO!$AL$206:$AM$207,ENERO!$AL$212:$AM$218,ENERO!$AL$223:$AM$225,ENERO!$AL$228:$AM$230,ENERO!$AL$236:$AM$241,ENERO!$AL$244:$AM$256</definedName>
    <definedName name="Adiciones_y_modificaciones_gastos_feb">FEBRERO!$AL$17:$AM$19,FEBRERO!$AL$21:$AM$33,FEBRERO!$AL$36:$AM$41,FEBRERO!$AL$45:$AM$48,FEBRERO!$AL$50:$AM$55,FEBRERO!$AL$59:$AM$61,FEBRERO!$AL$66:$AM$68,FEBRERO!$AL$70:$AM$81,FEBRERO!$AL$84:$AM$88,FEBRERO!$AL$92:$AM$95,FEBRERO!$AL$97:$AM$102,FEBRERO!$AL$106:$AM$108,FEBRERO!$AL$115:$AM$121,FEBRERO!$AL$124:$AM$139,FEBRERO!$AL$142:$AM$143,FEBRERO!$AL$148:$AM$148,FEBRERO!$AL$150:$AM$153,FEBRERO!$AL$156:$AM$157,FEBRERO!$AL$158:$AM$168,FEBRERO!$AL$173:$AM$174,FEBRERO!$AL$177:$AM$183,FEBRERO!$AL$186:$AM$187,FEBRERO!$AL$188:$AM$191,FEBRERO!$AL$198:$AM$204,FEBRERO!$AL$206:$AM$207,FEBRERO!$AL$212:$AM$218,FEBRERO!$AL$223:$AM$225,FEBRERO!$AL$228:$AM$230,FEBRERO!$AL$236:$AM$241,FEBRERO!$AL$244:$AM$256</definedName>
    <definedName name="Adiciones_y_modificaciones_gastos_jul">JULIO!$AL$17:$AM$19,JULIO!$AL$21:$AM$33,JULIO!$AL$36:$AM$41,JULIO!$AL$45:$AM$48,JULIO!$AL$50:$AM$55,JULIO!$AL$59:$AM$61,JULIO!$AL$66:$AM$68,JULIO!$AL$70:$AM$81,JULIO!$AL$84:$AM$88,JULIO!$AL$92:$AM$95,JULIO!$AL$97:$AM$102,JULIO!$AL$106:$AM$108,JULIO!$AL$115:$AM$121,JULIO!$AL$124:$AM$139,JULIO!$AL$142:$AM$143,JULIO!$AL$148:$AM$148,JULIO!$AL$150:$AM$153,JULIO!$AL$156:$AM$157,JULIO!$AL$158:$AM$168,JULIO!$AL$173:$AM$174,JULIO!$AL$177:$AM$183,JULIO!$AL$186:$AM$187,JULIO!$AL$188:$AM$191,JULIO!$AL$198:$AM$204,JULIO!$AL$206:$AM$207,JULIO!$AL$212:$AM$218,JULIO!$AL$223:$AM$225,JULIO!$AL$228:$AM$230,JULIO!$AL$236:$AM$241,JULIO!$AL$244:$AM$256</definedName>
    <definedName name="Adiciones_y_modificaciones_gastos_jun">JUNIO!$AL$17:$AM$19,JUNIO!$AL$21:$AM$33,JUNIO!$AL$36:$AM$41,JUNIO!$AL$45:$AM$48,JUNIO!$AL$50:$AM$55,JUNIO!$AL$59:$AM$61,JUNIO!$AL$66:$AM$68,JUNIO!$AL$70:$AM$81,JUNIO!$AL$84:$AM$88,JUNIO!$AL$92:$AM$95,JUNIO!$AL$97:$AM$102,JUNIO!$AL$106:$AM$108,JUNIO!$AL$115:$AM$121,JUNIO!$AL$124:$AM$139,JUNIO!$AL$142:$AM$143,JUNIO!$AL$148:$AM$148,JUNIO!$AL$150:$AM$153,JUNIO!$AL$156:$AM$157,JUNIO!$AL$158:$AM$168,JUNIO!$AL$173:$AM$174,JUNIO!$AL$177:$AM$183,JUNIO!$AL$186:$AM$187,JUNIO!$AL$188:$AM$191,JUNIO!$AL$198:$AM$204,JUNIO!$AL$206:$AM$207,JUNIO!$AL$212:$AM$218,JUNIO!$AL$223:$AM$225,JUNIO!$AL$228:$AM$230,JUNIO!$AL$236:$AM$241,JUNIO!$AL$244:$AM$256</definedName>
    <definedName name="Adiciones_y_modificaciones_gastos_mar">MARZO!$AL$17:$AM$19,MARZO!$AL$21:$AM$33,MARZO!$AL$36:$AM$41,MARZO!$AL$45:$AM$48,MARZO!$AL$50:$AM$55,MARZO!$AL$59:$AM$61,MARZO!$AL$66:$AM$68,MARZO!$AL$70:$AM$81,MARZO!$AL$84:$AM$88,MARZO!$AL$92:$AM$95,MARZO!$AL$97:$AM$102,MARZO!$AL$106:$AM$108,MARZO!$AL$115:$AM$121,MARZO!$AL$124:$AM$139,MARZO!$AL$142:$AM$143,MARZO!$AL$148:$AM$148,MARZO!$AL$150:$AM$153,MARZO!$AL$156:$AM$157,MARZO!$AL$158:$AM$168,MARZO!$AL$173:$AM$174,MARZO!$AL$177:$AM$183,MARZO!$AL$186:$AM$187,MARZO!$AL$188:$AM$191,MARZO!$AL$198:$AM$204,MARZO!$AL$206:$AM$207,MARZO!$AL$212:$AM$218,MARZO!$AL$223:$AM$225,MARZO!$AL$228:$AM$230,MARZO!$AL$236:$AM$241,MARZO!$AL$244:$AM$256</definedName>
    <definedName name="Adiciones_y_modificaciones_gastos_may">MAYO!$AL$17:$AM$19,MAYO!$AL$21:$AM$33,MAYO!$AL$36:$AM$41,MAYO!$AL$45:$AM$48,MAYO!$AL$50:$AM$55,MAYO!$AL$59:$AM$61,MAYO!$AL$66:$AM$68,MAYO!$AL$70:$AM$81,MAYO!$AL$84:$AM$88,MAYO!$AL$92:$AM$95,MAYO!$AL$97:$AM$102,MAYO!$AL$106:$AM$108,MAYO!$AL$115:$AM$121,MAYO!$AL$124:$AM$139,MAYO!$AL$142:$AM$143,MAYO!$AL$148:$AM$148,MAYO!$AL$150:$AM$153,MAYO!$AL$156:$AM$157,MAYO!$AL$158:$AM$168,MAYO!$AL$173:$AM$174,MAYO!$AL$177:$AM$183,MAYO!$AL$186:$AM$187,MAYO!$AL$188:$AM$191,MAYO!$AL$198:$AM$204,MAYO!$AL$206:$AM$207,MAYO!$AL$212:$AM$218,MAYO!$AL$223:$AM$225,MAYO!$AL$228:$AM$230,MAYO!$AL$236:$AM$241,MAYO!$AL$244:$AM$256</definedName>
    <definedName name="Adiciones_y_modificaciones_gastos_nov">NOVIEMBRE!$AL$17:$AM$19,NOVIEMBRE!$AL$21:$AM$33,NOVIEMBRE!$AL$36:$AM$41,NOVIEMBRE!$AL$45:$AM$48,NOVIEMBRE!$AL$50:$AM$55,NOVIEMBRE!$AL$59:$AM$61,NOVIEMBRE!$AL$66:$AM$68,NOVIEMBRE!$AL$70:$AM$81,NOVIEMBRE!$AL$84:$AM$88,NOVIEMBRE!$AL$92:$AM$95,NOVIEMBRE!$AL$97:$AM$102,NOVIEMBRE!$AL$106:$AM$108,NOVIEMBRE!$AL$115:$AM$121,NOVIEMBRE!$AL$124:$AM$139,NOVIEMBRE!$AL$142:$AM$143,NOVIEMBRE!$AL$148:$AM$148,NOVIEMBRE!$AL$150:$AM$153,NOVIEMBRE!$AL$156:$AM$157,NOVIEMBRE!$AL$158:$AM$168,NOVIEMBRE!$AL$173:$AM$174,NOVIEMBRE!$AL$177:$AM$183,NOVIEMBRE!$AL$186:$AM$187,NOVIEMBRE!$AL$188:$AM$191,NOVIEMBRE!$AL$198:$AM$204,NOVIEMBRE!$AL$206:$AM$207,NOVIEMBRE!$AL$212:$AM$218,NOVIEMBRE!$AL$223:$AM$225,NOVIEMBRE!$AL$228:$AM$230,NOVIEMBRE!$AL$236:$AM$241,NOVIEMBRE!$AL$244:$AM$256</definedName>
    <definedName name="Adiciones_y_modificaciones_gastos_oct">OCTUBRE!$AL$17:$AM$19,OCTUBRE!$AL$21:$AM$33,OCTUBRE!$AL$36:$AM$41,OCTUBRE!$AL$45:$AM$48,OCTUBRE!$AL$50:$AM$55,OCTUBRE!$AL$59:$AM$61,OCTUBRE!$AL$66:$AM$68,OCTUBRE!$AL$70:$AM$81,OCTUBRE!$AL$84:$AM$88,OCTUBRE!$AL$92:$AM$95,OCTUBRE!$AL$97:$AM$102,OCTUBRE!$AL$106:$AM$108,OCTUBRE!$AL$115:$AM$121,OCTUBRE!$AL$124:$AM$139,OCTUBRE!$AL$142:$AM$143,OCTUBRE!$AL$148:$AM$148,OCTUBRE!$AL$150:$AM$153,OCTUBRE!$AL$156:$AM$157,OCTUBRE!$AL$158:$AM$168,OCTUBRE!$AL$173:$AM$174,OCTUBRE!$AL$177:$AM$183,OCTUBRE!$AL$186:$AM$187,OCTUBRE!$AL$188:$AM$191,OCTUBRE!$AL$198:$AM$204,OCTUBRE!$AL$206:$AM$207,OCTUBRE!$AL$212:$AM$218,OCTUBRE!$AL$223:$AM$225,OCTUBRE!$AL$228:$AM$230,OCTUBRE!$AL$236:$AM$241,OCTUBRE!$AL$244:$AM$256</definedName>
    <definedName name="Adiciones_y_modificaciones_gastos_sep">SEPTIEMBRE!$AL$17:$AM$19,SEPTIEMBRE!$AL$21:$AM$33,SEPTIEMBRE!$AL$36:$AM$41,SEPTIEMBRE!$AL$45:$AM$48,SEPTIEMBRE!$AL$50:$AM$55,SEPTIEMBRE!$AL$59:$AM$61,SEPTIEMBRE!$AL$66:$AM$68,SEPTIEMBRE!$AL$70:$AM$81,SEPTIEMBRE!$AL$84:$AM$88,SEPTIEMBRE!$AL$92:$AM$95,SEPTIEMBRE!$AL$97:$AM$102,SEPTIEMBRE!$AL$106:$AM$108,SEPTIEMBRE!$AL$115:$AM$121,SEPTIEMBRE!$AL$124:$AM$139,SEPTIEMBRE!$AL$142:$AM$143,SEPTIEMBRE!$AL$148:$AM$148,SEPTIEMBRE!$AL$150:$AM$153,SEPTIEMBRE!$AL$156:$AM$157,SEPTIEMBRE!$AL$158:$AM$168,SEPTIEMBRE!$AL$173:$AM$174,SEPTIEMBRE!$AL$177:$AM$183,SEPTIEMBRE!$AL$186:$AM$187,SEPTIEMBRE!$AL$188:$AM$191,SEPTIEMBRE!$AL$198:$AM$204,SEPTIEMBRE!$AL$206:$AM$207,SEPTIEMBRE!$AL$212:$AM$218,SEPTIEMBRE!$AL$223:$AM$225,SEPTIEMBRE!$AL$228:$AM$230,SEPTIEMBRE!$AL$236:$AM$241,SEPTIEMBRE!$AL$244:$AM$256</definedName>
    <definedName name="Adiciones_y_modificaciones_ingresos_abr">ABRIL!$P$12:$Q$15,ABRIL!$P$23:$Q$25,ABRIL!$P$26:$Q$27,ABRIL!$P$30:$Q$31,ABRIL!$P$33:$Q$34,ABRIL!$P$36:$Q$41,ABRIL!$P$43:$Q$44,ABRIL!$P$46:$Q$47,ABRIL!$P$49:$Q$50,ABRIL!$P$52:$Q$53,ABRIL!$P$55:$Q$56,ABRIL!$P$58:$Q$59,ABRIL!$P$61:$Q$62,ABRIL!$P$64:$Q$65,ABRIL!$P$67:$Q$68,ABRIL!$P$70:$Q$71,ABRIL!$P$73:$Q$74,ABRIL!$P$76:$Q$77,ABRIL!$P$79:$Q$80,ABRIL!$P$82:$Q$83,ABRIL!$P$86:$Q$92,ABRIL!$P$94:$Q$97,ABRIL!$P$100:$Q$106,ABRIL!$P$109:$Q$117</definedName>
    <definedName name="Adiciones_y_modificaciones_ingresos_ago">AGOSTO!$P$12:$Q$15,AGOSTO!$P$23:$Q$24,AGOSTO!$P$26:$Q$27,AGOSTO!$P$30:$Q$31,AGOSTO!$P$33:$Q$34,AGOSTO!$P$36:$Q$41,AGOSTO!$P$43:$Q$44,AGOSTO!$P$46:$Q$47,AGOSTO!$P$49:$Q$50,AGOSTO!$P$52:$Q$53,AGOSTO!$P$55:$Q$56,AGOSTO!$P$58:$Q$59,AGOSTO!$P$61:$Q$62,AGOSTO!$P$64:$Q$65,AGOSTO!$P$67:$Q$68,AGOSTO!$P$70:$Q$71,AGOSTO!$P$73:$Q$74,AGOSTO!$P$76:$Q$77,AGOSTO!$P$79:$Q$80,AGOSTO!$P$82:$Q$83,AGOSTO!$P$86:$Q$92,AGOSTO!$P$94:$Q$97,AGOSTO!$P$100:$Q$106,AGOSTO!$P$109:$Q$117</definedName>
    <definedName name="Adiciones_y_modificaciones_ingresos_dic">DICIEMBRE!$P$12:$Q$15,DICIEMBRE!$P$23:$Q$24,DICIEMBRE!$P$26:$Q$27,DICIEMBRE!$P$30:$Q$31,DICIEMBRE!$P$33:$Q$34,DICIEMBRE!$P$36:$Q$41,DICIEMBRE!$P$43:$Q$44,DICIEMBRE!$P$46:$Q$47,DICIEMBRE!$P$49:$Q$50,DICIEMBRE!$P$52:$Q$53,DICIEMBRE!$P$55:$Q$56,DICIEMBRE!$P$58:$Q$59,DICIEMBRE!$P$61:$Q$62,DICIEMBRE!$P$64:$Q$65,DICIEMBRE!$P$67:$Q$68,DICIEMBRE!$P$70:$Q$71,DICIEMBRE!$P$73:$Q$74,DICIEMBRE!$P$76:$Q$77,DICIEMBRE!$P$79:$Q$80,DICIEMBRE!$P$82:$Q$83,DICIEMBRE!$P$86:$Q$92,DICIEMBRE!$P$94:$Q$97,DICIEMBRE!$P$100:$Q$106,DICIEMBRE!$P$109:$Q$117</definedName>
    <definedName name="Adiciones_y_modificaciones_ingresos_ene">ENERO!$P$12:$Q$15,ENERO!$P$23:$Q$24,ENERO!$P$26:$Q$27,ENERO!$P$30:$Q$31,ENERO!$P$33:$Q$34,ENERO!$P$36:$Q$41,ENERO!$P$43:$Q$44,ENERO!$P$46:$Q$47,ENERO!$P$49:$Q$50,ENERO!$P$52:$Q$53,ENERO!$P$55:$Q$56,ENERO!$P$58:$Q$59,ENERO!$P$61:$Q$62,ENERO!$P$64:$Q$65,ENERO!$P$67:$Q$68,ENERO!$P$70:$Q$71,ENERO!$P$73:$Q$74,ENERO!$P$76:$Q$77,ENERO!$P$79:$Q$80,ENERO!$P$82:$Q$83,ENERO!$P$86:$Q$92,ENERO!$P$94:$Q$97,ENERO!$P$100:$Q$106,ENERO!$P$109:$Q$117</definedName>
    <definedName name="Adiciones_y_modificaciones_ingresos_feb">FEBRERO!$P$12:$Q$15,FEBRERO!$P$23:$Q$24,FEBRERO!$P$26:$Q$27,FEBRERO!$P$30:$Q$31,FEBRERO!$P$33:$Q$34,FEBRERO!$P$36:$Q$41,FEBRERO!$P$43:$Q$44,FEBRERO!$P$46:$Q$47,FEBRERO!$P$49:$Q$50,FEBRERO!$P$52:$Q$53,FEBRERO!$P$55:$Q$56,FEBRERO!$P$58:$Q$59,FEBRERO!$P$61:$Q$62,FEBRERO!$P$64:$Q$65,FEBRERO!$P$67:$Q$68,FEBRERO!$P$70:$Q$71,FEBRERO!$P$73:$Q$74,FEBRERO!$P$76:$Q$77,FEBRERO!$P$79:$Q$80,FEBRERO!$P$82:$Q$83,FEBRERO!$P$86:$Q$92,FEBRERO!$P$94:$Q$97,FEBRERO!$P$100:$Q$106,FEBRERO!$P$109:$Q$117</definedName>
    <definedName name="Adiciones_y_modificaciones_ingresos_jul">JULIO!$P$12:$Q$15,JULIO!$P$23:$Q$24,JULIO!$P$26:$Q$27,JULIO!$P$30:$Q$31,JULIO!$P$33:$Q$34,JULIO!$P$36:$Q$41,JULIO!$P$43:$Q$44,JULIO!$P$46:$Q$47,JULIO!$P$49:$Q$50,JULIO!$P$52:$Q$53,JULIO!$P$55:$Q$56,JULIO!$P$58:$Q$59,JULIO!$P$61:$Q$62,JULIO!$P$64:$Q$65,JULIO!$P$67:$Q$68,JULIO!$P$70:$Q$71,JULIO!$P$73:$Q$74,JULIO!$P$76:$Q$77,JULIO!$P$79:$Q$80,JULIO!$P$82:$Q$83,JULIO!$P$86:$Q$92,JULIO!$P$94:$Q$97,JULIO!$P$100:$Q$106,JULIO!$P$109:$Q$117</definedName>
    <definedName name="Adiciones_y_modificaciones_ingresos_jun">JUNIO!$P$12:$Q$15,JUNIO!$P$23:$Q$24,JUNIO!$P$26:$Q$27,JUNIO!$P$30:$Q$31,JUNIO!$P$33:$Q$34,JUNIO!$P$36:$Q$41,JUNIO!$P$43:$Q$44,JUNIO!$P$46:$Q$47,JUNIO!$P$49:$Q$50,JUNIO!$P$52:$Q$53,JUNIO!$P$55:$Q$56,JUNIO!$P$58:$Q$59,JUNIO!$P$61:$Q$62,JUNIO!$P$64:$Q$65,JUNIO!$P$67:$Q$68,JUNIO!$P$70:$Q$71,JUNIO!$P$73:$Q$74,JUNIO!$P$76:$Q$77,JUNIO!$P$79:$Q$80,JUNIO!$P$82:$Q$83,JUNIO!$P$86:$Q$92,JUNIO!$P$94:$Q$97,JUNIO!$P$100:$Q$106,JUNIO!$P$109:$Q$117</definedName>
    <definedName name="Adiciones_y_modificaciones_ingresos_mar">MARZO!$P$12:$Q$15,MARZO!$P$23:$Q$24,MARZO!$P$26:$Q$27,MARZO!$P$30:$Q$31,MARZO!$P$33:$Q$34,MARZO!$P$36:$Q$41,MARZO!$P$43:$Q$44,MARZO!$P$46:$Q$47,MARZO!$P$49:$Q$50,MARZO!$P$52:$Q$53,MARZO!$P$55:$Q$56,MARZO!$P$58:$Q$59,MARZO!$P$61:$Q$62,MARZO!$P$64:$Q$65,MARZO!$P$67:$Q$68,MARZO!$P$70:$Q$71,MARZO!$P$73:$Q$74,MARZO!$P$76:$Q$77,MARZO!$P$79:$Q$80,MARZO!$P$82:$Q$83,MARZO!$P$86:$Q$92,MARZO!$P$94:$Q$97,MARZO!$P$100:$Q$106,MARZO!$P$109:$Q$117</definedName>
    <definedName name="Adiciones_y_modificaciones_ingresos_may">MAYO!$P$12:$Q$15,MAYO!$P$23:$Q$24,MAYO!$P$26:$Q$27,MAYO!$P$30:$Q$31,MAYO!$P$33:$Q$34,MAYO!$P$36:$Q$41,MAYO!$P$43:$Q$44,MAYO!$P$46:$Q$47,MAYO!$P$49:$Q$50,MAYO!$P$52:$Q$53,MAYO!$P$55:$Q$56,MAYO!$P$58:$Q$59,MAYO!$P$61:$Q$62,MAYO!$P$64:$Q$65,MAYO!$P$67:$Q$68,MAYO!$P$70:$Q$71,MAYO!$P$73:$Q$74,MAYO!$P$76:$Q$77,MAYO!$P$79:$Q$80,MAYO!$P$82:$Q$83,MAYO!$P$86:$Q$92,MAYO!$P$94:$Q$97,MAYO!$P$100:$Q$106,MAYO!$P$109:$Q$117</definedName>
    <definedName name="Adiciones_y_modificaciones_ingresos_nov">NOVIEMBRE!$P$12:$Q$15,NOVIEMBRE!$P$23:$Q$24,NOVIEMBRE!$P$26:$Q$27,NOVIEMBRE!$P$30:$Q$31,NOVIEMBRE!$P$33:$Q$34,NOVIEMBRE!$P$36:$Q$41,NOVIEMBRE!$P$43:$Q$44,NOVIEMBRE!$P$46:$Q$47,NOVIEMBRE!$P$49:$Q$50,NOVIEMBRE!$P$52:$Q$53,NOVIEMBRE!$P$55:$Q$56,NOVIEMBRE!$P$58:$Q$59,NOVIEMBRE!$P$61:$Q$62,NOVIEMBRE!$P$64:$Q$65,NOVIEMBRE!$P$67:$Q$68,NOVIEMBRE!$P$70:$Q$71,NOVIEMBRE!$P$73:$Q$74,NOVIEMBRE!$P$76:$Q$77,NOVIEMBRE!$P$79:$Q$80,NOVIEMBRE!$P$82:$Q$83,NOVIEMBRE!$P$86:$Q$92,NOVIEMBRE!$P$94:$Q$97,NOVIEMBRE!$P$100:$Q$106,NOVIEMBRE!$P$109:$Q$117</definedName>
    <definedName name="Adiciones_y_modificaciones_ingresos_oct">OCTUBRE!$P$12:$Q$15,OCTUBRE!$P$23:$Q$24,OCTUBRE!$P$26:$Q$27,OCTUBRE!$P$30:$Q$31,OCTUBRE!$P$33:$Q$34,OCTUBRE!$P$36:$Q$41,OCTUBRE!$P$43:$Q$44,OCTUBRE!$P$46:$Q$47,OCTUBRE!$P$49:$Q$50,OCTUBRE!$P$52:$Q$53,OCTUBRE!$P$55:$Q$56,OCTUBRE!$P$58:$Q$59,OCTUBRE!$P$61:$Q$62,OCTUBRE!$P$64:$Q$65,OCTUBRE!$P$67:$Q$68,OCTUBRE!$P$70:$Q$71,OCTUBRE!$P$73:$Q$74,OCTUBRE!$P$76:$Q$77,OCTUBRE!$P$79:$Q$80,OCTUBRE!$P$82:$Q$83,OCTUBRE!$P$86:$Q$92,OCTUBRE!$P$94:$Q$97,OCTUBRE!$P$100:$Q$106,OCTUBRE!$P$109:$Q$117</definedName>
    <definedName name="Adiciones_y_modificaciones_ingresos_sep">SEPTIEMBRE!$P$12:$Q$15,SEPTIEMBRE!$P$23:$Q$24,SEPTIEMBRE!$P$26:$Q$27,SEPTIEMBRE!$P$30:$Q$31,SEPTIEMBRE!$P$33:$Q$34,SEPTIEMBRE!$P$36:$Q$41,SEPTIEMBRE!$P$43:$Q$44,SEPTIEMBRE!$P$46:$Q$47,SEPTIEMBRE!$P$49:$Q$50,SEPTIEMBRE!$P$52:$Q$53,SEPTIEMBRE!$P$55:$Q$56,SEPTIEMBRE!$P$58:$Q$59,SEPTIEMBRE!$P$61:$Q$62,SEPTIEMBRE!$P$64:$Q$65,SEPTIEMBRE!$P$67:$Q$68,SEPTIEMBRE!$P$70:$Q$71,SEPTIEMBRE!$P$73:$Q$74,SEPTIEMBRE!$P$76:$Q$77,SEPTIEMBRE!$P$79:$Q$80,SEPTIEMBRE!$P$82:$Q$83,SEPTIEMBRE!$P$86:$Q$92,SEPTIEMBRE!$P$94:$Q$97,SEPTIEMBRE!$P$100:$Q$106,SEPTIEMBRE!$P$109:$Q$117</definedName>
    <definedName name="_xlnm.Print_Area" localSheetId="4">ABRIL!$A$2:$N$130,ABRIL!$S$2:$AJ$259</definedName>
    <definedName name="_xlnm.Print_Area" localSheetId="8">AGOSTO!$A$2:$N$130,AGOSTO!$S$2:$AJ$259</definedName>
    <definedName name="_xlnm.Print_Area" localSheetId="13">'Datos para el 2193'!$B$1:$R$56</definedName>
    <definedName name="_xlnm.Print_Area" localSheetId="12">DICIEMBRE!$A$2:$N$130,DICIEMBRE!$S$2:$AJ$259</definedName>
    <definedName name="_xlnm.Print_Area" localSheetId="1">ENERO!$A$2:$N$130,ENERO!$S$2:$AJ$259</definedName>
    <definedName name="_xlnm.Print_Area" localSheetId="2">FEBRERO!$A$2:$N$130,FEBRERO!$S$2:$AJ$259</definedName>
    <definedName name="_xlnm.Print_Area" localSheetId="7">JULIO!$A$2:$N$130,JULIO!$S$2:$AJ$259</definedName>
    <definedName name="_xlnm.Print_Area" localSheetId="6">JUNIO!$A$2:$N$130,JUNIO!$S$2:$AJ$259</definedName>
    <definedName name="_xlnm.Print_Area" localSheetId="3">MARZO!$A$2:$N$130,MARZO!$S$2:$AJ$259</definedName>
    <definedName name="_xlnm.Print_Area" localSheetId="5">MAYO!$A$2:$N$130,MAYO!$S$2:$AJ$259</definedName>
    <definedName name="_xlnm.Print_Area" localSheetId="11">NOVIEMBRE!$A$2:$N$130,NOVIEMBRE!$S$2:$AJ$259</definedName>
    <definedName name="_xlnm.Print_Area" localSheetId="10">OCTUBRE!$A$2:$N$130,OCTUBRE!$S$2:$AJ$259</definedName>
    <definedName name="_xlnm.Print_Area" localSheetId="14">'SEGUIMIENTO EQUILIBRIOS'!$A$1:$J$28</definedName>
    <definedName name="_xlnm.Print_Area" localSheetId="9">SEPTIEMBRE!$A$2:$N$130,SEPTIEMBRE!$S$2:$AJ$259</definedName>
    <definedName name="_xlnm.Print_Area" localSheetId="15">'VERIFICACION MANTENIMIENTO'!$A$1:$W$16</definedName>
    <definedName name="B" localSheetId="14">[1]CXP!$AJ$1:$AL$128</definedName>
    <definedName name="B">[2]CXP!$AJ$1:$AL$128</definedName>
    <definedName name="Compromisos_abr">ABRIL!$Z$17:$Z$19,ABRIL!$Z$21:$Z$33,ABRIL!$Z$36:$Z$41,ABRIL!$Z$45:$Z$48,ABRIL!$Z$50:$Z$55,ABRIL!$Z$59:$Z$61,ABRIL!$Z$66:$Z$68,ABRIL!$Z$70:$Z$81,ABRIL!$Z$84:$Z$88,ABRIL!$Z$92:$Z$95,ABRIL!$Z$97:$Z$102,ABRIL!$Z$106:$Z$108,ABRIL!$Z$115:$Z$121,ABRIL!$Z$124:$Z$139,ABRIL!$Z$142:$Z$143,ABRIL!$Z$148,ABRIL!$Z$150:$Z$153,ABRIL!$Z$156,ABRIL!$Z$158:$Z$168,ABRIL!$Z$173:$Z$174,ABRIL!$Z$177:$Z$183,ABRIL!$Z$186,ABRIL!$Z$188:$Z$191,ABRIL!$Z$198:$Z$204,ABRIL!$Z$206:$Z$207,ABRIL!$Z$212:$Z$218,ABRIL!$Z$223:$Z$225,ABRIL!$Z$228:$Z$230,ABRIL!$Z$236:$Z$241,ABRIL!$Z$245:$Z$256</definedName>
    <definedName name="Compromisos_ago">AGOSTO!$Z$17:$Z$19,AGOSTO!$Z$21:$Z$33,AGOSTO!$Z$36:$Z$41,AGOSTO!$Z$45:$Z$48,AGOSTO!$Z$50:$Z$55,AGOSTO!$Z$59:$Z$61,AGOSTO!$Z$66:$Z$68,AGOSTO!$Z$70:$Z$81,AGOSTO!$Z$84:$Z$88,AGOSTO!$Z$92:$Z$95,AGOSTO!$Z$97:$Z$102,AGOSTO!$Z$106:$Z$108,AGOSTO!$Z$115:$Z$121,AGOSTO!$Z$124:$Z$139,AGOSTO!$Z$142:$Z$143,AGOSTO!$Z$148,AGOSTO!$Z$150:$Z$153,AGOSTO!$Z$156,AGOSTO!$Z$158:$Z$168,AGOSTO!$Z$173:$Z$174,AGOSTO!$Z$177:$Z$183,AGOSTO!$Z$186,AGOSTO!$Z$188:$Z$191,AGOSTO!$Z$198:$Z$204,AGOSTO!$Z$206:$Z$207,AGOSTO!$Z$212:$Z$218,AGOSTO!$Z$223:$Z$225,AGOSTO!$Z$228:$Z$230,AGOSTO!$Z$236:$Z$241,AGOSTO!$Z$245:$Z$256</definedName>
    <definedName name="Compromisos_dic">DICIEMBRE!$Z$17:$Z$19,DICIEMBRE!$Z$21:$Z$33,DICIEMBRE!$Z$36:$Z$41,DICIEMBRE!$Z$45:$Z$48,DICIEMBRE!$Z$50:$Z$55,DICIEMBRE!$Z$59:$Z$61,DICIEMBRE!$Z$66:$Z$68,DICIEMBRE!$Z$70:$Z$81,DICIEMBRE!$Z$84:$Z$88,DICIEMBRE!$Z$92:$Z$95,DICIEMBRE!$Z$97:$Z$102,DICIEMBRE!$Z$106:$Z$108,DICIEMBRE!$Z$115:$Z$121,DICIEMBRE!$Z$124:$Z$139,DICIEMBRE!$Z$142:$Z$143,DICIEMBRE!$Z$148,DICIEMBRE!$Z$150:$Z$153,DICIEMBRE!$Z$156,DICIEMBRE!$Z$158:$Z$168,DICIEMBRE!$Z$173:$Z$174,DICIEMBRE!$Z$177:$Z$183,DICIEMBRE!$Z$186,DICIEMBRE!$Z$188:$Z$191,DICIEMBRE!$Z$198:$Z$204,DICIEMBRE!$Z$206:$Z$207,DICIEMBRE!$Z$212:$Z$218,DICIEMBRE!$Z$223:$Z$225,DICIEMBRE!$Z$228:$Z$230,DICIEMBRE!$Z$236:$Z$241,DICIEMBRE!$Z$245:$Z$256</definedName>
    <definedName name="Compromisos_ene">ENERO!$Z$17:$Z$19,ENERO!$Z$21:$Z$33,ENERO!$Z$36:$Z$41,ENERO!$Z$45:$Z$48,ENERO!$Z$50:$Z$55,ENERO!$Z$59:$Z$61,ENERO!$Z$66:$Z$68,ENERO!$Z$70:$Z$81,ENERO!$Z$84:$Z$88,ENERO!$Z$92:$Z$95,ENERO!$Z$97:$Z$102,ENERO!$Z$106:$Z$108,ENERO!$Z$115:$Z$121,ENERO!$Z$124:$Z$139,ENERO!$Z$142:$Z$143,ENERO!$Z$148,ENERO!$Z$150:$Z$153,ENERO!$Z$156,ENERO!$Z$158:$Z$168,ENERO!$Z$173:$Z$174,ENERO!$Z$177:$Z$183,ENERO!$Z$186,ENERO!$Z$188:$Z$191,ENERO!$Z$198:$Z$204,ENERO!$Z$206:$Z$207,ENERO!$Z$212:$Z$218,ENERO!$Z$223:$Z$225,ENERO!$Z$228:$Z$230,ENERO!$Z$236:$Z$241,ENERO!$Z$245:$Z$256</definedName>
    <definedName name="Compromisos_feb">FEBRERO!$Z$17:$Z$19,FEBRERO!$Z$21:$Z$33,FEBRERO!$Z$36:$Z$41,FEBRERO!$Z$45:$Z$48,FEBRERO!$Z$50:$Z$55,FEBRERO!$Z$59:$Z$61,FEBRERO!$Z$66:$Z$68,FEBRERO!$Z$70:$Z$81,FEBRERO!$Z$84:$Z$88,FEBRERO!$Z$92:$Z$95,FEBRERO!$Z$97:$Z$102,FEBRERO!$Z$106:$Z$108,FEBRERO!$Z$115:$Z$121,FEBRERO!$Z$124:$Z$139,FEBRERO!$Z$142:$Z$143,FEBRERO!$Z$148,FEBRERO!$Z$150:$Z$153,FEBRERO!$Z$156,FEBRERO!$Z$158:$Z$168,FEBRERO!$Z$173:$Z$174,FEBRERO!$Z$177:$Z$183,FEBRERO!$Z$186,FEBRERO!$Z$188:$Z$191,FEBRERO!$Z$198:$Z$204,FEBRERO!$Z$206:$Z$207,FEBRERO!$Z$212:$Z$218,FEBRERO!$Z$223:$Z$225,FEBRERO!$Z$228:$Z$230,FEBRERO!$Z$236:$Z$241,FEBRERO!$Z$245:$Z$256</definedName>
    <definedName name="Compromisos_jul">JULIO!$Z$17:$Z$19,JULIO!$Z$21:$Z$33,JULIO!$Z$36:$Z$41,JULIO!$Z$45:$Z$48,JULIO!$Z$50:$Z$55,JULIO!$Z$59:$Z$61,JULIO!$Z$66:$Z$68,JULIO!$Z$70:$Z$81,JULIO!$Z$84:$Z$88,JULIO!$Z$92:$Z$95,JULIO!$Z$97:$Z$102,JULIO!$Z$106:$Z$108,JULIO!$Z$115:$Z$121,JULIO!$Z$124:$Z$139,JULIO!$Z$142:$Z$143,JULIO!$Z$148,JULIO!$Z$150:$Z$153,JULIO!$Z$156,JULIO!$Z$158:$Z$168,JULIO!$Z$173:$Z$174,JULIO!$Z$177:$Z$183,JULIO!$Z$186,JULIO!$Z$188:$Z$191,JULIO!$Z$198:$Z$204,JULIO!$Z$206:$Z$207,JULIO!$Z$212:$Z$218,JULIO!$Z$223:$Z$225,JULIO!$Z$228:$Z$230,JULIO!$Z$236:$Z$241,JULIO!$Z$245:$Z$256</definedName>
    <definedName name="Compromisos_jun">JUNIO!$Z$17:$Z$19,JUNIO!$Z$21:$Z$33,JUNIO!$Z$36:$Z$41,JUNIO!$Z$45:$Z$48,JUNIO!$Z$50:$Z$55,JUNIO!$Z$59:$Z$61,JUNIO!$Z$66:$Z$68,JUNIO!$Z$70:$Z$81,JUNIO!$Z$84:$Z$88,JUNIO!$Z$92:$Z$95,JUNIO!$Z$97:$Z$102,JUNIO!$Z$106:$Z$108,JUNIO!$Z$115:$Z$121,JUNIO!$Z$124:$Z$139,JUNIO!$Z$142:$Z$143,JUNIO!$Z$148,JUNIO!$Z$150:$Z$153,JUNIO!$Z$156,JUNIO!$Z$158:$Z$168,JUNIO!$Z$173:$Z$174,JUNIO!$Z$177:$Z$183,JUNIO!$Z$186,JUNIO!$Z$188:$Z$191,JUNIO!$Z$198:$Z$204,JUNIO!$Z$206:$Z$207,JUNIO!$Z$212:$Z$218,JUNIO!$Z$223:$Z$225,JUNIO!$Z$228:$Z$230,JUNIO!$Z$236:$Z$241,JUNIO!$Z$245:$Z$256</definedName>
    <definedName name="Compromisos_mar">MARZO!$Z$17:$Z$19,MARZO!$Z$21:$Z$33,MARZO!$Z$36:$Z$41,MARZO!$Z$45:$Z$48,MARZO!$Z$50:$Z$55,MARZO!$Z$59:$Z$61,MARZO!$Z$66:$Z$68,MARZO!$Z$70:$Z$81,MARZO!$Z$84:$Z$88,MARZO!$Z$92:$Z$95,MARZO!$Z$97:$Z$102,MARZO!$Z$106:$Z$108,MARZO!$Z$115:$Z$121,MARZO!$Z$124:$Z$139,MARZO!$Z$142:$Z$143,MARZO!$Z$148,MARZO!$Z$150:$Z$153,MARZO!$Z$156,MARZO!$Z$158:$Z$168,MARZO!$Z$173:$Z$174,MARZO!$Z$177:$Z$183,MARZO!$Z$186,MARZO!$Z$188:$Z$191,MARZO!$Z$198:$Z$204,MARZO!$Z$206:$Z$207,MARZO!$Z$212:$Z$218,MARZO!$Z$223:$Z$225,MARZO!$Z$228:$Z$230,MARZO!$Z$236:$Z$241,MARZO!$Z$245:$Z$256</definedName>
    <definedName name="Compromisos_may">MAYO!$Z$17:$Z$19,MAYO!$Z$21:$Z$33,MAYO!$Z$36:$Z$41,MAYO!$Z$45:$Z$48,MAYO!$Z$50:$Z$55,MAYO!$Z$59:$Z$61,MAYO!$Z$66:$Z$68,MAYO!$Z$70:$Z$81,MAYO!$Z$84:$Z$88,MAYO!$Z$92:$Z$95,MAYO!$Z$97:$Z$102,MAYO!$Z$106:$Z$108,MAYO!$Z$115:$Z$121,MAYO!$Z$124:$Z$139,MAYO!$Z$142:$Z$143,MAYO!$Z$148,MAYO!$Z$150:$Z$153,MAYO!$Z$156,MAYO!$Z$158:$Z$168,MAYO!$Z$173:$Z$174,MAYO!$Z$177:$Z$183,MAYO!$Z$186,MAYO!$Z$188:$Z$191,MAYO!$Z$198:$Z$204,MAYO!$Z$206:$Z$207,MAYO!$Z$212:$Z$218,MAYO!$Z$223:$Z$225,MAYO!$Z$228:$Z$230,MAYO!$Z$236:$Z$241,MAYO!$Z$245:$Z$256</definedName>
    <definedName name="Compromisos_nov">NOVIEMBRE!$Z$17:$Z$19,NOVIEMBRE!$Z$21:$Z$33,NOVIEMBRE!$Z$36:$Z$41,NOVIEMBRE!$Z$45:$Z$48,NOVIEMBRE!$Z$50:$Z$55,NOVIEMBRE!$Z$59:$Z$61,NOVIEMBRE!$Z$66:$Z$68,NOVIEMBRE!$Z$70:$Z$81,NOVIEMBRE!$Z$84:$Z$88,NOVIEMBRE!$Z$92:$Z$95,NOVIEMBRE!$Z$97:$Z$102,NOVIEMBRE!$Z$106:$Z$108,NOVIEMBRE!$Z$115:$Z$121,NOVIEMBRE!$Z$124:$Z$139,NOVIEMBRE!$Z$142:$Z$143,NOVIEMBRE!$Z$148,NOVIEMBRE!$Z$150:$Z$153,NOVIEMBRE!$Z$156,NOVIEMBRE!$Z$158:$Z$168,NOVIEMBRE!$Z$173:$Z$174,NOVIEMBRE!$Z$177:$Z$183,NOVIEMBRE!$Z$186,NOVIEMBRE!$Z$188:$Z$191,NOVIEMBRE!$Z$198:$Z$204,NOVIEMBRE!$Z$206:$Z$207,NOVIEMBRE!$Z$212:$Z$218,NOVIEMBRE!$Z$223:$Z$225,NOVIEMBRE!$Z$228:$Z$230,NOVIEMBRE!$Z$236:$Z$241,NOVIEMBRE!$Z$245:$Z$256</definedName>
    <definedName name="Compromisos_oct">OCTUBRE!$Z$17:$Z$19,OCTUBRE!$Z$21:$Z$33,OCTUBRE!$Z$36:$Z$41,OCTUBRE!$Z$45:$Z$48,OCTUBRE!$Z$50:$Z$55,OCTUBRE!$Z$59:$Z$61,OCTUBRE!$Z$66:$Z$68,OCTUBRE!$Z$70:$Z$81,OCTUBRE!$Z$84:$Z$88,OCTUBRE!$Z$92:$Z$95,OCTUBRE!$Z$97:$Z$102,OCTUBRE!$Z$106:$Z$108,OCTUBRE!$Z$115:$Z$121,OCTUBRE!$Z$124:$Z$139,OCTUBRE!$Z$142:$Z$143,OCTUBRE!$Z$148,OCTUBRE!$Z$150:$Z$153,OCTUBRE!$Z$156,OCTUBRE!$Z$158:$Z$168,OCTUBRE!$Z$173:$Z$174,OCTUBRE!$Z$177:$Z$183,OCTUBRE!$Z$186,OCTUBRE!$Z$188:$Z$191,OCTUBRE!$Z$198:$Z$204,OCTUBRE!$Z$206:$Z$207,OCTUBRE!$Z$212:$Z$218,OCTUBRE!$Z$223:$Z$225,OCTUBRE!$Z$228:$Z$230,OCTUBRE!$Z$236:$Z$241,OCTUBRE!$Z$245:$Z$256</definedName>
    <definedName name="Compromisos_sep">SEPTIEMBRE!$Z$17:$Z$19,SEPTIEMBRE!$Z$21:$Z$33,SEPTIEMBRE!$Z$36:$Z$41,SEPTIEMBRE!$Z$45:$Z$48,SEPTIEMBRE!$Z$50:$Z$55,SEPTIEMBRE!$Z$59:$Z$61,SEPTIEMBRE!$Z$66:$Z$68,SEPTIEMBRE!$Z$70:$Z$81,SEPTIEMBRE!$Z$84:$Z$88,SEPTIEMBRE!$Z$92:$Z$95,SEPTIEMBRE!$Z$97:$Z$102,SEPTIEMBRE!$Z$106:$Z$108,SEPTIEMBRE!$Z$115:$Z$121,SEPTIEMBRE!$Z$124:$Z$139,SEPTIEMBRE!$Z$142:$Z$143,SEPTIEMBRE!$Z$148,SEPTIEMBRE!$Z$150:$Z$153,SEPTIEMBRE!$Z$156,SEPTIEMBRE!$Z$158:$Z$168,SEPTIEMBRE!$Z$173:$Z$174,SEPTIEMBRE!$Z$177:$Z$183,SEPTIEMBRE!$Z$186,SEPTIEMBRE!$Z$188:$Z$191,SEPTIEMBRE!$Z$198:$Z$204,SEPTIEMBRE!$Z$206:$Z$207,SEPTIEMBRE!$Z$212:$Z$218,SEPTIEMBRE!$Z$223:$Z$225,SEPTIEMBRE!$Z$228:$Z$230,SEPTIEMBRE!$Z$236:$Z$241,SEPTIEMBRE!$Z$245:$Z$256</definedName>
    <definedName name="Obligaciones_abr">ABRIL!$AC$17:$AC$19,ABRIL!$AC$21:$AC$33,ABRIL!$AC$36:$AC$41,ABRIL!$AC$45:$AC$48,ABRIL!$AC$50:$AC$55,ABRIL!$AC$59:$AC$61,ABRIL!$AC$66:$AC$68,ABRIL!$AC$70:$AC$81,ABRIL!$AC$84:$AC$88,ABRIL!$AC$92:$AC$95,ABRIL!$AC$97:$AC$102,ABRIL!$AC$106:$AC$108,ABRIL!$AC$115:$AC$121,ABRIL!$AC$124:$AC$139,ABRIL!$AC$142:$AC$143,ABRIL!$AC$148,ABRIL!$AC$150:$AC$153,ABRIL!$AC$156,ABRIL!$AC$158:$AC$168,ABRIL!$AC$173:$AC$174,ABRIL!$AC$177:$AC$183,ABRIL!$AC$186,ABRIL!$AC$188:$AC$191,ABRIL!$AC$198:$AC$204,ABRIL!$AC$206:$AC$207,ABRIL!$AC$212:$AC$218,ABRIL!$AC$223:$AC$225,ABRIL!$AC$228:$AC$230,ABRIL!$AC$236:$AC$241,ABRIL!$AC$245:$AC$256</definedName>
    <definedName name="Obligaciones_ago">AGOSTO!$Z$17:$Z$19,AGOSTO!$Z$21:$Z$33,AGOSTO!$Z$36:$Z$41,AGOSTO!$Z$45:$Z$48,AGOSTO!$Z$50:$Z$55,AGOSTO!$Z$59:$Z$61,AGOSTO!$Z$66:$Z$68,AGOSTO!$Z$70:$Z$81,AGOSTO!$Z$84:$Z$88,AGOSTO!$Z$92:$Z$95,AGOSTO!$Z$97:$Z$102,AGOSTO!$Z$106:$Z$108,AGOSTO!$Z$115:$Z$121,AGOSTO!$Z$124:$Z$138,AGOSTO!$Z$138,AGOSTO!$Z$139,AGOSTO!$Z$142:$Z$143,AGOSTO!$Z$148,AGOSTO!$Z$150:$Z$153,AGOSTO!$Z$156,AGOSTO!$Z$158:$Z$168,AGOSTO!$Z$173:$Z$174,AGOSTO!$Z$177:$Z$183,AGOSTO!$Z$186,AGOSTO!$Z$188:$Z$191,AGOSTO!$Z$198:$Z$204,AGOSTO!$Z$206:$Z$207,AGOSTO!$Z$212:$Z$218,AGOSTO!$Z$223:$Z$225,AGOSTO!$Z$228:$Z$230,AGOSTO!$Z$236:$Z$241,AGOSTO!$Z$245:$Z$256</definedName>
    <definedName name="Obligaciones_dic">DICIEMBRE!$AC$17:$AC$19,DICIEMBRE!$AC$21:$AC$33,DICIEMBRE!$AC$36:$AC$41,DICIEMBRE!$AC$45:$AC$48,DICIEMBRE!$AC$50:$AC$55,DICIEMBRE!$AC$59:$AC$61,DICIEMBRE!$AC$66:$AC$68,DICIEMBRE!$AC$70:$AC$81,DICIEMBRE!$AC$84:$AC$88,DICIEMBRE!$AC$92:$AC$95,DICIEMBRE!$AC$97:$AC$102,DICIEMBRE!$AC$106:$AC$108,DICIEMBRE!$AC$115:$AC$121,DICIEMBRE!$AC$124:$AC$139,DICIEMBRE!$AC$142:$AC$143,DICIEMBRE!$AC$148,DICIEMBRE!$AC$150:$AC$153,DICIEMBRE!$AC$156,DICIEMBRE!$AC$158:$AC$168,DICIEMBRE!$AC$173:$AC$174,DICIEMBRE!$AC$177:$AC$183,DICIEMBRE!$AC$186,DICIEMBRE!$AC$188:$AC$191,DICIEMBRE!$AC$198:$AC$204,DICIEMBRE!$AC$206:$AC$207,DICIEMBRE!$AC$212:$AC$218,DICIEMBRE!$AC$223:$AC$225,DICIEMBRE!$AC$228:$AC$230,DICIEMBRE!$AC$236:$AC$241,DICIEMBRE!$AC$245:$AC$256</definedName>
    <definedName name="Obligaciones_ene">ENERO!$AC$17:$AC$19,ENERO!$AC$21:$AC$33,ENERO!$AC$36:$AC$41,ENERO!$AC$45:$AC$48,ENERO!$AC$50:$AC$55,ENERO!$AC$59:$AC$61,ENERO!$AC$66:$AC$68,ENERO!$AC$70:$AC$81,ENERO!$AC$84:$AC$88,ENERO!$AC$92:$AC$95,ENERO!$AC$97:$AC$102,ENERO!$AC$106:$AC$108,ENERO!$AC$115:$AC$121,ENERO!$AC$124:$AC$139,ENERO!$AC$142:$AC$143,ENERO!$AC$148,ENERO!$AC$150:$AC$153,ENERO!$AC$156,ENERO!$AC$158:$AC$168,ENERO!$AC$173:$AC$174,ENERO!$AC$177:$AC$183,ENERO!$AC$186,ENERO!$AC$188:$AC$191,ENERO!$AC$198:$AC$204,ENERO!$AC$206:$AC$207,ENERO!$AC$212:$AC$218,ENERO!$AC$223:$AC$225,ENERO!$AC$228:$AC$230,ENERO!$AC$236:$AC$241,ENERO!$AC$245:$AC$256</definedName>
    <definedName name="Obligaciones_feb">FEBRERO!$AC$17:$AC$19,FEBRERO!$AC$21:$AC$33,FEBRERO!$AC$36:$AC$41,FEBRERO!$AC$45:$AC$48,FEBRERO!$AC$50:$AC$55,FEBRERO!$AC$59:$AC$61,FEBRERO!$AC$66:$AC$68,FEBRERO!$AC$70:$AC$81,FEBRERO!$AC$84:$AC$88,FEBRERO!$AC$92:$AC$95,FEBRERO!$AC$97:$AC$102,FEBRERO!$AC$106:$AC$108,FEBRERO!$AC$115:$AC$121,FEBRERO!$AC$124:$AC$139,FEBRERO!$AC$142:$AC$143,FEBRERO!$AC$148,FEBRERO!$AC$150:$AC$153,FEBRERO!$AC$156,FEBRERO!$AC$158:$AC$168,FEBRERO!$AC$173:$AC$174,FEBRERO!$AC$177:$AC$183,FEBRERO!$AC$186,FEBRERO!$AC$188:$AC$191,FEBRERO!$AC$198:$AC$204,FEBRERO!$AC$206:$AC$207,FEBRERO!$AC$212:$AC$218,FEBRERO!$AC$223:$AC$225,FEBRERO!$AC$228:$AC$230,FEBRERO!$AC$236:$AC$241,FEBRERO!$AC$245:$AC$256</definedName>
    <definedName name="Obligaciones_jul">JULIO!$AC$17:$AC$19,JULIO!$AC$21:$AC$33,JULIO!$AC$36:$AC$41,JULIO!$AC$45:$AC$48,JULIO!$AC$50:$AC$55,JULIO!$AC$59:$AC$61,JULIO!$AC$66:$AC$68,JULIO!$AC$70:$AC$81,JULIO!$AC$84:$AC$88,JULIO!$AC$92:$AC$95,JULIO!$AC$97:$AC$102,JULIO!$AC$106:$AC$108,JULIO!$AC$115:$AC$121,JULIO!$AC$124:$AC$139,JULIO!$AC$142:$AC$143,JULIO!$AC$148,JULIO!$AC$150:$AC$153,JULIO!$AC$156,JULIO!$AC$158:$AC$168,JULIO!$AC$173:$AC$174,JULIO!$AC$177:$AC$183,JULIO!$AC$186,JULIO!$AC$188:$AC$191,JULIO!$AC$198:$AC$204,JULIO!$AC$206:$AC$207,JULIO!$AC$212:$AC$218,JULIO!$AC$223:$AC$225,JULIO!$AC$228:$AC$230,JULIO!$AC$236:$AC$241,JULIO!$AC$245:$AC$256</definedName>
    <definedName name="Obligaciones_jun">JUNIO!$AC$17:$AC$19,JUNIO!$AC$21:$AC$33,JUNIO!$AC$36:$AC$41,JUNIO!$AC$45:$AC$48,JUNIO!$AC$50:$AC$55,JUNIO!$AC$59:$AC$61,JUNIO!$AC$66:$AC$68,JUNIO!$AC$70:$AC$81,JUNIO!$AC$84:$AC$88,JUNIO!$AC$92:$AC$95,JUNIO!$AC$97:$AC$102,JUNIO!$AC$106:$AC$108,JUNIO!$AC$115:$AC$121,JUNIO!$AC$124:$AC$139,JUNIO!$AC$142:$AC$143,JUNIO!$AC$148,JUNIO!$AC$150:$AC$153,JUNIO!$AC$156,JUNIO!$AC$158:$AC$168,JUNIO!$AC$173:$AC$174,JUNIO!$AC$177:$AC$183,JUNIO!$AC$186,JUNIO!$AC$188:$AC$191,JUNIO!$AC$198:$AC$204,JUNIO!$AC$206:$AC$207,JUNIO!$AC$212:$AC$218,JUNIO!$AC$223:$AC$225,JUNIO!$AC$228:$AC$230,JUNIO!$AC$236:$AC$241,JUNIO!$AC$245:$AC$256</definedName>
    <definedName name="Obligaciones_mar">MARZO!$AC$17:$AC$19,MARZO!$AC$21:$AC$33,MARZO!$AC$36:$AC$41,MARZO!$AC$45:$AC$48,MARZO!$AC$50:$AC$55,MARZO!$AC$59:$AC$61,MARZO!$AC$66:$AC$68,MARZO!$AC$70:$AC$81,MARZO!$AC$84:$AC$88,MARZO!$AC$92:$AC$95,MARZO!$AC$97:$AC$102,MARZO!$AC$106:$AC$108,MARZO!$AC$115:$AC$121,MARZO!$AC$124:$AC$139,MARZO!$AC$142:$AC$143,MARZO!$AC$148,MARZO!$AC$150:$AC$153,MARZO!$AC$156,MARZO!$AC$158:$AC$168,MARZO!$AC$173:$AC$174,MARZO!$AC$177:$AC$183,MARZO!$AC$186,MARZO!$AC$188:$AC$191,MARZO!$AC$198:$AC$204,MARZO!$AC$206:$AC$207,MARZO!$AC$212:$AC$218,MARZO!$AC$223:$AC$225,MARZO!$AC$228:$AC$230,MARZO!$AC$236:$AC$241,MARZO!$AC$245:$AC$256</definedName>
    <definedName name="Obligaciones_may">MAYO!$AC$17:$AC$19,MAYO!$AC$21:$AC$33,MAYO!$AC$36:$AC$41,MAYO!$AC$45:$AC$48,MAYO!$AC$50:$AC$55,MAYO!$AC$59:$AC$61,MAYO!$AC$66:$AC$68,MAYO!$AC$70:$AC$81,MAYO!$AC$84:$AC$88,MAYO!$AC$92:$AC$95,MAYO!$AC$97:$AC$102,MAYO!$AC$106:$AC$108,MAYO!$AC$115:$AC$121,MAYO!$AC$124:$AC$139,MAYO!$AC$142:$AC$143,MAYO!$AC$148,MAYO!$AC$150:$AC$153,MAYO!$AC$156,MAYO!$AC$158:$AC$168,MAYO!$AC$173:$AC$174,MAYO!$AC$177:$AC$183,MAYO!$AC$186,MAYO!$AC$188:$AC$191,MAYO!$AC$198:$AC$204,MAYO!$AC$206:$AC$207,MAYO!$AC$212:$AC$218,MAYO!$AC$223:$AC$225,MAYO!$AC$228:$AC$230,MAYO!$AC$236:$AC$241,MAYO!$AC$245:$AC$256</definedName>
    <definedName name="Obligaciones_nov">NOVIEMBRE!$AC$17:$AC$19,NOVIEMBRE!$AC$21:$AC$33,NOVIEMBRE!$AC$36:$AC$41,NOVIEMBRE!$AC$45:$AC$48,NOVIEMBRE!$AC$50:$AC$55,NOVIEMBRE!$AC$59:$AC$61,NOVIEMBRE!$AC$66:$AC$68,NOVIEMBRE!$AC$70:$AC$81,NOVIEMBRE!$AC$84:$AC$88,NOVIEMBRE!$AC$92:$AC$95,NOVIEMBRE!$AC$97:$AC$102,NOVIEMBRE!$AC$106:$AC$108,NOVIEMBRE!$AC$115:$AC$121,NOVIEMBRE!$AC$124:$AC$139,NOVIEMBRE!$AC$142:$AC$143,NOVIEMBRE!$AC$148,NOVIEMBRE!$AC$150:$AC$153,NOVIEMBRE!$AC$156,NOVIEMBRE!$AC$158:$AC$168,NOVIEMBRE!$AC$173:$AC$174,NOVIEMBRE!$AC$177:$AC$183,NOVIEMBRE!$AC$186,NOVIEMBRE!$AC$188:$AC$191,NOVIEMBRE!$AC$198:$AC$204,NOVIEMBRE!$AC$206:$AC$207,NOVIEMBRE!$AC$212:$AC$218,NOVIEMBRE!$AC$223:$AC$225,NOVIEMBRE!$AC$228:$AC$230,NOVIEMBRE!$AC$236:$AC$241,NOVIEMBRE!$AC$245:$AC$256</definedName>
    <definedName name="Obligaciones_oct">OCTUBRE!$AC$17:$AC$19,OCTUBRE!$AC$21:$AC$33,OCTUBRE!$AC$36:$AC$41,OCTUBRE!$AC$45:$AC$48,OCTUBRE!$AC$50:$AC$55,OCTUBRE!$AC$59:$AC$61,OCTUBRE!$AC$66:$AC$68,OCTUBRE!$AC$70:$AC$81,OCTUBRE!$AC$84:$AC$88,OCTUBRE!$AC$92:$AC$95,OCTUBRE!$AC$97:$AC$102,OCTUBRE!$AC$106:$AC$108,OCTUBRE!$AC$115:$AC$121,OCTUBRE!$AC$124:$AC$139,OCTUBRE!$AC$142:$AC$143,OCTUBRE!$AC$148,OCTUBRE!$AC$150:$AC$153,OCTUBRE!$AC$156,OCTUBRE!$AC$158:$AC$168,OCTUBRE!$AC$173:$AC$174,OCTUBRE!$AC$177:$AC$183,OCTUBRE!$AC$186,OCTUBRE!$AC$188:$AC$191,OCTUBRE!$AC$198:$AC$204,OCTUBRE!$AC$206:$AC$207,OCTUBRE!$AC$212:$AC$218,OCTUBRE!$AC$223:$AC$225,OCTUBRE!$AC$228:$AC$230,OCTUBRE!$AC$236:$AC$241,OCTUBRE!$AC$245:$AC$256</definedName>
    <definedName name="Obligaciones_sep">SEPTIEMBRE!$AC$17:$AC$19,SEPTIEMBRE!$AC$21:$AC$33,SEPTIEMBRE!$AC$36:$AC$41,SEPTIEMBRE!$AC$45:$AC$48,SEPTIEMBRE!$AC$50:$AC$55,SEPTIEMBRE!$AC$59:$AC$61,SEPTIEMBRE!$AC$66:$AC$68,SEPTIEMBRE!$AC$70:$AC$81,SEPTIEMBRE!$AC$84:$AC$88,SEPTIEMBRE!$AC$92:$AC$95,SEPTIEMBRE!$AC$97:$AC$102,SEPTIEMBRE!$AC$106:$AC$108,SEPTIEMBRE!$AC$115:$AC$121,SEPTIEMBRE!$AC$124:$AC$139,SEPTIEMBRE!$AC$142:$AC$143,SEPTIEMBRE!$AC$148,SEPTIEMBRE!$AC$150:$AC$153,SEPTIEMBRE!$AC$156,SEPTIEMBRE!$AC$158:$AC$168,SEPTIEMBRE!$AC$173:$AC$174,SEPTIEMBRE!$AC$177:$AC$183,SEPTIEMBRE!$AC$186,SEPTIEMBRE!$AC$188:$AC$191,SEPTIEMBRE!$AC$198:$AC$204,SEPTIEMBRE!$AC$206:$AC$207,SEPTIEMBRE!$AC$212:$AC$218,SEPTIEMBRE!$AC$223:$AC$225,SEPTIEMBRE!$AC$228:$AC$230,SEPTIEMBRE!$AC$236:$AC$241,SEPTIEMBRE!$AC$245:$AC$256</definedName>
    <definedName name="Pagos_abr">ABRIL!$AF$17:$AF$19,ABRIL!$AF$21:$AF$33,ABRIL!$AF$36:$AF$41,ABRIL!$AF$45:$AF$48,ABRIL!$AF$50:$AF$55,ABRIL!$AF$59:$AF$61,ABRIL!$AF$66:$AF$68,ABRIL!$AF$70:$AF$81,ABRIL!$AF$84:$AF$88,ABRIL!$AF$92:$AF$95,ABRIL!$AF$97:$AF$102,ABRIL!$AF$106:$AF$108,ABRIL!$AF$115:$AF$121,ABRIL!$AF$124:$AF$139,ABRIL!$AF$142:$AF$143,ABRIL!$AF$148,ABRIL!$AF$150:$AF$153,ABRIL!$AF$156,ABRIL!$AF$158:$AF$168,ABRIL!$AF$173:$AF$174,ABRIL!$AF$177:$AF$183,ABRIL!$AF$186,ABRIL!$AF$188:$AF$191,ABRIL!$AF$198:$AF$204,ABRIL!$AF$206:$AF$207,ABRIL!$AF$212:$AF$218,ABRIL!$AF$223:$AF$225,ABRIL!$AF$228:$AF$230,ABRIL!$AF$236:$AF$241,ABRIL!$AF$245:$AF$256</definedName>
    <definedName name="Pagos_ago">AGOSTO!$AF$17:$AF$19,AGOSTO!$AF$21:$AF$33,AGOSTO!$AF$36:$AF$41,AGOSTO!$AF$45:$AF$48,AGOSTO!$AF$50:$AF$55,AGOSTO!$AF$59:$AF$61,AGOSTO!$AF$66:$AF$68,AGOSTO!$AF$70:$AF$81,AGOSTO!$AF$84:$AF$88,AGOSTO!$AF$92:$AF$95,AGOSTO!$AF$97:$AF$102,AGOSTO!$AF$106:$AF$108,AGOSTO!$AF$115:$AF$121,AGOSTO!$AF$124:$AF$139,AGOSTO!$AF$142:$AF$143,AGOSTO!$AF$148,AGOSTO!$AF$150:$AF$153,AGOSTO!$AF$156,AGOSTO!$AF$158:$AF$168,AGOSTO!$AF$173:$AF$174,AGOSTO!$AF$177:$AF$183,AGOSTO!$AF$186,AGOSTO!$AF$188:$AF$191,AGOSTO!$AF$198:$AF$204,AGOSTO!$AF$206:$AF$207,AGOSTO!$AF$212:$AF$218,AGOSTO!$AF$223:$AF$225,AGOSTO!$AF$228:$AF$230,AGOSTO!$AF$236:$AF$241,AGOSTO!$AF$245:$AF$256</definedName>
    <definedName name="Pagos_dic">DICIEMBRE!$AF$17:$AF$19,DICIEMBRE!$AF$21:$AF$33,DICIEMBRE!$AF$36:$AF$41,DICIEMBRE!$AF$45:$AF$48,DICIEMBRE!$AF$50:$AF$55,DICIEMBRE!$AF$59:$AF$61,DICIEMBRE!$AF$66:$AF$68,DICIEMBRE!$AF$70:$AF$81,DICIEMBRE!$AF$84:$AF$88,DICIEMBRE!$AF$92:$AF$95,DICIEMBRE!$AF$97:$AF$102,DICIEMBRE!$AF$106:$AF$108,DICIEMBRE!$AF$115:$AF$121,DICIEMBRE!$AF$124:$AF$139,DICIEMBRE!$AF$142:$AF$143,DICIEMBRE!$AF$148,DICIEMBRE!$AF$150:$AF$153,DICIEMBRE!$AF$156,DICIEMBRE!$AF$158:$AF$168,DICIEMBRE!$AF$173:$AF$174,DICIEMBRE!$AF$177:$AF$183,DICIEMBRE!$AF$186,DICIEMBRE!$AF$188:$AF$191,DICIEMBRE!$AF$198:$AF$204,DICIEMBRE!$AF$206:$AF$207,DICIEMBRE!$AF$212:$AF$218,DICIEMBRE!$AF$223:$AF$225,DICIEMBRE!$AF$228:$AF$230,DICIEMBRE!$AF$236:$AF$241,DICIEMBRE!$AF$245:$AF$256</definedName>
    <definedName name="Pagos_ene">ENERO!$AF$17:$AF$19,ENERO!$AF$21:$AF$33,ENERO!$AF$36:$AF$41,ENERO!$AF$45:$AF$48,ENERO!$AF$50:$AF$55,ENERO!$AF$59:$AF$61,ENERO!$AF$66:$AF$68,ENERO!$AF$70:$AF$81,ENERO!$AF$84:$AF$88,ENERO!$AF$92:$AF$95,ENERO!$AF$97:$AF$102,ENERO!$AF$106:$AF$108,ENERO!$AF$115:$AF$121,ENERO!$AF$124:$AF$139,ENERO!$AF$142:$AF$143,ENERO!$AF$148,ENERO!$AF$150:$AF$153,ENERO!$AF$156,ENERO!$AF$158:$AF$168,ENERO!$AF$173:$AF$174,ENERO!$AF$177:$AF$183,ENERO!$AF$186,ENERO!$AF$188:$AF$191,ENERO!$AF$198:$AF$204,ENERO!$AF$206:$AF$207,ENERO!$AF$212:$AF$218,ENERO!$AF$223:$AF$225,ENERO!$AF$228:$AF$230,ENERO!$AF$236:$AF$241,ENERO!$AF$245:$AF$256</definedName>
    <definedName name="Pagos_feb">FEBRERO!$AF$17:$AF$19,FEBRERO!$AF$21:$AF$33,FEBRERO!$AF$36:$AF$41,FEBRERO!$AF$45:$AF$48,FEBRERO!$AF$50:$AF$55,FEBRERO!$AF$59:$AF$61,FEBRERO!$AF$66:$AF$68,FEBRERO!$AF$70:$AF$81,FEBRERO!$AF$84:$AF$88,FEBRERO!$AF$92:$AF$95,FEBRERO!$AF$97:$AF$102,FEBRERO!$AF$106:$AF$108,FEBRERO!$AF$115:$AF$121,FEBRERO!$AF$124:$AF$139,FEBRERO!$AF$142:$AF$143,FEBRERO!$AF$148,FEBRERO!$AF$150:$AF$153,FEBRERO!$AF$156,FEBRERO!$AF$158:$AF$168,FEBRERO!$AF$173:$AF$174,FEBRERO!$AF$177:$AF$183,FEBRERO!$AF$186,FEBRERO!$AF$188:$AF$191,FEBRERO!$AF$198:$AF$204,FEBRERO!$AF$206:$AF$207,FEBRERO!$AF$212:$AF$218,FEBRERO!$AF$223:$AF$225,FEBRERO!$AF$228:$AF$230,FEBRERO!$AF$236:$AF$241,FEBRERO!$AF$245:$AF$256</definedName>
    <definedName name="Pagos_jul">JULIO!$AF$17:$AF$19,JULIO!$AF$21:$AF$33,JULIO!$AF$36:$AF$41,JULIO!$AF$45:$AF$48,JULIO!$AF$50:$AF$55,JULIO!$AF$59:$AF$61,JULIO!$AF$66:$AF$68,JULIO!$AF$70:$AF$81,JULIO!$AF$84:$AF$88,JULIO!$AF$92:$AF$95,JULIO!$AF$97:$AF$102,JULIO!$AF$106:$AF$108,JULIO!$AF$115:$AF$121,JULIO!$AF$124:$AF$139,JULIO!$AF$142:$AF$143,JULIO!$AF$148,JULIO!$AF$150:$AF$153,JULIO!$AF$156,JULIO!$AF$158:$AF$168,JULIO!$AF$173:$AF$174,JULIO!$AF$177:$AF$183,JULIO!$AF$186,JULIO!$AF$188:$AF$191,JULIO!$AF$198:$AF$204,JULIO!$AF$206:$AF$207,JULIO!$AF$212:$AF$218,JULIO!$AF$223:$AF$225,JULIO!$AF$228:$AF$230,JULIO!$AF$236:$AF$241,JULIO!$AF$245:$AF$256</definedName>
    <definedName name="Pagos_jun">JUNIO!$AF$17:$AF$19,JUNIO!$AF$21:$AF$33,JUNIO!$AF$36:$AF$41,JUNIO!$AF$45:$AF$48,JUNIO!$AF$50:$AF$55,JUNIO!$AF$59:$AF$61,JUNIO!$AF$66:$AF$68,JUNIO!$AF$70:$AF$81,JUNIO!$AF$84:$AF$88,JUNIO!$AF$92:$AF$95,JUNIO!$AF$97:$AF$102,JUNIO!$AF$106:$AF$108,JUNIO!$AF$115:$AF$121,JUNIO!$AF$124:$AF$139,JUNIO!$AF$142:$AF$143,JUNIO!$AF$148,JUNIO!$AF$150:$AF$153,JUNIO!$AF$156,JUNIO!$AF$158:$AF$168,JUNIO!$AF$173:$AF$174,JUNIO!$AF$177:$AF$183,JUNIO!$AF$186,JUNIO!$AF$188:$AF$191,JUNIO!$AF$198:$AF$204,JUNIO!$AF$206:$AF$207,JUNIO!$AF$212:$AF$218,JUNIO!$AF$223:$AF$225,JUNIO!$AF$228:$AF$230,JUNIO!$AF$236:$AF$241,JUNIO!$AF$245:$AF$256</definedName>
    <definedName name="Pagos_mar">MARZO!$AF$17:$AF$19,MARZO!$AF$21:$AF$33,MARZO!$AF$36:$AF$41,MARZO!$AF$45:$AF$48,MARZO!$AF$50:$AF$55,MARZO!$AF$59:$AF$61,MARZO!$AF$66:$AF$68,MARZO!$AF$70:$AF$81,MARZO!$AF$84:$AF$88,MARZO!$AF$92:$AF$95,MARZO!$AF$97:$AF$102,MARZO!$AF$106:$AF$108,MARZO!$AF$115:$AF$121,MARZO!$AF$124:$AF$139,MARZO!$AF$142:$AF$143,MARZO!$AF$148,MARZO!$AF$150:$AF$153,MARZO!$AF$156,MARZO!$AF$158:$AF$168,MARZO!$AF$173:$AF$174,MARZO!$AF$177:$AF$183,MARZO!$AF$186,MARZO!$AF$188:$AF$191,MARZO!$AF$198:$AF$204,MARZO!$AF$206:$AF$207,MARZO!$AF$212:$AF$218,MARZO!$AF$223:$AF$225,MARZO!$AF$228:$AF$230,MARZO!$AF$236:$AF$241,MARZO!$AF$245:$AF$256</definedName>
    <definedName name="Pagos_may">MAYO!$AF$17:$AF$19,MAYO!$AF$21:$AF$33,MAYO!$AF$36:$AF$41,MAYO!$AF$45:$AF$48,MAYO!$AF$50:$AF$55,MAYO!$AF$59:$AF$61,MAYO!$AF$66:$AF$68,MAYO!$AF$70:$AF$81,MAYO!$AF$84:$AF$88,MAYO!$AF$92:$AF$95,MAYO!$AF$97:$AF$102,MAYO!$AF$106:$AF$108,MAYO!$AF$115:$AF$121,MAYO!$AF$124:$AF$139,MAYO!$AF$142:$AF$143,MAYO!$AF$148,MAYO!$AF$150:$AF$153,MAYO!$AF$156,MAYO!$AF$158:$AF$168,MAYO!$AF$173:$AF$174,MAYO!$AF$177:$AF$183,MAYO!$AF$186,MAYO!$AF$188:$AF$191,MAYO!$AF$198:$AF$204,MAYO!$AF$206:$AF$207,MAYO!$AF$212:$AF$218,MAYO!$AF$223:$AF$225,MAYO!$AF$228:$AF$230,MAYO!$AF$236:$AF$241,MAYO!$AF$245:$AF$256</definedName>
    <definedName name="Pagos_nov">NOVIEMBRE!$AF$17:$AF$19,NOVIEMBRE!$AF$21:$AF$33,NOVIEMBRE!$AF$36:$AF$41,NOVIEMBRE!$AF$45:$AF$48,NOVIEMBRE!$AF$50:$AF$55,NOVIEMBRE!$AF$59:$AF$61,NOVIEMBRE!$AF$66:$AF$68,NOVIEMBRE!$AF$70:$AF$81,NOVIEMBRE!$AF$84:$AF$88,NOVIEMBRE!$AF$92:$AF$95,NOVIEMBRE!$AF$97:$AF$102,NOVIEMBRE!$AF$106:$AF$108,NOVIEMBRE!$AF$115:$AF$121,NOVIEMBRE!$AF$124:$AF$139,NOVIEMBRE!$AF$142:$AF$143,NOVIEMBRE!$AF$148,NOVIEMBRE!$AF$150:$AF$153,NOVIEMBRE!$AF$156,NOVIEMBRE!$AF$158:$AF$168,NOVIEMBRE!$AF$173:$AF$174,NOVIEMBRE!$AF$177:$AF$183,NOVIEMBRE!$AF$186,NOVIEMBRE!$AF$188:$AF$191,NOVIEMBRE!$AF$198:$AF$204,NOVIEMBRE!$AF$206:$AF$207,NOVIEMBRE!$AF$212:$AF$218,NOVIEMBRE!$AF$223:$AF$225,NOVIEMBRE!$AF$228:$AF$230,NOVIEMBRE!$AF$236:$AF$241,NOVIEMBRE!$AF$245:$AF$256</definedName>
    <definedName name="Pagos_oct">OCTUBRE!$AF$17:$AF$19,OCTUBRE!$AF$21:$AF$33,OCTUBRE!$AF$36:$AF$41,OCTUBRE!$AF$45:$AF$48,OCTUBRE!$AF$50:$AF$55,OCTUBRE!$AF$59:$AF$61,OCTUBRE!$AF$66:$AF$68,OCTUBRE!$AF$70:$AF$81,OCTUBRE!$AF$84:$AF$88,OCTUBRE!$AF$92:$AF$95,OCTUBRE!$AF$97:$AF$102,OCTUBRE!$AF$106:$AF$108,OCTUBRE!$AF$115:$AF$121,OCTUBRE!$AF$124:$AF$139,OCTUBRE!$AF$142:$AF$143,OCTUBRE!$AF$148,OCTUBRE!$AF$150:$AF$153,OCTUBRE!$AF$156,OCTUBRE!$AF$158:$AF$168,OCTUBRE!$AF$173:$AF$174,OCTUBRE!$AF$177:$AF$183,OCTUBRE!$AF$186,OCTUBRE!$AF$188:$AF$191,OCTUBRE!$AF$198:$AF$204,OCTUBRE!$AF$206:$AF$207,OCTUBRE!$AF$212:$AF$218,OCTUBRE!$AF$223:$AF$225,OCTUBRE!$AF$228:$AF$230,OCTUBRE!$AF$236:$AF$241,OCTUBRE!$AF$245:$AF$256</definedName>
    <definedName name="Pagos_sep">SEPTIEMBRE!$AF$17:$AF$19,SEPTIEMBRE!$AF$21:$AF$33,SEPTIEMBRE!$AF$36:$AF$41,SEPTIEMBRE!$AF$45:$AF$48,SEPTIEMBRE!$AF$50:$AF$55,SEPTIEMBRE!$AF$59:$AF$61,SEPTIEMBRE!$AF$66:$AF$68,SEPTIEMBRE!$AF$70:$AF$81,SEPTIEMBRE!$AF$84:$AF$88,SEPTIEMBRE!$AF$92:$AF$95,SEPTIEMBRE!$AF$97:$AF$102,SEPTIEMBRE!$AF$106:$AF$108,SEPTIEMBRE!$AF$115:$AF$121,SEPTIEMBRE!$AF$124:$AF$139,SEPTIEMBRE!$AF$142:$AF$143,SEPTIEMBRE!$AF$148,SEPTIEMBRE!$AF$150:$AF$153,SEPTIEMBRE!$AF$156,SEPTIEMBRE!$AF$158:$AF$168,SEPTIEMBRE!$AF$173:$AF$174,SEPTIEMBRE!$AF$177:$AF$183,SEPTIEMBRE!$AF$186,SEPTIEMBRE!$AF$188:$AF$191,SEPTIEMBRE!$AF$198:$AF$204,SEPTIEMBRE!$AF$206:$AF$207,SEPTIEMBRE!$AF$212:$AF$218,SEPTIEMBRE!$AF$223:$AF$225,SEPTIEMBRE!$AF$228:$AF$230,SEPTIEMBRE!$AF$236:$AF$241,SEPTIEMBRE!$AF$245:$AF$256</definedName>
    <definedName name="Presupuesto_inicial_gastos">ENERO!$U$17:$U$19,ENERO!$U$21:$U$33,ENERO!$U$36:$U$41,ENERO!$U$45:$U$48,ENERO!$U$50:$U$56,ENERO!$U$59:$U$61,ENERO!$U$66:$U$68,ENERO!$U$70:$U$81,ENERO!$U$84:$U$88,ENERO!$U$92:$U$95,ENERO!$U$97:$U$102,ENERO!$U$106:$U$108,ENERO!$U$115:$U$121,ENERO!$U$124:$U$139,ENERO!$U$142:$U$143,ENERO!$U$148,ENERO!$U$150:$U$153,ENERO!$U$156,ENERO!$U$158:$U$168,ENERO!$U$173:$U$174,ENERO!$U$177:$U$183,ENERO!$U$186,ENERO!$U$188:$U$191,ENERO!$U$198:$U$204,ENERO!$U$206:$U$207,ENERO!$U$212:$U$218,ENERO!$U$223:$U$225,ENERO!$U$228:$U$230,ENERO!$U$236:$U$241,ENERO!$U$245:$U$256</definedName>
    <definedName name="Presupuesto_inicial_ingresos">ENERO!$C$12:$C$15,ENERO!$C$23:$C$24,ENERO!$C$26:$C$27,ENERO!$C$30:$C$31,ENERO!$C$33:$C$34,ENERO!$C$36:$C$41,ENERO!$C$43:$C$44,ENERO!$C$46:$C$47,ENERO!$C$49:$C$50,ENERO!$C$52:$C$53,ENERO!$C$55:$C$56,ENERO!$C$58:$C$59,ENERO!$C$61:$C$62,ENERO!$C$64:$C$65,ENERO!$C$67:$C$68,ENERO!$C$70:$C$71,ENERO!$C$73:$C$74,ENERO!$C$76:$C$77,ENERO!$C$79:$C$80,ENERO!$C$82:$C$83,ENERO!$C$86:$C$92,ENERO!$C$94:$C$97,ENERO!$C$100:$C$106,ENERO!$C$109:$C$117</definedName>
    <definedName name="Recaudos_abr">ABRIL!$K$109:$K$117,ABRIL!$K$100:$K$106,ABRIL!$K$93:$K$97,ABRIL!$K$86:$K$92,ABRIL!$K$82:$K$83,ABRIL!$K$79:$K$80,ABRIL!$K$76:$K$77,ABRIL!$K$73:$K$74,ABRIL!$K$70:$K$71,ABRIL!$K$67:$K$68,ABRIL!$K$64:$K$65,ABRIL!$K$61:$K$62,ABRIL!$K$58:$K$59,ABRIL!$K$55:$K$56,ABRIL!$K$52:$K$53,ABRIL!$K$49:$K$50,ABRIL!$K$46:$K$47,ABRIL!$K$43:$K$44,ABRIL!$K$36:$K$41,ABRIL!$K$33:$K$34,ABRIL!$K$30:$K$31,ABRIL!$K$26:$K$27,ABRIL!$K$23:$K$24</definedName>
    <definedName name="Recaudos_ago">AGOSTO!$K$109:$K$117,AGOSTO!$K$100:$K$106,AGOSTO!$K$93:$K$97,AGOSTO!$K$86:$K$92,AGOSTO!$K$82:$K$83,AGOSTO!$K$79:$K$80,AGOSTO!$K$76:$K$77,AGOSTO!$K$73:$K$74,AGOSTO!$K$70:$K$71,AGOSTO!$K$67:$K$68,AGOSTO!$K$64:$K$65,AGOSTO!$K$61:$K$62,AGOSTO!$K$58:$K$59,AGOSTO!$K$55:$K$56,AGOSTO!$K$52:$K$53,AGOSTO!$K$49:$K$50,AGOSTO!$K$46:$K$47,AGOSTO!$K$43:$K$44,AGOSTO!$K$36:$K$41,AGOSTO!$K$33:$K$34,AGOSTO!$K$30:$K$31,AGOSTO!$K$26:$K$27,AGOSTO!$K$23:$K$24</definedName>
    <definedName name="Recaudos_dic">DICIEMBRE!$K$109:$K$117,DICIEMBRE!$K$100:$K$106,DICIEMBRE!$K$93:$K$97,DICIEMBRE!$K$86:$K$92,DICIEMBRE!$K$82:$K$83,DICIEMBRE!$K$79:$K$80,DICIEMBRE!$K$76:$K$77,DICIEMBRE!$K$73:$K$74,DICIEMBRE!$K$70:$K$71,DICIEMBRE!$K$67:$K$68,DICIEMBRE!$K$64:$K$65,DICIEMBRE!$K$61:$K$62,DICIEMBRE!$K$58:$K$59,DICIEMBRE!$K$55:$K$56,DICIEMBRE!$K$52:$K$53,DICIEMBRE!$K$49:$K$50,DICIEMBRE!$K$46:$K$47,DICIEMBRE!$K$43:$K$44,DICIEMBRE!$K$36:$K$41,DICIEMBRE!$K$33:$K$34,DICIEMBRE!$K$30:$K$31,DICIEMBRE!$K$26:$K$27,DICIEMBRE!$K$23:$K$24</definedName>
    <definedName name="Recaudos_ene">ENERO!$K$109:$K$117,ENERO!$K$100:$K$106,ENERO!$K$93:$K$97,ENERO!$K$86:$K$92,ENERO!$K$82:$K$83,ENERO!$K$79:$K$80,ENERO!$K$76:$K$77,ENERO!$K$73:$K$74,ENERO!$K$70:$K$71,ENERO!$K$67:$K$68,ENERO!$K$64:$K$65,ENERO!$K$61:$K$62,ENERO!$K$58:$K$59,ENERO!$K$55:$K$56,ENERO!$K$52:$K$53,ENERO!$K$49:$K$50,ENERO!$K$46:$K$47,ENERO!$K$43:$K$44,ENERO!$K$36:$K$41,ENERO!$K$33:$K$34,ENERO!$K$30:$K$31,ENERO!$K$26:$K$27,ENERO!$K$23:$K$24</definedName>
    <definedName name="Recaudos_feb">FEBRERO!$K$109:$K$117,FEBRERO!$K$100:$K$106,FEBRERO!$K$93:$K$97,FEBRERO!$K$86:$K$92,FEBRERO!$K$82:$K$83,FEBRERO!$K$79:$K$80,FEBRERO!$K$76:$K$77,FEBRERO!$K$73:$K$74,FEBRERO!$K$70:$K$71,FEBRERO!$K$67:$K$68,FEBRERO!$K$64:$K$65,FEBRERO!$K$61:$K$62,FEBRERO!$K$58:$K$59,FEBRERO!$K$55:$K$56,FEBRERO!$K$52:$K$53,FEBRERO!$K$49:$K$50,FEBRERO!$K$46:$K$47,FEBRERO!$K$43:$K$44,FEBRERO!$K$36:$K$41,FEBRERO!$K$33:$K$34,FEBRERO!$K$30:$K$31,FEBRERO!$K$26:$K$27,FEBRERO!$K$23:$K$24</definedName>
    <definedName name="Recaudos_jul">JULIO!$K$109:$K$117,JULIO!$K$100:$K$106,JULIO!$K$93:$K$97,JULIO!$K$86:$K$92,JULIO!$K$82:$K$83,JULIO!$K$79:$K$80,JULIO!$K$76:$K$77,JULIO!$K$73:$K$74,JULIO!$K$70:$K$71,JULIO!$K$67:$K$68,JULIO!$K$64:$K$65,JULIO!$K$61:$K$62,JULIO!$K$58:$K$59,JULIO!$K$55:$K$56,JULIO!$K$52:$K$53,JULIO!$K$49:$K$50,JULIO!$K$46:$K$47,JULIO!$K$43:$K$44,JULIO!$K$36:$K$41,JULIO!$K$33:$K$34,JULIO!$K$30:$K$31,JULIO!$K$26:$K$27,JULIO!$K$23:$K$24</definedName>
    <definedName name="Recaudos_jun">JUNIO!$K$109:$K$117,JUNIO!$K$100:$K$106,JUNIO!$K$93:$K$97,JUNIO!$K$86:$K$92,JUNIO!$K$82:$K$83,JUNIO!$K$79:$K$80,JUNIO!$K$76:$K$77,JUNIO!$K$73:$K$74,JUNIO!$K$70:$K$71,JUNIO!$K$67:$K$68,JUNIO!$K$64:$K$65,JUNIO!$K$61:$K$62,JUNIO!$K$58:$K$59,JUNIO!$K$55:$K$56,JUNIO!$K$52:$K$53,JUNIO!$K$49:$K$50,JUNIO!$K$46:$K$47,JUNIO!$K$43:$K$44,JUNIO!$K$36:$K$41,JUNIO!$K$33:$K$34,JUNIO!$K$30:$K$31,JUNIO!$K$26:$K$27,JUNIO!$K$23:$K$24</definedName>
    <definedName name="Recaudos_mar">MARZO!$K$109:$K$117,MARZO!$K$100:$K$106,MARZO!$K$93:$K$97,MARZO!$K$86:$K$92,MARZO!$K$82:$K$83,MARZO!$K$79:$K$80,MARZO!$K$76:$K$77,MARZO!$K$73:$K$74,MARZO!$K$70:$K$71,MARZO!$K$67:$K$68,MARZO!$K$64:$K$65,MARZO!$K$61:$K$62,MARZO!$K$58:$K$59,MARZO!$K$55:$K$56,MARZO!$K$52:$K$53,MARZO!$K$49:$K$50,MARZO!$K$46:$K$47,MARZO!$K$43:$K$44,MARZO!$K$36:$K$41,MARZO!$K$33:$K$34,MARZO!$K$30:$K$31,MARZO!$K$26:$K$27,MARZO!$K$23:$K$24</definedName>
    <definedName name="Recaudos_may">MAYO!$K$109:$K$117,MAYO!$K$100:$K$106,MAYO!$K$93:$K$97,MAYO!$K$86:$K$92,MAYO!$K$82:$K$83,MAYO!$K$79:$K$80,MAYO!$K$76:$K$77,MAYO!$K$73:$K$74,MAYO!$K$70:$K$71,MAYO!$K$67:$K$68,MAYO!$K$64:$K$65,MAYO!$K$61:$K$62,MAYO!$K$58:$K$59,MAYO!$K$55:$K$56,MAYO!$K$52:$K$53,MAYO!$K$49:$K$50,MAYO!$K$46:$K$47,MAYO!$K$43:$K$44,MAYO!$K$36:$K$41,MAYO!$K$33:$K$34,MAYO!$K$30:$K$31,MAYO!$K$26:$K$27,MAYO!$K$23:$K$24</definedName>
    <definedName name="Recaudos_nov">NOVIEMBRE!$K$109:$K$117,NOVIEMBRE!$K$100:$K$106,NOVIEMBRE!$K$93:$K$97,NOVIEMBRE!$K$86:$K$92,NOVIEMBRE!$K$82:$K$83,NOVIEMBRE!$K$79:$K$80,NOVIEMBRE!$K$76:$K$77,NOVIEMBRE!$K$73:$K$74,NOVIEMBRE!$K$70:$K$71,NOVIEMBRE!$K$67:$K$68,NOVIEMBRE!$K$64:$K$65,NOVIEMBRE!$K$61:$K$62,NOVIEMBRE!$K$58:$K$59,NOVIEMBRE!$K$55:$K$56,NOVIEMBRE!$K$52:$K$53,NOVIEMBRE!$K$49:$K$50,NOVIEMBRE!$K$46:$K$47,NOVIEMBRE!$K$43:$K$44,NOVIEMBRE!$K$36:$K$41,NOVIEMBRE!$K$33:$K$34,NOVIEMBRE!$K$30:$K$31,NOVIEMBRE!$K$26:$K$27,NOVIEMBRE!$K$23:$K$24</definedName>
    <definedName name="Recaudos_oct">OCTUBRE!$K$109:$K$117,OCTUBRE!$K$100:$K$106,OCTUBRE!$K$93:$K$97,OCTUBRE!$K$86:$K$92,OCTUBRE!$K$82:$K$83,OCTUBRE!$K$79:$K$80,OCTUBRE!$K$76:$K$77,OCTUBRE!$K$73:$K$74,OCTUBRE!$K$70:$K$71,OCTUBRE!$K$67:$K$68,OCTUBRE!$K$64:$K$65,OCTUBRE!$K$61:$K$62,OCTUBRE!$K$58:$K$59,OCTUBRE!$K$55:$K$56,OCTUBRE!$K$52:$K$53,OCTUBRE!$K$49:$K$50,OCTUBRE!$K$46:$K$47,OCTUBRE!$K$43:$K$44,OCTUBRE!$K$36:$K$41,OCTUBRE!$K$33:$K$34,OCTUBRE!$K$30:$K$31,OCTUBRE!$K$26:$K$27,OCTUBRE!$K$23:$K$24</definedName>
    <definedName name="Recaudos_sep">SEPTIEMBRE!$K$109:$K$117,SEPTIEMBRE!$K$100:$K$106,SEPTIEMBRE!$K$93:$K$97,SEPTIEMBRE!$K$86:$K$92,SEPTIEMBRE!$K$82:$K$83,SEPTIEMBRE!$K$79:$K$80,SEPTIEMBRE!$K$76:$K$77,SEPTIEMBRE!$K$73:$K$74,SEPTIEMBRE!$K$70:$K$71,SEPTIEMBRE!$K$67:$K$68,SEPTIEMBRE!$K$64:$K$65,SEPTIEMBRE!$K$61:$K$62,SEPTIEMBRE!$K$58:$K$59,SEPTIEMBRE!$K$55:$K$56,SEPTIEMBRE!$K$52:$K$53,SEPTIEMBRE!$K$49:$K$50,SEPTIEMBRE!$K$46:$K$47,SEPTIEMBRE!$K$43:$K$44,SEPTIEMBRE!$K$36:$K$41,SEPTIEMBRE!$K$33:$K$34,SEPTIEMBRE!$K$30:$K$31,SEPTIEMBRE!$K$26:$K$27,SEPTIEMBRE!$K$23:$K$24</definedName>
    <definedName name="Reconocimiento_dispon_inicial_ene">ENERO!$H$12:$H$15</definedName>
    <definedName name="Reconocimiento_dispon_inicial_feb">FEBRERO!$H$12:$H$15</definedName>
    <definedName name="Reconocimiento_dispon_inicial_mar">MARZO!$H$12:$H$15</definedName>
    <definedName name="Reconocimientos_abr">ABRIL!$H$23:$H$24,ABRIL!$H$26:$H$27,ABRIL!$H$30:$H$31,ABRIL!$H$33:$H$34,ABRIL!$H$36:$H$41,ABRIL!$H$43:$H$44,ABRIL!$H$46:$H$47,ABRIL!$H$49:$H$50,ABRIL!$H$52:$H$53,ABRIL!$H$55:$H$56,ABRIL!$H$58:$H$59,ABRIL!$H$61:$H$62,ABRIL!$H$64:$H$65,ABRIL!$H$67:$H$68,ABRIL!$H$70:$H$71,ABRIL!$H$73:$H$74,ABRIL!$H$76:$H$77,ABRIL!$H$79:$H$80,ABRIL!$H$82:$H$83,ABRIL!$H$86:$H$92,ABRIL!$H$94:$H$97,ABRIL!$H$100:$H$106,ABRIL!$H$109:$H$117</definedName>
    <definedName name="Reconocimientos_ago">AGOSTO!$H$23:$H$24,AGOSTO!$H$26:$H$27,AGOSTO!$H$30:$H$31,AGOSTO!$H$33:$H$34,AGOSTO!$H$36:$H$41,AGOSTO!$H$43:$H$44,AGOSTO!$H$46:$H$47,AGOSTO!$H$49:$H$50,AGOSTO!$H$52:$H$53,AGOSTO!$H$55:$H$56,AGOSTO!$H$58:$H$59,AGOSTO!$H$61:$H$62,AGOSTO!$H$64:$H$65,AGOSTO!$H$67:$H$68,AGOSTO!$H$70:$H$71,AGOSTO!$H$73:$H$74,AGOSTO!$H$76:$H$77,AGOSTO!$H$79:$H$80,AGOSTO!$H$82:$H$83,AGOSTO!$H$86:$H$92,AGOSTO!$H$94:$H$97,AGOSTO!$H$100:$H$106,AGOSTO!$H$109:$H$117</definedName>
    <definedName name="Reconocimientos_dic">DICIEMBRE!$H$23:$H$24,DICIEMBRE!$H$26:$H$27,DICIEMBRE!$H$30:$H$31,DICIEMBRE!$H$33:$H$34,DICIEMBRE!$H$36:$H$41,DICIEMBRE!$H$43:$H$44,DICIEMBRE!$H$46:$H$47,DICIEMBRE!$H$49:$H$50,DICIEMBRE!$H$52:$H$53,DICIEMBRE!$H$55:$H$56,DICIEMBRE!$H$58:$H$59,DICIEMBRE!$H$61:$H$62,DICIEMBRE!$H$64:$H$65,DICIEMBRE!$H$67:$H$68,DICIEMBRE!$H$70:$H$71,DICIEMBRE!$H$73:$H$74,DICIEMBRE!$H$76:$H$77,DICIEMBRE!$H$79:$H$80,DICIEMBRE!$H$82:$H$83,DICIEMBRE!$H$86:$H$92,DICIEMBRE!$H$94:$H$97,DICIEMBRE!$H$100:$H$106,DICIEMBRE!$H$109:$H$117</definedName>
    <definedName name="Reconocimientos_ene">ENERO!$H$23:$H$24,ENERO!$H$26:$H$27,ENERO!$H$30:$H$31,ENERO!$H$33:$H$34,ENERO!$H$36:$H$41,ENERO!$H$43:$H$44,ENERO!$H$46:$H$47,ENERO!$H$49:$H$50,ENERO!$H$52:$H$53,ENERO!$H$55:$H$56,ENERO!$H$58:$H$59,ENERO!$H$61:$H$62,ENERO!$H$64:$H$65,ENERO!$H$67:$H$68,ENERO!$H$70:$H$71,ENERO!$H$73:$H$74,ENERO!$H$76:$H$77,ENERO!$H$79:$H$80,ENERO!$H$82:$H$83,ENERO!$H$86:$H$92,ENERO!$H$94:$H$97,ENERO!$H$100:$H$106,ENERO!$H$109:$H$117</definedName>
    <definedName name="Reconocimientos_feb">FEBRERO!$H$23:$H$24,FEBRERO!$H$26:$H$27,FEBRERO!$H$30:$H$31,FEBRERO!$H$33:$H$34,FEBRERO!$H$36:$H$41,FEBRERO!$H$43:$H$44,FEBRERO!$H$46:$H$47,FEBRERO!$H$49:$H$50,FEBRERO!$H$52:$H$53,FEBRERO!$H$55:$H$56,FEBRERO!$H$58:$H$59,FEBRERO!$H$61:$H$62,FEBRERO!$H$64:$H$65,FEBRERO!$H$67:$H$68,FEBRERO!$H$70:$H$71,FEBRERO!$H$73:$H$74,FEBRERO!$H$76:$H$77,FEBRERO!$H$79:$H$80,FEBRERO!$H$82:$H$83,FEBRERO!$H$86:$H$92,FEBRERO!$H$94:$H$97,FEBRERO!$H$100:$H$106,FEBRERO!$H$109:$H$117</definedName>
    <definedName name="Reconocimientos_jul">JULIO!$H$23:$H$24,JULIO!$H$26:$H$27,JULIO!$H$30:$H$31,JULIO!$H$33:$H$34,JULIO!$H$36:$H$41,JULIO!$H$43:$H$44,JULIO!$H$46:$H$47,JULIO!$H$49:$H$50,JULIO!$H$52:$H$53,JULIO!$H$55:$H$56,JULIO!$H$58:$H$59,JULIO!$H$61:$H$62,JULIO!$H$64:$H$65,JULIO!$H$67:$H$68,JULIO!$H$70:$H$71,JULIO!$H$73:$H$74,JULIO!$H$76:$H$77,JULIO!$H$79:$H$80,JULIO!$H$82:$H$83,JULIO!$H$86:$H$92,JULIO!$H$94:$H$97,JULIO!$H$100:$H$106,JULIO!$H$109:$H$117</definedName>
    <definedName name="Reconocimientos_jun">JUNIO!$H$23:$H$24,JUNIO!$H$26:$H$27,JUNIO!$H$30:$H$31,JUNIO!$H$33:$H$34,JUNIO!$H$36:$H$41,JUNIO!$H$43:$H$44,JUNIO!$H$46:$H$47,JUNIO!$H$49:$H$50,JUNIO!$H$52:$H$53,JUNIO!$H$55:$H$56,JUNIO!$H$58:$H$59,JUNIO!$H$61:$H$62,JUNIO!$H$64:$H$65,JUNIO!$H$67:$H$68,JUNIO!$H$70:$H$71,JUNIO!$H$73:$H$74,JUNIO!$H$76:$H$77,JUNIO!$H$79:$H$80,JUNIO!$H$82:$H$83,JUNIO!$H$86:$H$92,JUNIO!$H$94:$H$97,JUNIO!$H$100:$H$106,JUNIO!$H$109:$H$117</definedName>
    <definedName name="Reconocimientos_mar">MARZO!$H$23:$H$24,MARZO!$H$26:$H$27,MARZO!$H$30:$H$31,MARZO!$H$33:$H$34,MARZO!$H$36:$H$41,MARZO!$H$43:$H$44,MARZO!$H$46:$H$47,MARZO!$H$49:$H$50,MARZO!$H$52:$H$53,MARZO!$H$55:$H$56,MARZO!$H$58:$H$59,MARZO!$H$61:$H$62,MARZO!$H$64:$H$65,MARZO!$H$67:$H$68,MARZO!$H$70:$H$71,MARZO!$H$73:$H$74,MARZO!$H$76:$H$77,MARZO!$H$79:$H$80,MARZO!$H$82:$H$83,MARZO!$H$86:$H$92,MARZO!$H$94:$H$97,MARZO!$H$100:$H$106,MARZO!$H$109:$H$117</definedName>
    <definedName name="Reconocimientos_may">MAYO!$H$23:$H$24,MAYO!$H$26:$H$27,MAYO!$H$30:$H$31,MAYO!$H$33:$H$34,MAYO!$H$36:$H$41,MAYO!$H$43:$H$44,MAYO!$H$46:$H$47,MAYO!$H$49:$H$50,MAYO!$H$52:$H$53,MAYO!$H$55:$H$56,MAYO!$H$58:$H$59,MAYO!$H$61:$H$62,MAYO!$H$64:$H$65,MAYO!$H$67:$H$68,MAYO!$H$70:$H$71,MAYO!$H$73:$H$74,MAYO!$H$76:$H$77,MAYO!$H$79:$H$80,MAYO!$H$82:$H$83,MAYO!$H$86:$H$92,MAYO!$H$94:$H$97,MAYO!$H$100:$H$106,MAYO!$H$109:$H$117</definedName>
    <definedName name="Reconocimientos_nov">NOVIEMBRE!$H$23:$H$24,NOVIEMBRE!$H$26:$H$27,NOVIEMBRE!$H$30:$H$31,NOVIEMBRE!$H$33:$H$34,NOVIEMBRE!$H$36:$H$41,NOVIEMBRE!$H$43:$H$44,NOVIEMBRE!$H$46:$H$47,NOVIEMBRE!$H$49:$H$50,NOVIEMBRE!$H$52:$H$53,NOVIEMBRE!$H$55:$H$56,NOVIEMBRE!$H$58:$H$59,NOVIEMBRE!$H$61:$H$62,NOVIEMBRE!$H$64:$H$65,NOVIEMBRE!$H$67:$H$68,NOVIEMBRE!$H$70:$H$71,NOVIEMBRE!$H$73:$H$74,NOVIEMBRE!$H$76:$H$77,NOVIEMBRE!$H$79:$H$80,NOVIEMBRE!$H$82:$H$83,NOVIEMBRE!$H$86:$H$92,NOVIEMBRE!$H$94:$H$97,NOVIEMBRE!$H$100:$H$106,NOVIEMBRE!$H$109:$H$117</definedName>
    <definedName name="Reconocimientos_oct">OCTUBRE!$H$23:$H$24,OCTUBRE!$H$26:$H$27,OCTUBRE!$H$30:$H$31,OCTUBRE!$H$33:$H$34,OCTUBRE!$H$36:$H$41,OCTUBRE!$H$43:$H$44,OCTUBRE!$H$46:$H$47,OCTUBRE!$H$49:$H$50,OCTUBRE!$H$52:$H$53,OCTUBRE!$H$55:$H$56,OCTUBRE!$H$58:$H$59,OCTUBRE!$H$61:$H$62,OCTUBRE!$H$64:$H$65,OCTUBRE!$H$67:$H$68,OCTUBRE!$H$70:$H$71,OCTUBRE!$H$73:$H$74,OCTUBRE!$H$76:$H$77,OCTUBRE!$H$79:$H$80,OCTUBRE!$H$82:$H$83,OCTUBRE!$H$86:$H$92,OCTUBRE!$H$94:$H$97,OCTUBRE!$H$100:$H$106,OCTUBRE!$H$109:$H$117</definedName>
    <definedName name="Reconocimientos_sep">SEPTIEMBRE!$H$23:$H$24,SEPTIEMBRE!$H$26:$H$27,SEPTIEMBRE!$H$30:$H$31,SEPTIEMBRE!$H$33:$H$34,SEPTIEMBRE!$H$36:$H$41,SEPTIEMBRE!$H$43:$H$44,SEPTIEMBRE!$H$46:$H$47,SEPTIEMBRE!$H$49:$H$50,SEPTIEMBRE!$H$52:$H$53,SEPTIEMBRE!$H$55:$H$56,SEPTIEMBRE!$H$58:$H$59,SEPTIEMBRE!$H$61:$H$62,SEPTIEMBRE!$H$64:$H$65,SEPTIEMBRE!$H$67:$H$68,SEPTIEMBRE!$H$70:$H$71,SEPTIEMBRE!$H$73:$H$74,SEPTIEMBRE!$H$76:$H$77,SEPTIEMBRE!$H$79:$H$80,SEPTIEMBRE!$H$82:$H$83,SEPTIEMBRE!$H$86:$H$92,SEPTIEMBRE!$H$94:$H$97,SEPTIEMBRE!$H$100:$H$106,SEPTIEMBRE!$H$109:$H$117</definedName>
    <definedName name="_xlnm.Print_Titles" localSheetId="4">ABRIL!$2:$6</definedName>
    <definedName name="_xlnm.Print_Titles" localSheetId="8">AGOSTO!$2:$6</definedName>
    <definedName name="_xlnm.Print_Titles" localSheetId="12">DICIEMBRE!$2:$6</definedName>
    <definedName name="_xlnm.Print_Titles" localSheetId="1">ENERO!$2:$6</definedName>
    <definedName name="_xlnm.Print_Titles" localSheetId="2">FEBRERO!$2:$6</definedName>
    <definedName name="_xlnm.Print_Titles" localSheetId="7">JULIO!$2:$6</definedName>
    <definedName name="_xlnm.Print_Titles" localSheetId="6">JUNIO!$2:$6</definedName>
    <definedName name="_xlnm.Print_Titles" localSheetId="3">MARZO!$2:$6</definedName>
    <definedName name="_xlnm.Print_Titles" localSheetId="5">MAYO!$2:$6</definedName>
    <definedName name="_xlnm.Print_Titles" localSheetId="11">NOVIEMBRE!$2:$6</definedName>
    <definedName name="_xlnm.Print_Titles" localSheetId="10">OCTUBRE!$2:$6</definedName>
    <definedName name="_xlnm.Print_Titles" localSheetId="9">SEPTIEMBRE!$2:$6</definedName>
  </definedNames>
  <calcPr calcId="152511"/>
</workbook>
</file>

<file path=xl/calcChain.xml><?xml version="1.0" encoding="utf-8"?>
<calcChain xmlns="http://schemas.openxmlformats.org/spreadsheetml/2006/main">
  <c r="AC84" i="16" l="1"/>
  <c r="AM236" i="16" l="1"/>
  <c r="K36" i="15" l="1"/>
  <c r="K76" i="15"/>
  <c r="H26" i="14" l="1"/>
  <c r="AM207" i="14" l="1"/>
  <c r="AL86" i="14" l="1"/>
  <c r="AM199" i="14" l="1"/>
  <c r="AM198" i="14"/>
  <c r="AM156" i="14"/>
  <c r="H79" i="13" l="1"/>
  <c r="K37" i="13"/>
  <c r="H79" i="12" l="1"/>
  <c r="H70" i="12"/>
  <c r="AL199" i="11" l="1"/>
  <c r="AL198" i="11"/>
  <c r="AL66" i="11" l="1"/>
  <c r="K109" i="11" l="1"/>
  <c r="AL207" i="11" l="1"/>
  <c r="H79" i="10" l="1"/>
  <c r="AL66" i="10" l="1"/>
  <c r="K79" i="8" l="1"/>
  <c r="H70" i="8"/>
  <c r="K109" i="9" l="1"/>
  <c r="AL148" i="9" l="1"/>
  <c r="AL115" i="9"/>
  <c r="K109" i="8" l="1"/>
  <c r="H25" i="8" l="1"/>
  <c r="H29" i="8"/>
  <c r="H32" i="8"/>
  <c r="H35" i="8"/>
  <c r="H28" i="8" s="1"/>
  <c r="H42" i="8"/>
  <c r="H45" i="8"/>
  <c r="H48" i="8"/>
  <c r="H51" i="8"/>
  <c r="H54" i="8"/>
  <c r="H57" i="8"/>
  <c r="H60" i="8"/>
  <c r="H63" i="8"/>
  <c r="H66" i="8"/>
  <c r="H69" i="8"/>
  <c r="H72" i="8"/>
  <c r="H75" i="8"/>
  <c r="H78" i="8"/>
  <c r="H81" i="8"/>
  <c r="H85" i="8"/>
  <c r="H94" i="8"/>
  <c r="H104" i="8"/>
  <c r="H113" i="8"/>
  <c r="H128" i="8"/>
  <c r="AL115" i="7" l="1"/>
  <c r="AM256" i="5" l="1"/>
  <c r="AM241" i="5"/>
  <c r="AM207" i="5"/>
  <c r="Q27" i="5"/>
  <c r="A1" i="18" l="1"/>
  <c r="BE19" i="16" l="1"/>
  <c r="BE18" i="16"/>
  <c r="BE19" i="15"/>
  <c r="BE18" i="15"/>
  <c r="BE19" i="14"/>
  <c r="BE18" i="14"/>
  <c r="BE19" i="13"/>
  <c r="BE18" i="13"/>
  <c r="BE19" i="12"/>
  <c r="BE18" i="12"/>
  <c r="BE19" i="11"/>
  <c r="BE18" i="11"/>
  <c r="BE19" i="10"/>
  <c r="BE18" i="10"/>
  <c r="BE19" i="9"/>
  <c r="BE18" i="9"/>
  <c r="BE19" i="8"/>
  <c r="BE18" i="8"/>
  <c r="BE19" i="7"/>
  <c r="BE18" i="7"/>
  <c r="BE19" i="6"/>
  <c r="BE18" i="6"/>
  <c r="BE19" i="5"/>
  <c r="BE18" i="5"/>
  <c r="Q21" i="20"/>
  <c r="P21" i="20"/>
  <c r="O21" i="20"/>
  <c r="N21" i="20"/>
  <c r="M21" i="20"/>
  <c r="L21" i="20"/>
  <c r="K21" i="20"/>
  <c r="J21" i="20"/>
  <c r="I21" i="20"/>
  <c r="H21" i="20"/>
  <c r="G21" i="20"/>
  <c r="F21" i="20"/>
  <c r="E9" i="20"/>
  <c r="B100" i="6"/>
  <c r="K15" i="11" l="1"/>
  <c r="K14" i="11"/>
  <c r="K13" i="11"/>
  <c r="K12" i="11"/>
  <c r="C99" i="7" l="1"/>
  <c r="T2" i="6" l="1"/>
  <c r="T2" i="7"/>
  <c r="T2" i="8"/>
  <c r="B2" i="6"/>
  <c r="B2" i="7"/>
  <c r="B2" i="16"/>
  <c r="T2" i="16"/>
  <c r="T2" i="15"/>
  <c r="B2" i="15"/>
  <c r="T2" i="14"/>
  <c r="T2" i="13"/>
  <c r="B2" i="14"/>
  <c r="B2" i="13"/>
  <c r="T2" i="12"/>
  <c r="B2" i="12"/>
  <c r="T2" i="11"/>
  <c r="B2" i="11"/>
  <c r="B2" i="10"/>
  <c r="T2" i="10"/>
  <c r="T2" i="9"/>
  <c r="B2" i="9"/>
  <c r="A1" i="19" l="1"/>
  <c r="AT26" i="7" l="1"/>
  <c r="AL243" i="5"/>
  <c r="AM243" i="5"/>
  <c r="Y243" i="5"/>
  <c r="Z243" i="5"/>
  <c r="AB243" i="5"/>
  <c r="AC243" i="5"/>
  <c r="AE243" i="5"/>
  <c r="AF243" i="5"/>
  <c r="BE20" i="7" l="1"/>
  <c r="AL259" i="9" l="1"/>
  <c r="C119" i="9" l="1"/>
  <c r="C124" i="9"/>
  <c r="C123" i="9"/>
  <c r="C122" i="9"/>
  <c r="C121" i="9"/>
  <c r="C120" i="9"/>
  <c r="C118" i="9"/>
  <c r="C117" i="9"/>
  <c r="C116" i="9"/>
  <c r="C115" i="9"/>
  <c r="BE20" i="16" l="1"/>
  <c r="BE20" i="15"/>
  <c r="BE20" i="14"/>
  <c r="BE20" i="13"/>
  <c r="BE20" i="12"/>
  <c r="BE20" i="11"/>
  <c r="BE20" i="10"/>
  <c r="BE20" i="9"/>
  <c r="BE20" i="8"/>
  <c r="BE20" i="6"/>
  <c r="BE20" i="5"/>
  <c r="Q20" i="20" l="1"/>
  <c r="P20" i="20"/>
  <c r="O20" i="20"/>
  <c r="N20" i="20"/>
  <c r="M20" i="20"/>
  <c r="L20" i="20"/>
  <c r="K20" i="20"/>
  <c r="J20" i="20"/>
  <c r="I20" i="20"/>
  <c r="H20" i="20"/>
  <c r="G20" i="20"/>
  <c r="F20" i="20"/>
  <c r="Q19" i="20"/>
  <c r="P19" i="20"/>
  <c r="O19" i="20"/>
  <c r="N19" i="20"/>
  <c r="M19" i="20"/>
  <c r="L19" i="20"/>
  <c r="K19" i="20"/>
  <c r="J19" i="20"/>
  <c r="I19" i="20"/>
  <c r="H19" i="20"/>
  <c r="G19" i="20"/>
  <c r="F19" i="20"/>
  <c r="BE17" i="15"/>
  <c r="BE17" i="14"/>
  <c r="BE17" i="13"/>
  <c r="BE17" i="12"/>
  <c r="BE17" i="11"/>
  <c r="BE17" i="10"/>
  <c r="BE17" i="9"/>
  <c r="BE17" i="8"/>
  <c r="BE17" i="7"/>
  <c r="BE17" i="6"/>
  <c r="BE17" i="5"/>
  <c r="BE17" i="16"/>
  <c r="R21" i="20" l="1"/>
  <c r="Q18" i="20"/>
  <c r="P18" i="20"/>
  <c r="O18" i="20"/>
  <c r="N18" i="20"/>
  <c r="M18" i="20"/>
  <c r="L18" i="20"/>
  <c r="K18" i="20"/>
  <c r="J18" i="20"/>
  <c r="I18" i="20"/>
  <c r="H18" i="20"/>
  <c r="G18" i="20"/>
  <c r="F18" i="20"/>
  <c r="C124" i="16" l="1"/>
  <c r="C123" i="16"/>
  <c r="C122" i="16"/>
  <c r="C121" i="16"/>
  <c r="C120" i="16"/>
  <c r="C119" i="16"/>
  <c r="C118" i="16"/>
  <c r="C117" i="16"/>
  <c r="C116" i="16"/>
  <c r="C115" i="16"/>
  <c r="C111" i="16"/>
  <c r="C110" i="16"/>
  <c r="C109" i="16"/>
  <c r="C108" i="16"/>
  <c r="C107" i="16"/>
  <c r="C106" i="16"/>
  <c r="C105" i="16"/>
  <c r="C102" i="16"/>
  <c r="C101" i="16"/>
  <c r="C100" i="16"/>
  <c r="C99" i="16"/>
  <c r="C98" i="16"/>
  <c r="C97" i="16"/>
  <c r="C96" i="16"/>
  <c r="C95" i="16"/>
  <c r="C92" i="16"/>
  <c r="C91" i="16"/>
  <c r="C90" i="16"/>
  <c r="C89" i="16"/>
  <c r="C88" i="16"/>
  <c r="C87" i="16"/>
  <c r="C86" i="16"/>
  <c r="C102" i="15"/>
  <c r="C101" i="15"/>
  <c r="C100" i="15"/>
  <c r="C99" i="15"/>
  <c r="C98" i="15"/>
  <c r="C97" i="15"/>
  <c r="C96" i="15"/>
  <c r="C95" i="15"/>
  <c r="C92" i="15"/>
  <c r="C91" i="15"/>
  <c r="C90" i="15"/>
  <c r="C89" i="15"/>
  <c r="C88" i="15"/>
  <c r="C87" i="15"/>
  <c r="C86" i="15"/>
  <c r="C124" i="15"/>
  <c r="C123" i="15"/>
  <c r="C122" i="15"/>
  <c r="C121" i="15"/>
  <c r="C120" i="15"/>
  <c r="C119" i="15"/>
  <c r="C118" i="15"/>
  <c r="C117" i="15"/>
  <c r="C116" i="15"/>
  <c r="C115" i="15"/>
  <c r="C111" i="15"/>
  <c r="C110" i="15"/>
  <c r="C109" i="15"/>
  <c r="C108" i="15"/>
  <c r="C107" i="15"/>
  <c r="C106" i="15"/>
  <c r="C105" i="15"/>
  <c r="C124" i="14" l="1"/>
  <c r="C123" i="14"/>
  <c r="C122" i="14"/>
  <c r="C121" i="14"/>
  <c r="C120" i="14"/>
  <c r="C119" i="14"/>
  <c r="C118" i="14"/>
  <c r="C117" i="14"/>
  <c r="C116" i="14"/>
  <c r="C115" i="14"/>
  <c r="C111" i="14"/>
  <c r="C110" i="14"/>
  <c r="C109" i="14"/>
  <c r="C108" i="14"/>
  <c r="C107" i="14"/>
  <c r="C106" i="14"/>
  <c r="C105" i="14"/>
  <c r="C102" i="14"/>
  <c r="C101" i="14"/>
  <c r="C100" i="14"/>
  <c r="C99" i="14"/>
  <c r="C98" i="14"/>
  <c r="C97" i="14"/>
  <c r="C96" i="14"/>
  <c r="C95" i="14"/>
  <c r="C92" i="14"/>
  <c r="C91" i="14"/>
  <c r="C90" i="14"/>
  <c r="C89" i="14"/>
  <c r="C88" i="14"/>
  <c r="C87" i="14"/>
  <c r="C86" i="14"/>
  <c r="O126" i="13"/>
  <c r="C124" i="13"/>
  <c r="C123" i="13"/>
  <c r="C122" i="13"/>
  <c r="C121" i="13"/>
  <c r="C120" i="13"/>
  <c r="C119" i="13"/>
  <c r="C118" i="13"/>
  <c r="C117" i="13"/>
  <c r="C116" i="13"/>
  <c r="C115" i="13"/>
  <c r="C111" i="13"/>
  <c r="C110" i="13"/>
  <c r="C109" i="13"/>
  <c r="C108" i="13"/>
  <c r="C107" i="13"/>
  <c r="C106" i="13"/>
  <c r="C105" i="13"/>
  <c r="C102" i="13"/>
  <c r="C101" i="13"/>
  <c r="C100" i="13"/>
  <c r="C99" i="13"/>
  <c r="C98" i="13"/>
  <c r="C97" i="13"/>
  <c r="C96" i="13"/>
  <c r="C95" i="13"/>
  <c r="C92" i="13"/>
  <c r="C91" i="13"/>
  <c r="C90" i="13"/>
  <c r="C89" i="13"/>
  <c r="C88" i="13"/>
  <c r="C87" i="13"/>
  <c r="C86" i="13"/>
  <c r="C124" i="12"/>
  <c r="C123" i="12"/>
  <c r="C122" i="12"/>
  <c r="C121" i="12"/>
  <c r="C120" i="12"/>
  <c r="C119" i="12"/>
  <c r="C118" i="12"/>
  <c r="C117" i="12"/>
  <c r="C116" i="12"/>
  <c r="C115" i="12"/>
  <c r="C111" i="12"/>
  <c r="C110" i="12"/>
  <c r="C109" i="12"/>
  <c r="C108" i="12"/>
  <c r="C107" i="12"/>
  <c r="C106" i="12"/>
  <c r="C105" i="12"/>
  <c r="C102" i="12"/>
  <c r="C101" i="12"/>
  <c r="C100" i="12"/>
  <c r="C99" i="12"/>
  <c r="C98" i="12"/>
  <c r="C97" i="12"/>
  <c r="C96" i="12"/>
  <c r="C95" i="12"/>
  <c r="C92" i="12"/>
  <c r="C91" i="12"/>
  <c r="C90" i="12"/>
  <c r="C89" i="12"/>
  <c r="C88" i="12"/>
  <c r="C87" i="12"/>
  <c r="C86" i="12"/>
  <c r="C124" i="11"/>
  <c r="C123" i="11"/>
  <c r="C122" i="11"/>
  <c r="C121" i="11"/>
  <c r="C120" i="11"/>
  <c r="C119" i="11"/>
  <c r="C118" i="11"/>
  <c r="C117" i="11"/>
  <c r="C116" i="11"/>
  <c r="C115" i="11"/>
  <c r="C111" i="11"/>
  <c r="C110" i="11"/>
  <c r="C109" i="11"/>
  <c r="C108" i="11"/>
  <c r="C107" i="11"/>
  <c r="C106" i="11"/>
  <c r="C105" i="11"/>
  <c r="C102" i="11"/>
  <c r="C101" i="11"/>
  <c r="C100" i="11"/>
  <c r="C99" i="11"/>
  <c r="C98" i="11"/>
  <c r="C97" i="11"/>
  <c r="C96" i="11"/>
  <c r="C95" i="11"/>
  <c r="C92" i="11"/>
  <c r="C91" i="11"/>
  <c r="C90" i="11"/>
  <c r="C89" i="11"/>
  <c r="C88" i="11"/>
  <c r="C87" i="11"/>
  <c r="C86" i="11"/>
  <c r="C124" i="10"/>
  <c r="C123" i="10"/>
  <c r="C122" i="10"/>
  <c r="C121" i="10"/>
  <c r="C120" i="10"/>
  <c r="C119" i="10"/>
  <c r="C118" i="10"/>
  <c r="C117" i="10"/>
  <c r="C116" i="10"/>
  <c r="C115" i="10"/>
  <c r="C111" i="10"/>
  <c r="C110" i="10"/>
  <c r="C109" i="10"/>
  <c r="C108" i="10"/>
  <c r="C107" i="10"/>
  <c r="C106" i="10"/>
  <c r="C105" i="10"/>
  <c r="C102" i="10"/>
  <c r="C101" i="10"/>
  <c r="C100" i="10"/>
  <c r="C99" i="10"/>
  <c r="C98" i="10"/>
  <c r="C97" i="10"/>
  <c r="C96" i="10"/>
  <c r="C95" i="10"/>
  <c r="C92" i="10"/>
  <c r="C91" i="10"/>
  <c r="C90" i="10"/>
  <c r="C89" i="10"/>
  <c r="C88" i="10"/>
  <c r="C87" i="10"/>
  <c r="C86" i="10"/>
  <c r="C111" i="9"/>
  <c r="C110" i="9"/>
  <c r="C109" i="9"/>
  <c r="C108" i="9"/>
  <c r="C107" i="9"/>
  <c r="C106" i="9"/>
  <c r="C105" i="9"/>
  <c r="C102" i="9"/>
  <c r="C101" i="9"/>
  <c r="C100" i="9"/>
  <c r="C99" i="9"/>
  <c r="C98" i="9"/>
  <c r="C97" i="9"/>
  <c r="C96" i="9"/>
  <c r="C95" i="9"/>
  <c r="C92" i="9"/>
  <c r="C91" i="9"/>
  <c r="C90" i="9"/>
  <c r="C89" i="9"/>
  <c r="C88" i="9"/>
  <c r="C87" i="9"/>
  <c r="C86" i="9"/>
  <c r="C124" i="8"/>
  <c r="C123" i="8"/>
  <c r="C122" i="8"/>
  <c r="C121" i="8"/>
  <c r="C120" i="8"/>
  <c r="C119" i="8"/>
  <c r="C118" i="8"/>
  <c r="C117" i="8"/>
  <c r="C116" i="8"/>
  <c r="C115" i="8"/>
  <c r="C111" i="8"/>
  <c r="C110" i="8"/>
  <c r="C109" i="8"/>
  <c r="C108" i="8"/>
  <c r="C107" i="8"/>
  <c r="C106" i="8"/>
  <c r="C105" i="8"/>
  <c r="C102" i="8"/>
  <c r="C101" i="8"/>
  <c r="C100" i="8"/>
  <c r="C99" i="8"/>
  <c r="C98" i="8"/>
  <c r="C97" i="8"/>
  <c r="C96" i="8"/>
  <c r="C95" i="8"/>
  <c r="C92" i="8"/>
  <c r="C91" i="8"/>
  <c r="C90" i="8"/>
  <c r="C89" i="8"/>
  <c r="C88" i="8"/>
  <c r="C87" i="8"/>
  <c r="C86" i="8"/>
  <c r="C124" i="7"/>
  <c r="C123" i="7"/>
  <c r="C122" i="7"/>
  <c r="C121" i="7"/>
  <c r="C120" i="7"/>
  <c r="C119" i="7"/>
  <c r="C118" i="7"/>
  <c r="C117" i="7"/>
  <c r="C116" i="7"/>
  <c r="C115" i="7"/>
  <c r="C111" i="7"/>
  <c r="C110" i="7"/>
  <c r="C109" i="7"/>
  <c r="C108" i="7"/>
  <c r="C107" i="7"/>
  <c r="C106" i="7"/>
  <c r="C105" i="7"/>
  <c r="C102" i="7"/>
  <c r="C101" i="7"/>
  <c r="C100" i="7"/>
  <c r="C98" i="7"/>
  <c r="C97" i="7"/>
  <c r="C96" i="7"/>
  <c r="C95" i="7"/>
  <c r="C92" i="7"/>
  <c r="C91" i="7"/>
  <c r="C90" i="7"/>
  <c r="C89" i="7"/>
  <c r="C88" i="7"/>
  <c r="C87" i="7"/>
  <c r="C86" i="7"/>
  <c r="C111" i="6" l="1"/>
  <c r="C110" i="6"/>
  <c r="C109" i="6"/>
  <c r="C108" i="6"/>
  <c r="C107" i="6"/>
  <c r="C106" i="6"/>
  <c r="C105" i="6"/>
  <c r="C102" i="6"/>
  <c r="C101" i="6"/>
  <c r="C100" i="6"/>
  <c r="C99" i="6"/>
  <c r="C98" i="6"/>
  <c r="C97" i="6"/>
  <c r="C96" i="6"/>
  <c r="C95" i="6"/>
  <c r="C92" i="6"/>
  <c r="C91" i="6"/>
  <c r="C90" i="6"/>
  <c r="C89" i="6"/>
  <c r="C88" i="6"/>
  <c r="C87" i="6"/>
  <c r="C86" i="6"/>
  <c r="E25" i="20"/>
  <c r="C124" i="6" l="1"/>
  <c r="C123" i="6"/>
  <c r="C122" i="6"/>
  <c r="C121" i="6"/>
  <c r="C120" i="6"/>
  <c r="C119" i="6"/>
  <c r="C118" i="6"/>
  <c r="C117" i="6"/>
  <c r="C116" i="6"/>
  <c r="C115" i="6"/>
  <c r="B84" i="6"/>
  <c r="B84" i="7" s="1"/>
  <c r="B84" i="8" s="1"/>
  <c r="B84" i="9" s="1"/>
  <c r="B84" i="10" s="1"/>
  <c r="B84" i="11" s="1"/>
  <c r="B84" i="12" s="1"/>
  <c r="B84" i="13" s="1"/>
  <c r="B84" i="14" s="1"/>
  <c r="B84" i="15" s="1"/>
  <c r="B84" i="16" s="1"/>
  <c r="A84" i="6"/>
  <c r="A84" i="7" s="1"/>
  <c r="A84" i="8" s="1"/>
  <c r="A84" i="9" s="1"/>
  <c r="A84" i="10" s="1"/>
  <c r="A84" i="11" s="1"/>
  <c r="A84" i="12" s="1"/>
  <c r="A84" i="13" s="1"/>
  <c r="A84" i="14" s="1"/>
  <c r="A84" i="15" s="1"/>
  <c r="A84" i="16" s="1"/>
  <c r="B124" i="6"/>
  <c r="B124" i="7" s="1"/>
  <c r="B124" i="8" s="1"/>
  <c r="B124" i="9" s="1"/>
  <c r="B124" i="10" s="1"/>
  <c r="B124" i="11" s="1"/>
  <c r="B124" i="12" s="1"/>
  <c r="B124" i="13" s="1"/>
  <c r="B124" i="14" s="1"/>
  <c r="B124" i="15" s="1"/>
  <c r="B124" i="16" s="1"/>
  <c r="A124" i="6"/>
  <c r="A124" i="7" s="1"/>
  <c r="A124" i="8" s="1"/>
  <c r="A124" i="9" s="1"/>
  <c r="A124" i="10" s="1"/>
  <c r="A124" i="11" s="1"/>
  <c r="A124" i="12" s="1"/>
  <c r="A124" i="13" s="1"/>
  <c r="A124" i="14" s="1"/>
  <c r="A124" i="15" s="1"/>
  <c r="A124" i="16" s="1"/>
  <c r="B123" i="6"/>
  <c r="B123" i="7" s="1"/>
  <c r="B123" i="8" s="1"/>
  <c r="B123" i="9" s="1"/>
  <c r="B123" i="10" s="1"/>
  <c r="B123" i="11" s="1"/>
  <c r="B123" i="12" s="1"/>
  <c r="B123" i="13" s="1"/>
  <c r="B123" i="14" s="1"/>
  <c r="B123" i="15" s="1"/>
  <c r="B123" i="16" s="1"/>
  <c r="A123" i="6"/>
  <c r="A123" i="7" s="1"/>
  <c r="A123" i="8" s="1"/>
  <c r="A123" i="9" s="1"/>
  <c r="A123" i="10" s="1"/>
  <c r="A123" i="11" s="1"/>
  <c r="A123" i="12" s="1"/>
  <c r="A123" i="13" s="1"/>
  <c r="A123" i="14" s="1"/>
  <c r="A123" i="15" s="1"/>
  <c r="A123" i="16" s="1"/>
  <c r="A122" i="6"/>
  <c r="A122" i="7" s="1"/>
  <c r="A122" i="8" s="1"/>
  <c r="A122" i="9" s="1"/>
  <c r="A122" i="10" s="1"/>
  <c r="A122" i="11" s="1"/>
  <c r="A122" i="12" s="1"/>
  <c r="A122" i="13" s="1"/>
  <c r="A122" i="14" s="1"/>
  <c r="A122" i="15" s="1"/>
  <c r="A122" i="16" s="1"/>
  <c r="B121" i="6"/>
  <c r="B121" i="7" s="1"/>
  <c r="B121" i="8" s="1"/>
  <c r="B121" i="9" s="1"/>
  <c r="B121" i="10" s="1"/>
  <c r="B121" i="11" s="1"/>
  <c r="B121" i="12" s="1"/>
  <c r="B121" i="13" s="1"/>
  <c r="B121" i="14" s="1"/>
  <c r="B121" i="15" s="1"/>
  <c r="B121" i="16" s="1"/>
  <c r="A121" i="6"/>
  <c r="A121" i="7" s="1"/>
  <c r="A121" i="8" s="1"/>
  <c r="A121" i="9" s="1"/>
  <c r="A121" i="10" s="1"/>
  <c r="A121" i="11" s="1"/>
  <c r="A121" i="12" s="1"/>
  <c r="A121" i="13" s="1"/>
  <c r="A121" i="14" s="1"/>
  <c r="A121" i="15" s="1"/>
  <c r="A121" i="16" s="1"/>
  <c r="B120" i="6"/>
  <c r="B120" i="7" s="1"/>
  <c r="B120" i="8" s="1"/>
  <c r="B120" i="9" s="1"/>
  <c r="B120" i="10" s="1"/>
  <c r="B120" i="11" s="1"/>
  <c r="B120" i="12" s="1"/>
  <c r="B120" i="13" s="1"/>
  <c r="B120" i="14" s="1"/>
  <c r="B120" i="15" s="1"/>
  <c r="B120" i="16" s="1"/>
  <c r="A120" i="6"/>
  <c r="A120" i="7" s="1"/>
  <c r="A120" i="8" s="1"/>
  <c r="A120" i="9" s="1"/>
  <c r="A120" i="10" s="1"/>
  <c r="A120" i="11" s="1"/>
  <c r="A120" i="12" s="1"/>
  <c r="A120" i="13" s="1"/>
  <c r="A120" i="14" s="1"/>
  <c r="A120" i="15" s="1"/>
  <c r="A120" i="16" s="1"/>
  <c r="B119" i="6"/>
  <c r="B119" i="7" s="1"/>
  <c r="B119" i="8" s="1"/>
  <c r="B119" i="9" s="1"/>
  <c r="B119" i="10" s="1"/>
  <c r="B119" i="11" s="1"/>
  <c r="B119" i="12" s="1"/>
  <c r="B119" i="13" s="1"/>
  <c r="B119" i="14" s="1"/>
  <c r="B119" i="15" s="1"/>
  <c r="B119" i="16" s="1"/>
  <c r="A119" i="6"/>
  <c r="A119" i="7" s="1"/>
  <c r="A119" i="8" s="1"/>
  <c r="A119" i="9" s="1"/>
  <c r="A119" i="10" s="1"/>
  <c r="A119" i="11" s="1"/>
  <c r="A119" i="12" s="1"/>
  <c r="A119" i="13" s="1"/>
  <c r="A119" i="14" s="1"/>
  <c r="A119" i="15" s="1"/>
  <c r="A119" i="16" s="1"/>
  <c r="B118" i="6"/>
  <c r="B118" i="7" s="1"/>
  <c r="B118" i="8" s="1"/>
  <c r="B118" i="9" s="1"/>
  <c r="B118" i="10" s="1"/>
  <c r="B118" i="11" s="1"/>
  <c r="B118" i="12" s="1"/>
  <c r="B118" i="13" s="1"/>
  <c r="B118" i="14" s="1"/>
  <c r="B118" i="15" s="1"/>
  <c r="B118" i="16" s="1"/>
  <c r="A118" i="6"/>
  <c r="A118" i="7" s="1"/>
  <c r="A118" i="8" s="1"/>
  <c r="A118" i="9" s="1"/>
  <c r="A118" i="10" s="1"/>
  <c r="A118" i="11" s="1"/>
  <c r="A118" i="12" s="1"/>
  <c r="A118" i="13" s="1"/>
  <c r="A118" i="14" s="1"/>
  <c r="A118" i="15" s="1"/>
  <c r="A118" i="16" s="1"/>
  <c r="B117" i="6"/>
  <c r="B117" i="7" s="1"/>
  <c r="B117" i="8" s="1"/>
  <c r="B117" i="9" s="1"/>
  <c r="B117" i="10" s="1"/>
  <c r="B117" i="11" s="1"/>
  <c r="B117" i="12" s="1"/>
  <c r="B117" i="13" s="1"/>
  <c r="B117" i="14" s="1"/>
  <c r="B117" i="15" s="1"/>
  <c r="B117" i="16" s="1"/>
  <c r="A117" i="6"/>
  <c r="A117" i="7" s="1"/>
  <c r="A117" i="8" s="1"/>
  <c r="A117" i="9" s="1"/>
  <c r="A117" i="10" s="1"/>
  <c r="A117" i="11" s="1"/>
  <c r="A117" i="12" s="1"/>
  <c r="A117" i="13" s="1"/>
  <c r="A117" i="14" s="1"/>
  <c r="A117" i="15" s="1"/>
  <c r="A117" i="16" s="1"/>
  <c r="B116" i="6"/>
  <c r="B116" i="7" s="1"/>
  <c r="B116" i="8" s="1"/>
  <c r="B116" i="9" s="1"/>
  <c r="B116" i="10" s="1"/>
  <c r="B116" i="11" s="1"/>
  <c r="B116" i="12" s="1"/>
  <c r="B116" i="13" s="1"/>
  <c r="B116" i="14" s="1"/>
  <c r="B116" i="15" s="1"/>
  <c r="B116" i="16" s="1"/>
  <c r="A116" i="6"/>
  <c r="A116" i="7" s="1"/>
  <c r="A116" i="8" s="1"/>
  <c r="A116" i="9" s="1"/>
  <c r="A116" i="10" s="1"/>
  <c r="A116" i="11" s="1"/>
  <c r="A116" i="12" s="1"/>
  <c r="A116" i="13" s="1"/>
  <c r="A116" i="14" s="1"/>
  <c r="A116" i="15" s="1"/>
  <c r="A116" i="16" s="1"/>
  <c r="B115" i="6"/>
  <c r="B115" i="7" s="1"/>
  <c r="B115" i="8" s="1"/>
  <c r="B115" i="9" s="1"/>
  <c r="B115" i="10" s="1"/>
  <c r="B115" i="11" s="1"/>
  <c r="B115" i="12" s="1"/>
  <c r="B115" i="13" s="1"/>
  <c r="B115" i="14" s="1"/>
  <c r="B115" i="15" s="1"/>
  <c r="B115" i="16" s="1"/>
  <c r="A115" i="6"/>
  <c r="A115" i="7" s="1"/>
  <c r="A115" i="8" s="1"/>
  <c r="A115" i="9" s="1"/>
  <c r="A115" i="10" s="1"/>
  <c r="A115" i="11" s="1"/>
  <c r="A115" i="12" s="1"/>
  <c r="A115" i="13" s="1"/>
  <c r="A115" i="14" s="1"/>
  <c r="A115" i="15" s="1"/>
  <c r="A115" i="16" s="1"/>
  <c r="B114" i="6"/>
  <c r="B114" i="7" s="1"/>
  <c r="B114" i="8" s="1"/>
  <c r="B114" i="9" s="1"/>
  <c r="B114" i="10" s="1"/>
  <c r="B114" i="11" s="1"/>
  <c r="B114" i="12" s="1"/>
  <c r="B114" i="13" s="1"/>
  <c r="B114" i="14" s="1"/>
  <c r="B114" i="15" s="1"/>
  <c r="B114" i="16" s="1"/>
  <c r="A114" i="6"/>
  <c r="A114" i="7" s="1"/>
  <c r="A114" i="8" s="1"/>
  <c r="A114" i="9" s="1"/>
  <c r="A114" i="10" s="1"/>
  <c r="A114" i="11" s="1"/>
  <c r="A114" i="12" s="1"/>
  <c r="A114" i="13" s="1"/>
  <c r="A114" i="14" s="1"/>
  <c r="A114" i="15" s="1"/>
  <c r="A114" i="16" s="1"/>
  <c r="B113" i="6"/>
  <c r="B113" i="7" s="1"/>
  <c r="B113" i="8" s="1"/>
  <c r="B113" i="9" s="1"/>
  <c r="B113" i="10" s="1"/>
  <c r="B113" i="11" s="1"/>
  <c r="B113" i="12" s="1"/>
  <c r="B113" i="13" s="1"/>
  <c r="B113" i="14" s="1"/>
  <c r="B113" i="15" s="1"/>
  <c r="B113" i="16" s="1"/>
  <c r="A113" i="6"/>
  <c r="A113" i="7" s="1"/>
  <c r="A113" i="8" s="1"/>
  <c r="A113" i="9" s="1"/>
  <c r="A113" i="10" s="1"/>
  <c r="A113" i="11" s="1"/>
  <c r="A113" i="12" s="1"/>
  <c r="A113" i="13" s="1"/>
  <c r="A113" i="14" s="1"/>
  <c r="A113" i="15" s="1"/>
  <c r="A113" i="16" s="1"/>
  <c r="B112" i="6"/>
  <c r="B112" i="7" s="1"/>
  <c r="B112" i="8" s="1"/>
  <c r="B112" i="9" s="1"/>
  <c r="B112" i="10" s="1"/>
  <c r="B112" i="11" s="1"/>
  <c r="B112" i="12" s="1"/>
  <c r="B112" i="13" s="1"/>
  <c r="B112" i="14" s="1"/>
  <c r="B112" i="15" s="1"/>
  <c r="B112" i="16" s="1"/>
  <c r="A112" i="6"/>
  <c r="A112" i="7" s="1"/>
  <c r="A112" i="8" s="1"/>
  <c r="A112" i="9" s="1"/>
  <c r="A112" i="10" s="1"/>
  <c r="A112" i="11" s="1"/>
  <c r="A112" i="12" s="1"/>
  <c r="A112" i="13" s="1"/>
  <c r="A112" i="14" s="1"/>
  <c r="A112" i="15" s="1"/>
  <c r="A112" i="16" s="1"/>
  <c r="B111" i="6"/>
  <c r="B111" i="7" s="1"/>
  <c r="B111" i="8" s="1"/>
  <c r="B111" i="9" s="1"/>
  <c r="B111" i="10" s="1"/>
  <c r="B111" i="11" s="1"/>
  <c r="B111" i="12" s="1"/>
  <c r="B111" i="13" s="1"/>
  <c r="B111" i="14" s="1"/>
  <c r="B111" i="15" s="1"/>
  <c r="B111" i="16" s="1"/>
  <c r="A111" i="6"/>
  <c r="A111" i="7" s="1"/>
  <c r="A111" i="8" s="1"/>
  <c r="A111" i="9" s="1"/>
  <c r="A111" i="10" s="1"/>
  <c r="A111" i="11" s="1"/>
  <c r="A111" i="12" s="1"/>
  <c r="A111" i="13" s="1"/>
  <c r="A111" i="14" s="1"/>
  <c r="A111" i="15" s="1"/>
  <c r="A111" i="16" s="1"/>
  <c r="B110" i="6"/>
  <c r="B110" i="7" s="1"/>
  <c r="B110" i="8" s="1"/>
  <c r="B110" i="9" s="1"/>
  <c r="B110" i="10" s="1"/>
  <c r="B110" i="11" s="1"/>
  <c r="B110" i="12" s="1"/>
  <c r="B110" i="13" s="1"/>
  <c r="B110" i="14" s="1"/>
  <c r="B110" i="15" s="1"/>
  <c r="B110" i="16" s="1"/>
  <c r="A110" i="6"/>
  <c r="A110" i="7" s="1"/>
  <c r="A110" i="8" s="1"/>
  <c r="A110" i="9" s="1"/>
  <c r="A110" i="10" s="1"/>
  <c r="A110" i="11" s="1"/>
  <c r="A110" i="12" s="1"/>
  <c r="A110" i="13" s="1"/>
  <c r="A110" i="14" s="1"/>
  <c r="A110" i="15" s="1"/>
  <c r="A110" i="16" s="1"/>
  <c r="B109" i="6"/>
  <c r="B109" i="7" s="1"/>
  <c r="B109" i="8" s="1"/>
  <c r="B109" i="9" s="1"/>
  <c r="B109" i="10" s="1"/>
  <c r="B109" i="11" s="1"/>
  <c r="B109" i="12" s="1"/>
  <c r="B109" i="13" s="1"/>
  <c r="B109" i="14" s="1"/>
  <c r="B109" i="15" s="1"/>
  <c r="B109" i="16" s="1"/>
  <c r="A109" i="6"/>
  <c r="A109" i="7" s="1"/>
  <c r="A109" i="8" s="1"/>
  <c r="A109" i="9" s="1"/>
  <c r="A109" i="10" s="1"/>
  <c r="A109" i="11" s="1"/>
  <c r="A109" i="12" s="1"/>
  <c r="A109" i="13" s="1"/>
  <c r="A109" i="14" s="1"/>
  <c r="A109" i="15" s="1"/>
  <c r="A109" i="16" s="1"/>
  <c r="B108" i="6"/>
  <c r="B108" i="7" s="1"/>
  <c r="B108" i="8" s="1"/>
  <c r="B108" i="9" s="1"/>
  <c r="B108" i="10" s="1"/>
  <c r="B108" i="11" s="1"/>
  <c r="B108" i="12" s="1"/>
  <c r="B108" i="13" s="1"/>
  <c r="B108" i="14" s="1"/>
  <c r="B108" i="15" s="1"/>
  <c r="B108" i="16" s="1"/>
  <c r="A108" i="6"/>
  <c r="A108" i="7" s="1"/>
  <c r="A108" i="8" s="1"/>
  <c r="A108" i="9" s="1"/>
  <c r="A108" i="10" s="1"/>
  <c r="A108" i="11" s="1"/>
  <c r="A108" i="12" s="1"/>
  <c r="A108" i="13" s="1"/>
  <c r="A108" i="14" s="1"/>
  <c r="A108" i="15" s="1"/>
  <c r="A108" i="16" s="1"/>
  <c r="B107" i="6"/>
  <c r="B107" i="7" s="1"/>
  <c r="B107" i="8" s="1"/>
  <c r="B107" i="9" s="1"/>
  <c r="B107" i="10" s="1"/>
  <c r="B107" i="11" s="1"/>
  <c r="B107" i="12" s="1"/>
  <c r="B107" i="13" s="1"/>
  <c r="B107" i="14" s="1"/>
  <c r="B107" i="15" s="1"/>
  <c r="B107" i="16" s="1"/>
  <c r="A107" i="6"/>
  <c r="A107" i="7" s="1"/>
  <c r="A107" i="8" s="1"/>
  <c r="A107" i="9" s="1"/>
  <c r="A107" i="10" s="1"/>
  <c r="A107" i="11" s="1"/>
  <c r="A107" i="12" s="1"/>
  <c r="A107" i="13" s="1"/>
  <c r="A107" i="14" s="1"/>
  <c r="A107" i="15" s="1"/>
  <c r="A107" i="16" s="1"/>
  <c r="B106" i="6"/>
  <c r="B106" i="7" s="1"/>
  <c r="B106" i="8" s="1"/>
  <c r="B106" i="9" s="1"/>
  <c r="B106" i="10" s="1"/>
  <c r="B106" i="11" s="1"/>
  <c r="B106" i="12" s="1"/>
  <c r="B106" i="13" s="1"/>
  <c r="B106" i="14" s="1"/>
  <c r="B106" i="15" s="1"/>
  <c r="B106" i="16" s="1"/>
  <c r="A106" i="6"/>
  <c r="A106" i="7" s="1"/>
  <c r="A106" i="8" s="1"/>
  <c r="A106" i="9" s="1"/>
  <c r="A106" i="10" s="1"/>
  <c r="A106" i="11" s="1"/>
  <c r="A106" i="12" s="1"/>
  <c r="A106" i="13" s="1"/>
  <c r="A106" i="14" s="1"/>
  <c r="A106" i="15" s="1"/>
  <c r="A106" i="16" s="1"/>
  <c r="B105" i="6"/>
  <c r="B105" i="7" s="1"/>
  <c r="B105" i="8" s="1"/>
  <c r="B105" i="9" s="1"/>
  <c r="B105" i="10" s="1"/>
  <c r="B105" i="11" s="1"/>
  <c r="B105" i="12" s="1"/>
  <c r="B105" i="13" s="1"/>
  <c r="B105" i="14" s="1"/>
  <c r="B105" i="15" s="1"/>
  <c r="B105" i="16" s="1"/>
  <c r="A105" i="6"/>
  <c r="A105" i="7" s="1"/>
  <c r="A105" i="8" s="1"/>
  <c r="A105" i="9" s="1"/>
  <c r="A105" i="10" s="1"/>
  <c r="A105" i="11" s="1"/>
  <c r="A105" i="12" s="1"/>
  <c r="A105" i="13" s="1"/>
  <c r="A105" i="14" s="1"/>
  <c r="A105" i="15" s="1"/>
  <c r="A105" i="16" s="1"/>
  <c r="B104" i="6"/>
  <c r="B104" i="7" s="1"/>
  <c r="B104" i="8" s="1"/>
  <c r="B104" i="9" s="1"/>
  <c r="B104" i="10" s="1"/>
  <c r="B104" i="11" s="1"/>
  <c r="B104" i="12" s="1"/>
  <c r="B104" i="13" s="1"/>
  <c r="B104" i="14" s="1"/>
  <c r="B104" i="15" s="1"/>
  <c r="B104" i="16" s="1"/>
  <c r="A104" i="6"/>
  <c r="A104" i="7" s="1"/>
  <c r="A104" i="8" s="1"/>
  <c r="A104" i="9" s="1"/>
  <c r="A104" i="10" s="1"/>
  <c r="A104" i="11" s="1"/>
  <c r="A104" i="12" s="1"/>
  <c r="A104" i="13" s="1"/>
  <c r="A104" i="14" s="1"/>
  <c r="A104" i="15" s="1"/>
  <c r="A104" i="16" s="1"/>
  <c r="B103" i="6"/>
  <c r="B103" i="7" s="1"/>
  <c r="B103" i="8" s="1"/>
  <c r="B103" i="9" s="1"/>
  <c r="B103" i="10" s="1"/>
  <c r="B103" i="11" s="1"/>
  <c r="B103" i="12" s="1"/>
  <c r="B103" i="13" s="1"/>
  <c r="B103" i="14" s="1"/>
  <c r="B103" i="15" s="1"/>
  <c r="B103" i="16" s="1"/>
  <c r="A103" i="6"/>
  <c r="A103" i="7" s="1"/>
  <c r="A103" i="8" s="1"/>
  <c r="A103" i="9" s="1"/>
  <c r="A103" i="10" s="1"/>
  <c r="A103" i="11" s="1"/>
  <c r="A103" i="12" s="1"/>
  <c r="A103" i="13" s="1"/>
  <c r="A103" i="14" s="1"/>
  <c r="A103" i="15" s="1"/>
  <c r="A103" i="16" s="1"/>
  <c r="B102" i="6"/>
  <c r="B102" i="7" s="1"/>
  <c r="B102" i="8" s="1"/>
  <c r="B102" i="9" s="1"/>
  <c r="B102" i="10" s="1"/>
  <c r="B102" i="11" s="1"/>
  <c r="B102" i="12" s="1"/>
  <c r="B102" i="13" s="1"/>
  <c r="B102" i="14" s="1"/>
  <c r="B102" i="15" s="1"/>
  <c r="B102" i="16" s="1"/>
  <c r="A102" i="6"/>
  <c r="A102" i="7" s="1"/>
  <c r="A102" i="8" s="1"/>
  <c r="A102" i="9" s="1"/>
  <c r="A102" i="10" s="1"/>
  <c r="A102" i="11" s="1"/>
  <c r="A102" i="12" s="1"/>
  <c r="A102" i="13" s="1"/>
  <c r="A102" i="14" s="1"/>
  <c r="A102" i="15" s="1"/>
  <c r="A102" i="16" s="1"/>
  <c r="B101" i="6"/>
  <c r="B101" i="7" s="1"/>
  <c r="B101" i="8" s="1"/>
  <c r="B101" i="9" s="1"/>
  <c r="B101" i="10" s="1"/>
  <c r="B101" i="11" s="1"/>
  <c r="B101" i="12" s="1"/>
  <c r="B101" i="13" s="1"/>
  <c r="B101" i="14" s="1"/>
  <c r="B101" i="15" s="1"/>
  <c r="B101" i="16" s="1"/>
  <c r="A101" i="6"/>
  <c r="A101" i="7" s="1"/>
  <c r="A101" i="8" s="1"/>
  <c r="A101" i="9" s="1"/>
  <c r="A101" i="10" s="1"/>
  <c r="A101" i="11" s="1"/>
  <c r="A101" i="12" s="1"/>
  <c r="A101" i="13" s="1"/>
  <c r="A101" i="14" s="1"/>
  <c r="A101" i="15" s="1"/>
  <c r="A101" i="16" s="1"/>
  <c r="B100" i="7"/>
  <c r="B100" i="8" s="1"/>
  <c r="B100" i="9" s="1"/>
  <c r="B100" i="10" s="1"/>
  <c r="B100" i="11" s="1"/>
  <c r="B100" i="12" s="1"/>
  <c r="B100" i="13" s="1"/>
  <c r="B100" i="14" s="1"/>
  <c r="B100" i="15" s="1"/>
  <c r="B100" i="16" s="1"/>
  <c r="A100" i="6"/>
  <c r="A100" i="7" s="1"/>
  <c r="A100" i="8" s="1"/>
  <c r="A100" i="9" s="1"/>
  <c r="A100" i="10" s="1"/>
  <c r="A100" i="11" s="1"/>
  <c r="A100" i="12" s="1"/>
  <c r="A100" i="13" s="1"/>
  <c r="A100" i="14" s="1"/>
  <c r="A100" i="15" s="1"/>
  <c r="A100" i="16" s="1"/>
  <c r="B99" i="6"/>
  <c r="B99" i="7" s="1"/>
  <c r="B99" i="8" s="1"/>
  <c r="B99" i="9" s="1"/>
  <c r="B99" i="10" s="1"/>
  <c r="B99" i="11" s="1"/>
  <c r="B99" i="12" s="1"/>
  <c r="B99" i="13" s="1"/>
  <c r="B99" i="14" s="1"/>
  <c r="B99" i="15" s="1"/>
  <c r="B99" i="16" s="1"/>
  <c r="A99" i="6"/>
  <c r="A99" i="7" s="1"/>
  <c r="A99" i="8" s="1"/>
  <c r="A99" i="9" s="1"/>
  <c r="A99" i="10" s="1"/>
  <c r="A99" i="11" s="1"/>
  <c r="A99" i="12" s="1"/>
  <c r="A99" i="13" s="1"/>
  <c r="A99" i="14" s="1"/>
  <c r="A99" i="15" s="1"/>
  <c r="A99" i="16" s="1"/>
  <c r="B98" i="6"/>
  <c r="B98" i="7" s="1"/>
  <c r="B98" i="8" s="1"/>
  <c r="B98" i="9" s="1"/>
  <c r="B98" i="10" s="1"/>
  <c r="B98" i="11" s="1"/>
  <c r="B98" i="12" s="1"/>
  <c r="B98" i="13" s="1"/>
  <c r="B98" i="14" s="1"/>
  <c r="B98" i="15" s="1"/>
  <c r="B98" i="16" s="1"/>
  <c r="A98" i="6"/>
  <c r="A98" i="7" s="1"/>
  <c r="A98" i="8" s="1"/>
  <c r="A98" i="9" s="1"/>
  <c r="A98" i="10" s="1"/>
  <c r="A98" i="11" s="1"/>
  <c r="A98" i="12" s="1"/>
  <c r="A98" i="13" s="1"/>
  <c r="A98" i="14" s="1"/>
  <c r="A98" i="15" s="1"/>
  <c r="A98" i="16" s="1"/>
  <c r="B97" i="6"/>
  <c r="B97" i="7" s="1"/>
  <c r="B97" i="8" s="1"/>
  <c r="B97" i="9" s="1"/>
  <c r="B97" i="10" s="1"/>
  <c r="B97" i="11" s="1"/>
  <c r="B97" i="12" s="1"/>
  <c r="B97" i="13" s="1"/>
  <c r="B97" i="14" s="1"/>
  <c r="B97" i="15" s="1"/>
  <c r="B97" i="16" s="1"/>
  <c r="A97" i="6"/>
  <c r="A97" i="7" s="1"/>
  <c r="A97" i="8" s="1"/>
  <c r="A97" i="9" s="1"/>
  <c r="A97" i="10" s="1"/>
  <c r="A97" i="11" s="1"/>
  <c r="A97" i="12" s="1"/>
  <c r="A97" i="13" s="1"/>
  <c r="A97" i="14" s="1"/>
  <c r="A97" i="15" s="1"/>
  <c r="A97" i="16" s="1"/>
  <c r="B96" i="6"/>
  <c r="B96" i="7" s="1"/>
  <c r="B96" i="8" s="1"/>
  <c r="B96" i="9" s="1"/>
  <c r="B96" i="10" s="1"/>
  <c r="B96" i="11" s="1"/>
  <c r="B96" i="12" s="1"/>
  <c r="B96" i="13" s="1"/>
  <c r="B96" i="14" s="1"/>
  <c r="B96" i="15" s="1"/>
  <c r="B96" i="16" s="1"/>
  <c r="A96" i="6"/>
  <c r="A96" i="7" s="1"/>
  <c r="A96" i="8" s="1"/>
  <c r="A96" i="9" s="1"/>
  <c r="A96" i="10" s="1"/>
  <c r="A96" i="11" s="1"/>
  <c r="A96" i="12" s="1"/>
  <c r="A96" i="13" s="1"/>
  <c r="A96" i="14" s="1"/>
  <c r="A96" i="15" s="1"/>
  <c r="A96" i="16" s="1"/>
  <c r="B95" i="6"/>
  <c r="B95" i="7" s="1"/>
  <c r="B95" i="8" s="1"/>
  <c r="B95" i="9" s="1"/>
  <c r="B95" i="10" s="1"/>
  <c r="B95" i="11" s="1"/>
  <c r="B95" i="12" s="1"/>
  <c r="B95" i="13" s="1"/>
  <c r="B95" i="14" s="1"/>
  <c r="B95" i="15" s="1"/>
  <c r="B95" i="16" s="1"/>
  <c r="A95" i="6"/>
  <c r="A95" i="7" s="1"/>
  <c r="A95" i="8" s="1"/>
  <c r="A95" i="9" s="1"/>
  <c r="A95" i="10" s="1"/>
  <c r="A95" i="11" s="1"/>
  <c r="A95" i="12" s="1"/>
  <c r="A95" i="13" s="1"/>
  <c r="A95" i="14" s="1"/>
  <c r="A95" i="15" s="1"/>
  <c r="A95" i="16" s="1"/>
  <c r="B94" i="6"/>
  <c r="B94" i="7" s="1"/>
  <c r="B94" i="8" s="1"/>
  <c r="B94" i="9" s="1"/>
  <c r="B94" i="10" s="1"/>
  <c r="B94" i="11" s="1"/>
  <c r="B94" i="12" s="1"/>
  <c r="B94" i="13" s="1"/>
  <c r="B94" i="14" s="1"/>
  <c r="B94" i="15" s="1"/>
  <c r="B94" i="16" s="1"/>
  <c r="A94" i="6"/>
  <c r="A94" i="7" s="1"/>
  <c r="A94" i="8" s="1"/>
  <c r="A94" i="9" s="1"/>
  <c r="A94" i="10" s="1"/>
  <c r="A94" i="11" s="1"/>
  <c r="A94" i="12" s="1"/>
  <c r="A94" i="13" s="1"/>
  <c r="A94" i="14" s="1"/>
  <c r="A94" i="15" s="1"/>
  <c r="A94" i="16" s="1"/>
  <c r="B93" i="6"/>
  <c r="B93" i="7" s="1"/>
  <c r="B93" i="8" s="1"/>
  <c r="B93" i="9" s="1"/>
  <c r="B93" i="10" s="1"/>
  <c r="B93" i="11" s="1"/>
  <c r="B93" i="12" s="1"/>
  <c r="B93" i="13" s="1"/>
  <c r="B93" i="14" s="1"/>
  <c r="B93" i="15" s="1"/>
  <c r="B93" i="16" s="1"/>
  <c r="A93" i="6"/>
  <c r="A93" i="7" s="1"/>
  <c r="A93" i="8" s="1"/>
  <c r="A93" i="9" s="1"/>
  <c r="A93" i="10" s="1"/>
  <c r="A93" i="11" s="1"/>
  <c r="A93" i="12" s="1"/>
  <c r="A93" i="13" s="1"/>
  <c r="A93" i="14" s="1"/>
  <c r="A93" i="15" s="1"/>
  <c r="A93" i="16" s="1"/>
  <c r="B92" i="6"/>
  <c r="B92" i="7" s="1"/>
  <c r="B92" i="8" s="1"/>
  <c r="B92" i="9" s="1"/>
  <c r="B92" i="10" s="1"/>
  <c r="B92" i="11" s="1"/>
  <c r="B92" i="12" s="1"/>
  <c r="B92" i="13" s="1"/>
  <c r="B92" i="14" s="1"/>
  <c r="B92" i="15" s="1"/>
  <c r="B92" i="16" s="1"/>
  <c r="A92" i="6"/>
  <c r="A92" i="7" s="1"/>
  <c r="A92" i="8" s="1"/>
  <c r="A92" i="9" s="1"/>
  <c r="A92" i="10" s="1"/>
  <c r="A92" i="11" s="1"/>
  <c r="A92" i="12" s="1"/>
  <c r="A92" i="13" s="1"/>
  <c r="A92" i="14" s="1"/>
  <c r="A92" i="15" s="1"/>
  <c r="A92" i="16" s="1"/>
  <c r="B91" i="6"/>
  <c r="B91" i="7" s="1"/>
  <c r="B91" i="8" s="1"/>
  <c r="B91" i="9" s="1"/>
  <c r="B91" i="10" s="1"/>
  <c r="B91" i="11" s="1"/>
  <c r="B91" i="12" s="1"/>
  <c r="B91" i="13" s="1"/>
  <c r="B91" i="14" s="1"/>
  <c r="B91" i="15" s="1"/>
  <c r="B91" i="16" s="1"/>
  <c r="A91" i="6"/>
  <c r="A91" i="7" s="1"/>
  <c r="A91" i="8" s="1"/>
  <c r="A91" i="9" s="1"/>
  <c r="A91" i="10" s="1"/>
  <c r="A91" i="11" s="1"/>
  <c r="A91" i="12" s="1"/>
  <c r="A91" i="13" s="1"/>
  <c r="A91" i="14" s="1"/>
  <c r="A91" i="15" s="1"/>
  <c r="A91" i="16" s="1"/>
  <c r="B90" i="6"/>
  <c r="B90" i="7" s="1"/>
  <c r="B90" i="8" s="1"/>
  <c r="B90" i="9" s="1"/>
  <c r="B90" i="10" s="1"/>
  <c r="B90" i="11" s="1"/>
  <c r="B90" i="12" s="1"/>
  <c r="B90" i="13" s="1"/>
  <c r="B90" i="14" s="1"/>
  <c r="B90" i="15" s="1"/>
  <c r="B90" i="16" s="1"/>
  <c r="A90" i="6"/>
  <c r="A90" i="7" s="1"/>
  <c r="A90" i="8" s="1"/>
  <c r="A90" i="9" s="1"/>
  <c r="A90" i="10" s="1"/>
  <c r="A90" i="11" s="1"/>
  <c r="A90" i="12" s="1"/>
  <c r="A90" i="13" s="1"/>
  <c r="A90" i="14" s="1"/>
  <c r="A90" i="15" s="1"/>
  <c r="A90" i="16" s="1"/>
  <c r="B89" i="6"/>
  <c r="B89" i="7" s="1"/>
  <c r="B89" i="8" s="1"/>
  <c r="B89" i="9" s="1"/>
  <c r="B89" i="10" s="1"/>
  <c r="B89" i="11" s="1"/>
  <c r="B89" i="12" s="1"/>
  <c r="B89" i="13" s="1"/>
  <c r="B89" i="14" s="1"/>
  <c r="B89" i="15" s="1"/>
  <c r="B89" i="16" s="1"/>
  <c r="A89" i="6"/>
  <c r="A89" i="7" s="1"/>
  <c r="A89" i="8" s="1"/>
  <c r="A89" i="9" s="1"/>
  <c r="A89" i="10" s="1"/>
  <c r="A89" i="11" s="1"/>
  <c r="A89" i="12" s="1"/>
  <c r="A89" i="13" s="1"/>
  <c r="A89" i="14" s="1"/>
  <c r="A89" i="15" s="1"/>
  <c r="A89" i="16" s="1"/>
  <c r="B88" i="6"/>
  <c r="B88" i="7" s="1"/>
  <c r="B88" i="8" s="1"/>
  <c r="B88" i="9" s="1"/>
  <c r="B88" i="10" s="1"/>
  <c r="B88" i="11" s="1"/>
  <c r="B88" i="12" s="1"/>
  <c r="B88" i="13" s="1"/>
  <c r="B88" i="14" s="1"/>
  <c r="B88" i="15" s="1"/>
  <c r="B88" i="16" s="1"/>
  <c r="A88" i="6"/>
  <c r="A88" i="7" s="1"/>
  <c r="A88" i="8" s="1"/>
  <c r="A88" i="9" s="1"/>
  <c r="A88" i="10" s="1"/>
  <c r="A88" i="11" s="1"/>
  <c r="A88" i="12" s="1"/>
  <c r="A88" i="13" s="1"/>
  <c r="A88" i="14" s="1"/>
  <c r="A88" i="15" s="1"/>
  <c r="A88" i="16" s="1"/>
  <c r="B87" i="6"/>
  <c r="B87" i="7" s="1"/>
  <c r="B87" i="8" s="1"/>
  <c r="B87" i="9" s="1"/>
  <c r="B87" i="10" s="1"/>
  <c r="B87" i="11" s="1"/>
  <c r="B87" i="12" s="1"/>
  <c r="B87" i="13" s="1"/>
  <c r="B87" i="14" s="1"/>
  <c r="B87" i="15" s="1"/>
  <c r="B87" i="16" s="1"/>
  <c r="A87" i="6"/>
  <c r="A87" i="7" s="1"/>
  <c r="A87" i="8" s="1"/>
  <c r="A87" i="9" s="1"/>
  <c r="A87" i="10" s="1"/>
  <c r="A87" i="11" s="1"/>
  <c r="A87" i="12" s="1"/>
  <c r="A87" i="13" s="1"/>
  <c r="A87" i="14" s="1"/>
  <c r="A87" i="15" s="1"/>
  <c r="A87" i="16" s="1"/>
  <c r="B86" i="6"/>
  <c r="B86" i="7" s="1"/>
  <c r="B86" i="8" s="1"/>
  <c r="B86" i="9" s="1"/>
  <c r="B86" i="10" s="1"/>
  <c r="B86" i="11" s="1"/>
  <c r="B86" i="12" s="1"/>
  <c r="B86" i="13" s="1"/>
  <c r="B86" i="14" s="1"/>
  <c r="B86" i="15" s="1"/>
  <c r="B86" i="16" s="1"/>
  <c r="A86" i="6"/>
  <c r="A86" i="7" s="1"/>
  <c r="A86" i="8" s="1"/>
  <c r="A86" i="9" s="1"/>
  <c r="A86" i="10" s="1"/>
  <c r="A86" i="11" s="1"/>
  <c r="A86" i="12" s="1"/>
  <c r="A86" i="13" s="1"/>
  <c r="A86" i="14" s="1"/>
  <c r="A86" i="15" s="1"/>
  <c r="A86" i="16" s="1"/>
  <c r="B85" i="6"/>
  <c r="B85" i="7" s="1"/>
  <c r="B85" i="8" s="1"/>
  <c r="B85" i="9" s="1"/>
  <c r="B85" i="10" s="1"/>
  <c r="B85" i="11" s="1"/>
  <c r="B85" i="12" s="1"/>
  <c r="B85" i="13" s="1"/>
  <c r="B85" i="14" s="1"/>
  <c r="B85" i="15" s="1"/>
  <c r="B85" i="16" s="1"/>
  <c r="A85" i="6"/>
  <c r="A85" i="7" s="1"/>
  <c r="A85" i="8" s="1"/>
  <c r="A85" i="9" s="1"/>
  <c r="A85" i="10" s="1"/>
  <c r="A85" i="11" s="1"/>
  <c r="A85" i="12" s="1"/>
  <c r="A85" i="13" s="1"/>
  <c r="A85" i="14" s="1"/>
  <c r="A85" i="15" s="1"/>
  <c r="A85" i="16" s="1"/>
  <c r="Q113" i="16"/>
  <c r="P113" i="16"/>
  <c r="K113" i="16"/>
  <c r="H113" i="16"/>
  <c r="C113" i="16"/>
  <c r="Q104" i="16"/>
  <c r="P104" i="16"/>
  <c r="K104" i="16"/>
  <c r="H104" i="16"/>
  <c r="C104" i="16"/>
  <c r="Q94" i="16"/>
  <c r="P94" i="16"/>
  <c r="K94" i="16"/>
  <c r="H94" i="16"/>
  <c r="C94" i="16"/>
  <c r="Q85" i="16"/>
  <c r="P85" i="16"/>
  <c r="K85" i="16"/>
  <c r="H85" i="16"/>
  <c r="C85" i="16"/>
  <c r="Q113" i="15"/>
  <c r="P113" i="15"/>
  <c r="K113" i="15"/>
  <c r="H113" i="15"/>
  <c r="C113" i="15"/>
  <c r="Q104" i="15"/>
  <c r="P104" i="15"/>
  <c r="K104" i="15"/>
  <c r="H104" i="15"/>
  <c r="C104" i="15"/>
  <c r="Q94" i="15"/>
  <c r="P94" i="15"/>
  <c r="K94" i="15"/>
  <c r="H94" i="15"/>
  <c r="C94" i="15"/>
  <c r="Q85" i="15"/>
  <c r="P85" i="15"/>
  <c r="K85" i="15"/>
  <c r="H85" i="15"/>
  <c r="C85" i="15"/>
  <c r="Q113" i="14"/>
  <c r="P113" i="14"/>
  <c r="K113" i="14"/>
  <c r="H113" i="14"/>
  <c r="C113" i="14"/>
  <c r="Q104" i="14"/>
  <c r="P104" i="14"/>
  <c r="K104" i="14"/>
  <c r="H104" i="14"/>
  <c r="C104" i="14"/>
  <c r="Q94" i="14"/>
  <c r="P94" i="14"/>
  <c r="K94" i="14"/>
  <c r="H94" i="14"/>
  <c r="C94" i="14"/>
  <c r="Q85" i="14"/>
  <c r="P85" i="14"/>
  <c r="K85" i="14"/>
  <c r="H85" i="14"/>
  <c r="C85" i="14"/>
  <c r="Q113" i="13"/>
  <c r="P113" i="13"/>
  <c r="K113" i="13"/>
  <c r="H113" i="13"/>
  <c r="C113" i="13"/>
  <c r="Q104" i="13"/>
  <c r="P104" i="13"/>
  <c r="K104" i="13"/>
  <c r="H104" i="13"/>
  <c r="C104" i="13"/>
  <c r="Q94" i="13"/>
  <c r="P94" i="13"/>
  <c r="K94" i="13"/>
  <c r="H94" i="13"/>
  <c r="C94" i="13"/>
  <c r="Q85" i="13"/>
  <c r="P85" i="13"/>
  <c r="K85" i="13"/>
  <c r="H85" i="13"/>
  <c r="C85" i="13"/>
  <c r="Q113" i="12"/>
  <c r="P113" i="12"/>
  <c r="K113" i="12"/>
  <c r="H113" i="12"/>
  <c r="C113" i="12"/>
  <c r="Q104" i="12"/>
  <c r="P104" i="12"/>
  <c r="K104" i="12"/>
  <c r="H104" i="12"/>
  <c r="C104" i="12"/>
  <c r="Q94" i="12"/>
  <c r="P94" i="12"/>
  <c r="K94" i="12"/>
  <c r="H94" i="12"/>
  <c r="C94" i="12"/>
  <c r="Q85" i="12"/>
  <c r="P85" i="12"/>
  <c r="K85" i="12"/>
  <c r="H85" i="12"/>
  <c r="C85" i="12"/>
  <c r="Q113" i="11"/>
  <c r="P113" i="11"/>
  <c r="K113" i="11"/>
  <c r="H113" i="11"/>
  <c r="C113" i="11"/>
  <c r="Q104" i="11"/>
  <c r="P104" i="11"/>
  <c r="K104" i="11"/>
  <c r="H104" i="11"/>
  <c r="C104" i="11"/>
  <c r="Q94" i="11"/>
  <c r="P94" i="11"/>
  <c r="K94" i="11"/>
  <c r="H94" i="11"/>
  <c r="C94" i="11"/>
  <c r="Q85" i="11"/>
  <c r="P85" i="11"/>
  <c r="K85" i="11"/>
  <c r="H85" i="11"/>
  <c r="C85" i="11"/>
  <c r="Q113" i="10"/>
  <c r="P113" i="10"/>
  <c r="K113" i="10"/>
  <c r="H113" i="10"/>
  <c r="C113" i="10"/>
  <c r="Q104" i="10"/>
  <c r="P104" i="10"/>
  <c r="K104" i="10"/>
  <c r="H104" i="10"/>
  <c r="C104" i="10"/>
  <c r="Q94" i="10"/>
  <c r="P94" i="10"/>
  <c r="K94" i="10"/>
  <c r="H94" i="10"/>
  <c r="C94" i="10"/>
  <c r="Q85" i="10"/>
  <c r="P85" i="10"/>
  <c r="K85" i="10"/>
  <c r="H85" i="10"/>
  <c r="C85" i="10"/>
  <c r="Q113" i="9"/>
  <c r="P113" i="9"/>
  <c r="K113" i="9"/>
  <c r="H113" i="9"/>
  <c r="C113" i="9"/>
  <c r="Q104" i="9"/>
  <c r="P104" i="9"/>
  <c r="K104" i="9"/>
  <c r="H104" i="9"/>
  <c r="C104" i="9"/>
  <c r="Q94" i="9"/>
  <c r="P94" i="9"/>
  <c r="K94" i="9"/>
  <c r="H94" i="9"/>
  <c r="C94" i="9"/>
  <c r="Q85" i="9"/>
  <c r="P85" i="9"/>
  <c r="K85" i="9"/>
  <c r="H85" i="9"/>
  <c r="C85" i="9"/>
  <c r="Q113" i="8"/>
  <c r="P113" i="8"/>
  <c r="K113" i="8"/>
  <c r="C113" i="8"/>
  <c r="Q104" i="8"/>
  <c r="P104" i="8"/>
  <c r="K104" i="8"/>
  <c r="C104" i="8"/>
  <c r="Q94" i="8"/>
  <c r="P94" i="8"/>
  <c r="K94" i="8"/>
  <c r="C94" i="8"/>
  <c r="Q85" i="8"/>
  <c r="P85" i="8"/>
  <c r="K85" i="8"/>
  <c r="C85" i="8"/>
  <c r="Q113" i="7"/>
  <c r="P113" i="7"/>
  <c r="K113" i="7"/>
  <c r="H113" i="7"/>
  <c r="C113" i="7"/>
  <c r="Q104" i="7"/>
  <c r="P104" i="7"/>
  <c r="K104" i="7"/>
  <c r="H104" i="7"/>
  <c r="C104" i="7"/>
  <c r="Q94" i="7"/>
  <c r="P94" i="7"/>
  <c r="K94" i="7"/>
  <c r="H94" i="7"/>
  <c r="C94" i="7"/>
  <c r="Q85" i="7"/>
  <c r="P85" i="7"/>
  <c r="K85" i="7"/>
  <c r="H85" i="7"/>
  <c r="C85" i="7"/>
  <c r="Q113" i="6"/>
  <c r="P113" i="6"/>
  <c r="K113" i="6"/>
  <c r="H113" i="6"/>
  <c r="Q104" i="6"/>
  <c r="P104" i="6"/>
  <c r="K104" i="6"/>
  <c r="H104" i="6"/>
  <c r="Q94" i="6"/>
  <c r="P94" i="6"/>
  <c r="K94" i="6"/>
  <c r="H94" i="6"/>
  <c r="C94" i="6"/>
  <c r="Q85" i="6"/>
  <c r="P85" i="6"/>
  <c r="K85" i="6"/>
  <c r="H85" i="6"/>
  <c r="C85" i="6"/>
  <c r="C113" i="6" l="1"/>
  <c r="C104" i="6"/>
  <c r="B122" i="5"/>
  <c r="B122" i="6" s="1"/>
  <c r="B122" i="7" s="1"/>
  <c r="B122" i="8" s="1"/>
  <c r="B122" i="9" s="1"/>
  <c r="B122" i="10" s="1"/>
  <c r="B122" i="11" s="1"/>
  <c r="B122" i="12" s="1"/>
  <c r="B122" i="13" s="1"/>
  <c r="B122" i="14" s="1"/>
  <c r="B122" i="15" s="1"/>
  <c r="B122" i="16" s="1"/>
  <c r="Q113" i="5"/>
  <c r="P113" i="5"/>
  <c r="K113" i="5"/>
  <c r="J113" i="5"/>
  <c r="H113" i="5"/>
  <c r="G113" i="5"/>
  <c r="C113" i="5"/>
  <c r="L122" i="5"/>
  <c r="J122" i="6" s="1"/>
  <c r="L122" i="6" s="1"/>
  <c r="J122" i="7" s="1"/>
  <c r="L122" i="7" s="1"/>
  <c r="J122" i="8" s="1"/>
  <c r="L122" i="8" s="1"/>
  <c r="J122" i="9" s="1"/>
  <c r="L122" i="9" s="1"/>
  <c r="J122" i="10" s="1"/>
  <c r="L122" i="10" s="1"/>
  <c r="J122" i="11" s="1"/>
  <c r="L122" i="11" s="1"/>
  <c r="J122" i="12" s="1"/>
  <c r="L122" i="12" s="1"/>
  <c r="J122" i="13" s="1"/>
  <c r="L122" i="13" s="1"/>
  <c r="J122" i="14" s="1"/>
  <c r="L122" i="14" s="1"/>
  <c r="J122" i="15" s="1"/>
  <c r="L122" i="15" s="1"/>
  <c r="J122" i="16" s="1"/>
  <c r="L122" i="16" s="1"/>
  <c r="I122" i="5"/>
  <c r="G122" i="6" s="1"/>
  <c r="I122" i="6" s="1"/>
  <c r="G122" i="7" s="1"/>
  <c r="I122" i="7" s="1"/>
  <c r="G122" i="8" s="1"/>
  <c r="I122" i="8" s="1"/>
  <c r="G122" i="9" s="1"/>
  <c r="I122" i="9" s="1"/>
  <c r="G122" i="10" s="1"/>
  <c r="I122" i="10" s="1"/>
  <c r="G122" i="11" s="1"/>
  <c r="I122" i="11" s="1"/>
  <c r="G122" i="12" s="1"/>
  <c r="I122" i="12" s="1"/>
  <c r="G122" i="13" s="1"/>
  <c r="I122" i="13" s="1"/>
  <c r="G122" i="14" s="1"/>
  <c r="I122" i="14" s="1"/>
  <c r="G122" i="15" s="1"/>
  <c r="I122" i="15" s="1"/>
  <c r="G122" i="16" s="1"/>
  <c r="I122" i="16" s="1"/>
  <c r="E122" i="5"/>
  <c r="E122" i="6" s="1"/>
  <c r="E122" i="7" s="1"/>
  <c r="E122" i="8" s="1"/>
  <c r="E122" i="9" s="1"/>
  <c r="E122" i="10" s="1"/>
  <c r="E122" i="11" s="1"/>
  <c r="E122" i="12" s="1"/>
  <c r="E122" i="13" s="1"/>
  <c r="E122" i="14" s="1"/>
  <c r="E122" i="15" s="1"/>
  <c r="E122" i="16" s="1"/>
  <c r="D122" i="5"/>
  <c r="F122" i="5" l="1"/>
  <c r="N122" i="5" s="1"/>
  <c r="D122" i="6"/>
  <c r="M122" i="5" l="1"/>
  <c r="D122" i="7"/>
  <c r="F122" i="6"/>
  <c r="Q104" i="5"/>
  <c r="P104" i="5"/>
  <c r="G104" i="5"/>
  <c r="H104" i="5"/>
  <c r="J104" i="5"/>
  <c r="K104" i="5"/>
  <c r="C104" i="5"/>
  <c r="L111" i="5"/>
  <c r="J111" i="6" s="1"/>
  <c r="L111" i="6" s="1"/>
  <c r="J111" i="7" s="1"/>
  <c r="L111" i="7" s="1"/>
  <c r="J111" i="8" s="1"/>
  <c r="L111" i="8" s="1"/>
  <c r="J111" i="9" s="1"/>
  <c r="L111" i="9" s="1"/>
  <c r="J111" i="10" s="1"/>
  <c r="L111" i="10" s="1"/>
  <c r="J111" i="11" s="1"/>
  <c r="L111" i="11" s="1"/>
  <c r="J111" i="12" s="1"/>
  <c r="L111" i="12" s="1"/>
  <c r="J111" i="13" s="1"/>
  <c r="L111" i="13" s="1"/>
  <c r="J111" i="14" s="1"/>
  <c r="L111" i="14" s="1"/>
  <c r="J111" i="15" s="1"/>
  <c r="L111" i="15" s="1"/>
  <c r="J111" i="16" s="1"/>
  <c r="L111" i="16" s="1"/>
  <c r="I111" i="5"/>
  <c r="G111" i="6" s="1"/>
  <c r="I111" i="6" s="1"/>
  <c r="G111" i="7" s="1"/>
  <c r="I111" i="7" s="1"/>
  <c r="G111" i="8" s="1"/>
  <c r="I111" i="8" s="1"/>
  <c r="G111" i="9" s="1"/>
  <c r="I111" i="9" s="1"/>
  <c r="G111" i="10" s="1"/>
  <c r="I111" i="10" s="1"/>
  <c r="G111" i="11" s="1"/>
  <c r="I111" i="11" s="1"/>
  <c r="G111" i="12" s="1"/>
  <c r="I111" i="12" s="1"/>
  <c r="G111" i="13" s="1"/>
  <c r="I111" i="13" s="1"/>
  <c r="G111" i="14" s="1"/>
  <c r="I111" i="14" s="1"/>
  <c r="G111" i="15" s="1"/>
  <c r="I111" i="15" s="1"/>
  <c r="G111" i="16" s="1"/>
  <c r="I111" i="16" s="1"/>
  <c r="E111" i="5"/>
  <c r="E111" i="6" s="1"/>
  <c r="E111" i="7" s="1"/>
  <c r="E111" i="8" s="1"/>
  <c r="E111" i="9" s="1"/>
  <c r="E111" i="10" s="1"/>
  <c r="E111" i="11" s="1"/>
  <c r="E111" i="12" s="1"/>
  <c r="E111" i="13" s="1"/>
  <c r="E111" i="14" s="1"/>
  <c r="E111" i="15" s="1"/>
  <c r="E111" i="16" s="1"/>
  <c r="D111" i="5"/>
  <c r="L110" i="5"/>
  <c r="J110" i="6" s="1"/>
  <c r="L110" i="6" s="1"/>
  <c r="J110" i="7" s="1"/>
  <c r="L110" i="7" s="1"/>
  <c r="J110" i="8" s="1"/>
  <c r="L110" i="8" s="1"/>
  <c r="J110" i="9" s="1"/>
  <c r="L110" i="9" s="1"/>
  <c r="J110" i="10" s="1"/>
  <c r="L110" i="10" s="1"/>
  <c r="J110" i="11" s="1"/>
  <c r="L110" i="11" s="1"/>
  <c r="J110" i="12" s="1"/>
  <c r="L110" i="12" s="1"/>
  <c r="J110" i="13" s="1"/>
  <c r="L110" i="13" s="1"/>
  <c r="J110" i="14" s="1"/>
  <c r="L110" i="14" s="1"/>
  <c r="J110" i="15" s="1"/>
  <c r="L110" i="15" s="1"/>
  <c r="J110" i="16" s="1"/>
  <c r="L110" i="16" s="1"/>
  <c r="I110" i="5"/>
  <c r="G110" i="6" s="1"/>
  <c r="I110" i="6" s="1"/>
  <c r="G110" i="7" s="1"/>
  <c r="I110" i="7" s="1"/>
  <c r="G110" i="8" s="1"/>
  <c r="I110" i="8" s="1"/>
  <c r="G110" i="9" s="1"/>
  <c r="I110" i="9" s="1"/>
  <c r="G110" i="10" s="1"/>
  <c r="I110" i="10" s="1"/>
  <c r="G110" i="11" s="1"/>
  <c r="I110" i="11" s="1"/>
  <c r="G110" i="12" s="1"/>
  <c r="I110" i="12" s="1"/>
  <c r="G110" i="13" s="1"/>
  <c r="I110" i="13" s="1"/>
  <c r="G110" i="14" s="1"/>
  <c r="I110" i="14" s="1"/>
  <c r="G110" i="15" s="1"/>
  <c r="I110" i="15" s="1"/>
  <c r="G110" i="16" s="1"/>
  <c r="I110" i="16" s="1"/>
  <c r="E110" i="5"/>
  <c r="E110" i="6" s="1"/>
  <c r="E110" i="7" s="1"/>
  <c r="E110" i="8" s="1"/>
  <c r="E110" i="9" s="1"/>
  <c r="E110" i="10" s="1"/>
  <c r="E110" i="11" s="1"/>
  <c r="E110" i="12" s="1"/>
  <c r="E110" i="13" s="1"/>
  <c r="E110" i="14" s="1"/>
  <c r="E110" i="15" s="1"/>
  <c r="E110" i="16" s="1"/>
  <c r="D110" i="5"/>
  <c r="L109" i="5"/>
  <c r="J109" i="6" s="1"/>
  <c r="L109" i="6" s="1"/>
  <c r="J109" i="7" s="1"/>
  <c r="L109" i="7" s="1"/>
  <c r="J109" i="8" s="1"/>
  <c r="L109" i="8" s="1"/>
  <c r="J109" i="9" s="1"/>
  <c r="L109" i="9" s="1"/>
  <c r="J109" i="10" s="1"/>
  <c r="L109" i="10" s="1"/>
  <c r="J109" i="11" s="1"/>
  <c r="L109" i="11" s="1"/>
  <c r="J109" i="12" s="1"/>
  <c r="L109" i="12" s="1"/>
  <c r="J109" i="13" s="1"/>
  <c r="L109" i="13" s="1"/>
  <c r="J109" i="14" s="1"/>
  <c r="L109" i="14" s="1"/>
  <c r="J109" i="15" s="1"/>
  <c r="L109" i="15" s="1"/>
  <c r="J109" i="16" s="1"/>
  <c r="L109" i="16" s="1"/>
  <c r="I109" i="5"/>
  <c r="G109" i="6" s="1"/>
  <c r="I109" i="6" s="1"/>
  <c r="G109" i="7" s="1"/>
  <c r="I109" i="7" s="1"/>
  <c r="G109" i="8" s="1"/>
  <c r="I109" i="8" s="1"/>
  <c r="G109" i="9" s="1"/>
  <c r="I109" i="9" s="1"/>
  <c r="G109" i="10" s="1"/>
  <c r="I109" i="10" s="1"/>
  <c r="G109" i="11" s="1"/>
  <c r="I109" i="11" s="1"/>
  <c r="G109" i="12" s="1"/>
  <c r="I109" i="12" s="1"/>
  <c r="G109" i="13" s="1"/>
  <c r="I109" i="13" s="1"/>
  <c r="G109" i="14" s="1"/>
  <c r="I109" i="14" s="1"/>
  <c r="G109" i="15" s="1"/>
  <c r="I109" i="15" s="1"/>
  <c r="G109" i="16" s="1"/>
  <c r="I109" i="16" s="1"/>
  <c r="E109" i="5"/>
  <c r="D109" i="5"/>
  <c r="D109" i="6" s="1"/>
  <c r="L108" i="5"/>
  <c r="J108" i="6" s="1"/>
  <c r="L108" i="6" s="1"/>
  <c r="J108" i="7" s="1"/>
  <c r="L108" i="7" s="1"/>
  <c r="J108" i="8" s="1"/>
  <c r="L108" i="8" s="1"/>
  <c r="J108" i="9" s="1"/>
  <c r="L108" i="9" s="1"/>
  <c r="J108" i="10" s="1"/>
  <c r="L108" i="10" s="1"/>
  <c r="J108" i="11" s="1"/>
  <c r="L108" i="11" s="1"/>
  <c r="J108" i="12" s="1"/>
  <c r="L108" i="12" s="1"/>
  <c r="J108" i="13" s="1"/>
  <c r="L108" i="13" s="1"/>
  <c r="J108" i="14" s="1"/>
  <c r="L108" i="14" s="1"/>
  <c r="J108" i="15" s="1"/>
  <c r="L108" i="15" s="1"/>
  <c r="J108" i="16" s="1"/>
  <c r="L108" i="16" s="1"/>
  <c r="I108" i="5"/>
  <c r="G108" i="6" s="1"/>
  <c r="I108" i="6" s="1"/>
  <c r="G108" i="7" s="1"/>
  <c r="I108" i="7" s="1"/>
  <c r="G108" i="8" s="1"/>
  <c r="I108" i="8" s="1"/>
  <c r="G108" i="9" s="1"/>
  <c r="I108" i="9" s="1"/>
  <c r="G108" i="10" s="1"/>
  <c r="I108" i="10" s="1"/>
  <c r="G108" i="11" s="1"/>
  <c r="I108" i="11" s="1"/>
  <c r="G108" i="12" s="1"/>
  <c r="I108" i="12" s="1"/>
  <c r="G108" i="13" s="1"/>
  <c r="I108" i="13" s="1"/>
  <c r="G108" i="14" s="1"/>
  <c r="I108" i="14" s="1"/>
  <c r="G108" i="15" s="1"/>
  <c r="I108" i="15" s="1"/>
  <c r="G108" i="16" s="1"/>
  <c r="I108" i="16" s="1"/>
  <c r="E108" i="5"/>
  <c r="E108" i="6" s="1"/>
  <c r="E108" i="7" s="1"/>
  <c r="E108" i="8" s="1"/>
  <c r="E108" i="9" s="1"/>
  <c r="E108" i="10" s="1"/>
  <c r="E108" i="11" s="1"/>
  <c r="E108" i="12" s="1"/>
  <c r="E108" i="13" s="1"/>
  <c r="E108" i="14" s="1"/>
  <c r="E108" i="15" s="1"/>
  <c r="E108" i="16" s="1"/>
  <c r="D108" i="5"/>
  <c r="L107" i="5"/>
  <c r="J107" i="6" s="1"/>
  <c r="L107" i="6" s="1"/>
  <c r="J107" i="7" s="1"/>
  <c r="L107" i="7" s="1"/>
  <c r="J107" i="8" s="1"/>
  <c r="L107" i="8" s="1"/>
  <c r="J107" i="9" s="1"/>
  <c r="L107" i="9" s="1"/>
  <c r="J107" i="10" s="1"/>
  <c r="L107" i="10" s="1"/>
  <c r="J107" i="11" s="1"/>
  <c r="L107" i="11" s="1"/>
  <c r="J107" i="12" s="1"/>
  <c r="L107" i="12" s="1"/>
  <c r="J107" i="13" s="1"/>
  <c r="L107" i="13" s="1"/>
  <c r="J107" i="14" s="1"/>
  <c r="L107" i="14" s="1"/>
  <c r="J107" i="15" s="1"/>
  <c r="L107" i="15" s="1"/>
  <c r="J107" i="16" s="1"/>
  <c r="L107" i="16" s="1"/>
  <c r="I107" i="5"/>
  <c r="G107" i="6" s="1"/>
  <c r="I107" i="6" s="1"/>
  <c r="G107" i="7" s="1"/>
  <c r="I107" i="7" s="1"/>
  <c r="G107" i="8" s="1"/>
  <c r="I107" i="8" s="1"/>
  <c r="G107" i="9" s="1"/>
  <c r="I107" i="9" s="1"/>
  <c r="G107" i="10" s="1"/>
  <c r="I107" i="10" s="1"/>
  <c r="G107" i="11" s="1"/>
  <c r="I107" i="11" s="1"/>
  <c r="G107" i="12" s="1"/>
  <c r="I107" i="12" s="1"/>
  <c r="G107" i="13" s="1"/>
  <c r="I107" i="13" s="1"/>
  <c r="G107" i="14" s="1"/>
  <c r="I107" i="14" s="1"/>
  <c r="G107" i="15" s="1"/>
  <c r="I107" i="15" s="1"/>
  <c r="G107" i="16" s="1"/>
  <c r="I107" i="16" s="1"/>
  <c r="E107" i="5"/>
  <c r="E107" i="6" s="1"/>
  <c r="E107" i="7" s="1"/>
  <c r="E107" i="8" s="1"/>
  <c r="E107" i="9" s="1"/>
  <c r="E107" i="10" s="1"/>
  <c r="E107" i="11" s="1"/>
  <c r="E107" i="12" s="1"/>
  <c r="E107" i="13" s="1"/>
  <c r="E107" i="14" s="1"/>
  <c r="E107" i="15" s="1"/>
  <c r="E107" i="16" s="1"/>
  <c r="D107" i="5"/>
  <c r="L106" i="5"/>
  <c r="J106" i="6" s="1"/>
  <c r="L106" i="6" s="1"/>
  <c r="J106" i="7" s="1"/>
  <c r="L106" i="7" s="1"/>
  <c r="J106" i="8" s="1"/>
  <c r="L106" i="8" s="1"/>
  <c r="J106" i="9" s="1"/>
  <c r="L106" i="9" s="1"/>
  <c r="J106" i="10" s="1"/>
  <c r="L106" i="10" s="1"/>
  <c r="J106" i="11" s="1"/>
  <c r="L106" i="11" s="1"/>
  <c r="J106" i="12" s="1"/>
  <c r="L106" i="12" s="1"/>
  <c r="J106" i="13" s="1"/>
  <c r="L106" i="13" s="1"/>
  <c r="J106" i="14" s="1"/>
  <c r="L106" i="14" s="1"/>
  <c r="J106" i="15" s="1"/>
  <c r="L106" i="15" s="1"/>
  <c r="J106" i="16" s="1"/>
  <c r="L106" i="16" s="1"/>
  <c r="I106" i="5"/>
  <c r="G106" i="6" s="1"/>
  <c r="I106" i="6" s="1"/>
  <c r="G106" i="7" s="1"/>
  <c r="I106" i="7" s="1"/>
  <c r="G106" i="8" s="1"/>
  <c r="I106" i="8" s="1"/>
  <c r="G106" i="9" s="1"/>
  <c r="I106" i="9" s="1"/>
  <c r="G106" i="10" s="1"/>
  <c r="I106" i="10" s="1"/>
  <c r="G106" i="11" s="1"/>
  <c r="I106" i="11" s="1"/>
  <c r="G106" i="12" s="1"/>
  <c r="I106" i="12" s="1"/>
  <c r="G106" i="13" s="1"/>
  <c r="I106" i="13" s="1"/>
  <c r="G106" i="14" s="1"/>
  <c r="I106" i="14" s="1"/>
  <c r="G106" i="15" s="1"/>
  <c r="I106" i="15" s="1"/>
  <c r="G106" i="16" s="1"/>
  <c r="I106" i="16" s="1"/>
  <c r="E106" i="5"/>
  <c r="E106" i="6" s="1"/>
  <c r="E106" i="7" s="1"/>
  <c r="E106" i="8" s="1"/>
  <c r="E106" i="9" s="1"/>
  <c r="E106" i="10" s="1"/>
  <c r="E106" i="11" s="1"/>
  <c r="E106" i="12" s="1"/>
  <c r="E106" i="13" s="1"/>
  <c r="E106" i="14" s="1"/>
  <c r="E106" i="15" s="1"/>
  <c r="E106" i="16" s="1"/>
  <c r="D106" i="5"/>
  <c r="D106" i="6" s="1"/>
  <c r="L105" i="5"/>
  <c r="I105" i="5"/>
  <c r="E105" i="5"/>
  <c r="D105" i="5"/>
  <c r="Q94" i="5"/>
  <c r="P94" i="5"/>
  <c r="L96" i="5"/>
  <c r="J96" i="6" s="1"/>
  <c r="L96" i="6" s="1"/>
  <c r="J96" i="7" s="1"/>
  <c r="L96" i="7" s="1"/>
  <c r="J96" i="8" s="1"/>
  <c r="L96" i="8" s="1"/>
  <c r="J96" i="9" s="1"/>
  <c r="L96" i="9" s="1"/>
  <c r="J96" i="10" s="1"/>
  <c r="L96" i="10" s="1"/>
  <c r="J96" i="11" s="1"/>
  <c r="L96" i="11" s="1"/>
  <c r="J96" i="12" s="1"/>
  <c r="L96" i="12" s="1"/>
  <c r="J96" i="13" s="1"/>
  <c r="L96" i="13" s="1"/>
  <c r="J96" i="14" s="1"/>
  <c r="L96" i="14" s="1"/>
  <c r="J96" i="15" s="1"/>
  <c r="L96" i="15" s="1"/>
  <c r="J96" i="16" s="1"/>
  <c r="L96" i="16" s="1"/>
  <c r="L97" i="5"/>
  <c r="J97" i="6" s="1"/>
  <c r="L97" i="6" s="1"/>
  <c r="J97" i="7" s="1"/>
  <c r="L97" i="7" s="1"/>
  <c r="J97" i="8" s="1"/>
  <c r="L97" i="8" s="1"/>
  <c r="J97" i="9" s="1"/>
  <c r="L97" i="9" s="1"/>
  <c r="J97" i="10" s="1"/>
  <c r="L97" i="10" s="1"/>
  <c r="J97" i="11" s="1"/>
  <c r="L97" i="11" s="1"/>
  <c r="J97" i="12" s="1"/>
  <c r="L97" i="12" s="1"/>
  <c r="J97" i="13" s="1"/>
  <c r="L97" i="13" s="1"/>
  <c r="J97" i="14" s="1"/>
  <c r="L97" i="14" s="1"/>
  <c r="J97" i="15" s="1"/>
  <c r="L97" i="15" s="1"/>
  <c r="J97" i="16" s="1"/>
  <c r="L97" i="16" s="1"/>
  <c r="L98" i="5"/>
  <c r="J98" i="6" s="1"/>
  <c r="L98" i="6" s="1"/>
  <c r="J98" i="7" s="1"/>
  <c r="L98" i="7" s="1"/>
  <c r="J98" i="8" s="1"/>
  <c r="L98" i="8" s="1"/>
  <c r="J98" i="9" s="1"/>
  <c r="L98" i="9" s="1"/>
  <c r="J98" i="10" s="1"/>
  <c r="L98" i="10" s="1"/>
  <c r="J98" i="11" s="1"/>
  <c r="L98" i="11" s="1"/>
  <c r="J98" i="12" s="1"/>
  <c r="L98" i="12" s="1"/>
  <c r="J98" i="13" s="1"/>
  <c r="L98" i="13" s="1"/>
  <c r="J98" i="14" s="1"/>
  <c r="L98" i="14" s="1"/>
  <c r="J98" i="15" s="1"/>
  <c r="L98" i="15" s="1"/>
  <c r="J98" i="16" s="1"/>
  <c r="L98" i="16" s="1"/>
  <c r="L99" i="5"/>
  <c r="J99" i="6" s="1"/>
  <c r="L99" i="6" s="1"/>
  <c r="J99" i="7" s="1"/>
  <c r="L99" i="7" s="1"/>
  <c r="J99" i="8" s="1"/>
  <c r="L99" i="8" s="1"/>
  <c r="J99" i="9" s="1"/>
  <c r="L99" i="9" s="1"/>
  <c r="J99" i="10" s="1"/>
  <c r="L99" i="10" s="1"/>
  <c r="J99" i="11" s="1"/>
  <c r="L99" i="11" s="1"/>
  <c r="J99" i="12" s="1"/>
  <c r="L99" i="12" s="1"/>
  <c r="J99" i="13" s="1"/>
  <c r="L99" i="13" s="1"/>
  <c r="J99" i="14" s="1"/>
  <c r="L99" i="14" s="1"/>
  <c r="J99" i="15" s="1"/>
  <c r="L99" i="15" s="1"/>
  <c r="J99" i="16" s="1"/>
  <c r="L99" i="16" s="1"/>
  <c r="L100" i="5"/>
  <c r="J100" i="6" s="1"/>
  <c r="L100" i="6" s="1"/>
  <c r="J100" i="7" s="1"/>
  <c r="L100" i="7" s="1"/>
  <c r="J100" i="8" s="1"/>
  <c r="L100" i="8" s="1"/>
  <c r="J100" i="9" s="1"/>
  <c r="L100" i="9" s="1"/>
  <c r="J100" i="10" s="1"/>
  <c r="L100" i="10" s="1"/>
  <c r="J100" i="11" s="1"/>
  <c r="L100" i="11" s="1"/>
  <c r="J100" i="12" s="1"/>
  <c r="L100" i="12" s="1"/>
  <c r="J100" i="13" s="1"/>
  <c r="L100" i="13" s="1"/>
  <c r="J100" i="14" s="1"/>
  <c r="L100" i="14" s="1"/>
  <c r="J100" i="15" s="1"/>
  <c r="L100" i="15" s="1"/>
  <c r="J100" i="16" s="1"/>
  <c r="L100" i="16" s="1"/>
  <c r="L101" i="5"/>
  <c r="J101" i="6" s="1"/>
  <c r="L101" i="6" s="1"/>
  <c r="J101" i="7" s="1"/>
  <c r="L101" i="7" s="1"/>
  <c r="J101" i="8" s="1"/>
  <c r="L101" i="8" s="1"/>
  <c r="J101" i="9" s="1"/>
  <c r="L101" i="9" s="1"/>
  <c r="J101" i="10" s="1"/>
  <c r="L101" i="10" s="1"/>
  <c r="J101" i="11" s="1"/>
  <c r="L101" i="11" s="1"/>
  <c r="J101" i="12" s="1"/>
  <c r="L101" i="12" s="1"/>
  <c r="J101" i="13" s="1"/>
  <c r="L101" i="13" s="1"/>
  <c r="J101" i="14" s="1"/>
  <c r="L101" i="14" s="1"/>
  <c r="J101" i="15" s="1"/>
  <c r="L101" i="15" s="1"/>
  <c r="J101" i="16" s="1"/>
  <c r="L101" i="16" s="1"/>
  <c r="L102" i="5"/>
  <c r="J102" i="6" s="1"/>
  <c r="L102" i="6" s="1"/>
  <c r="J102" i="7" s="1"/>
  <c r="L102" i="7" s="1"/>
  <c r="J102" i="8" s="1"/>
  <c r="L102" i="8" s="1"/>
  <c r="J102" i="9" s="1"/>
  <c r="L102" i="9" s="1"/>
  <c r="J102" i="10" s="1"/>
  <c r="L102" i="10" s="1"/>
  <c r="J102" i="11" s="1"/>
  <c r="L102" i="11" s="1"/>
  <c r="J102" i="12" s="1"/>
  <c r="L102" i="12" s="1"/>
  <c r="J102" i="13" s="1"/>
  <c r="L102" i="13" s="1"/>
  <c r="J102" i="14" s="1"/>
  <c r="L102" i="14" s="1"/>
  <c r="J102" i="15" s="1"/>
  <c r="L102" i="15" s="1"/>
  <c r="J102" i="16" s="1"/>
  <c r="L102" i="16" s="1"/>
  <c r="I96" i="5"/>
  <c r="G96" i="6" s="1"/>
  <c r="I96" i="6" s="1"/>
  <c r="G96" i="7" s="1"/>
  <c r="I96" i="7" s="1"/>
  <c r="I97" i="5"/>
  <c r="G97" i="6" s="1"/>
  <c r="I97" i="6" s="1"/>
  <c r="G97" i="7" s="1"/>
  <c r="I97" i="7" s="1"/>
  <c r="I98" i="5"/>
  <c r="G98" i="6" s="1"/>
  <c r="I98" i="6" s="1"/>
  <c r="G98" i="7" s="1"/>
  <c r="I98" i="7" s="1"/>
  <c r="G98" i="8" s="1"/>
  <c r="I98" i="8" s="1"/>
  <c r="G98" i="9" s="1"/>
  <c r="I98" i="9" s="1"/>
  <c r="G98" i="10" s="1"/>
  <c r="I98" i="10" s="1"/>
  <c r="G98" i="11" s="1"/>
  <c r="I98" i="11" s="1"/>
  <c r="G98" i="12" s="1"/>
  <c r="I98" i="12" s="1"/>
  <c r="G98" i="13" s="1"/>
  <c r="I98" i="13" s="1"/>
  <c r="G98" i="14" s="1"/>
  <c r="I98" i="14" s="1"/>
  <c r="G98" i="15" s="1"/>
  <c r="I98" i="15" s="1"/>
  <c r="G98" i="16" s="1"/>
  <c r="I98" i="16" s="1"/>
  <c r="I99" i="5"/>
  <c r="G99" i="6" s="1"/>
  <c r="I99" i="6" s="1"/>
  <c r="G99" i="7" s="1"/>
  <c r="I99" i="7" s="1"/>
  <c r="I100" i="5"/>
  <c r="G100" i="6" s="1"/>
  <c r="I100" i="6" s="1"/>
  <c r="G100" i="7" s="1"/>
  <c r="I100" i="7" s="1"/>
  <c r="I101" i="5"/>
  <c r="G101" i="6" s="1"/>
  <c r="I101" i="6" s="1"/>
  <c r="G101" i="7" s="1"/>
  <c r="I101" i="7" s="1"/>
  <c r="G101" i="8" s="1"/>
  <c r="I101" i="8" s="1"/>
  <c r="G101" i="9" s="1"/>
  <c r="I101" i="9" s="1"/>
  <c r="G101" i="10" s="1"/>
  <c r="I101" i="10" s="1"/>
  <c r="G101" i="11" s="1"/>
  <c r="I101" i="11" s="1"/>
  <c r="G101" i="12" s="1"/>
  <c r="I101" i="12" s="1"/>
  <c r="G101" i="13" s="1"/>
  <c r="I101" i="13" s="1"/>
  <c r="G101" i="14" s="1"/>
  <c r="I101" i="14" s="1"/>
  <c r="G101" i="15" s="1"/>
  <c r="I101" i="15" s="1"/>
  <c r="G101" i="16" s="1"/>
  <c r="I101" i="16" s="1"/>
  <c r="I102" i="5"/>
  <c r="G102" i="6" s="1"/>
  <c r="I102" i="6" s="1"/>
  <c r="G102" i="7" s="1"/>
  <c r="I102" i="7" s="1"/>
  <c r="G102" i="8" s="1"/>
  <c r="I102" i="8" s="1"/>
  <c r="G102" i="9" s="1"/>
  <c r="I102" i="9" s="1"/>
  <c r="G102" i="10" s="1"/>
  <c r="I102" i="10" s="1"/>
  <c r="G102" i="11" s="1"/>
  <c r="I102" i="11" s="1"/>
  <c r="G102" i="12" s="1"/>
  <c r="I102" i="12" s="1"/>
  <c r="G102" i="13" s="1"/>
  <c r="I102" i="13" s="1"/>
  <c r="G102" i="14" s="1"/>
  <c r="I102" i="14" s="1"/>
  <c r="G102" i="15" s="1"/>
  <c r="I102" i="15" s="1"/>
  <c r="G102" i="16" s="1"/>
  <c r="I102" i="16" s="1"/>
  <c r="E96" i="5"/>
  <c r="E96" i="6" s="1"/>
  <c r="E96" i="7" s="1"/>
  <c r="E96" i="8" s="1"/>
  <c r="E96" i="9" s="1"/>
  <c r="E96" i="10" s="1"/>
  <c r="E96" i="11" s="1"/>
  <c r="E96" i="12" s="1"/>
  <c r="E96" i="13" s="1"/>
  <c r="E96" i="14" s="1"/>
  <c r="E96" i="15" s="1"/>
  <c r="E96" i="16" s="1"/>
  <c r="E97" i="5"/>
  <c r="E97" i="6" s="1"/>
  <c r="E97" i="7" s="1"/>
  <c r="E98" i="5"/>
  <c r="E98" i="6" s="1"/>
  <c r="E98" i="7" s="1"/>
  <c r="E98" i="8" s="1"/>
  <c r="E98" i="9" s="1"/>
  <c r="E98" i="10" s="1"/>
  <c r="E98" i="11" s="1"/>
  <c r="E98" i="12" s="1"/>
  <c r="E98" i="13" s="1"/>
  <c r="E98" i="14" s="1"/>
  <c r="E98" i="15" s="1"/>
  <c r="E98" i="16" s="1"/>
  <c r="E99" i="5"/>
  <c r="E99" i="6" s="1"/>
  <c r="E99" i="7" s="1"/>
  <c r="E99" i="8" s="1"/>
  <c r="E99" i="9" s="1"/>
  <c r="E99" i="10" s="1"/>
  <c r="E99" i="11" s="1"/>
  <c r="E99" i="12" s="1"/>
  <c r="E99" i="13" s="1"/>
  <c r="E99" i="14" s="1"/>
  <c r="E99" i="15" s="1"/>
  <c r="E99" i="16" s="1"/>
  <c r="E100" i="5"/>
  <c r="E100" i="6" s="1"/>
  <c r="E100" i="7" s="1"/>
  <c r="E100" i="8" s="1"/>
  <c r="E100" i="9" s="1"/>
  <c r="E100" i="10" s="1"/>
  <c r="E100" i="11" s="1"/>
  <c r="E100" i="12" s="1"/>
  <c r="E100" i="13" s="1"/>
  <c r="E100" i="14" s="1"/>
  <c r="E100" i="15" s="1"/>
  <c r="E100" i="16" s="1"/>
  <c r="E101" i="5"/>
  <c r="E101" i="6" s="1"/>
  <c r="E101" i="7" s="1"/>
  <c r="E102" i="5"/>
  <c r="E102" i="6" s="1"/>
  <c r="E102" i="7" s="1"/>
  <c r="E102" i="8" s="1"/>
  <c r="E102" i="9" s="1"/>
  <c r="E102" i="10" s="1"/>
  <c r="E102" i="11" s="1"/>
  <c r="E102" i="12" s="1"/>
  <c r="E102" i="13" s="1"/>
  <c r="E102" i="14" s="1"/>
  <c r="E102" i="15" s="1"/>
  <c r="E102" i="16" s="1"/>
  <c r="D96" i="5"/>
  <c r="D97" i="5"/>
  <c r="D97" i="6" s="1"/>
  <c r="D98" i="5"/>
  <c r="D99" i="5"/>
  <c r="D100" i="5"/>
  <c r="D100" i="6" s="1"/>
  <c r="D101" i="5"/>
  <c r="D101" i="6" s="1"/>
  <c r="D102" i="5"/>
  <c r="G94" i="5"/>
  <c r="H94" i="5"/>
  <c r="J94" i="5"/>
  <c r="K94" i="5"/>
  <c r="C94" i="5"/>
  <c r="L95" i="5"/>
  <c r="J95" i="6" s="1"/>
  <c r="I95" i="5"/>
  <c r="E95" i="5"/>
  <c r="E95" i="6" s="1"/>
  <c r="D95" i="5"/>
  <c r="D115" i="5"/>
  <c r="E115" i="5"/>
  <c r="E115" i="6" s="1"/>
  <c r="I115" i="5"/>
  <c r="L115" i="5"/>
  <c r="J115" i="6" s="1"/>
  <c r="D116" i="5"/>
  <c r="E116" i="5"/>
  <c r="E116" i="6" s="1"/>
  <c r="E116" i="7" s="1"/>
  <c r="E116" i="8" s="1"/>
  <c r="E116" i="9" s="1"/>
  <c r="E116" i="10" s="1"/>
  <c r="E116" i="11" s="1"/>
  <c r="E116" i="12" s="1"/>
  <c r="E116" i="13" s="1"/>
  <c r="E116" i="14" s="1"/>
  <c r="E116" i="15" s="1"/>
  <c r="E116" i="16" s="1"/>
  <c r="I116" i="5"/>
  <c r="G116" i="6" s="1"/>
  <c r="I116" i="6" s="1"/>
  <c r="G116" i="7" s="1"/>
  <c r="I116" i="7" s="1"/>
  <c r="G116" i="8" s="1"/>
  <c r="I116" i="8" s="1"/>
  <c r="G116" i="9" s="1"/>
  <c r="I116" i="9" s="1"/>
  <c r="G116" i="10" s="1"/>
  <c r="I116" i="10" s="1"/>
  <c r="G116" i="11" s="1"/>
  <c r="I116" i="11" s="1"/>
  <c r="G116" i="12" s="1"/>
  <c r="I116" i="12" s="1"/>
  <c r="G116" i="13" s="1"/>
  <c r="I116" i="13" s="1"/>
  <c r="G116" i="14" s="1"/>
  <c r="I116" i="14" s="1"/>
  <c r="G116" i="15" s="1"/>
  <c r="I116" i="15" s="1"/>
  <c r="G116" i="16" s="1"/>
  <c r="I116" i="16" s="1"/>
  <c r="L116" i="5"/>
  <c r="J116" i="6" s="1"/>
  <c r="L116" i="6" s="1"/>
  <c r="J116" i="7" s="1"/>
  <c r="L116" i="7" s="1"/>
  <c r="J116" i="8" s="1"/>
  <c r="L116" i="8" s="1"/>
  <c r="J116" i="9" s="1"/>
  <c r="L116" i="9" s="1"/>
  <c r="J116" i="10" s="1"/>
  <c r="L116" i="10" s="1"/>
  <c r="J116" i="11" s="1"/>
  <c r="L116" i="11" s="1"/>
  <c r="J116" i="12" s="1"/>
  <c r="L116" i="12" s="1"/>
  <c r="J116" i="13" s="1"/>
  <c r="L116" i="13" s="1"/>
  <c r="J116" i="14" s="1"/>
  <c r="L116" i="14" s="1"/>
  <c r="J116" i="15" s="1"/>
  <c r="L116" i="15" s="1"/>
  <c r="J116" i="16" s="1"/>
  <c r="L116" i="16" s="1"/>
  <c r="D117" i="5"/>
  <c r="E117" i="5"/>
  <c r="E117" i="6" s="1"/>
  <c r="E117" i="7" s="1"/>
  <c r="E117" i="8" s="1"/>
  <c r="E117" i="9" s="1"/>
  <c r="E117" i="10" s="1"/>
  <c r="E117" i="11" s="1"/>
  <c r="E117" i="12" s="1"/>
  <c r="E117" i="13" s="1"/>
  <c r="E117" i="14" s="1"/>
  <c r="E117" i="15" s="1"/>
  <c r="E117" i="16" s="1"/>
  <c r="I117" i="5"/>
  <c r="G117" i="6" s="1"/>
  <c r="I117" i="6" s="1"/>
  <c r="G117" i="7" s="1"/>
  <c r="I117" i="7" s="1"/>
  <c r="G117" i="8" s="1"/>
  <c r="I117" i="8" s="1"/>
  <c r="G117" i="9" s="1"/>
  <c r="I117" i="9" s="1"/>
  <c r="G117" i="10" s="1"/>
  <c r="I117" i="10" s="1"/>
  <c r="G117" i="11" s="1"/>
  <c r="I117" i="11" s="1"/>
  <c r="G117" i="12" s="1"/>
  <c r="I117" i="12" s="1"/>
  <c r="G117" i="13" s="1"/>
  <c r="I117" i="13" s="1"/>
  <c r="G117" i="14" s="1"/>
  <c r="I117" i="14" s="1"/>
  <c r="G117" i="15" s="1"/>
  <c r="I117" i="15" s="1"/>
  <c r="G117" i="16" s="1"/>
  <c r="I117" i="16" s="1"/>
  <c r="L117" i="5"/>
  <c r="J117" i="6" s="1"/>
  <c r="L117" i="6" s="1"/>
  <c r="J117" i="7" s="1"/>
  <c r="L117" i="7" s="1"/>
  <c r="J117" i="8" s="1"/>
  <c r="L117" i="8" s="1"/>
  <c r="J117" i="9" s="1"/>
  <c r="L117" i="9" s="1"/>
  <c r="J117" i="10" s="1"/>
  <c r="L117" i="10" s="1"/>
  <c r="J117" i="11" s="1"/>
  <c r="L117" i="11" s="1"/>
  <c r="J117" i="12" s="1"/>
  <c r="L117" i="12" s="1"/>
  <c r="J117" i="13" s="1"/>
  <c r="L117" i="13" s="1"/>
  <c r="J117" i="14" s="1"/>
  <c r="L117" i="14" s="1"/>
  <c r="J117" i="15" s="1"/>
  <c r="L117" i="15" s="1"/>
  <c r="J117" i="16" s="1"/>
  <c r="L117" i="16" s="1"/>
  <c r="D118" i="5"/>
  <c r="D118" i="6" s="1"/>
  <c r="E118" i="5"/>
  <c r="E118" i="6" s="1"/>
  <c r="E118" i="7" s="1"/>
  <c r="E118" i="8" s="1"/>
  <c r="E118" i="9" s="1"/>
  <c r="E118" i="10" s="1"/>
  <c r="E118" i="11" s="1"/>
  <c r="E118" i="12" s="1"/>
  <c r="E118" i="13" s="1"/>
  <c r="E118" i="14" s="1"/>
  <c r="E118" i="15" s="1"/>
  <c r="E118" i="16" s="1"/>
  <c r="I118" i="5"/>
  <c r="G118" i="6" s="1"/>
  <c r="I118" i="6" s="1"/>
  <c r="G118" i="7" s="1"/>
  <c r="I118" i="7" s="1"/>
  <c r="G118" i="8" s="1"/>
  <c r="I118" i="8" s="1"/>
  <c r="G118" i="9" s="1"/>
  <c r="I118" i="9" s="1"/>
  <c r="G118" i="10" s="1"/>
  <c r="I118" i="10" s="1"/>
  <c r="G118" i="11" s="1"/>
  <c r="I118" i="11" s="1"/>
  <c r="G118" i="12" s="1"/>
  <c r="I118" i="12" s="1"/>
  <c r="G118" i="13" s="1"/>
  <c r="I118" i="13" s="1"/>
  <c r="G118" i="14" s="1"/>
  <c r="I118" i="14" s="1"/>
  <c r="G118" i="15" s="1"/>
  <c r="I118" i="15" s="1"/>
  <c r="G118" i="16" s="1"/>
  <c r="I118" i="16" s="1"/>
  <c r="L118" i="5"/>
  <c r="J118" i="6" s="1"/>
  <c r="L118" i="6" s="1"/>
  <c r="J118" i="7" s="1"/>
  <c r="L118" i="7" s="1"/>
  <c r="J118" i="8" s="1"/>
  <c r="L118" i="8" s="1"/>
  <c r="J118" i="9" s="1"/>
  <c r="L118" i="9" s="1"/>
  <c r="J118" i="10" s="1"/>
  <c r="L118" i="10" s="1"/>
  <c r="J118" i="11" s="1"/>
  <c r="L118" i="11" s="1"/>
  <c r="J118" i="12" s="1"/>
  <c r="L118" i="12" s="1"/>
  <c r="J118" i="13" s="1"/>
  <c r="L118" i="13" s="1"/>
  <c r="J118" i="14" s="1"/>
  <c r="L118" i="14" s="1"/>
  <c r="J118" i="15" s="1"/>
  <c r="L118" i="15" s="1"/>
  <c r="J118" i="16" s="1"/>
  <c r="L118" i="16" s="1"/>
  <c r="D119" i="5"/>
  <c r="E119" i="5"/>
  <c r="E119" i="6" s="1"/>
  <c r="E119" i="7" s="1"/>
  <c r="E119" i="8" s="1"/>
  <c r="E119" i="9" s="1"/>
  <c r="E119" i="10" s="1"/>
  <c r="E119" i="11" s="1"/>
  <c r="E119" i="12" s="1"/>
  <c r="E119" i="13" s="1"/>
  <c r="E119" i="14" s="1"/>
  <c r="E119" i="15" s="1"/>
  <c r="E119" i="16" s="1"/>
  <c r="I119" i="5"/>
  <c r="G119" i="6" s="1"/>
  <c r="I119" i="6" s="1"/>
  <c r="G119" i="7" s="1"/>
  <c r="I119" i="7" s="1"/>
  <c r="G119" i="8" s="1"/>
  <c r="I119" i="8" s="1"/>
  <c r="G119" i="9" s="1"/>
  <c r="I119" i="9" s="1"/>
  <c r="G119" i="10" s="1"/>
  <c r="I119" i="10" s="1"/>
  <c r="G119" i="11" s="1"/>
  <c r="I119" i="11" s="1"/>
  <c r="G119" i="12" s="1"/>
  <c r="I119" i="12" s="1"/>
  <c r="G119" i="13" s="1"/>
  <c r="I119" i="13" s="1"/>
  <c r="G119" i="14" s="1"/>
  <c r="I119" i="14" s="1"/>
  <c r="G119" i="15" s="1"/>
  <c r="I119" i="15" s="1"/>
  <c r="G119" i="16" s="1"/>
  <c r="I119" i="16" s="1"/>
  <c r="L119" i="5"/>
  <c r="J119" i="6" s="1"/>
  <c r="L119" i="6" s="1"/>
  <c r="J119" i="7" s="1"/>
  <c r="L119" i="7" s="1"/>
  <c r="J119" i="8" s="1"/>
  <c r="L119" i="8" s="1"/>
  <c r="J119" i="9" s="1"/>
  <c r="L119" i="9" s="1"/>
  <c r="J119" i="10" s="1"/>
  <c r="L119" i="10" s="1"/>
  <c r="J119" i="11" s="1"/>
  <c r="L119" i="11" s="1"/>
  <c r="J119" i="12" s="1"/>
  <c r="L119" i="12" s="1"/>
  <c r="J119" i="13" s="1"/>
  <c r="L119" i="13" s="1"/>
  <c r="J119" i="14" s="1"/>
  <c r="L119" i="14" s="1"/>
  <c r="J119" i="15" s="1"/>
  <c r="L119" i="15" s="1"/>
  <c r="J119" i="16" s="1"/>
  <c r="L119" i="16" s="1"/>
  <c r="D120" i="5"/>
  <c r="D120" i="6" s="1"/>
  <c r="E120" i="5"/>
  <c r="E120" i="6" s="1"/>
  <c r="E120" i="7" s="1"/>
  <c r="E120" i="8" s="1"/>
  <c r="E120" i="9" s="1"/>
  <c r="E120" i="10" s="1"/>
  <c r="E120" i="11" s="1"/>
  <c r="E120" i="12" s="1"/>
  <c r="E120" i="13" s="1"/>
  <c r="E120" i="14" s="1"/>
  <c r="E120" i="15" s="1"/>
  <c r="E120" i="16" s="1"/>
  <c r="I120" i="5"/>
  <c r="G120" i="6" s="1"/>
  <c r="I120" i="6" s="1"/>
  <c r="G120" i="7" s="1"/>
  <c r="I120" i="7" s="1"/>
  <c r="G120" i="8" s="1"/>
  <c r="I120" i="8" s="1"/>
  <c r="G120" i="9" s="1"/>
  <c r="I120" i="9" s="1"/>
  <c r="G120" i="10" s="1"/>
  <c r="I120" i="10" s="1"/>
  <c r="G120" i="11" s="1"/>
  <c r="I120" i="11" s="1"/>
  <c r="G120" i="12" s="1"/>
  <c r="I120" i="12" s="1"/>
  <c r="G120" i="13" s="1"/>
  <c r="I120" i="13" s="1"/>
  <c r="G120" i="14" s="1"/>
  <c r="I120" i="14" s="1"/>
  <c r="G120" i="15" s="1"/>
  <c r="I120" i="15" s="1"/>
  <c r="G120" i="16" s="1"/>
  <c r="I120" i="16" s="1"/>
  <c r="L120" i="5"/>
  <c r="J120" i="6" s="1"/>
  <c r="L120" i="6" s="1"/>
  <c r="J120" i="7" s="1"/>
  <c r="L120" i="7" s="1"/>
  <c r="J120" i="8" s="1"/>
  <c r="L120" i="8" s="1"/>
  <c r="J120" i="9" s="1"/>
  <c r="L120" i="9" s="1"/>
  <c r="J120" i="10" s="1"/>
  <c r="L120" i="10" s="1"/>
  <c r="J120" i="11" s="1"/>
  <c r="L120" i="11" s="1"/>
  <c r="J120" i="12" s="1"/>
  <c r="L120" i="12" s="1"/>
  <c r="J120" i="13" s="1"/>
  <c r="L120" i="13" s="1"/>
  <c r="J120" i="14" s="1"/>
  <c r="L120" i="14" s="1"/>
  <c r="J120" i="15" s="1"/>
  <c r="L120" i="15" s="1"/>
  <c r="J120" i="16" s="1"/>
  <c r="L120" i="16" s="1"/>
  <c r="D121" i="5"/>
  <c r="E121" i="5"/>
  <c r="E121" i="6" s="1"/>
  <c r="E121" i="7" s="1"/>
  <c r="E121" i="8" s="1"/>
  <c r="E121" i="9" s="1"/>
  <c r="E121" i="10" s="1"/>
  <c r="E121" i="11" s="1"/>
  <c r="E121" i="12" s="1"/>
  <c r="E121" i="13" s="1"/>
  <c r="E121" i="14" s="1"/>
  <c r="E121" i="15" s="1"/>
  <c r="E121" i="16" s="1"/>
  <c r="I121" i="5"/>
  <c r="G121" i="6" s="1"/>
  <c r="I121" i="6" s="1"/>
  <c r="G121" i="7" s="1"/>
  <c r="I121" i="7" s="1"/>
  <c r="G121" i="8" s="1"/>
  <c r="I121" i="8" s="1"/>
  <c r="G121" i="9" s="1"/>
  <c r="I121" i="9" s="1"/>
  <c r="G121" i="10" s="1"/>
  <c r="I121" i="10" s="1"/>
  <c r="G121" i="11" s="1"/>
  <c r="I121" i="11" s="1"/>
  <c r="G121" i="12" s="1"/>
  <c r="I121" i="12" s="1"/>
  <c r="G121" i="13" s="1"/>
  <c r="I121" i="13" s="1"/>
  <c r="G121" i="14" s="1"/>
  <c r="I121" i="14" s="1"/>
  <c r="G121" i="15" s="1"/>
  <c r="I121" i="15" s="1"/>
  <c r="G121" i="16" s="1"/>
  <c r="I121" i="16" s="1"/>
  <c r="L121" i="5"/>
  <c r="J121" i="6" s="1"/>
  <c r="L121" i="6" s="1"/>
  <c r="J121" i="7" s="1"/>
  <c r="L121" i="7" s="1"/>
  <c r="J121" i="8" s="1"/>
  <c r="L121" i="8" s="1"/>
  <c r="J121" i="9" s="1"/>
  <c r="L121" i="9" s="1"/>
  <c r="J121" i="10" s="1"/>
  <c r="L121" i="10" s="1"/>
  <c r="J121" i="11" s="1"/>
  <c r="L121" i="11" s="1"/>
  <c r="J121" i="12" s="1"/>
  <c r="L121" i="12" s="1"/>
  <c r="J121" i="13" s="1"/>
  <c r="L121" i="13" s="1"/>
  <c r="J121" i="14" s="1"/>
  <c r="L121" i="14" s="1"/>
  <c r="J121" i="15" s="1"/>
  <c r="L121" i="15" s="1"/>
  <c r="J121" i="16" s="1"/>
  <c r="L121" i="16" s="1"/>
  <c r="D123" i="5"/>
  <c r="D123" i="6" s="1"/>
  <c r="E123" i="5"/>
  <c r="E123" i="6" s="1"/>
  <c r="E123" i="7" s="1"/>
  <c r="E123" i="8" s="1"/>
  <c r="E123" i="9" s="1"/>
  <c r="E123" i="10" s="1"/>
  <c r="E123" i="11" s="1"/>
  <c r="E123" i="12" s="1"/>
  <c r="E123" i="13" s="1"/>
  <c r="E123" i="14" s="1"/>
  <c r="E123" i="15" s="1"/>
  <c r="E123" i="16" s="1"/>
  <c r="I123" i="5"/>
  <c r="G123" i="6" s="1"/>
  <c r="I123" i="6" s="1"/>
  <c r="G123" i="7" s="1"/>
  <c r="I123" i="7" s="1"/>
  <c r="G123" i="8" s="1"/>
  <c r="I123" i="8" s="1"/>
  <c r="G123" i="9" s="1"/>
  <c r="I123" i="9" s="1"/>
  <c r="G123" i="10" s="1"/>
  <c r="I123" i="10" s="1"/>
  <c r="G123" i="11" s="1"/>
  <c r="I123" i="11" s="1"/>
  <c r="G123" i="12" s="1"/>
  <c r="I123" i="12" s="1"/>
  <c r="G123" i="13" s="1"/>
  <c r="I123" i="13" s="1"/>
  <c r="G123" i="14" s="1"/>
  <c r="I123" i="14" s="1"/>
  <c r="G123" i="15" s="1"/>
  <c r="I123" i="15" s="1"/>
  <c r="G123" i="16" s="1"/>
  <c r="I123" i="16" s="1"/>
  <c r="L123" i="5"/>
  <c r="J123" i="6" s="1"/>
  <c r="L123" i="6" s="1"/>
  <c r="J123" i="7" s="1"/>
  <c r="L123" i="7" s="1"/>
  <c r="J123" i="8" s="1"/>
  <c r="L123" i="8" s="1"/>
  <c r="J123" i="9" s="1"/>
  <c r="L123" i="9" s="1"/>
  <c r="J123" i="10" s="1"/>
  <c r="L123" i="10" s="1"/>
  <c r="J123" i="11" s="1"/>
  <c r="L123" i="11" s="1"/>
  <c r="J123" i="12" s="1"/>
  <c r="L123" i="12" s="1"/>
  <c r="J123" i="13" s="1"/>
  <c r="L123" i="13" s="1"/>
  <c r="J123" i="14" s="1"/>
  <c r="L123" i="14" s="1"/>
  <c r="J123" i="15" s="1"/>
  <c r="L123" i="15" s="1"/>
  <c r="J123" i="16" s="1"/>
  <c r="L123" i="16" s="1"/>
  <c r="D124" i="5"/>
  <c r="D124" i="6" s="1"/>
  <c r="E124" i="5"/>
  <c r="E124" i="6" s="1"/>
  <c r="E124" i="7" s="1"/>
  <c r="E124" i="8" s="1"/>
  <c r="E124" i="9" s="1"/>
  <c r="E124" i="10" s="1"/>
  <c r="E124" i="11" s="1"/>
  <c r="E124" i="12" s="1"/>
  <c r="E124" i="13" s="1"/>
  <c r="E124" i="14" s="1"/>
  <c r="E124" i="15" s="1"/>
  <c r="E124" i="16" s="1"/>
  <c r="I124" i="5"/>
  <c r="G124" i="6" s="1"/>
  <c r="I124" i="6" s="1"/>
  <c r="G124" i="7" s="1"/>
  <c r="I124" i="7" s="1"/>
  <c r="G124" i="8" s="1"/>
  <c r="I124" i="8" s="1"/>
  <c r="G124" i="9" s="1"/>
  <c r="I124" i="9" s="1"/>
  <c r="G124" i="10" s="1"/>
  <c r="I124" i="10" s="1"/>
  <c r="G124" i="11" s="1"/>
  <c r="I124" i="11" s="1"/>
  <c r="G124" i="12" s="1"/>
  <c r="I124" i="12" s="1"/>
  <c r="G124" i="13" s="1"/>
  <c r="I124" i="13" s="1"/>
  <c r="G124" i="14" s="1"/>
  <c r="I124" i="14" s="1"/>
  <c r="G124" i="15" s="1"/>
  <c r="I124" i="15" s="1"/>
  <c r="G124" i="16" s="1"/>
  <c r="I124" i="16" s="1"/>
  <c r="L124" i="5"/>
  <c r="J124" i="6" s="1"/>
  <c r="L124" i="6" s="1"/>
  <c r="J124" i="7" s="1"/>
  <c r="L124" i="7" s="1"/>
  <c r="J124" i="8" s="1"/>
  <c r="L124" i="8" s="1"/>
  <c r="J124" i="9" s="1"/>
  <c r="L124" i="9" s="1"/>
  <c r="J124" i="10" s="1"/>
  <c r="L124" i="10" s="1"/>
  <c r="J124" i="11" s="1"/>
  <c r="L124" i="11" s="1"/>
  <c r="J124" i="12" s="1"/>
  <c r="L124" i="12" s="1"/>
  <c r="J124" i="13" s="1"/>
  <c r="L124" i="13" s="1"/>
  <c r="J124" i="14" s="1"/>
  <c r="L124" i="14" s="1"/>
  <c r="J124" i="15" s="1"/>
  <c r="L124" i="15" s="1"/>
  <c r="J124" i="16" s="1"/>
  <c r="L124" i="16" s="1"/>
  <c r="Q85" i="5"/>
  <c r="P85" i="5"/>
  <c r="K85" i="5"/>
  <c r="J85" i="5"/>
  <c r="H85" i="5"/>
  <c r="G85" i="5"/>
  <c r="C85" i="5"/>
  <c r="L92" i="5"/>
  <c r="J92" i="6" s="1"/>
  <c r="L92" i="6" s="1"/>
  <c r="J92" i="7" s="1"/>
  <c r="L92" i="7" s="1"/>
  <c r="J92" i="8" s="1"/>
  <c r="L92" i="8" s="1"/>
  <c r="J92" i="9" s="1"/>
  <c r="L92" i="9" s="1"/>
  <c r="J92" i="10" s="1"/>
  <c r="L92" i="10" s="1"/>
  <c r="J92" i="11" s="1"/>
  <c r="L92" i="11" s="1"/>
  <c r="J92" i="12" s="1"/>
  <c r="L92" i="12" s="1"/>
  <c r="J92" i="13" s="1"/>
  <c r="L92" i="13" s="1"/>
  <c r="J92" i="14" s="1"/>
  <c r="L92" i="14" s="1"/>
  <c r="J92" i="15" s="1"/>
  <c r="L92" i="15" s="1"/>
  <c r="J92" i="16" s="1"/>
  <c r="L92" i="16" s="1"/>
  <c r="I92" i="5"/>
  <c r="G92" i="6" s="1"/>
  <c r="I92" i="6" s="1"/>
  <c r="G92" i="7" s="1"/>
  <c r="I92" i="7" s="1"/>
  <c r="G92" i="8" s="1"/>
  <c r="I92" i="8" s="1"/>
  <c r="G92" i="9" s="1"/>
  <c r="I92" i="9" s="1"/>
  <c r="G92" i="10" s="1"/>
  <c r="I92" i="10" s="1"/>
  <c r="G92" i="11" s="1"/>
  <c r="I92" i="11" s="1"/>
  <c r="G92" i="12" s="1"/>
  <c r="I92" i="12" s="1"/>
  <c r="G92" i="13" s="1"/>
  <c r="I92" i="13" s="1"/>
  <c r="G92" i="14" s="1"/>
  <c r="I92" i="14" s="1"/>
  <c r="G92" i="15" s="1"/>
  <c r="I92" i="15" s="1"/>
  <c r="G92" i="16" s="1"/>
  <c r="I92" i="16" s="1"/>
  <c r="E92" i="5"/>
  <c r="E92" i="6" s="1"/>
  <c r="E92" i="7" s="1"/>
  <c r="E92" i="8" s="1"/>
  <c r="E92" i="9" s="1"/>
  <c r="E92" i="10" s="1"/>
  <c r="E92" i="11" s="1"/>
  <c r="E92" i="12" s="1"/>
  <c r="E92" i="13" s="1"/>
  <c r="E92" i="14" s="1"/>
  <c r="E92" i="15" s="1"/>
  <c r="E92" i="16" s="1"/>
  <c r="D92" i="5"/>
  <c r="L91" i="5"/>
  <c r="J91" i="6" s="1"/>
  <c r="L91" i="6" s="1"/>
  <c r="J91" i="7" s="1"/>
  <c r="L91" i="7" s="1"/>
  <c r="J91" i="8" s="1"/>
  <c r="L91" i="8" s="1"/>
  <c r="J91" i="9" s="1"/>
  <c r="L91" i="9" s="1"/>
  <c r="J91" i="10" s="1"/>
  <c r="L91" i="10" s="1"/>
  <c r="J91" i="11" s="1"/>
  <c r="L91" i="11" s="1"/>
  <c r="J91" i="12" s="1"/>
  <c r="L91" i="12" s="1"/>
  <c r="J91" i="13" s="1"/>
  <c r="L91" i="13" s="1"/>
  <c r="J91" i="14" s="1"/>
  <c r="L91" i="14" s="1"/>
  <c r="J91" i="15" s="1"/>
  <c r="L91" i="15" s="1"/>
  <c r="J91" i="16" s="1"/>
  <c r="L91" i="16" s="1"/>
  <c r="I91" i="5"/>
  <c r="G91" i="6" s="1"/>
  <c r="I91" i="6" s="1"/>
  <c r="G91" i="7" s="1"/>
  <c r="I91" i="7" s="1"/>
  <c r="G91" i="8" s="1"/>
  <c r="I91" i="8" s="1"/>
  <c r="G91" i="9" s="1"/>
  <c r="I91" i="9" s="1"/>
  <c r="G91" i="10" s="1"/>
  <c r="I91" i="10" s="1"/>
  <c r="G91" i="11" s="1"/>
  <c r="I91" i="11" s="1"/>
  <c r="G91" i="12" s="1"/>
  <c r="I91" i="12" s="1"/>
  <c r="G91" i="13" s="1"/>
  <c r="I91" i="13" s="1"/>
  <c r="G91" i="14" s="1"/>
  <c r="I91" i="14" s="1"/>
  <c r="G91" i="15" s="1"/>
  <c r="I91" i="15" s="1"/>
  <c r="G91" i="16" s="1"/>
  <c r="I91" i="16" s="1"/>
  <c r="E91" i="5"/>
  <c r="E91" i="6" s="1"/>
  <c r="D91" i="5"/>
  <c r="L90" i="5"/>
  <c r="J90" i="6" s="1"/>
  <c r="L90" i="6" s="1"/>
  <c r="J90" i="7" s="1"/>
  <c r="L90" i="7" s="1"/>
  <c r="J90" i="8" s="1"/>
  <c r="L90" i="8" s="1"/>
  <c r="J90" i="9" s="1"/>
  <c r="L90" i="9" s="1"/>
  <c r="J90" i="10" s="1"/>
  <c r="L90" i="10" s="1"/>
  <c r="J90" i="11" s="1"/>
  <c r="L90" i="11" s="1"/>
  <c r="J90" i="12" s="1"/>
  <c r="L90" i="12" s="1"/>
  <c r="J90" i="13" s="1"/>
  <c r="L90" i="13" s="1"/>
  <c r="J90" i="14" s="1"/>
  <c r="L90" i="14" s="1"/>
  <c r="J90" i="15" s="1"/>
  <c r="L90" i="15" s="1"/>
  <c r="J90" i="16" s="1"/>
  <c r="L90" i="16" s="1"/>
  <c r="I90" i="5"/>
  <c r="G90" i="6" s="1"/>
  <c r="I90" i="6" s="1"/>
  <c r="G90" i="7" s="1"/>
  <c r="I90" i="7" s="1"/>
  <c r="G90" i="8" s="1"/>
  <c r="I90" i="8" s="1"/>
  <c r="G90" i="9" s="1"/>
  <c r="I90" i="9" s="1"/>
  <c r="G90" i="10" s="1"/>
  <c r="I90" i="10" s="1"/>
  <c r="G90" i="11" s="1"/>
  <c r="I90" i="11" s="1"/>
  <c r="G90" i="12" s="1"/>
  <c r="I90" i="12" s="1"/>
  <c r="G90" i="13" s="1"/>
  <c r="I90" i="13" s="1"/>
  <c r="G90" i="14" s="1"/>
  <c r="I90" i="14" s="1"/>
  <c r="G90" i="15" s="1"/>
  <c r="I90" i="15" s="1"/>
  <c r="G90" i="16" s="1"/>
  <c r="I90" i="16" s="1"/>
  <c r="E90" i="5"/>
  <c r="D90" i="5"/>
  <c r="D90" i="6" s="1"/>
  <c r="L89" i="5"/>
  <c r="J89" i="6" s="1"/>
  <c r="L89" i="6" s="1"/>
  <c r="J89" i="7" s="1"/>
  <c r="L89" i="7" s="1"/>
  <c r="J89" i="8" s="1"/>
  <c r="L89" i="8" s="1"/>
  <c r="J89" i="9" s="1"/>
  <c r="L89" i="9" s="1"/>
  <c r="J89" i="10" s="1"/>
  <c r="L89" i="10" s="1"/>
  <c r="J89" i="11" s="1"/>
  <c r="L89" i="11" s="1"/>
  <c r="J89" i="12" s="1"/>
  <c r="L89" i="12" s="1"/>
  <c r="J89" i="13" s="1"/>
  <c r="L89" i="13" s="1"/>
  <c r="J89" i="14" s="1"/>
  <c r="L89" i="14" s="1"/>
  <c r="J89" i="15" s="1"/>
  <c r="L89" i="15" s="1"/>
  <c r="J89" i="16" s="1"/>
  <c r="L89" i="16" s="1"/>
  <c r="I89" i="5"/>
  <c r="G89" i="6" s="1"/>
  <c r="I89" i="6" s="1"/>
  <c r="G89" i="7" s="1"/>
  <c r="I89" i="7" s="1"/>
  <c r="G89" i="8" s="1"/>
  <c r="I89" i="8" s="1"/>
  <c r="G89" i="9" s="1"/>
  <c r="I89" i="9" s="1"/>
  <c r="G89" i="10" s="1"/>
  <c r="I89" i="10" s="1"/>
  <c r="G89" i="11" s="1"/>
  <c r="I89" i="11" s="1"/>
  <c r="G89" i="12" s="1"/>
  <c r="I89" i="12" s="1"/>
  <c r="G89" i="13" s="1"/>
  <c r="I89" i="13" s="1"/>
  <c r="G89" i="14" s="1"/>
  <c r="I89" i="14" s="1"/>
  <c r="G89" i="15" s="1"/>
  <c r="I89" i="15" s="1"/>
  <c r="G89" i="16" s="1"/>
  <c r="I89" i="16" s="1"/>
  <c r="E89" i="5"/>
  <c r="E89" i="6" s="1"/>
  <c r="D89" i="5"/>
  <c r="D89" i="6" s="1"/>
  <c r="D89" i="7" s="1"/>
  <c r="L88" i="5"/>
  <c r="J88" i="6" s="1"/>
  <c r="L88" i="6" s="1"/>
  <c r="J88" i="7" s="1"/>
  <c r="L88" i="7" s="1"/>
  <c r="J88" i="8" s="1"/>
  <c r="L88" i="8" s="1"/>
  <c r="J88" i="9" s="1"/>
  <c r="L88" i="9" s="1"/>
  <c r="J88" i="10" s="1"/>
  <c r="L88" i="10" s="1"/>
  <c r="J88" i="11" s="1"/>
  <c r="L88" i="11" s="1"/>
  <c r="J88" i="12" s="1"/>
  <c r="L88" i="12" s="1"/>
  <c r="J88" i="13" s="1"/>
  <c r="L88" i="13" s="1"/>
  <c r="J88" i="14" s="1"/>
  <c r="L88" i="14" s="1"/>
  <c r="J88" i="15" s="1"/>
  <c r="L88" i="15" s="1"/>
  <c r="J88" i="16" s="1"/>
  <c r="L88" i="16" s="1"/>
  <c r="I88" i="5"/>
  <c r="G88" i="6" s="1"/>
  <c r="E88" i="5"/>
  <c r="E88" i="6" s="1"/>
  <c r="E88" i="7" s="1"/>
  <c r="D88" i="5"/>
  <c r="L87" i="5"/>
  <c r="J87" i="6" s="1"/>
  <c r="L87" i="6" s="1"/>
  <c r="J87" i="7" s="1"/>
  <c r="L87" i="7" s="1"/>
  <c r="J87" i="8" s="1"/>
  <c r="L87" i="8" s="1"/>
  <c r="J87" i="9" s="1"/>
  <c r="L87" i="9" s="1"/>
  <c r="J87" i="10" s="1"/>
  <c r="L87" i="10" s="1"/>
  <c r="J87" i="11" s="1"/>
  <c r="L87" i="11" s="1"/>
  <c r="J87" i="12" s="1"/>
  <c r="L87" i="12" s="1"/>
  <c r="J87" i="13" s="1"/>
  <c r="L87" i="13" s="1"/>
  <c r="J87" i="14" s="1"/>
  <c r="L87" i="14" s="1"/>
  <c r="J87" i="15" s="1"/>
  <c r="L87" i="15" s="1"/>
  <c r="J87" i="16" s="1"/>
  <c r="L87" i="16" s="1"/>
  <c r="I87" i="5"/>
  <c r="G87" i="6" s="1"/>
  <c r="I87" i="6" s="1"/>
  <c r="G87" i="7" s="1"/>
  <c r="I87" i="7" s="1"/>
  <c r="G87" i="8" s="1"/>
  <c r="I87" i="8" s="1"/>
  <c r="G87" i="9" s="1"/>
  <c r="I87" i="9" s="1"/>
  <c r="G87" i="10" s="1"/>
  <c r="I87" i="10" s="1"/>
  <c r="G87" i="11" s="1"/>
  <c r="I87" i="11" s="1"/>
  <c r="G87" i="12" s="1"/>
  <c r="I87" i="12" s="1"/>
  <c r="G87" i="13" s="1"/>
  <c r="I87" i="13" s="1"/>
  <c r="G87" i="14" s="1"/>
  <c r="I87" i="14" s="1"/>
  <c r="G87" i="15" s="1"/>
  <c r="I87" i="15" s="1"/>
  <c r="G87" i="16" s="1"/>
  <c r="I87" i="16" s="1"/>
  <c r="E87" i="5"/>
  <c r="E87" i="6" s="1"/>
  <c r="D87" i="5"/>
  <c r="L86" i="5"/>
  <c r="I86" i="5"/>
  <c r="G86" i="6" s="1"/>
  <c r="I86" i="6" s="1"/>
  <c r="G86" i="7" s="1"/>
  <c r="I86" i="7" s="1"/>
  <c r="G86" i="8" s="1"/>
  <c r="I86" i="8" s="1"/>
  <c r="G86" i="9" s="1"/>
  <c r="I86" i="9" s="1"/>
  <c r="G86" i="10" s="1"/>
  <c r="I86" i="10" s="1"/>
  <c r="G86" i="11" s="1"/>
  <c r="I86" i="11" s="1"/>
  <c r="G86" i="12" s="1"/>
  <c r="I86" i="12" s="1"/>
  <c r="G86" i="13" s="1"/>
  <c r="I86" i="13" s="1"/>
  <c r="G86" i="14" s="1"/>
  <c r="I86" i="14" s="1"/>
  <c r="G86" i="15" s="1"/>
  <c r="I86" i="15" s="1"/>
  <c r="G86" i="16" s="1"/>
  <c r="I86" i="16" s="1"/>
  <c r="E86" i="5"/>
  <c r="D86" i="5"/>
  <c r="BD18" i="5" l="1"/>
  <c r="BD19" i="5"/>
  <c r="D89" i="8"/>
  <c r="D120" i="7"/>
  <c r="F120" i="6"/>
  <c r="F119" i="5"/>
  <c r="M119" i="5" s="1"/>
  <c r="D119" i="6"/>
  <c r="F116" i="5"/>
  <c r="D116" i="6"/>
  <c r="L95" i="6"/>
  <c r="J94" i="6"/>
  <c r="D100" i="7"/>
  <c r="F100" i="6"/>
  <c r="F96" i="5"/>
  <c r="N96" i="5" s="1"/>
  <c r="D96" i="6"/>
  <c r="D104" i="5"/>
  <c r="D105" i="6"/>
  <c r="D106" i="7"/>
  <c r="F106" i="6"/>
  <c r="F121" i="5"/>
  <c r="N121" i="5" s="1"/>
  <c r="D121" i="6"/>
  <c r="D118" i="7"/>
  <c r="F118" i="6"/>
  <c r="F117" i="5"/>
  <c r="M117" i="5" s="1"/>
  <c r="D117" i="6"/>
  <c r="F115" i="5"/>
  <c r="M115" i="5" s="1"/>
  <c r="D115" i="6"/>
  <c r="E85" i="5"/>
  <c r="E86" i="6"/>
  <c r="E87" i="7"/>
  <c r="E87" i="8" s="1"/>
  <c r="E87" i="9" s="1"/>
  <c r="E87" i="10" s="1"/>
  <c r="E87" i="11" s="1"/>
  <c r="E87" i="12" s="1"/>
  <c r="E87" i="13" s="1"/>
  <c r="E87" i="14" s="1"/>
  <c r="E87" i="15" s="1"/>
  <c r="E87" i="16" s="1"/>
  <c r="E88" i="8"/>
  <c r="E88" i="9" s="1"/>
  <c r="E88" i="10" s="1"/>
  <c r="E88" i="11" s="1"/>
  <c r="E88" i="12" s="1"/>
  <c r="E88" i="13" s="1"/>
  <c r="E88" i="14" s="1"/>
  <c r="E88" i="15" s="1"/>
  <c r="E88" i="16" s="1"/>
  <c r="F89" i="6"/>
  <c r="E89" i="7"/>
  <c r="E89" i="8" s="1"/>
  <c r="E89" i="9" s="1"/>
  <c r="E89" i="10" s="1"/>
  <c r="E89" i="11" s="1"/>
  <c r="E89" i="12" s="1"/>
  <c r="E89" i="13" s="1"/>
  <c r="E89" i="14" s="1"/>
  <c r="E89" i="15" s="1"/>
  <c r="E89" i="16" s="1"/>
  <c r="D90" i="7"/>
  <c r="F91" i="5"/>
  <c r="N91" i="5" s="1"/>
  <c r="D91" i="6"/>
  <c r="D91" i="7" s="1"/>
  <c r="F92" i="5"/>
  <c r="N92" i="5" s="1"/>
  <c r="D92" i="6"/>
  <c r="L115" i="6"/>
  <c r="J113" i="6"/>
  <c r="F95" i="5"/>
  <c r="D95" i="6"/>
  <c r="F99" i="5"/>
  <c r="M99" i="5" s="1"/>
  <c r="D99" i="6"/>
  <c r="G97" i="8"/>
  <c r="I97" i="8" s="1"/>
  <c r="G97" i="9" s="1"/>
  <c r="I97" i="9" s="1"/>
  <c r="G97" i="10" s="1"/>
  <c r="I97" i="10" s="1"/>
  <c r="G97" i="11" s="1"/>
  <c r="I97" i="11" s="1"/>
  <c r="G97" i="12" s="1"/>
  <c r="I97" i="12" s="1"/>
  <c r="G97" i="13" s="1"/>
  <c r="I97" i="13" s="1"/>
  <c r="G97" i="14" s="1"/>
  <c r="I97" i="14" s="1"/>
  <c r="G97" i="15" s="1"/>
  <c r="I97" i="15" s="1"/>
  <c r="G97" i="16" s="1"/>
  <c r="I97" i="16" s="1"/>
  <c r="E104" i="5"/>
  <c r="E105" i="6"/>
  <c r="F107" i="5"/>
  <c r="D107" i="6"/>
  <c r="F108" i="5"/>
  <c r="N108" i="5" s="1"/>
  <c r="D108" i="6"/>
  <c r="D109" i="7"/>
  <c r="F110" i="5"/>
  <c r="M110" i="5" s="1"/>
  <c r="D110" i="6"/>
  <c r="F111" i="5"/>
  <c r="M111" i="5" s="1"/>
  <c r="D111" i="6"/>
  <c r="N122" i="6"/>
  <c r="M122" i="6"/>
  <c r="L85" i="5"/>
  <c r="J86" i="6"/>
  <c r="F86" i="5"/>
  <c r="N86" i="5" s="1"/>
  <c r="D86" i="6"/>
  <c r="F87" i="5"/>
  <c r="M87" i="5" s="1"/>
  <c r="D87" i="6"/>
  <c r="D87" i="7" s="1"/>
  <c r="F88" i="5"/>
  <c r="M88" i="5" s="1"/>
  <c r="D88" i="6"/>
  <c r="F89" i="5"/>
  <c r="M89" i="5" s="1"/>
  <c r="F90" i="5"/>
  <c r="N90" i="5" s="1"/>
  <c r="E90" i="6"/>
  <c r="E90" i="7" s="1"/>
  <c r="E90" i="8" s="1"/>
  <c r="E90" i="9" s="1"/>
  <c r="E90" i="10" s="1"/>
  <c r="E90" i="11" s="1"/>
  <c r="E90" i="12" s="1"/>
  <c r="E90" i="13" s="1"/>
  <c r="E90" i="14" s="1"/>
  <c r="E90" i="15" s="1"/>
  <c r="E90" i="16" s="1"/>
  <c r="E91" i="7"/>
  <c r="E91" i="8" s="1"/>
  <c r="E91" i="9" s="1"/>
  <c r="E91" i="10" s="1"/>
  <c r="E91" i="11" s="1"/>
  <c r="E91" i="12" s="1"/>
  <c r="E91" i="13" s="1"/>
  <c r="E91" i="14" s="1"/>
  <c r="E91" i="15" s="1"/>
  <c r="E91" i="16" s="1"/>
  <c r="F123" i="5"/>
  <c r="N123" i="5" s="1"/>
  <c r="BD20" i="5"/>
  <c r="G115" i="6"/>
  <c r="E95" i="7"/>
  <c r="E94" i="6"/>
  <c r="F102" i="5"/>
  <c r="M102" i="5" s="1"/>
  <c r="D102" i="6"/>
  <c r="F98" i="5"/>
  <c r="D98" i="6"/>
  <c r="E101" i="8"/>
  <c r="E101" i="9" s="1"/>
  <c r="E101" i="10" s="1"/>
  <c r="E101" i="11" s="1"/>
  <c r="E101" i="12" s="1"/>
  <c r="E101" i="13" s="1"/>
  <c r="E101" i="14" s="1"/>
  <c r="E101" i="15" s="1"/>
  <c r="E101" i="16" s="1"/>
  <c r="E97" i="8"/>
  <c r="E97" i="9" s="1"/>
  <c r="E97" i="10" s="1"/>
  <c r="E97" i="11" s="1"/>
  <c r="E97" i="12" s="1"/>
  <c r="E97" i="13" s="1"/>
  <c r="E97" i="14" s="1"/>
  <c r="E97" i="15" s="1"/>
  <c r="E97" i="16" s="1"/>
  <c r="G100" i="8"/>
  <c r="I100" i="8" s="1"/>
  <c r="G100" i="9" s="1"/>
  <c r="I100" i="9" s="1"/>
  <c r="G100" i="10" s="1"/>
  <c r="I100" i="10" s="1"/>
  <c r="G100" i="11" s="1"/>
  <c r="I100" i="11" s="1"/>
  <c r="G100" i="12" s="1"/>
  <c r="I100" i="12" s="1"/>
  <c r="G100" i="13" s="1"/>
  <c r="I100" i="13" s="1"/>
  <c r="G100" i="14" s="1"/>
  <c r="I100" i="14" s="1"/>
  <c r="G100" i="15" s="1"/>
  <c r="I100" i="15" s="1"/>
  <c r="G100" i="16" s="1"/>
  <c r="I100" i="16" s="1"/>
  <c r="G96" i="8"/>
  <c r="I96" i="8" s="1"/>
  <c r="G96" i="9" s="1"/>
  <c r="I96" i="9" s="1"/>
  <c r="G96" i="10" s="1"/>
  <c r="I96" i="10" s="1"/>
  <c r="G96" i="11" s="1"/>
  <c r="I96" i="11" s="1"/>
  <c r="G96" i="12" s="1"/>
  <c r="I96" i="12" s="1"/>
  <c r="G96" i="13" s="1"/>
  <c r="I96" i="13" s="1"/>
  <c r="G96" i="14" s="1"/>
  <c r="I96" i="14" s="1"/>
  <c r="G96" i="15" s="1"/>
  <c r="I96" i="15" s="1"/>
  <c r="G96" i="16" s="1"/>
  <c r="I96" i="16" s="1"/>
  <c r="I104" i="5"/>
  <c r="G105" i="6"/>
  <c r="F106" i="5"/>
  <c r="N106" i="5" s="1"/>
  <c r="F109" i="5"/>
  <c r="M109" i="5" s="1"/>
  <c r="E109" i="6"/>
  <c r="E109" i="7" s="1"/>
  <c r="E109" i="8" s="1"/>
  <c r="E109" i="9" s="1"/>
  <c r="E109" i="10" s="1"/>
  <c r="E109" i="11" s="1"/>
  <c r="E109" i="12" s="1"/>
  <c r="E109" i="13" s="1"/>
  <c r="E109" i="14" s="1"/>
  <c r="E109" i="15" s="1"/>
  <c r="E109" i="16" s="1"/>
  <c r="D122" i="8"/>
  <c r="F122" i="7"/>
  <c r="D124" i="7"/>
  <c r="F124" i="6"/>
  <c r="E115" i="7"/>
  <c r="E113" i="6"/>
  <c r="G95" i="6"/>
  <c r="F101" i="6"/>
  <c r="D101" i="7"/>
  <c r="D101" i="8" s="1"/>
  <c r="F97" i="6"/>
  <c r="D97" i="7"/>
  <c r="D97" i="8" s="1"/>
  <c r="G99" i="8"/>
  <c r="I99" i="8" s="1"/>
  <c r="G99" i="9" s="1"/>
  <c r="I99" i="9" s="1"/>
  <c r="G99" i="10" s="1"/>
  <c r="I99" i="10" s="1"/>
  <c r="G99" i="11" s="1"/>
  <c r="I99" i="11" s="1"/>
  <c r="G99" i="12" s="1"/>
  <c r="I99" i="12" s="1"/>
  <c r="G99" i="13" s="1"/>
  <c r="I99" i="13" s="1"/>
  <c r="G99" i="14" s="1"/>
  <c r="I99" i="14" s="1"/>
  <c r="G99" i="15" s="1"/>
  <c r="I99" i="15" s="1"/>
  <c r="G99" i="16" s="1"/>
  <c r="I99" i="16" s="1"/>
  <c r="L104" i="5"/>
  <c r="J105" i="6"/>
  <c r="F123" i="6"/>
  <c r="D123" i="7"/>
  <c r="I85" i="5"/>
  <c r="I88" i="6"/>
  <c r="G85" i="6"/>
  <c r="F120" i="5"/>
  <c r="N120" i="5" s="1"/>
  <c r="F118" i="5"/>
  <c r="N118" i="5" s="1"/>
  <c r="D85" i="5"/>
  <c r="F124" i="5"/>
  <c r="N124" i="5" s="1"/>
  <c r="E113" i="5"/>
  <c r="L113" i="5"/>
  <c r="AS15" i="5" s="1"/>
  <c r="AX15" i="5" s="1"/>
  <c r="D113" i="5"/>
  <c r="F100" i="5"/>
  <c r="M100" i="5" s="1"/>
  <c r="E94" i="5"/>
  <c r="I113" i="5"/>
  <c r="AR15" i="5" s="1"/>
  <c r="AW15" i="5" s="1"/>
  <c r="N107" i="5"/>
  <c r="M107" i="5"/>
  <c r="F105" i="5"/>
  <c r="F101" i="5"/>
  <c r="M101" i="5" s="1"/>
  <c r="F97" i="5"/>
  <c r="N97" i="5" s="1"/>
  <c r="N102" i="5"/>
  <c r="M98" i="5"/>
  <c r="N98" i="5"/>
  <c r="D94" i="5"/>
  <c r="L94" i="5"/>
  <c r="I94" i="5"/>
  <c r="M116" i="5"/>
  <c r="N116" i="5"/>
  <c r="N87" i="5"/>
  <c r="M92" i="5"/>
  <c r="M86" i="5"/>
  <c r="M90" i="5"/>
  <c r="N99" i="5" l="1"/>
  <c r="N111" i="5"/>
  <c r="M123" i="5"/>
  <c r="M91" i="5"/>
  <c r="N89" i="5"/>
  <c r="M121" i="5"/>
  <c r="N117" i="5"/>
  <c r="M106" i="5"/>
  <c r="F91" i="6"/>
  <c r="M91" i="6" s="1"/>
  <c r="BC19" i="5"/>
  <c r="N119" i="5"/>
  <c r="D21" i="20"/>
  <c r="M95" i="5"/>
  <c r="BC18" i="5"/>
  <c r="N115" i="5"/>
  <c r="M108" i="5"/>
  <c r="D113" i="6"/>
  <c r="M96" i="5"/>
  <c r="N88" i="5"/>
  <c r="M124" i="5"/>
  <c r="N95" i="5"/>
  <c r="M97" i="5"/>
  <c r="N110" i="5"/>
  <c r="F85" i="5"/>
  <c r="N109" i="5"/>
  <c r="M118" i="5"/>
  <c r="F113" i="5"/>
  <c r="AQ15" i="5" s="1"/>
  <c r="N100" i="5"/>
  <c r="F104" i="5"/>
  <c r="F122" i="8"/>
  <c r="N122" i="8" s="1"/>
  <c r="D122" i="9"/>
  <c r="M120" i="5"/>
  <c r="N97" i="6"/>
  <c r="M97" i="6"/>
  <c r="D124" i="8"/>
  <c r="F124" i="7"/>
  <c r="M122" i="7"/>
  <c r="N122" i="7"/>
  <c r="F101" i="7"/>
  <c r="J115" i="7"/>
  <c r="L113" i="6"/>
  <c r="AS15" i="6" s="1"/>
  <c r="AX15" i="6" s="1"/>
  <c r="N89" i="6"/>
  <c r="M89" i="6"/>
  <c r="F87" i="6"/>
  <c r="D118" i="8"/>
  <c r="F118" i="7"/>
  <c r="D105" i="7"/>
  <c r="F105" i="6"/>
  <c r="D104" i="6"/>
  <c r="N100" i="6"/>
  <c r="M100" i="6"/>
  <c r="D116" i="7"/>
  <c r="F116" i="6"/>
  <c r="N120" i="6"/>
  <c r="M120" i="6"/>
  <c r="BC20" i="5"/>
  <c r="D101" i="9"/>
  <c r="F101" i="8"/>
  <c r="D98" i="7"/>
  <c r="F98" i="6"/>
  <c r="D87" i="8"/>
  <c r="F87" i="7"/>
  <c r="L86" i="6"/>
  <c r="J85" i="6"/>
  <c r="D111" i="7"/>
  <c r="F111" i="6"/>
  <c r="F109" i="6"/>
  <c r="D107" i="7"/>
  <c r="F107" i="6"/>
  <c r="F95" i="6"/>
  <c r="D95" i="7"/>
  <c r="D94" i="6"/>
  <c r="D92" i="7"/>
  <c r="F92" i="6"/>
  <c r="F90" i="6"/>
  <c r="E86" i="7"/>
  <c r="E85" i="6"/>
  <c r="F117" i="6"/>
  <c r="D117" i="7"/>
  <c r="F121" i="6"/>
  <c r="D121" i="7"/>
  <c r="D100" i="8"/>
  <c r="F100" i="7"/>
  <c r="D120" i="8"/>
  <c r="F120" i="7"/>
  <c r="N101" i="5"/>
  <c r="N101" i="6"/>
  <c r="M101" i="6"/>
  <c r="E115" i="8"/>
  <c r="E113" i="7"/>
  <c r="I105" i="6"/>
  <c r="BD19" i="6" s="1"/>
  <c r="G104" i="6"/>
  <c r="D19" i="20"/>
  <c r="F97" i="7"/>
  <c r="F95" i="7"/>
  <c r="E95" i="8"/>
  <c r="E94" i="7"/>
  <c r="D109" i="8"/>
  <c r="F109" i="7"/>
  <c r="D20" i="20"/>
  <c r="D90" i="8"/>
  <c r="F90" i="7"/>
  <c r="M106" i="6"/>
  <c r="N106" i="6"/>
  <c r="D96" i="7"/>
  <c r="F96" i="6"/>
  <c r="D119" i="7"/>
  <c r="F119" i="6"/>
  <c r="F89" i="7"/>
  <c r="L105" i="6"/>
  <c r="J104" i="6"/>
  <c r="D97" i="9"/>
  <c r="F97" i="8"/>
  <c r="I95" i="6"/>
  <c r="BD18" i="6" s="1"/>
  <c r="G94" i="6"/>
  <c r="N124" i="6"/>
  <c r="M124" i="6"/>
  <c r="D102" i="7"/>
  <c r="F102" i="6"/>
  <c r="I115" i="6"/>
  <c r="G113" i="6"/>
  <c r="D88" i="7"/>
  <c r="F88" i="6"/>
  <c r="N88" i="6" s="1"/>
  <c r="D86" i="7"/>
  <c r="F86" i="6"/>
  <c r="D85" i="6"/>
  <c r="F110" i="6"/>
  <c r="D110" i="7"/>
  <c r="F108" i="6"/>
  <c r="D108" i="7"/>
  <c r="E105" i="7"/>
  <c r="E104" i="6"/>
  <c r="F99" i="6"/>
  <c r="D99" i="7"/>
  <c r="D91" i="8"/>
  <c r="F91" i="7"/>
  <c r="F115" i="6"/>
  <c r="D115" i="7"/>
  <c r="N118" i="6"/>
  <c r="M118" i="6"/>
  <c r="D106" i="8"/>
  <c r="F106" i="7"/>
  <c r="J95" i="7"/>
  <c r="L94" i="6"/>
  <c r="D89" i="9"/>
  <c r="F89" i="8"/>
  <c r="F123" i="7"/>
  <c r="D123" i="8"/>
  <c r="D123" i="9" s="1"/>
  <c r="M123" i="6"/>
  <c r="N123" i="6"/>
  <c r="G88" i="7"/>
  <c r="I85" i="6"/>
  <c r="M85" i="5"/>
  <c r="N105" i="5"/>
  <c r="M105" i="5"/>
  <c r="M104" i="5" s="1"/>
  <c r="F94" i="5"/>
  <c r="N91" i="6" l="1"/>
  <c r="M122" i="8"/>
  <c r="N85" i="5"/>
  <c r="N113" i="5"/>
  <c r="M94" i="5"/>
  <c r="BC18" i="6"/>
  <c r="BC19" i="6"/>
  <c r="M113" i="5"/>
  <c r="N104" i="5"/>
  <c r="M88" i="6"/>
  <c r="N94" i="5"/>
  <c r="F113" i="6"/>
  <c r="AQ15" i="6" s="1"/>
  <c r="F120" i="8"/>
  <c r="N120" i="8" s="1"/>
  <c r="D120" i="9"/>
  <c r="F123" i="9"/>
  <c r="D123" i="10"/>
  <c r="F118" i="8"/>
  <c r="N118" i="8" s="1"/>
  <c r="D118" i="9"/>
  <c r="E113" i="8"/>
  <c r="E115" i="9"/>
  <c r="F124" i="8"/>
  <c r="N124" i="8" s="1"/>
  <c r="D124" i="9"/>
  <c r="F122" i="9"/>
  <c r="D122" i="10"/>
  <c r="F89" i="9"/>
  <c r="D89" i="10"/>
  <c r="D106" i="9"/>
  <c r="F106" i="8"/>
  <c r="N91" i="7"/>
  <c r="M91" i="7"/>
  <c r="F110" i="7"/>
  <c r="D110" i="8"/>
  <c r="D86" i="8"/>
  <c r="D85" i="7"/>
  <c r="D102" i="8"/>
  <c r="F102" i="7"/>
  <c r="N97" i="8"/>
  <c r="M97" i="8"/>
  <c r="F119" i="7"/>
  <c r="D119" i="8"/>
  <c r="E95" i="9"/>
  <c r="E94" i="8"/>
  <c r="N120" i="7"/>
  <c r="M120" i="7"/>
  <c r="F121" i="7"/>
  <c r="D121" i="8"/>
  <c r="D92" i="8"/>
  <c r="F92" i="7"/>
  <c r="M107" i="6"/>
  <c r="N107" i="6"/>
  <c r="D111" i="8"/>
  <c r="F111" i="7"/>
  <c r="D87" i="9"/>
  <c r="F87" i="8"/>
  <c r="F101" i="9"/>
  <c r="D101" i="10"/>
  <c r="N116" i="6"/>
  <c r="M116" i="6"/>
  <c r="D91" i="9"/>
  <c r="F91" i="8"/>
  <c r="E105" i="8"/>
  <c r="E104" i="7"/>
  <c r="N110" i="6"/>
  <c r="M110" i="6"/>
  <c r="F97" i="9"/>
  <c r="D97" i="10"/>
  <c r="M96" i="6"/>
  <c r="N96" i="6"/>
  <c r="N109" i="7"/>
  <c r="M109" i="7"/>
  <c r="G105" i="7"/>
  <c r="I104" i="6"/>
  <c r="N121" i="6"/>
  <c r="M121" i="6"/>
  <c r="F86" i="7"/>
  <c r="E86" i="8"/>
  <c r="E85" i="7"/>
  <c r="D107" i="8"/>
  <c r="F107" i="7"/>
  <c r="N98" i="6"/>
  <c r="M98" i="6"/>
  <c r="D116" i="8"/>
  <c r="F116" i="7"/>
  <c r="N105" i="6"/>
  <c r="M105" i="6"/>
  <c r="F104" i="6"/>
  <c r="M118" i="7"/>
  <c r="N118" i="7"/>
  <c r="L95" i="7"/>
  <c r="N95" i="7" s="1"/>
  <c r="J94" i="7"/>
  <c r="F115" i="7"/>
  <c r="D115" i="8"/>
  <c r="D99" i="8"/>
  <c r="F99" i="7"/>
  <c r="F108" i="7"/>
  <c r="D108" i="8"/>
  <c r="D88" i="8"/>
  <c r="F88" i="7"/>
  <c r="N88" i="7" s="1"/>
  <c r="BD20" i="6"/>
  <c r="G115" i="7"/>
  <c r="I113" i="6"/>
  <c r="AR15" i="6" s="1"/>
  <c r="AW15" i="6" s="1"/>
  <c r="N89" i="7"/>
  <c r="M89" i="7"/>
  <c r="D96" i="8"/>
  <c r="F96" i="7"/>
  <c r="N90" i="7"/>
  <c r="M90" i="7"/>
  <c r="D109" i="9"/>
  <c r="F109" i="8"/>
  <c r="N97" i="7"/>
  <c r="M97" i="7"/>
  <c r="M100" i="7"/>
  <c r="N100" i="7"/>
  <c r="F117" i="7"/>
  <c r="D117" i="8"/>
  <c r="M90" i="6"/>
  <c r="N90" i="6"/>
  <c r="D95" i="8"/>
  <c r="D94" i="7"/>
  <c r="M109" i="6"/>
  <c r="N109" i="6"/>
  <c r="J86" i="7"/>
  <c r="L85" i="6"/>
  <c r="D98" i="8"/>
  <c r="F98" i="7"/>
  <c r="D105" i="8"/>
  <c r="F105" i="7"/>
  <c r="D104" i="7"/>
  <c r="D113" i="7"/>
  <c r="M89" i="8"/>
  <c r="N89" i="8"/>
  <c r="N106" i="7"/>
  <c r="M106" i="7"/>
  <c r="N115" i="6"/>
  <c r="M115" i="6"/>
  <c r="N99" i="6"/>
  <c r="M99" i="6"/>
  <c r="N108" i="6"/>
  <c r="M108" i="6"/>
  <c r="N86" i="6"/>
  <c r="M86" i="6"/>
  <c r="F85" i="6"/>
  <c r="M102" i="6"/>
  <c r="N102" i="6"/>
  <c r="G95" i="7"/>
  <c r="I94" i="6"/>
  <c r="J105" i="7"/>
  <c r="L104" i="6"/>
  <c r="BC20" i="6"/>
  <c r="N119" i="6"/>
  <c r="M119" i="6"/>
  <c r="D90" i="9"/>
  <c r="F90" i="8"/>
  <c r="D100" i="9"/>
  <c r="F100" i="8"/>
  <c r="N117" i="6"/>
  <c r="M117" i="6"/>
  <c r="N92" i="6"/>
  <c r="M92" i="6"/>
  <c r="M95" i="6"/>
  <c r="N95" i="6"/>
  <c r="F94" i="6"/>
  <c r="M111" i="6"/>
  <c r="N111" i="6"/>
  <c r="N87" i="7"/>
  <c r="M87" i="7"/>
  <c r="N101" i="8"/>
  <c r="M101" i="8"/>
  <c r="N87" i="6"/>
  <c r="M87" i="6"/>
  <c r="L115" i="7"/>
  <c r="J113" i="7"/>
  <c r="N101" i="7"/>
  <c r="M101" i="7"/>
  <c r="N124" i="7"/>
  <c r="M124" i="7"/>
  <c r="F123" i="8"/>
  <c r="N123" i="7"/>
  <c r="M123" i="7"/>
  <c r="I88" i="7"/>
  <c r="G85" i="7"/>
  <c r="C38" i="16"/>
  <c r="C39" i="16"/>
  <c r="C40" i="16"/>
  <c r="C41" i="16"/>
  <c r="C38" i="15"/>
  <c r="C39" i="15"/>
  <c r="C40" i="15"/>
  <c r="C38" i="14"/>
  <c r="C39" i="14"/>
  <c r="C40" i="14"/>
  <c r="C41" i="14"/>
  <c r="C38" i="13"/>
  <c r="C39" i="13"/>
  <c r="C40" i="13"/>
  <c r="C41" i="13"/>
  <c r="C38" i="12"/>
  <c r="C39" i="12"/>
  <c r="C40" i="12"/>
  <c r="C41" i="12"/>
  <c r="C38" i="11"/>
  <c r="C39" i="11"/>
  <c r="C40" i="11"/>
  <c r="C41" i="11"/>
  <c r="C38" i="10"/>
  <c r="C39" i="10"/>
  <c r="C40" i="10"/>
  <c r="C41" i="10"/>
  <c r="C38" i="9"/>
  <c r="C39" i="9"/>
  <c r="C40" i="9"/>
  <c r="C41" i="9"/>
  <c r="C38" i="8"/>
  <c r="C39" i="8"/>
  <c r="C40" i="8"/>
  <c r="C38" i="7"/>
  <c r="C39" i="7"/>
  <c r="C40" i="7"/>
  <c r="BE13" i="6"/>
  <c r="C38" i="6"/>
  <c r="C39" i="6"/>
  <c r="C40" i="6"/>
  <c r="B38" i="6"/>
  <c r="B38" i="7" s="1"/>
  <c r="B38" i="8" s="1"/>
  <c r="B38" i="9" s="1"/>
  <c r="B38" i="10" s="1"/>
  <c r="B38" i="11" s="1"/>
  <c r="B38" i="12" s="1"/>
  <c r="B38" i="13" s="1"/>
  <c r="B38" i="14" s="1"/>
  <c r="B38" i="15" s="1"/>
  <c r="B38" i="16" s="1"/>
  <c r="B39" i="6"/>
  <c r="B39" i="7" s="1"/>
  <c r="B39" i="8" s="1"/>
  <c r="B39" i="9" s="1"/>
  <c r="B39" i="10" s="1"/>
  <c r="B39" i="11" s="1"/>
  <c r="B39" i="12" s="1"/>
  <c r="B39" i="13" s="1"/>
  <c r="B39" i="14" s="1"/>
  <c r="B39" i="15" s="1"/>
  <c r="B39" i="16" s="1"/>
  <c r="B40" i="6"/>
  <c r="B40" i="7" s="1"/>
  <c r="B40" i="8" s="1"/>
  <c r="B40" i="9" s="1"/>
  <c r="B40" i="10" s="1"/>
  <c r="B40" i="11" s="1"/>
  <c r="B40" i="12" s="1"/>
  <c r="B40" i="13" s="1"/>
  <c r="B40" i="14" s="1"/>
  <c r="B40" i="15" s="1"/>
  <c r="B40" i="16" s="1"/>
  <c r="A40" i="6"/>
  <c r="A40" i="7" s="1"/>
  <c r="A40" i="8" s="1"/>
  <c r="A40" i="9" s="1"/>
  <c r="A40" i="10" s="1"/>
  <c r="A40" i="11" s="1"/>
  <c r="A40" i="12" s="1"/>
  <c r="A38" i="6"/>
  <c r="A38" i="7" s="1"/>
  <c r="A38" i="8" s="1"/>
  <c r="A38" i="9" s="1"/>
  <c r="A38" i="10" s="1"/>
  <c r="A38" i="11" s="1"/>
  <c r="A38" i="12" s="1"/>
  <c r="A39" i="6"/>
  <c r="A39" i="7" s="1"/>
  <c r="A39" i="8" s="1"/>
  <c r="A39" i="9" s="1"/>
  <c r="A39" i="10" s="1"/>
  <c r="A39" i="11" s="1"/>
  <c r="A39" i="12" s="1"/>
  <c r="BE13" i="5"/>
  <c r="BC18" i="7" l="1"/>
  <c r="BC19" i="7"/>
  <c r="M120" i="8"/>
  <c r="M118" i="8"/>
  <c r="M124" i="8"/>
  <c r="D113" i="8"/>
  <c r="N94" i="6"/>
  <c r="F113" i="7"/>
  <c r="AQ15" i="7" s="1"/>
  <c r="M94" i="6"/>
  <c r="F117" i="8"/>
  <c r="M117" i="8" s="1"/>
  <c r="D117" i="9"/>
  <c r="M122" i="9"/>
  <c r="N122" i="9"/>
  <c r="N123" i="9"/>
  <c r="M123" i="9"/>
  <c r="F119" i="8"/>
  <c r="M119" i="8" s="1"/>
  <c r="D119" i="9"/>
  <c r="F124" i="9"/>
  <c r="D124" i="10"/>
  <c r="F118" i="9"/>
  <c r="D118" i="10"/>
  <c r="F120" i="9"/>
  <c r="D120" i="10"/>
  <c r="F94" i="7"/>
  <c r="F115" i="8"/>
  <c r="D115" i="9"/>
  <c r="F116" i="8"/>
  <c r="N116" i="8" s="1"/>
  <c r="D116" i="9"/>
  <c r="M85" i="6"/>
  <c r="F121" i="8"/>
  <c r="N121" i="8" s="1"/>
  <c r="D121" i="9"/>
  <c r="D122" i="11"/>
  <c r="F122" i="10"/>
  <c r="E115" i="10"/>
  <c r="E113" i="9"/>
  <c r="D123" i="11"/>
  <c r="F123" i="10"/>
  <c r="M113" i="6"/>
  <c r="N113" i="6"/>
  <c r="D105" i="9"/>
  <c r="F105" i="8"/>
  <c r="D104" i="8"/>
  <c r="D98" i="9"/>
  <c r="F98" i="8"/>
  <c r="D95" i="9"/>
  <c r="F95" i="8"/>
  <c r="D94" i="8"/>
  <c r="N117" i="7"/>
  <c r="M117" i="7"/>
  <c r="D109" i="10"/>
  <c r="F109" i="9"/>
  <c r="D96" i="9"/>
  <c r="F96" i="8"/>
  <c r="N108" i="7"/>
  <c r="M108" i="7"/>
  <c r="N115" i="7"/>
  <c r="M104" i="6"/>
  <c r="I105" i="7"/>
  <c r="G104" i="7"/>
  <c r="E105" i="9"/>
  <c r="E104" i="8"/>
  <c r="D87" i="10"/>
  <c r="F87" i="9"/>
  <c r="N121" i="7"/>
  <c r="M121" i="7"/>
  <c r="E95" i="10"/>
  <c r="E94" i="9"/>
  <c r="D86" i="9"/>
  <c r="F86" i="8"/>
  <c r="D85" i="8"/>
  <c r="N110" i="7"/>
  <c r="M110" i="7"/>
  <c r="D106" i="10"/>
  <c r="F106" i="9"/>
  <c r="N100" i="8"/>
  <c r="M100" i="8"/>
  <c r="N90" i="8"/>
  <c r="M90" i="8"/>
  <c r="I95" i="7"/>
  <c r="BD18" i="7" s="1"/>
  <c r="G94" i="7"/>
  <c r="N99" i="7"/>
  <c r="M99" i="7"/>
  <c r="N104" i="6"/>
  <c r="E86" i="9"/>
  <c r="E85" i="8"/>
  <c r="D97" i="11"/>
  <c r="F97" i="10"/>
  <c r="N91" i="8"/>
  <c r="M91" i="8"/>
  <c r="D101" i="11"/>
  <c r="F101" i="10"/>
  <c r="M111" i="7"/>
  <c r="N111" i="7"/>
  <c r="N92" i="7"/>
  <c r="M92" i="7"/>
  <c r="N119" i="8"/>
  <c r="M102" i="7"/>
  <c r="N102" i="7"/>
  <c r="D89" i="11"/>
  <c r="F89" i="10"/>
  <c r="D100" i="10"/>
  <c r="F100" i="9"/>
  <c r="F90" i="9"/>
  <c r="D90" i="10"/>
  <c r="N85" i="6"/>
  <c r="L86" i="7"/>
  <c r="J85" i="7"/>
  <c r="D88" i="9"/>
  <c r="F88" i="8"/>
  <c r="N88" i="8" s="1"/>
  <c r="D99" i="9"/>
  <c r="F99" i="8"/>
  <c r="J95" i="8"/>
  <c r="L94" i="7"/>
  <c r="N116" i="7"/>
  <c r="M116" i="7"/>
  <c r="M107" i="7"/>
  <c r="N107" i="7"/>
  <c r="N86" i="7"/>
  <c r="M86" i="7"/>
  <c r="F85" i="7"/>
  <c r="N97" i="9"/>
  <c r="M97" i="9"/>
  <c r="D91" i="10"/>
  <c r="F91" i="9"/>
  <c r="N101" i="9"/>
  <c r="M101" i="9"/>
  <c r="D111" i="9"/>
  <c r="F111" i="8"/>
  <c r="D92" i="9"/>
  <c r="F92" i="8"/>
  <c r="BC20" i="7"/>
  <c r="M119" i="7"/>
  <c r="N119" i="7"/>
  <c r="D102" i="9"/>
  <c r="F102" i="8"/>
  <c r="M89" i="9"/>
  <c r="N89" i="9"/>
  <c r="J115" i="8"/>
  <c r="L113" i="7"/>
  <c r="AS15" i="7" s="1"/>
  <c r="AX15" i="7" s="1"/>
  <c r="L105" i="7"/>
  <c r="N105" i="7" s="1"/>
  <c r="J104" i="7"/>
  <c r="F104" i="7"/>
  <c r="M98" i="7"/>
  <c r="N98" i="7"/>
  <c r="N109" i="8"/>
  <c r="M109" i="8"/>
  <c r="N96" i="7"/>
  <c r="M96" i="7"/>
  <c r="I115" i="7"/>
  <c r="G113" i="7"/>
  <c r="F108" i="8"/>
  <c r="D108" i="9"/>
  <c r="D107" i="9"/>
  <c r="F107" i="8"/>
  <c r="N87" i="8"/>
  <c r="M87" i="8"/>
  <c r="F110" i="8"/>
  <c r="D110" i="9"/>
  <c r="M106" i="8"/>
  <c r="N106" i="8"/>
  <c r="M123" i="8"/>
  <c r="N123" i="8"/>
  <c r="G88" i="8"/>
  <c r="M88" i="7"/>
  <c r="I85" i="7"/>
  <c r="L38" i="5"/>
  <c r="J38" i="6" s="1"/>
  <c r="L38" i="6" s="1"/>
  <c r="J38" i="7" s="1"/>
  <c r="L38" i="7" s="1"/>
  <c r="J38" i="8" s="1"/>
  <c r="L38" i="8" s="1"/>
  <c r="J38" i="9" s="1"/>
  <c r="L38" i="9" s="1"/>
  <c r="J38" i="10" s="1"/>
  <c r="L38" i="10" s="1"/>
  <c r="J38" i="11" s="1"/>
  <c r="L38" i="11" s="1"/>
  <c r="J38" i="12" s="1"/>
  <c r="L39" i="5"/>
  <c r="J39" i="6" s="1"/>
  <c r="L39" i="6" s="1"/>
  <c r="J39" i="7" s="1"/>
  <c r="L39" i="7" s="1"/>
  <c r="J39" i="8" s="1"/>
  <c r="L39" i="8" s="1"/>
  <c r="J39" i="9" s="1"/>
  <c r="L39" i="9" s="1"/>
  <c r="J39" i="10" s="1"/>
  <c r="L39" i="10" s="1"/>
  <c r="J39" i="11" s="1"/>
  <c r="L39" i="11" s="1"/>
  <c r="J39" i="12" s="1"/>
  <c r="L39" i="12" s="1"/>
  <c r="J39" i="13" s="1"/>
  <c r="L39" i="13" s="1"/>
  <c r="J39" i="14" s="1"/>
  <c r="L39" i="14" s="1"/>
  <c r="J39" i="15" s="1"/>
  <c r="L39" i="15" s="1"/>
  <c r="J39" i="16" s="1"/>
  <c r="L39" i="16" s="1"/>
  <c r="L40" i="5"/>
  <c r="J40" i="6" s="1"/>
  <c r="L40" i="6" s="1"/>
  <c r="J40" i="7" s="1"/>
  <c r="L40" i="7" s="1"/>
  <c r="J40" i="8" s="1"/>
  <c r="L40" i="8" s="1"/>
  <c r="J40" i="9" s="1"/>
  <c r="L40" i="9" s="1"/>
  <c r="J40" i="10" s="1"/>
  <c r="L40" i="10" s="1"/>
  <c r="J40" i="11" s="1"/>
  <c r="L40" i="11" s="1"/>
  <c r="J40" i="12" s="1"/>
  <c r="L40" i="12" s="1"/>
  <c r="J40" i="13" s="1"/>
  <c r="L40" i="13" s="1"/>
  <c r="J40" i="14" s="1"/>
  <c r="L40" i="14" s="1"/>
  <c r="J40" i="15" s="1"/>
  <c r="L40" i="15" s="1"/>
  <c r="J40" i="16" s="1"/>
  <c r="L40" i="16" s="1"/>
  <c r="I38" i="5"/>
  <c r="G38" i="6" s="1"/>
  <c r="I38" i="6" s="1"/>
  <c r="G38" i="7" s="1"/>
  <c r="I38" i="7" s="1"/>
  <c r="G38" i="8" s="1"/>
  <c r="I38" i="8" s="1"/>
  <c r="G38" i="9" s="1"/>
  <c r="I38" i="9" s="1"/>
  <c r="G38" i="10" s="1"/>
  <c r="I38" i="10" s="1"/>
  <c r="G38" i="11" s="1"/>
  <c r="I38" i="11" s="1"/>
  <c r="G38" i="12" s="1"/>
  <c r="I38" i="12" s="1"/>
  <c r="G38" i="13" s="1"/>
  <c r="I39" i="5"/>
  <c r="G39" i="6" s="1"/>
  <c r="I39" i="6" s="1"/>
  <c r="G39" i="7" s="1"/>
  <c r="I39" i="7" s="1"/>
  <c r="G39" i="8" s="1"/>
  <c r="I39" i="8" s="1"/>
  <c r="G39" i="9" s="1"/>
  <c r="I39" i="9" s="1"/>
  <c r="G39" i="10" s="1"/>
  <c r="I39" i="10" s="1"/>
  <c r="G39" i="11" s="1"/>
  <c r="I39" i="11" s="1"/>
  <c r="G39" i="12" s="1"/>
  <c r="I39" i="12" s="1"/>
  <c r="G39" i="13" s="1"/>
  <c r="I39" i="13" s="1"/>
  <c r="G39" i="14" s="1"/>
  <c r="I39" i="14" s="1"/>
  <c r="G39" i="15" s="1"/>
  <c r="I39" i="15" s="1"/>
  <c r="G39" i="16" s="1"/>
  <c r="I39" i="16" s="1"/>
  <c r="I40" i="5"/>
  <c r="G40" i="6" s="1"/>
  <c r="I40" i="6" s="1"/>
  <c r="G40" i="7" s="1"/>
  <c r="I40" i="7" s="1"/>
  <c r="G40" i="8" s="1"/>
  <c r="I40" i="8" s="1"/>
  <c r="G40" i="9" s="1"/>
  <c r="I40" i="9" s="1"/>
  <c r="G40" i="10" s="1"/>
  <c r="I40" i="10" s="1"/>
  <c r="G40" i="11" s="1"/>
  <c r="I40" i="11" s="1"/>
  <c r="G40" i="12" s="1"/>
  <c r="I40" i="12" s="1"/>
  <c r="G40" i="13" s="1"/>
  <c r="I40" i="13" s="1"/>
  <c r="G40" i="14" s="1"/>
  <c r="I40" i="14" s="1"/>
  <c r="G40" i="15" s="1"/>
  <c r="I40" i="15" s="1"/>
  <c r="G40" i="16" s="1"/>
  <c r="I40" i="16" s="1"/>
  <c r="E38" i="5"/>
  <c r="E38" i="6" s="1"/>
  <c r="E38" i="7" s="1"/>
  <c r="E38" i="8" s="1"/>
  <c r="E38" i="9" s="1"/>
  <c r="E38" i="10" s="1"/>
  <c r="E38" i="11" s="1"/>
  <c r="E39" i="5"/>
  <c r="E40" i="5"/>
  <c r="E40" i="6" s="1"/>
  <c r="E40" i="7" s="1"/>
  <c r="E40" i="8" s="1"/>
  <c r="E40" i="9" s="1"/>
  <c r="E40" i="10" s="1"/>
  <c r="E40" i="11" s="1"/>
  <c r="E40" i="12" s="1"/>
  <c r="E40" i="13" s="1"/>
  <c r="E40" i="14" s="1"/>
  <c r="E40" i="15" s="1"/>
  <c r="E40" i="16" s="1"/>
  <c r="D38" i="5"/>
  <c r="D39" i="5"/>
  <c r="D39" i="6" s="1"/>
  <c r="D40" i="5"/>
  <c r="D40" i="6" s="1"/>
  <c r="M105" i="7" l="1"/>
  <c r="M104" i="7" s="1"/>
  <c r="BD19" i="7"/>
  <c r="BC18" i="8"/>
  <c r="BC19" i="8"/>
  <c r="N113" i="7"/>
  <c r="M121" i="8"/>
  <c r="N85" i="7"/>
  <c r="BC20" i="8"/>
  <c r="N117" i="8"/>
  <c r="F113" i="8"/>
  <c r="AQ15" i="8" s="1"/>
  <c r="M85" i="7"/>
  <c r="M116" i="8"/>
  <c r="N104" i="7"/>
  <c r="N94" i="7"/>
  <c r="N123" i="10"/>
  <c r="M123" i="10"/>
  <c r="N122" i="10"/>
  <c r="M122" i="10"/>
  <c r="F118" i="10"/>
  <c r="D118" i="11"/>
  <c r="F119" i="9"/>
  <c r="D119" i="10"/>
  <c r="F123" i="11"/>
  <c r="D123" i="12"/>
  <c r="D122" i="12"/>
  <c r="F122" i="11"/>
  <c r="F116" i="9"/>
  <c r="D116" i="10"/>
  <c r="N118" i="9"/>
  <c r="M118" i="9"/>
  <c r="F121" i="9"/>
  <c r="D121" i="10"/>
  <c r="D120" i="11"/>
  <c r="F120" i="10"/>
  <c r="D124" i="11"/>
  <c r="F124" i="10"/>
  <c r="F117" i="9"/>
  <c r="D117" i="10"/>
  <c r="E115" i="11"/>
  <c r="E113" i="10"/>
  <c r="F115" i="9"/>
  <c r="D113" i="9"/>
  <c r="D115" i="10"/>
  <c r="N120" i="9"/>
  <c r="M120" i="9"/>
  <c r="M124" i="9"/>
  <c r="N124" i="9"/>
  <c r="M107" i="8"/>
  <c r="N107" i="8"/>
  <c r="N111" i="8"/>
  <c r="M111" i="8"/>
  <c r="N91" i="9"/>
  <c r="M91" i="9"/>
  <c r="L95" i="8"/>
  <c r="N95" i="8" s="1"/>
  <c r="J94" i="8"/>
  <c r="F88" i="9"/>
  <c r="N88" i="9" s="1"/>
  <c r="D88" i="10"/>
  <c r="J86" i="8"/>
  <c r="L85" i="7"/>
  <c r="N100" i="9"/>
  <c r="M100" i="9"/>
  <c r="G95" i="8"/>
  <c r="I94" i="7"/>
  <c r="M95" i="7"/>
  <c r="M94" i="7" s="1"/>
  <c r="F106" i="10"/>
  <c r="D106" i="11"/>
  <c r="M86" i="8"/>
  <c r="F85" i="8"/>
  <c r="E105" i="10"/>
  <c r="E104" i="9"/>
  <c r="D96" i="10"/>
  <c r="F96" i="9"/>
  <c r="M98" i="8"/>
  <c r="N98" i="8"/>
  <c r="D105" i="10"/>
  <c r="F105" i="9"/>
  <c r="D104" i="9"/>
  <c r="D107" i="10"/>
  <c r="F107" i="9"/>
  <c r="BD20" i="7"/>
  <c r="G115" i="8"/>
  <c r="I113" i="7"/>
  <c r="AR15" i="7" s="1"/>
  <c r="AW15" i="7" s="1"/>
  <c r="N102" i="8"/>
  <c r="M102" i="8"/>
  <c r="D111" i="10"/>
  <c r="F111" i="9"/>
  <c r="D91" i="11"/>
  <c r="F91" i="10"/>
  <c r="M99" i="8"/>
  <c r="N99" i="8"/>
  <c r="D100" i="11"/>
  <c r="F100" i="10"/>
  <c r="N89" i="10"/>
  <c r="M89" i="10"/>
  <c r="E86" i="10"/>
  <c r="E85" i="9"/>
  <c r="F86" i="9"/>
  <c r="D86" i="10"/>
  <c r="D85" i="9"/>
  <c r="M115" i="7"/>
  <c r="M113" i="7" s="1"/>
  <c r="N109" i="9"/>
  <c r="M109" i="9"/>
  <c r="D98" i="10"/>
  <c r="F98" i="9"/>
  <c r="D110" i="10"/>
  <c r="F110" i="9"/>
  <c r="D108" i="10"/>
  <c r="F108" i="9"/>
  <c r="F102" i="9"/>
  <c r="D102" i="10"/>
  <c r="M92" i="8"/>
  <c r="N92" i="8"/>
  <c r="D94" i="9"/>
  <c r="F99" i="9"/>
  <c r="D99" i="10"/>
  <c r="D90" i="11"/>
  <c r="F90" i="10"/>
  <c r="D89" i="12"/>
  <c r="F89" i="11"/>
  <c r="N101" i="10"/>
  <c r="M101" i="10"/>
  <c r="N97" i="10"/>
  <c r="M97" i="10"/>
  <c r="N87" i="9"/>
  <c r="M87" i="9"/>
  <c r="G105" i="8"/>
  <c r="I104" i="7"/>
  <c r="F109" i="10"/>
  <c r="D109" i="11"/>
  <c r="F94" i="8"/>
  <c r="M110" i="8"/>
  <c r="N110" i="8"/>
  <c r="N108" i="8"/>
  <c r="M108" i="8"/>
  <c r="J105" i="8"/>
  <c r="L104" i="7"/>
  <c r="L115" i="8"/>
  <c r="J115" i="9" s="1"/>
  <c r="J113" i="8"/>
  <c r="D92" i="10"/>
  <c r="F92" i="9"/>
  <c r="N90" i="9"/>
  <c r="M90" i="9"/>
  <c r="F101" i="11"/>
  <c r="D101" i="12"/>
  <c r="F97" i="11"/>
  <c r="D97" i="12"/>
  <c r="N106" i="9"/>
  <c r="M106" i="9"/>
  <c r="E95" i="11"/>
  <c r="E94" i="10"/>
  <c r="D87" i="11"/>
  <c r="F87" i="10"/>
  <c r="M96" i="8"/>
  <c r="N96" i="8"/>
  <c r="F95" i="9"/>
  <c r="D95" i="10"/>
  <c r="F104" i="8"/>
  <c r="I88" i="8"/>
  <c r="G85" i="8"/>
  <c r="D39" i="7"/>
  <c r="F38" i="5"/>
  <c r="M38" i="5" s="1"/>
  <c r="D38" i="6"/>
  <c r="F40" i="6"/>
  <c r="D40" i="7"/>
  <c r="F39" i="5"/>
  <c r="M39" i="5" s="1"/>
  <c r="E39" i="6"/>
  <c r="E39" i="7" s="1"/>
  <c r="E39" i="8" s="1"/>
  <c r="E39" i="9" s="1"/>
  <c r="E39" i="10" s="1"/>
  <c r="E39" i="11" s="1"/>
  <c r="E39" i="12" s="1"/>
  <c r="E39" i="13" s="1"/>
  <c r="E39" i="14" s="1"/>
  <c r="E39" i="15" s="1"/>
  <c r="E39" i="16" s="1"/>
  <c r="I38" i="13"/>
  <c r="G38" i="14" s="1"/>
  <c r="I38" i="14" s="1"/>
  <c r="E38" i="12"/>
  <c r="E38" i="13" s="1"/>
  <c r="E38" i="14" s="1"/>
  <c r="E38" i="15" s="1"/>
  <c r="L38" i="12"/>
  <c r="J38" i="13" s="1"/>
  <c r="L38" i="13" s="1"/>
  <c r="J38" i="14" s="1"/>
  <c r="L38" i="14" s="1"/>
  <c r="J38" i="15" s="1"/>
  <c r="L38" i="15" s="1"/>
  <c r="J38" i="16" s="1"/>
  <c r="L38" i="16" s="1"/>
  <c r="F40" i="5"/>
  <c r="N40" i="5" s="1"/>
  <c r="K15" i="10"/>
  <c r="K14" i="10"/>
  <c r="K13" i="10"/>
  <c r="K12" i="10"/>
  <c r="K15" i="9"/>
  <c r="K14" i="9"/>
  <c r="K13" i="9"/>
  <c r="K12" i="9"/>
  <c r="K15" i="8"/>
  <c r="K14" i="8"/>
  <c r="K13" i="8"/>
  <c r="K12" i="8"/>
  <c r="BC18" i="9" l="1"/>
  <c r="BC19" i="9"/>
  <c r="D117" i="11"/>
  <c r="F117" i="10"/>
  <c r="M120" i="10"/>
  <c r="N120" i="10"/>
  <c r="N122" i="11"/>
  <c r="M122" i="11"/>
  <c r="D119" i="11"/>
  <c r="F119" i="10"/>
  <c r="BC20" i="9"/>
  <c r="F113" i="9"/>
  <c r="AQ15" i="9" s="1"/>
  <c r="N117" i="9"/>
  <c r="M117" i="9"/>
  <c r="D120" i="12"/>
  <c r="F120" i="11"/>
  <c r="D122" i="13"/>
  <c r="F122" i="12"/>
  <c r="N119" i="9"/>
  <c r="M119" i="9"/>
  <c r="M124" i="10"/>
  <c r="N124" i="10"/>
  <c r="D121" i="11"/>
  <c r="F121" i="10"/>
  <c r="D116" i="11"/>
  <c r="F116" i="10"/>
  <c r="F123" i="12"/>
  <c r="D123" i="13"/>
  <c r="D118" i="12"/>
  <c r="F118" i="11"/>
  <c r="L115" i="9"/>
  <c r="J113" i="9"/>
  <c r="D115" i="11"/>
  <c r="F115" i="10"/>
  <c r="D113" i="10"/>
  <c r="E115" i="12"/>
  <c r="E113" i="11"/>
  <c r="D124" i="12"/>
  <c r="F124" i="11"/>
  <c r="N121" i="9"/>
  <c r="M121" i="9"/>
  <c r="N116" i="9"/>
  <c r="M116" i="9"/>
  <c r="M123" i="11"/>
  <c r="N123" i="11"/>
  <c r="M118" i="10"/>
  <c r="N118" i="10"/>
  <c r="M40" i="5"/>
  <c r="D95" i="11"/>
  <c r="F95" i="10"/>
  <c r="D94" i="10"/>
  <c r="E95" i="12"/>
  <c r="E94" i="11"/>
  <c r="N97" i="11"/>
  <c r="M97" i="11"/>
  <c r="N90" i="10"/>
  <c r="M90" i="10"/>
  <c r="N102" i="9"/>
  <c r="M102" i="9"/>
  <c r="D110" i="11"/>
  <c r="F110" i="10"/>
  <c r="N98" i="9"/>
  <c r="M98" i="9"/>
  <c r="D86" i="11"/>
  <c r="F86" i="10"/>
  <c r="D85" i="10"/>
  <c r="N111" i="9"/>
  <c r="M111" i="9"/>
  <c r="D107" i="11"/>
  <c r="F107" i="10"/>
  <c r="D105" i="11"/>
  <c r="F105" i="10"/>
  <c r="D104" i="10"/>
  <c r="D96" i="11"/>
  <c r="F96" i="10"/>
  <c r="F94" i="9"/>
  <c r="N87" i="10"/>
  <c r="M87" i="10"/>
  <c r="F101" i="12"/>
  <c r="D101" i="13"/>
  <c r="L113" i="8"/>
  <c r="AS15" i="8" s="1"/>
  <c r="AX15" i="8" s="1"/>
  <c r="N115" i="8"/>
  <c r="N113" i="8" s="1"/>
  <c r="F109" i="11"/>
  <c r="D109" i="12"/>
  <c r="I105" i="8"/>
  <c r="BD19" i="8" s="1"/>
  <c r="G104" i="8"/>
  <c r="D90" i="12"/>
  <c r="F90" i="11"/>
  <c r="N108" i="9"/>
  <c r="M108" i="9"/>
  <c r="D98" i="11"/>
  <c r="F98" i="10"/>
  <c r="M86" i="9"/>
  <c r="F85" i="9"/>
  <c r="D111" i="11"/>
  <c r="F111" i="10"/>
  <c r="I115" i="8"/>
  <c r="G115" i="9" s="1"/>
  <c r="G113" i="8"/>
  <c r="L86" i="8"/>
  <c r="J85" i="8"/>
  <c r="J95" i="9"/>
  <c r="L94" i="8"/>
  <c r="D87" i="12"/>
  <c r="F87" i="11"/>
  <c r="N101" i="11"/>
  <c r="M101" i="11"/>
  <c r="N92" i="9"/>
  <c r="M92" i="9"/>
  <c r="N109" i="10"/>
  <c r="M109" i="10"/>
  <c r="M89" i="11"/>
  <c r="N89" i="11"/>
  <c r="F99" i="10"/>
  <c r="D99" i="11"/>
  <c r="F108" i="10"/>
  <c r="D108" i="11"/>
  <c r="M100" i="10"/>
  <c r="N100" i="10"/>
  <c r="N91" i="10"/>
  <c r="M91" i="10"/>
  <c r="E105" i="11"/>
  <c r="E104" i="10"/>
  <c r="D106" i="12"/>
  <c r="F106" i="11"/>
  <c r="I95" i="8"/>
  <c r="BD18" i="8" s="1"/>
  <c r="G94" i="8"/>
  <c r="D88" i="11"/>
  <c r="F88" i="10"/>
  <c r="N88" i="10" s="1"/>
  <c r="F97" i="12"/>
  <c r="D97" i="13"/>
  <c r="D92" i="11"/>
  <c r="F92" i="10"/>
  <c r="L105" i="8"/>
  <c r="J104" i="8"/>
  <c r="N94" i="8"/>
  <c r="F89" i="12"/>
  <c r="D89" i="13"/>
  <c r="M99" i="9"/>
  <c r="N99" i="9"/>
  <c r="D102" i="11"/>
  <c r="F102" i="10"/>
  <c r="N110" i="9"/>
  <c r="M110" i="9"/>
  <c r="E86" i="11"/>
  <c r="E85" i="10"/>
  <c r="D100" i="12"/>
  <c r="F100" i="11"/>
  <c r="D91" i="12"/>
  <c r="F91" i="11"/>
  <c r="N107" i="9"/>
  <c r="M107" i="9"/>
  <c r="F104" i="9"/>
  <c r="N96" i="9"/>
  <c r="M96" i="9"/>
  <c r="N106" i="10"/>
  <c r="M106" i="10"/>
  <c r="G88" i="9"/>
  <c r="M88" i="8"/>
  <c r="M85" i="8" s="1"/>
  <c r="I85" i="8"/>
  <c r="F39" i="6"/>
  <c r="M39" i="6" s="1"/>
  <c r="N39" i="5"/>
  <c r="N38" i="5"/>
  <c r="M40" i="6"/>
  <c r="N40" i="6"/>
  <c r="D39" i="8"/>
  <c r="F39" i="7"/>
  <c r="D38" i="7"/>
  <c r="F38" i="6"/>
  <c r="F40" i="7"/>
  <c r="D40" i="8"/>
  <c r="E38" i="16"/>
  <c r="G38" i="15"/>
  <c r="I38" i="15" s="1"/>
  <c r="G38" i="16" s="1"/>
  <c r="I38" i="16" s="1"/>
  <c r="F44" i="20"/>
  <c r="G44" i="20"/>
  <c r="H44" i="20"/>
  <c r="I44" i="20"/>
  <c r="J44" i="20"/>
  <c r="K44" i="20"/>
  <c r="L44" i="20"/>
  <c r="M44" i="20"/>
  <c r="N44" i="20"/>
  <c r="O44" i="20"/>
  <c r="P44" i="20"/>
  <c r="Q44" i="20"/>
  <c r="E44" i="20"/>
  <c r="D44" i="20"/>
  <c r="C44" i="20"/>
  <c r="BC19" i="10" l="1"/>
  <c r="BC18" i="10"/>
  <c r="N39" i="6"/>
  <c r="E115" i="13"/>
  <c r="E113" i="12"/>
  <c r="F123" i="13"/>
  <c r="D123" i="14"/>
  <c r="M121" i="10"/>
  <c r="N121" i="10"/>
  <c r="N120" i="11"/>
  <c r="M120" i="11"/>
  <c r="M119" i="10"/>
  <c r="N119" i="10"/>
  <c r="N124" i="11"/>
  <c r="M124" i="11"/>
  <c r="J115" i="10"/>
  <c r="L113" i="9"/>
  <c r="AS15" i="9" s="1"/>
  <c r="AX15" i="9" s="1"/>
  <c r="N123" i="12"/>
  <c r="M123" i="12"/>
  <c r="D121" i="12"/>
  <c r="F121" i="11"/>
  <c r="F120" i="12"/>
  <c r="D120" i="13"/>
  <c r="F119" i="11"/>
  <c r="D119" i="12"/>
  <c r="D124" i="13"/>
  <c r="F124" i="12"/>
  <c r="F113" i="10"/>
  <c r="AQ15" i="10" s="1"/>
  <c r="BC20" i="10"/>
  <c r="N118" i="11"/>
  <c r="M118" i="11"/>
  <c r="M116" i="10"/>
  <c r="N116" i="10"/>
  <c r="M122" i="12"/>
  <c r="N122" i="12"/>
  <c r="M117" i="10"/>
  <c r="N117" i="10"/>
  <c r="I115" i="9"/>
  <c r="G113" i="9"/>
  <c r="F115" i="11"/>
  <c r="D115" i="12"/>
  <c r="D113" i="11"/>
  <c r="F118" i="12"/>
  <c r="D118" i="13"/>
  <c r="D116" i="12"/>
  <c r="F116" i="11"/>
  <c r="D122" i="14"/>
  <c r="F122" i="13"/>
  <c r="N115" i="9"/>
  <c r="N113" i="9" s="1"/>
  <c r="D117" i="12"/>
  <c r="F117" i="11"/>
  <c r="D100" i="13"/>
  <c r="F100" i="12"/>
  <c r="D97" i="14"/>
  <c r="F97" i="13"/>
  <c r="N108" i="10"/>
  <c r="M108" i="10"/>
  <c r="F87" i="12"/>
  <c r="D87" i="13"/>
  <c r="J86" i="9"/>
  <c r="L85" i="8"/>
  <c r="N86" i="8"/>
  <c r="N85" i="8" s="1"/>
  <c r="D111" i="12"/>
  <c r="F111" i="11"/>
  <c r="N98" i="10"/>
  <c r="M98" i="10"/>
  <c r="N90" i="11"/>
  <c r="M90" i="11"/>
  <c r="D109" i="13"/>
  <c r="F109" i="12"/>
  <c r="D101" i="14"/>
  <c r="F101" i="13"/>
  <c r="M96" i="10"/>
  <c r="N96" i="10"/>
  <c r="F105" i="11"/>
  <c r="D105" i="12"/>
  <c r="D104" i="11"/>
  <c r="N91" i="11"/>
  <c r="M91" i="11"/>
  <c r="N102" i="10"/>
  <c r="M102" i="10"/>
  <c r="D89" i="14"/>
  <c r="F89" i="13"/>
  <c r="AQ12" i="13" s="1"/>
  <c r="J105" i="9"/>
  <c r="L104" i="8"/>
  <c r="N105" i="8"/>
  <c r="N104" i="8" s="1"/>
  <c r="M97" i="12"/>
  <c r="N97" i="12"/>
  <c r="G95" i="9"/>
  <c r="I94" i="8"/>
  <c r="M95" i="8"/>
  <c r="M94" i="8" s="1"/>
  <c r="E105" i="12"/>
  <c r="E104" i="11"/>
  <c r="F99" i="11"/>
  <c r="D99" i="12"/>
  <c r="D98" i="12"/>
  <c r="F98" i="11"/>
  <c r="D90" i="13"/>
  <c r="F90" i="12"/>
  <c r="N109" i="11"/>
  <c r="M109" i="11"/>
  <c r="N101" i="12"/>
  <c r="M101" i="12"/>
  <c r="D96" i="12"/>
  <c r="F96" i="11"/>
  <c r="N107" i="10"/>
  <c r="M107" i="10"/>
  <c r="F94" i="10"/>
  <c r="F91" i="12"/>
  <c r="D91" i="13"/>
  <c r="E86" i="12"/>
  <c r="E85" i="11"/>
  <c r="F102" i="11"/>
  <c r="D102" i="12"/>
  <c r="N89" i="12"/>
  <c r="M89" i="12"/>
  <c r="N92" i="10"/>
  <c r="M92" i="10"/>
  <c r="N106" i="11"/>
  <c r="M106" i="11"/>
  <c r="M99" i="10"/>
  <c r="N99" i="10"/>
  <c r="L95" i="9"/>
  <c r="J94" i="9"/>
  <c r="BD20" i="8"/>
  <c r="I113" i="8"/>
  <c r="AR15" i="8" s="1"/>
  <c r="AW15" i="8" s="1"/>
  <c r="M115" i="8"/>
  <c r="M113" i="8" s="1"/>
  <c r="F107" i="11"/>
  <c r="D107" i="12"/>
  <c r="M86" i="10"/>
  <c r="F85" i="10"/>
  <c r="N110" i="10"/>
  <c r="M110" i="10"/>
  <c r="F95" i="11"/>
  <c r="D95" i="12"/>
  <c r="D94" i="11"/>
  <c r="N100" i="11"/>
  <c r="M100" i="11"/>
  <c r="D92" i="12"/>
  <c r="F92" i="11"/>
  <c r="D88" i="12"/>
  <c r="F88" i="11"/>
  <c r="N88" i="11" s="1"/>
  <c r="F106" i="12"/>
  <c r="D106" i="13"/>
  <c r="D108" i="12"/>
  <c r="F108" i="11"/>
  <c r="N87" i="11"/>
  <c r="M87" i="11"/>
  <c r="N111" i="10"/>
  <c r="M111" i="10"/>
  <c r="G105" i="9"/>
  <c r="I104" i="8"/>
  <c r="M105" i="8"/>
  <c r="M104" i="8" s="1"/>
  <c r="F104" i="10"/>
  <c r="D86" i="12"/>
  <c r="F86" i="11"/>
  <c r="D85" i="11"/>
  <c r="D110" i="12"/>
  <c r="F110" i="11"/>
  <c r="E95" i="13"/>
  <c r="E94" i="12"/>
  <c r="I88" i="9"/>
  <c r="G85" i="9"/>
  <c r="R44" i="20"/>
  <c r="M40" i="7"/>
  <c r="N40" i="7"/>
  <c r="N38" i="6"/>
  <c r="M38" i="6"/>
  <c r="D38" i="8"/>
  <c r="F38" i="7"/>
  <c r="F40" i="8"/>
  <c r="D40" i="9"/>
  <c r="M39" i="7"/>
  <c r="N39" i="7"/>
  <c r="D39" i="9"/>
  <c r="F39" i="8"/>
  <c r="BM3" i="16"/>
  <c r="BG3" i="16"/>
  <c r="BB3" i="16"/>
  <c r="BM3" i="15"/>
  <c r="BG3" i="15"/>
  <c r="BB3" i="15"/>
  <c r="BM3" i="14"/>
  <c r="BG3" i="14"/>
  <c r="BB3" i="14"/>
  <c r="BM3" i="13"/>
  <c r="BG3" i="13"/>
  <c r="BB3" i="13"/>
  <c r="BM3" i="12"/>
  <c r="BG3" i="12"/>
  <c r="BB3" i="12"/>
  <c r="BM3" i="11"/>
  <c r="BG3" i="11"/>
  <c r="BB3" i="11"/>
  <c r="BB3" i="10"/>
  <c r="BG3" i="10"/>
  <c r="BM3" i="10"/>
  <c r="BM3" i="9"/>
  <c r="BG3" i="9"/>
  <c r="BB3" i="9"/>
  <c r="BG3" i="7"/>
  <c r="BM3" i="6"/>
  <c r="BG3" i="8"/>
  <c r="BM3" i="8"/>
  <c r="BB3" i="8"/>
  <c r="BM3" i="7"/>
  <c r="BB3" i="7"/>
  <c r="BG3" i="6"/>
  <c r="BB3" i="6"/>
  <c r="BB3" i="5"/>
  <c r="BM3" i="5"/>
  <c r="BG3" i="5"/>
  <c r="A2" i="18"/>
  <c r="A2" i="19"/>
  <c r="B3" i="20"/>
  <c r="Q28" i="20"/>
  <c r="P28" i="20"/>
  <c r="O28" i="20"/>
  <c r="N28" i="20"/>
  <c r="M28" i="20"/>
  <c r="L28" i="20"/>
  <c r="K28" i="20"/>
  <c r="J28" i="20"/>
  <c r="I28" i="20"/>
  <c r="H28" i="20"/>
  <c r="G28" i="20"/>
  <c r="F28" i="20"/>
  <c r="H2" i="20"/>
  <c r="K1" i="20"/>
  <c r="AT11" i="6"/>
  <c r="T209" i="10"/>
  <c r="T209" i="11" s="1"/>
  <c r="T209" i="12" s="1"/>
  <c r="T106" i="6"/>
  <c r="T106" i="7" s="1"/>
  <c r="T106" i="8" s="1"/>
  <c r="T106" i="9" s="1"/>
  <c r="T106" i="10" s="1"/>
  <c r="T106" i="11" s="1"/>
  <c r="T106" i="12" s="1"/>
  <c r="T106" i="13" s="1"/>
  <c r="T106" i="14" s="1"/>
  <c r="T106" i="15" s="1"/>
  <c r="T106" i="16" s="1"/>
  <c r="T107" i="6"/>
  <c r="T107" i="7" s="1"/>
  <c r="T107" i="8" s="1"/>
  <c r="T107" i="9" s="1"/>
  <c r="T107" i="10" s="1"/>
  <c r="T107" i="11" s="1"/>
  <c r="T107" i="12" s="1"/>
  <c r="T107" i="13" s="1"/>
  <c r="T107" i="14" s="1"/>
  <c r="T107" i="15" s="1"/>
  <c r="T107" i="16" s="1"/>
  <c r="T59" i="6"/>
  <c r="T59" i="7" s="1"/>
  <c r="T60" i="6"/>
  <c r="T60" i="7" s="1"/>
  <c r="T60" i="8" s="1"/>
  <c r="T60" i="9" s="1"/>
  <c r="T60" i="10" s="1"/>
  <c r="T60" i="11" s="1"/>
  <c r="T60" i="12" s="1"/>
  <c r="T60" i="13" s="1"/>
  <c r="T60" i="14" s="1"/>
  <c r="T60" i="15" s="1"/>
  <c r="T60" i="16" s="1"/>
  <c r="T209" i="6"/>
  <c r="T209" i="7" s="1"/>
  <c r="T209" i="8" s="1"/>
  <c r="T188" i="6"/>
  <c r="T188" i="7" s="1"/>
  <c r="T188" i="8" s="1"/>
  <c r="T188" i="9" s="1"/>
  <c r="T188" i="10" s="1"/>
  <c r="T188" i="11" s="1"/>
  <c r="T188" i="12" s="1"/>
  <c r="T188" i="13" s="1"/>
  <c r="T188" i="14" s="1"/>
  <c r="T188" i="15" s="1"/>
  <c r="T188" i="16" s="1"/>
  <c r="T189" i="6"/>
  <c r="T189" i="7" s="1"/>
  <c r="T189" i="8" s="1"/>
  <c r="T189" i="9" s="1"/>
  <c r="T189" i="10" s="1"/>
  <c r="T189" i="11" s="1"/>
  <c r="T189" i="12" s="1"/>
  <c r="T189" i="13" s="1"/>
  <c r="T189" i="14" s="1"/>
  <c r="T189" i="15" s="1"/>
  <c r="T189" i="16" s="1"/>
  <c r="T190" i="6"/>
  <c r="T190" i="7" s="1"/>
  <c r="T190" i="8" s="1"/>
  <c r="T190" i="9" s="1"/>
  <c r="T190" i="10" s="1"/>
  <c r="T190" i="11" s="1"/>
  <c r="T190" i="12" s="1"/>
  <c r="T190" i="13" s="1"/>
  <c r="T190" i="14" s="1"/>
  <c r="T190" i="15" s="1"/>
  <c r="T190" i="16" s="1"/>
  <c r="T150" i="6"/>
  <c r="T150" i="7" s="1"/>
  <c r="T150" i="8" s="1"/>
  <c r="T150" i="9" s="1"/>
  <c r="T150" i="10" s="1"/>
  <c r="T150" i="11" s="1"/>
  <c r="T150" i="12" s="1"/>
  <c r="T150" i="13" s="1"/>
  <c r="T150" i="14" s="1"/>
  <c r="T150" i="15" s="1"/>
  <c r="T150" i="16" s="1"/>
  <c r="T151" i="6"/>
  <c r="T151" i="7" s="1"/>
  <c r="T151" i="8" s="1"/>
  <c r="T151" i="9" s="1"/>
  <c r="T151" i="10" s="1"/>
  <c r="T151" i="11" s="1"/>
  <c r="T151" i="12" s="1"/>
  <c r="T151" i="13" s="1"/>
  <c r="T151" i="14" s="1"/>
  <c r="T151" i="15" s="1"/>
  <c r="T151" i="16" s="1"/>
  <c r="T152" i="6"/>
  <c r="T152" i="7" s="1"/>
  <c r="T152" i="8" s="1"/>
  <c r="T152" i="9" s="1"/>
  <c r="T152" i="10" s="1"/>
  <c r="T152" i="11" s="1"/>
  <c r="T152" i="12" s="1"/>
  <c r="T152" i="13" s="1"/>
  <c r="T152" i="14" s="1"/>
  <c r="T152" i="15" s="1"/>
  <c r="T152" i="16" s="1"/>
  <c r="U172" i="5"/>
  <c r="B2" i="8"/>
  <c r="D12" i="5"/>
  <c r="D13" i="5"/>
  <c r="D13" i="6" s="1"/>
  <c r="D13" i="7" s="1"/>
  <c r="D14" i="5"/>
  <c r="D14" i="6" s="1"/>
  <c r="D14" i="7" s="1"/>
  <c r="D14" i="8" s="1"/>
  <c r="D14" i="9" s="1"/>
  <c r="D14" i="10" s="1"/>
  <c r="D14" i="11" s="1"/>
  <c r="D14" i="12" s="1"/>
  <c r="D14" i="13" s="1"/>
  <c r="D14" i="14" s="1"/>
  <c r="D14" i="15" s="1"/>
  <c r="D14" i="16" s="1"/>
  <c r="D15" i="5"/>
  <c r="D15" i="6" s="1"/>
  <c r="D15" i="7" s="1"/>
  <c r="D15" i="8" s="1"/>
  <c r="D15" i="9" s="1"/>
  <c r="D15" i="10" s="1"/>
  <c r="D15" i="11" s="1"/>
  <c r="D15" i="12" s="1"/>
  <c r="D15" i="13" s="1"/>
  <c r="D15" i="14" s="1"/>
  <c r="D15" i="15" s="1"/>
  <c r="D15" i="16" s="1"/>
  <c r="D23" i="5"/>
  <c r="D24" i="5"/>
  <c r="D24" i="6" s="1"/>
  <c r="D26" i="5"/>
  <c r="D26" i="6" s="1"/>
  <c r="D26" i="7" s="1"/>
  <c r="D26" i="8" s="1"/>
  <c r="D26" i="9" s="1"/>
  <c r="D26" i="10" s="1"/>
  <c r="D26" i="11" s="1"/>
  <c r="D27" i="5"/>
  <c r="D27" i="6" s="1"/>
  <c r="D30" i="5"/>
  <c r="D31" i="5"/>
  <c r="D31" i="6" s="1"/>
  <c r="D31" i="7" s="1"/>
  <c r="D33" i="5"/>
  <c r="D33" i="6" s="1"/>
  <c r="D33" i="7" s="1"/>
  <c r="D33" i="8" s="1"/>
  <c r="D33" i="9" s="1"/>
  <c r="D33" i="10" s="1"/>
  <c r="D33" i="11" s="1"/>
  <c r="D33" i="12" s="1"/>
  <c r="D34" i="5"/>
  <c r="D34" i="6" s="1"/>
  <c r="D36" i="5"/>
  <c r="D37" i="5"/>
  <c r="D37" i="6" s="1"/>
  <c r="D37" i="7" s="1"/>
  <c r="D41" i="5"/>
  <c r="D41" i="6" s="1"/>
  <c r="D43" i="5"/>
  <c r="D43" i="6" s="1"/>
  <c r="D44" i="5"/>
  <c r="D44" i="6" s="1"/>
  <c r="D44" i="7" s="1"/>
  <c r="D44" i="8" s="1"/>
  <c r="D44" i="9" s="1"/>
  <c r="D44" i="10" s="1"/>
  <c r="D44" i="11" s="1"/>
  <c r="D44" i="12" s="1"/>
  <c r="D44" i="13" s="1"/>
  <c r="D44" i="14" s="1"/>
  <c r="D44" i="15" s="1"/>
  <c r="D44" i="16" s="1"/>
  <c r="D46" i="5"/>
  <c r="D46" i="6" s="1"/>
  <c r="D47" i="5"/>
  <c r="D47" i="6" s="1"/>
  <c r="D47" i="7" s="1"/>
  <c r="D47" i="8" s="1"/>
  <c r="D47" i="9" s="1"/>
  <c r="D47" i="10" s="1"/>
  <c r="D47" i="11" s="1"/>
  <c r="D47" i="12" s="1"/>
  <c r="D47" i="13" s="1"/>
  <c r="D47" i="14" s="1"/>
  <c r="D47" i="15" s="1"/>
  <c r="D47" i="16" s="1"/>
  <c r="D49" i="5"/>
  <c r="D49" i="6" s="1"/>
  <c r="D49" i="7" s="1"/>
  <c r="D50" i="5"/>
  <c r="D50" i="6" s="1"/>
  <c r="D50" i="7" s="1"/>
  <c r="D50" i="8" s="1"/>
  <c r="D50" i="9" s="1"/>
  <c r="D50" i="10" s="1"/>
  <c r="D50" i="11" s="1"/>
  <c r="D52" i="5"/>
  <c r="D52" i="6" s="1"/>
  <c r="D53" i="5"/>
  <c r="D53" i="6" s="1"/>
  <c r="D53" i="7" s="1"/>
  <c r="D53" i="8" s="1"/>
  <c r="D53" i="9" s="1"/>
  <c r="D53" i="10" s="1"/>
  <c r="D53" i="11" s="1"/>
  <c r="D53" i="12" s="1"/>
  <c r="D53" i="13" s="1"/>
  <c r="D53" i="14" s="1"/>
  <c r="D53" i="15" s="1"/>
  <c r="D53" i="16" s="1"/>
  <c r="D55" i="5"/>
  <c r="D55" i="6" s="1"/>
  <c r="D56" i="5"/>
  <c r="D56" i="6" s="1"/>
  <c r="D56" i="7" s="1"/>
  <c r="D58" i="5"/>
  <c r="D58" i="6" s="1"/>
  <c r="D58" i="7" s="1"/>
  <c r="D58" i="8" s="1"/>
  <c r="D58" i="9" s="1"/>
  <c r="D58" i="10" s="1"/>
  <c r="D58" i="11" s="1"/>
  <c r="D58" i="12" s="1"/>
  <c r="D58" i="13" s="1"/>
  <c r="D58" i="14" s="1"/>
  <c r="D58" i="15" s="1"/>
  <c r="D58" i="16" s="1"/>
  <c r="D59" i="5"/>
  <c r="D59" i="6" s="1"/>
  <c r="D61" i="5"/>
  <c r="D61" i="6" s="1"/>
  <c r="D62" i="5"/>
  <c r="D62" i="6" s="1"/>
  <c r="D62" i="7" s="1"/>
  <c r="D62" i="8" s="1"/>
  <c r="D62" i="9" s="1"/>
  <c r="D62" i="10" s="1"/>
  <c r="D62" i="11" s="1"/>
  <c r="D62" i="12" s="1"/>
  <c r="D62" i="13" s="1"/>
  <c r="D62" i="14" s="1"/>
  <c r="D62" i="15" s="1"/>
  <c r="D62" i="16" s="1"/>
  <c r="D64" i="5"/>
  <c r="D65" i="5"/>
  <c r="D65" i="6" s="1"/>
  <c r="D65" i="7" s="1"/>
  <c r="D65" i="8" s="1"/>
  <c r="D65" i="9" s="1"/>
  <c r="D65" i="10" s="1"/>
  <c r="D65" i="11" s="1"/>
  <c r="D67" i="5"/>
  <c r="D67" i="6" s="1"/>
  <c r="D68" i="5"/>
  <c r="D68" i="6" s="1"/>
  <c r="D68" i="7" s="1"/>
  <c r="D70" i="5"/>
  <c r="D70" i="6" s="1"/>
  <c r="D70" i="7" s="1"/>
  <c r="D70" i="8" s="1"/>
  <c r="D70" i="9" s="1"/>
  <c r="D70" i="10" s="1"/>
  <c r="D70" i="11" s="1"/>
  <c r="D70" i="12" s="1"/>
  <c r="D70" i="13" s="1"/>
  <c r="D70" i="14" s="1"/>
  <c r="D70" i="15" s="1"/>
  <c r="D70" i="16" s="1"/>
  <c r="D71" i="5"/>
  <c r="D71" i="6" s="1"/>
  <c r="D73" i="5"/>
  <c r="D73" i="6" s="1"/>
  <c r="D74" i="5"/>
  <c r="D74" i="6" s="1"/>
  <c r="D74" i="7" s="1"/>
  <c r="D74" i="8" s="1"/>
  <c r="D74" i="9" s="1"/>
  <c r="D74" i="10" s="1"/>
  <c r="D76" i="5"/>
  <c r="D77" i="5"/>
  <c r="D77" i="6" s="1"/>
  <c r="D77" i="7" s="1"/>
  <c r="D77" i="8" s="1"/>
  <c r="D77" i="9" s="1"/>
  <c r="D77" i="10" s="1"/>
  <c r="D77" i="11" s="1"/>
  <c r="D77" i="12" s="1"/>
  <c r="D77" i="13" s="1"/>
  <c r="D77" i="14" s="1"/>
  <c r="D77" i="15" s="1"/>
  <c r="D77" i="16" s="1"/>
  <c r="D79" i="5"/>
  <c r="D79" i="6" s="1"/>
  <c r="D80" i="5"/>
  <c r="D80" i="6" s="1"/>
  <c r="D80" i="7" s="1"/>
  <c r="D80" i="8" s="1"/>
  <c r="D80" i="9" s="1"/>
  <c r="D80" i="10" s="1"/>
  <c r="D80" i="11" s="1"/>
  <c r="D80" i="12" s="1"/>
  <c r="D80" i="13" s="1"/>
  <c r="D80" i="14" s="1"/>
  <c r="D80" i="15" s="1"/>
  <c r="D80" i="16" s="1"/>
  <c r="D82" i="5"/>
  <c r="D82" i="6" s="1"/>
  <c r="D82" i="7" s="1"/>
  <c r="D82" i="8" s="1"/>
  <c r="D82" i="9" s="1"/>
  <c r="D82" i="10" s="1"/>
  <c r="D82" i="11" s="1"/>
  <c r="D82" i="12" s="1"/>
  <c r="D82" i="13" s="1"/>
  <c r="D82" i="14" s="1"/>
  <c r="D82" i="15" s="1"/>
  <c r="D82" i="16" s="1"/>
  <c r="D83" i="5"/>
  <c r="D83" i="6" s="1"/>
  <c r="D83" i="7" s="1"/>
  <c r="V17" i="5"/>
  <c r="V17" i="6" s="1"/>
  <c r="V17" i="7" s="1"/>
  <c r="V17" i="8" s="1"/>
  <c r="V17" i="9" s="1"/>
  <c r="V17" i="10" s="1"/>
  <c r="V17" i="11" s="1"/>
  <c r="V17" i="12" s="1"/>
  <c r="V17" i="13" s="1"/>
  <c r="V17" i="14" s="1"/>
  <c r="V17" i="15" s="1"/>
  <c r="V17" i="16" s="1"/>
  <c r="V18" i="5"/>
  <c r="V18" i="6" s="1"/>
  <c r="V18" i="7" s="1"/>
  <c r="V18" i="8" s="1"/>
  <c r="V18" i="9" s="1"/>
  <c r="V18" i="10" s="1"/>
  <c r="V18" i="11" s="1"/>
  <c r="V18" i="12" s="1"/>
  <c r="V18" i="13" s="1"/>
  <c r="V18" i="14" s="1"/>
  <c r="V18" i="15" s="1"/>
  <c r="V18" i="16" s="1"/>
  <c r="V19" i="5"/>
  <c r="V19" i="6" s="1"/>
  <c r="V19" i="7" s="1"/>
  <c r="V19" i="8" s="1"/>
  <c r="V19" i="9" s="1"/>
  <c r="V19" i="10" s="1"/>
  <c r="V19" i="11" s="1"/>
  <c r="V19" i="12" s="1"/>
  <c r="V19" i="13" s="1"/>
  <c r="V19" i="14" s="1"/>
  <c r="V19" i="15" s="1"/>
  <c r="V19" i="16" s="1"/>
  <c r="V21" i="5"/>
  <c r="V21" i="6" s="1"/>
  <c r="V22" i="5"/>
  <c r="V22" i="6" s="1"/>
  <c r="V22" i="7" s="1"/>
  <c r="V22" i="8" s="1"/>
  <c r="V22" i="9" s="1"/>
  <c r="V22" i="10" s="1"/>
  <c r="V22" i="11" s="1"/>
  <c r="V22" i="12" s="1"/>
  <c r="V22" i="13" s="1"/>
  <c r="V22" i="14" s="1"/>
  <c r="V22" i="15" s="1"/>
  <c r="V22" i="16" s="1"/>
  <c r="V23" i="5"/>
  <c r="V23" i="6" s="1"/>
  <c r="V23" i="7" s="1"/>
  <c r="V23" i="8" s="1"/>
  <c r="V23" i="9" s="1"/>
  <c r="V23" i="10" s="1"/>
  <c r="V23" i="11" s="1"/>
  <c r="V24" i="5"/>
  <c r="V24" i="6" s="1"/>
  <c r="V24" i="7" s="1"/>
  <c r="V24" i="8" s="1"/>
  <c r="V24" i="9" s="1"/>
  <c r="V24" i="10" s="1"/>
  <c r="V24" i="11" s="1"/>
  <c r="V24" i="12" s="1"/>
  <c r="V24" i="13" s="1"/>
  <c r="V24" i="14" s="1"/>
  <c r="V24" i="15" s="1"/>
  <c r="V24" i="16" s="1"/>
  <c r="V25" i="5"/>
  <c r="V25" i="6" s="1"/>
  <c r="V25" i="7" s="1"/>
  <c r="V25" i="8" s="1"/>
  <c r="V26" i="5"/>
  <c r="V26" i="6" s="1"/>
  <c r="V26" i="7" s="1"/>
  <c r="V26" i="8" s="1"/>
  <c r="V26" i="9" s="1"/>
  <c r="V26" i="10" s="1"/>
  <c r="V26" i="11" s="1"/>
  <c r="V26" i="12" s="1"/>
  <c r="V26" i="13" s="1"/>
  <c r="V26" i="14" s="1"/>
  <c r="V26" i="15" s="1"/>
  <c r="V26" i="16" s="1"/>
  <c r="V27" i="5"/>
  <c r="V27" i="6" s="1"/>
  <c r="V27" i="7" s="1"/>
  <c r="V27" i="8" s="1"/>
  <c r="V27" i="9" s="1"/>
  <c r="V27" i="10" s="1"/>
  <c r="V27" i="11" s="1"/>
  <c r="V27" i="12" s="1"/>
  <c r="V27" i="13" s="1"/>
  <c r="V27" i="14" s="1"/>
  <c r="V27" i="15" s="1"/>
  <c r="V27" i="16" s="1"/>
  <c r="V28" i="5"/>
  <c r="V28" i="6" s="1"/>
  <c r="V28" i="7" s="1"/>
  <c r="V28" i="8" s="1"/>
  <c r="V28" i="9" s="1"/>
  <c r="V28" i="10" s="1"/>
  <c r="V28" i="11" s="1"/>
  <c r="V28" i="12" s="1"/>
  <c r="V28" i="13" s="1"/>
  <c r="V28" i="14" s="1"/>
  <c r="V28" i="15" s="1"/>
  <c r="V28" i="16" s="1"/>
  <c r="V29" i="5"/>
  <c r="V29" i="6" s="1"/>
  <c r="V29" i="7" s="1"/>
  <c r="V29" i="8" s="1"/>
  <c r="V29" i="9" s="1"/>
  <c r="V29" i="10" s="1"/>
  <c r="V29" i="11" s="1"/>
  <c r="V29" i="12" s="1"/>
  <c r="V29" i="13" s="1"/>
  <c r="V29" i="14" s="1"/>
  <c r="V29" i="15" s="1"/>
  <c r="V29" i="16" s="1"/>
  <c r="V30" i="5"/>
  <c r="V30" i="6" s="1"/>
  <c r="V30" i="7" s="1"/>
  <c r="V30" i="8" s="1"/>
  <c r="V30" i="9" s="1"/>
  <c r="V30" i="10" s="1"/>
  <c r="V30" i="11" s="1"/>
  <c r="V30" i="12" s="1"/>
  <c r="V30" i="13" s="1"/>
  <c r="V30" i="14" s="1"/>
  <c r="V30" i="15" s="1"/>
  <c r="V30" i="16" s="1"/>
  <c r="V31" i="5"/>
  <c r="V31" i="6" s="1"/>
  <c r="V31" i="7" s="1"/>
  <c r="V31" i="8" s="1"/>
  <c r="V31" i="9" s="1"/>
  <c r="V31" i="10" s="1"/>
  <c r="V31" i="11" s="1"/>
  <c r="V31" i="12" s="1"/>
  <c r="V31" i="13" s="1"/>
  <c r="V31" i="14" s="1"/>
  <c r="V31" i="15" s="1"/>
  <c r="V31" i="16" s="1"/>
  <c r="V32" i="5"/>
  <c r="V32" i="6" s="1"/>
  <c r="V32" i="7" s="1"/>
  <c r="V32" i="8" s="1"/>
  <c r="V32" i="9" s="1"/>
  <c r="V32" i="10" s="1"/>
  <c r="V32" i="11" s="1"/>
  <c r="V32" i="12" s="1"/>
  <c r="V32" i="13" s="1"/>
  <c r="V32" i="14" s="1"/>
  <c r="V32" i="15" s="1"/>
  <c r="V32" i="16" s="1"/>
  <c r="V33" i="5"/>
  <c r="V33" i="6" s="1"/>
  <c r="V33" i="7" s="1"/>
  <c r="V33" i="8" s="1"/>
  <c r="V33" i="9" s="1"/>
  <c r="V33" i="10" s="1"/>
  <c r="V33" i="11" s="1"/>
  <c r="V33" i="12" s="1"/>
  <c r="V33" i="13" s="1"/>
  <c r="V33" i="14" s="1"/>
  <c r="V33" i="15" s="1"/>
  <c r="V33" i="16" s="1"/>
  <c r="V36" i="5"/>
  <c r="V36" i="6" s="1"/>
  <c r="V36" i="7" s="1"/>
  <c r="V36" i="8" s="1"/>
  <c r="V36" i="9" s="1"/>
  <c r="V36" i="10" s="1"/>
  <c r="V36" i="11" s="1"/>
  <c r="V36" i="12" s="1"/>
  <c r="V36" i="13" s="1"/>
  <c r="V36" i="14" s="1"/>
  <c r="V36" i="15" s="1"/>
  <c r="V36" i="16" s="1"/>
  <c r="V37" i="5"/>
  <c r="V37" i="6" s="1"/>
  <c r="V37" i="7" s="1"/>
  <c r="V37" i="8" s="1"/>
  <c r="V37" i="9" s="1"/>
  <c r="V37" i="10" s="1"/>
  <c r="V37" i="11" s="1"/>
  <c r="V38" i="5"/>
  <c r="V38" i="6" s="1"/>
  <c r="V38" i="7" s="1"/>
  <c r="V38" i="8" s="1"/>
  <c r="V38" i="9" s="1"/>
  <c r="V38" i="10" s="1"/>
  <c r="V38" i="11" s="1"/>
  <c r="V38" i="12" s="1"/>
  <c r="V38" i="13" s="1"/>
  <c r="V38" i="14" s="1"/>
  <c r="V38" i="15" s="1"/>
  <c r="V38" i="16" s="1"/>
  <c r="V39" i="5"/>
  <c r="V39" i="6" s="1"/>
  <c r="V40" i="5"/>
  <c r="V40" i="6" s="1"/>
  <c r="V40" i="7" s="1"/>
  <c r="V40" i="8" s="1"/>
  <c r="V40" i="9" s="1"/>
  <c r="V40" i="10" s="1"/>
  <c r="V40" i="11" s="1"/>
  <c r="V40" i="12" s="1"/>
  <c r="V40" i="13" s="1"/>
  <c r="V40" i="14" s="1"/>
  <c r="V40" i="15" s="1"/>
  <c r="V40" i="16" s="1"/>
  <c r="V41" i="5"/>
  <c r="V41" i="6" s="1"/>
  <c r="V41" i="7" s="1"/>
  <c r="V41" i="8" s="1"/>
  <c r="V41" i="9" s="1"/>
  <c r="V41" i="10" s="1"/>
  <c r="V41" i="11" s="1"/>
  <c r="V41" i="12" s="1"/>
  <c r="V41" i="13" s="1"/>
  <c r="V41" i="14" s="1"/>
  <c r="V41" i="15" s="1"/>
  <c r="V41" i="16" s="1"/>
  <c r="V45" i="5"/>
  <c r="V45" i="6" s="1"/>
  <c r="V45" i="7" s="1"/>
  <c r="V45" i="8" s="1"/>
  <c r="V45" i="9" s="1"/>
  <c r="V45" i="10" s="1"/>
  <c r="V45" i="11" s="1"/>
  <c r="V45" i="12" s="1"/>
  <c r="V45" i="13" s="1"/>
  <c r="V45" i="14" s="1"/>
  <c r="V45" i="15" s="1"/>
  <c r="V45" i="16" s="1"/>
  <c r="V46" i="5"/>
  <c r="V47" i="5"/>
  <c r="V47" i="6" s="1"/>
  <c r="V47" i="7" s="1"/>
  <c r="V47" i="8" s="1"/>
  <c r="V47" i="9" s="1"/>
  <c r="V47" i="10" s="1"/>
  <c r="V47" i="11" s="1"/>
  <c r="V47" i="12" s="1"/>
  <c r="V47" i="13" s="1"/>
  <c r="V47" i="14" s="1"/>
  <c r="V47" i="15" s="1"/>
  <c r="V47" i="16" s="1"/>
  <c r="V48" i="5"/>
  <c r="V48" i="6" s="1"/>
  <c r="V48" i="7" s="1"/>
  <c r="V48" i="8" s="1"/>
  <c r="V48" i="9" s="1"/>
  <c r="V48" i="10" s="1"/>
  <c r="V48" i="11" s="1"/>
  <c r="V50" i="5"/>
  <c r="V50" i="6" s="1"/>
  <c r="V50" i="7" s="1"/>
  <c r="V50" i="8" s="1"/>
  <c r="V50" i="9" s="1"/>
  <c r="V50" i="10" s="1"/>
  <c r="V51" i="5"/>
  <c r="V51" i="6" s="1"/>
  <c r="V52" i="5"/>
  <c r="V52" i="6" s="1"/>
  <c r="V52" i="7" s="1"/>
  <c r="V52" i="8" s="1"/>
  <c r="V52" i="9" s="1"/>
  <c r="V52" i="10" s="1"/>
  <c r="V52" i="11" s="1"/>
  <c r="V52" i="12" s="1"/>
  <c r="V52" i="13" s="1"/>
  <c r="V52" i="14" s="1"/>
  <c r="V52" i="15" s="1"/>
  <c r="V52" i="16" s="1"/>
  <c r="V53" i="5"/>
  <c r="V53" i="6" s="1"/>
  <c r="V53" i="7" s="1"/>
  <c r="V53" i="8" s="1"/>
  <c r="V53" i="9" s="1"/>
  <c r="V53" i="10" s="1"/>
  <c r="V53" i="11" s="1"/>
  <c r="V53" i="12" s="1"/>
  <c r="V54" i="5"/>
  <c r="V54" i="6" s="1"/>
  <c r="V54" i="7" s="1"/>
  <c r="V54" i="8" s="1"/>
  <c r="V54" i="9" s="1"/>
  <c r="V54" i="10" s="1"/>
  <c r="V54" i="11" s="1"/>
  <c r="V54" i="12" s="1"/>
  <c r="V54" i="13" s="1"/>
  <c r="V54" i="14" s="1"/>
  <c r="V54" i="15" s="1"/>
  <c r="V54" i="16" s="1"/>
  <c r="V55" i="5"/>
  <c r="V55" i="6" s="1"/>
  <c r="V55" i="7" s="1"/>
  <c r="V55" i="8" s="1"/>
  <c r="V55" i="9" s="1"/>
  <c r="V55" i="10" s="1"/>
  <c r="V55" i="11" s="1"/>
  <c r="V55" i="12" s="1"/>
  <c r="V55" i="13" s="1"/>
  <c r="V55" i="14" s="1"/>
  <c r="V55" i="15" s="1"/>
  <c r="V55" i="16" s="1"/>
  <c r="V59" i="5"/>
  <c r="V59" i="6" s="1"/>
  <c r="V60" i="5"/>
  <c r="V60" i="6" s="1"/>
  <c r="V60" i="7" s="1"/>
  <c r="V60" i="8" s="1"/>
  <c r="V60" i="9" s="1"/>
  <c r="V60" i="10" s="1"/>
  <c r="V60" i="11" s="1"/>
  <c r="V61" i="5"/>
  <c r="V61" i="6" s="1"/>
  <c r="V61" i="7" s="1"/>
  <c r="V61" i="8" s="1"/>
  <c r="V61" i="9" s="1"/>
  <c r="V61" i="10" s="1"/>
  <c r="V61" i="11" s="1"/>
  <c r="V61" i="12" s="1"/>
  <c r="V61" i="13" s="1"/>
  <c r="V61" i="14" s="1"/>
  <c r="V61" i="15" s="1"/>
  <c r="V61" i="16" s="1"/>
  <c r="V66" i="5"/>
  <c r="V66" i="6" s="1"/>
  <c r="V66" i="7" s="1"/>
  <c r="V66" i="8" s="1"/>
  <c r="V66" i="9" s="1"/>
  <c r="V66" i="10" s="1"/>
  <c r="V66" i="11" s="1"/>
  <c r="V66" i="12" s="1"/>
  <c r="V66" i="13" s="1"/>
  <c r="V66" i="14" s="1"/>
  <c r="V66" i="15" s="1"/>
  <c r="V66" i="16" s="1"/>
  <c r="V67" i="5"/>
  <c r="V67" i="6" s="1"/>
  <c r="V67" i="7" s="1"/>
  <c r="V67" i="8" s="1"/>
  <c r="V67" i="9" s="1"/>
  <c r="V67" i="10" s="1"/>
  <c r="V67" i="11" s="1"/>
  <c r="V67" i="12" s="1"/>
  <c r="V67" i="13" s="1"/>
  <c r="V67" i="14" s="1"/>
  <c r="V67" i="15" s="1"/>
  <c r="V67" i="16" s="1"/>
  <c r="V68" i="5"/>
  <c r="V68" i="6" s="1"/>
  <c r="V68" i="7" s="1"/>
  <c r="V68" i="8" s="1"/>
  <c r="V68" i="9" s="1"/>
  <c r="V68" i="10" s="1"/>
  <c r="V68" i="11" s="1"/>
  <c r="V68" i="12" s="1"/>
  <c r="V68" i="13" s="1"/>
  <c r="V68" i="14" s="1"/>
  <c r="V68" i="15" s="1"/>
  <c r="V68" i="16" s="1"/>
  <c r="V70" i="5"/>
  <c r="V70" i="6" s="1"/>
  <c r="V70" i="7" s="1"/>
  <c r="V70" i="8" s="1"/>
  <c r="V70" i="9" s="1"/>
  <c r="V70" i="10" s="1"/>
  <c r="V70" i="11" s="1"/>
  <c r="V70" i="12" s="1"/>
  <c r="V70" i="13" s="1"/>
  <c r="V70" i="14" s="1"/>
  <c r="V70" i="15" s="1"/>
  <c r="V70" i="16" s="1"/>
  <c r="V71" i="5"/>
  <c r="V71" i="6" s="1"/>
  <c r="V72" i="5"/>
  <c r="V72" i="6" s="1"/>
  <c r="V72" i="7" s="1"/>
  <c r="V72" i="8" s="1"/>
  <c r="V72" i="9" s="1"/>
  <c r="V72" i="10" s="1"/>
  <c r="V72" i="11" s="1"/>
  <c r="V72" i="12" s="1"/>
  <c r="V72" i="13" s="1"/>
  <c r="V72" i="14" s="1"/>
  <c r="V72" i="15" s="1"/>
  <c r="V72" i="16" s="1"/>
  <c r="V73" i="5"/>
  <c r="V73" i="6" s="1"/>
  <c r="V73" i="7" s="1"/>
  <c r="V74" i="5"/>
  <c r="V74" i="6" s="1"/>
  <c r="V74" i="7" s="1"/>
  <c r="V74" i="8" s="1"/>
  <c r="V74" i="9" s="1"/>
  <c r="V74" i="10" s="1"/>
  <c r="V74" i="11" s="1"/>
  <c r="V74" i="12" s="1"/>
  <c r="V74" i="13" s="1"/>
  <c r="V74" i="14" s="1"/>
  <c r="V74" i="15" s="1"/>
  <c r="V74" i="16" s="1"/>
  <c r="V75" i="5"/>
  <c r="V75" i="6" s="1"/>
  <c r="V75" i="7" s="1"/>
  <c r="V76" i="5"/>
  <c r="V76" i="6" s="1"/>
  <c r="V76" i="7" s="1"/>
  <c r="V76" i="8" s="1"/>
  <c r="V76" i="9" s="1"/>
  <c r="V76" i="10" s="1"/>
  <c r="V76" i="11" s="1"/>
  <c r="V76" i="12" s="1"/>
  <c r="V76" i="13" s="1"/>
  <c r="V76" i="14" s="1"/>
  <c r="V76" i="15" s="1"/>
  <c r="V76" i="16" s="1"/>
  <c r="V77" i="5"/>
  <c r="V77" i="6" s="1"/>
  <c r="V77" i="7" s="1"/>
  <c r="V77" i="8" s="1"/>
  <c r="V77" i="9" s="1"/>
  <c r="V77" i="10" s="1"/>
  <c r="V77" i="11" s="1"/>
  <c r="V77" i="12" s="1"/>
  <c r="V77" i="13" s="1"/>
  <c r="V77" i="14" s="1"/>
  <c r="V77" i="15" s="1"/>
  <c r="V77" i="16" s="1"/>
  <c r="V78" i="5"/>
  <c r="V78" i="6" s="1"/>
  <c r="V78" i="7" s="1"/>
  <c r="V78" i="8" s="1"/>
  <c r="V78" i="9" s="1"/>
  <c r="V78" i="10" s="1"/>
  <c r="V78" i="11" s="1"/>
  <c r="V78" i="12" s="1"/>
  <c r="V78" i="13" s="1"/>
  <c r="V78" i="14" s="1"/>
  <c r="V78" i="15" s="1"/>
  <c r="V78" i="16" s="1"/>
  <c r="V79" i="5"/>
  <c r="V79" i="6" s="1"/>
  <c r="V79" i="7" s="1"/>
  <c r="V79" i="8" s="1"/>
  <c r="V79" i="9" s="1"/>
  <c r="V79" i="10" s="1"/>
  <c r="V79" i="11" s="1"/>
  <c r="V79" i="12" s="1"/>
  <c r="V79" i="13" s="1"/>
  <c r="V79" i="14" s="1"/>
  <c r="V79" i="15" s="1"/>
  <c r="V79" i="16" s="1"/>
  <c r="V80" i="5"/>
  <c r="V80" i="6" s="1"/>
  <c r="V80" i="7" s="1"/>
  <c r="V80" i="8" s="1"/>
  <c r="V80" i="9" s="1"/>
  <c r="V80" i="10" s="1"/>
  <c r="V80" i="11" s="1"/>
  <c r="V80" i="12" s="1"/>
  <c r="V80" i="13" s="1"/>
  <c r="V80" i="14" s="1"/>
  <c r="V80" i="15" s="1"/>
  <c r="V80" i="16" s="1"/>
  <c r="V81" i="5"/>
  <c r="V81" i="6" s="1"/>
  <c r="V81" i="7" s="1"/>
  <c r="V81" i="8" s="1"/>
  <c r="V81" i="9" s="1"/>
  <c r="V81" i="10" s="1"/>
  <c r="V81" i="11" s="1"/>
  <c r="V81" i="12" s="1"/>
  <c r="V81" i="13" s="1"/>
  <c r="V81" i="14" s="1"/>
  <c r="V81" i="15" s="1"/>
  <c r="V81" i="16" s="1"/>
  <c r="V84" i="5"/>
  <c r="V84" i="6" s="1"/>
  <c r="V84" i="7" s="1"/>
  <c r="V84" i="8" s="1"/>
  <c r="V84" i="9" s="1"/>
  <c r="V84" i="10" s="1"/>
  <c r="V84" i="11" s="1"/>
  <c r="V84" i="12" s="1"/>
  <c r="V84" i="13" s="1"/>
  <c r="V84" i="14" s="1"/>
  <c r="V84" i="15" s="1"/>
  <c r="V84" i="16" s="1"/>
  <c r="V85" i="5"/>
  <c r="V86" i="5"/>
  <c r="V86" i="6" s="1"/>
  <c r="V86" i="7" s="1"/>
  <c r="V86" i="8" s="1"/>
  <c r="V86" i="9" s="1"/>
  <c r="V86" i="10" s="1"/>
  <c r="V86" i="11" s="1"/>
  <c r="V86" i="12" s="1"/>
  <c r="V86" i="13" s="1"/>
  <c r="V86" i="14" s="1"/>
  <c r="V86" i="15" s="1"/>
  <c r="V86" i="16" s="1"/>
  <c r="V87" i="5"/>
  <c r="V87" i="6" s="1"/>
  <c r="V87" i="7" s="1"/>
  <c r="V87" i="8" s="1"/>
  <c r="V87" i="9" s="1"/>
  <c r="V87" i="10" s="1"/>
  <c r="V87" i="11" s="1"/>
  <c r="V88" i="5"/>
  <c r="V88" i="6" s="1"/>
  <c r="V88" i="7" s="1"/>
  <c r="V88" i="8" s="1"/>
  <c r="V88" i="9" s="1"/>
  <c r="V88" i="10" s="1"/>
  <c r="V88" i="11" s="1"/>
  <c r="V88" i="12" s="1"/>
  <c r="V88" i="13" s="1"/>
  <c r="V88" i="14" s="1"/>
  <c r="V88" i="15" s="1"/>
  <c r="V88" i="16" s="1"/>
  <c r="V92" i="5"/>
  <c r="V92" i="6" s="1"/>
  <c r="V93" i="5"/>
  <c r="V93" i="6" s="1"/>
  <c r="V93" i="7" s="1"/>
  <c r="V93" i="8" s="1"/>
  <c r="V93" i="9" s="1"/>
  <c r="V93" i="10" s="1"/>
  <c r="V93" i="11" s="1"/>
  <c r="V93" i="12" s="1"/>
  <c r="V93" i="13" s="1"/>
  <c r="V93" i="14" s="1"/>
  <c r="V93" i="15" s="1"/>
  <c r="V93" i="16" s="1"/>
  <c r="V94" i="5"/>
  <c r="V94" i="6" s="1"/>
  <c r="V94" i="7" s="1"/>
  <c r="V94" i="8" s="1"/>
  <c r="V94" i="9" s="1"/>
  <c r="V94" i="10" s="1"/>
  <c r="V94" i="11" s="1"/>
  <c r="V95" i="5"/>
  <c r="V95" i="6" s="1"/>
  <c r="V95" i="7" s="1"/>
  <c r="V95" i="8" s="1"/>
  <c r="V95" i="9" s="1"/>
  <c r="V95" i="10" s="1"/>
  <c r="V95" i="11" s="1"/>
  <c r="V95" i="12" s="1"/>
  <c r="V95" i="13" s="1"/>
  <c r="V95" i="14" s="1"/>
  <c r="V95" i="15" s="1"/>
  <c r="V95" i="16" s="1"/>
  <c r="V97" i="5"/>
  <c r="V97" i="6" s="1"/>
  <c r="V98" i="5"/>
  <c r="V98" i="6" s="1"/>
  <c r="V98" i="7" s="1"/>
  <c r="V98" i="8" s="1"/>
  <c r="V98" i="9" s="1"/>
  <c r="V98" i="10" s="1"/>
  <c r="V98" i="11" s="1"/>
  <c r="V98" i="12" s="1"/>
  <c r="V98" i="13" s="1"/>
  <c r="V98" i="14" s="1"/>
  <c r="V98" i="15" s="1"/>
  <c r="V98" i="16" s="1"/>
  <c r="V99" i="5"/>
  <c r="V99" i="6" s="1"/>
  <c r="V99" i="7" s="1"/>
  <c r="V99" i="8" s="1"/>
  <c r="V99" i="9" s="1"/>
  <c r="V99" i="10" s="1"/>
  <c r="V99" i="11" s="1"/>
  <c r="V99" i="12" s="1"/>
  <c r="V100" i="5"/>
  <c r="V100" i="6" s="1"/>
  <c r="V100" i="7" s="1"/>
  <c r="V100" i="8" s="1"/>
  <c r="V100" i="9" s="1"/>
  <c r="V100" i="10" s="1"/>
  <c r="V100" i="11" s="1"/>
  <c r="V100" i="12" s="1"/>
  <c r="V100" i="13" s="1"/>
  <c r="V100" i="14" s="1"/>
  <c r="V100" i="15" s="1"/>
  <c r="V100" i="16" s="1"/>
  <c r="V101" i="5"/>
  <c r="V101" i="6" s="1"/>
  <c r="V101" i="7" s="1"/>
  <c r="V101" i="8" s="1"/>
  <c r="V101" i="9" s="1"/>
  <c r="V101" i="10" s="1"/>
  <c r="V101" i="11" s="1"/>
  <c r="V101" i="12" s="1"/>
  <c r="V101" i="13" s="1"/>
  <c r="V101" i="14" s="1"/>
  <c r="V101" i="15" s="1"/>
  <c r="V101" i="16" s="1"/>
  <c r="V102" i="5"/>
  <c r="V102" i="6" s="1"/>
  <c r="V102" i="7" s="1"/>
  <c r="V102" i="8" s="1"/>
  <c r="V102" i="9" s="1"/>
  <c r="V102" i="10" s="1"/>
  <c r="V102" i="11" s="1"/>
  <c r="V102" i="12" s="1"/>
  <c r="V102" i="13" s="1"/>
  <c r="V102" i="14" s="1"/>
  <c r="V102" i="15" s="1"/>
  <c r="V102" i="16" s="1"/>
  <c r="V106" i="5"/>
  <c r="V106" i="6" s="1"/>
  <c r="V106" i="7" s="1"/>
  <c r="V106" i="8" s="1"/>
  <c r="V106" i="9" s="1"/>
  <c r="V106" i="10" s="1"/>
  <c r="V106" i="11" s="1"/>
  <c r="V107" i="5"/>
  <c r="V107" i="6" s="1"/>
  <c r="V107" i="7" s="1"/>
  <c r="V107" i="8" s="1"/>
  <c r="V107" i="9" s="1"/>
  <c r="V107" i="10" s="1"/>
  <c r="V107" i="11" s="1"/>
  <c r="V107" i="12" s="1"/>
  <c r="V107" i="13" s="1"/>
  <c r="V107" i="14" s="1"/>
  <c r="V107" i="15" s="1"/>
  <c r="V107" i="16" s="1"/>
  <c r="V108" i="5"/>
  <c r="V108" i="6" s="1"/>
  <c r="V108" i="7" s="1"/>
  <c r="V108" i="8" s="1"/>
  <c r="V108" i="9" s="1"/>
  <c r="V108" i="10" s="1"/>
  <c r="V108" i="11" s="1"/>
  <c r="V108" i="12" s="1"/>
  <c r="V108" i="13" s="1"/>
  <c r="V108" i="14" s="1"/>
  <c r="V108" i="15" s="1"/>
  <c r="V108" i="16" s="1"/>
  <c r="V115" i="5"/>
  <c r="V115" i="6" s="1"/>
  <c r="V115" i="7" s="1"/>
  <c r="V115" i="8" s="1"/>
  <c r="V115" i="9" s="1"/>
  <c r="V115" i="10" s="1"/>
  <c r="V115" i="11" s="1"/>
  <c r="V115" i="12" s="1"/>
  <c r="V115" i="13" s="1"/>
  <c r="V115" i="14" s="1"/>
  <c r="V115" i="15" s="1"/>
  <c r="V115" i="16" s="1"/>
  <c r="V116" i="5"/>
  <c r="V116" i="6" s="1"/>
  <c r="V116" i="7" s="1"/>
  <c r="V116" i="8" s="1"/>
  <c r="V116" i="9" s="1"/>
  <c r="V116" i="10" s="1"/>
  <c r="V116" i="11" s="1"/>
  <c r="V117" i="5"/>
  <c r="V117" i="6" s="1"/>
  <c r="V117" i="7" s="1"/>
  <c r="V117" i="8" s="1"/>
  <c r="V117" i="9" s="1"/>
  <c r="V117" i="10" s="1"/>
  <c r="V117" i="11" s="1"/>
  <c r="V117" i="12" s="1"/>
  <c r="V117" i="13" s="1"/>
  <c r="V117" i="14" s="1"/>
  <c r="V117" i="15" s="1"/>
  <c r="V117" i="16" s="1"/>
  <c r="V118" i="5"/>
  <c r="V119" i="5"/>
  <c r="V119" i="6" s="1"/>
  <c r="V119" i="7" s="1"/>
  <c r="V119" i="8" s="1"/>
  <c r="V119" i="9" s="1"/>
  <c r="V119" i="10" s="1"/>
  <c r="V119" i="11" s="1"/>
  <c r="V119" i="12" s="1"/>
  <c r="V119" i="13" s="1"/>
  <c r="V119" i="14" s="1"/>
  <c r="V119" i="15" s="1"/>
  <c r="V119" i="16" s="1"/>
  <c r="V120" i="5"/>
  <c r="V120" i="6" s="1"/>
  <c r="V120" i="7" s="1"/>
  <c r="V120" i="8" s="1"/>
  <c r="V120" i="9" s="1"/>
  <c r="V120" i="10" s="1"/>
  <c r="V120" i="11" s="1"/>
  <c r="V120" i="12" s="1"/>
  <c r="V120" i="13" s="1"/>
  <c r="V120" i="14" s="1"/>
  <c r="V120" i="15" s="1"/>
  <c r="V120" i="16" s="1"/>
  <c r="V121" i="5"/>
  <c r="V121" i="6" s="1"/>
  <c r="V121" i="7" s="1"/>
  <c r="V121" i="8" s="1"/>
  <c r="V121" i="9" s="1"/>
  <c r="V121" i="10" s="1"/>
  <c r="V121" i="11" s="1"/>
  <c r="V121" i="12" s="1"/>
  <c r="V121" i="13" s="1"/>
  <c r="V121" i="14" s="1"/>
  <c r="V121" i="15" s="1"/>
  <c r="V121" i="16" s="1"/>
  <c r="V124" i="5"/>
  <c r="V124" i="6" s="1"/>
  <c r="V125" i="5"/>
  <c r="V125" i="6" s="1"/>
  <c r="V125" i="7" s="1"/>
  <c r="V125" i="8" s="1"/>
  <c r="V125" i="9" s="1"/>
  <c r="V125" i="10" s="1"/>
  <c r="V125" i="11" s="1"/>
  <c r="V125" i="12" s="1"/>
  <c r="V125" i="13" s="1"/>
  <c r="V125" i="14" s="1"/>
  <c r="V125" i="15" s="1"/>
  <c r="V125" i="16" s="1"/>
  <c r="V126" i="5"/>
  <c r="V126" i="6" s="1"/>
  <c r="V126" i="7" s="1"/>
  <c r="V126" i="8" s="1"/>
  <c r="V126" i="9" s="1"/>
  <c r="V126" i="10" s="1"/>
  <c r="V126" i="11" s="1"/>
  <c r="V126" i="12" s="1"/>
  <c r="V126" i="13" s="1"/>
  <c r="V126" i="14" s="1"/>
  <c r="V126" i="15" s="1"/>
  <c r="V126" i="16" s="1"/>
  <c r="V127" i="5"/>
  <c r="V127" i="6" s="1"/>
  <c r="V127" i="7" s="1"/>
  <c r="V127" i="8" s="1"/>
  <c r="V127" i="9" s="1"/>
  <c r="V127" i="10" s="1"/>
  <c r="V127" i="11" s="1"/>
  <c r="V127" i="12" s="1"/>
  <c r="V127" i="13" s="1"/>
  <c r="V127" i="14" s="1"/>
  <c r="V127" i="15" s="1"/>
  <c r="V127" i="16" s="1"/>
  <c r="V128" i="5"/>
  <c r="V128" i="6" s="1"/>
  <c r="V128" i="7" s="1"/>
  <c r="V128" i="8" s="1"/>
  <c r="V128" i="9" s="1"/>
  <c r="V128" i="10" s="1"/>
  <c r="V128" i="11" s="1"/>
  <c r="V128" i="12" s="1"/>
  <c r="V128" i="13" s="1"/>
  <c r="V128" i="14" s="1"/>
  <c r="V128" i="15" s="1"/>
  <c r="V128" i="16" s="1"/>
  <c r="V129" i="5"/>
  <c r="V129" i="6" s="1"/>
  <c r="V129" i="7" s="1"/>
  <c r="V129" i="8" s="1"/>
  <c r="V129" i="9" s="1"/>
  <c r="V129" i="10" s="1"/>
  <c r="V129" i="11" s="1"/>
  <c r="V129" i="12" s="1"/>
  <c r="V129" i="13" s="1"/>
  <c r="V129" i="14" s="1"/>
  <c r="V129" i="15" s="1"/>
  <c r="V129" i="16" s="1"/>
  <c r="V130" i="5"/>
  <c r="V130" i="6" s="1"/>
  <c r="V130" i="7" s="1"/>
  <c r="V130" i="8" s="1"/>
  <c r="V130" i="9" s="1"/>
  <c r="V130" i="10" s="1"/>
  <c r="V130" i="11" s="1"/>
  <c r="V130" i="12" s="1"/>
  <c r="V130" i="13" s="1"/>
  <c r="V130" i="14" s="1"/>
  <c r="V130" i="15" s="1"/>
  <c r="V130" i="16" s="1"/>
  <c r="V131" i="5"/>
  <c r="V131" i="6" s="1"/>
  <c r="V131" i="7" s="1"/>
  <c r="V131" i="8" s="1"/>
  <c r="V131" i="9" s="1"/>
  <c r="V131" i="10" s="1"/>
  <c r="V131" i="11" s="1"/>
  <c r="V131" i="12" s="1"/>
  <c r="V131" i="13" s="1"/>
  <c r="V131" i="14" s="1"/>
  <c r="V131" i="15" s="1"/>
  <c r="V131" i="16" s="1"/>
  <c r="V132" i="5"/>
  <c r="V132" i="6" s="1"/>
  <c r="V132" i="7" s="1"/>
  <c r="V132" i="8" s="1"/>
  <c r="V132" i="9" s="1"/>
  <c r="V132" i="10" s="1"/>
  <c r="V132" i="11" s="1"/>
  <c r="V132" i="12" s="1"/>
  <c r="V132" i="13" s="1"/>
  <c r="V132" i="14" s="1"/>
  <c r="V132" i="15" s="1"/>
  <c r="V132" i="16" s="1"/>
  <c r="V133" i="5"/>
  <c r="V133" i="6" s="1"/>
  <c r="V133" i="7" s="1"/>
  <c r="V133" i="8" s="1"/>
  <c r="V133" i="9" s="1"/>
  <c r="V133" i="10" s="1"/>
  <c r="V133" i="11" s="1"/>
  <c r="V133" i="12" s="1"/>
  <c r="V133" i="13" s="1"/>
  <c r="V133" i="14" s="1"/>
  <c r="V133" i="15" s="1"/>
  <c r="V133" i="16" s="1"/>
  <c r="V134" i="5"/>
  <c r="V134" i="6" s="1"/>
  <c r="V134" i="7" s="1"/>
  <c r="V134" i="8" s="1"/>
  <c r="V134" i="9" s="1"/>
  <c r="V134" i="10" s="1"/>
  <c r="V135" i="5"/>
  <c r="V135" i="6" s="1"/>
  <c r="V135" i="7" s="1"/>
  <c r="V136" i="5"/>
  <c r="V136" i="6" s="1"/>
  <c r="V136" i="7" s="1"/>
  <c r="V136" i="8" s="1"/>
  <c r="V136" i="9" s="1"/>
  <c r="V136" i="10" s="1"/>
  <c r="V136" i="11" s="1"/>
  <c r="V136" i="12" s="1"/>
  <c r="V136" i="13" s="1"/>
  <c r="V136" i="14" s="1"/>
  <c r="V136" i="15" s="1"/>
  <c r="V136" i="16" s="1"/>
  <c r="V137" i="5"/>
  <c r="V137" i="6" s="1"/>
  <c r="V137" i="7" s="1"/>
  <c r="V137" i="8" s="1"/>
  <c r="V137" i="9" s="1"/>
  <c r="V137" i="10" s="1"/>
  <c r="V137" i="11" s="1"/>
  <c r="V137" i="12" s="1"/>
  <c r="V137" i="13" s="1"/>
  <c r="V137" i="14" s="1"/>
  <c r="V137" i="15" s="1"/>
  <c r="V137" i="16" s="1"/>
  <c r="V138" i="5"/>
  <c r="V138" i="6" s="1"/>
  <c r="V138" i="7" s="1"/>
  <c r="V138" i="8" s="1"/>
  <c r="V138" i="9" s="1"/>
  <c r="V138" i="10" s="1"/>
  <c r="V138" i="11" s="1"/>
  <c r="V138" i="12" s="1"/>
  <c r="V138" i="13" s="1"/>
  <c r="V138" i="14" s="1"/>
  <c r="V138" i="15" s="1"/>
  <c r="V138" i="16" s="1"/>
  <c r="V139" i="5"/>
  <c r="V139" i="6" s="1"/>
  <c r="V139" i="7" s="1"/>
  <c r="V139" i="8" s="1"/>
  <c r="V139" i="9" s="1"/>
  <c r="V139" i="10" s="1"/>
  <c r="V139" i="11" s="1"/>
  <c r="V139" i="12" s="1"/>
  <c r="V139" i="13" s="1"/>
  <c r="V139" i="14" s="1"/>
  <c r="V139" i="15" s="1"/>
  <c r="V139" i="16" s="1"/>
  <c r="V142" i="5"/>
  <c r="V142" i="6" s="1"/>
  <c r="V143" i="5"/>
  <c r="V143" i="6" s="1"/>
  <c r="V143" i="7" s="1"/>
  <c r="V143" i="8" s="1"/>
  <c r="V143" i="9" s="1"/>
  <c r="V143" i="10" s="1"/>
  <c r="V143" i="11" s="1"/>
  <c r="V143" i="12" s="1"/>
  <c r="V143" i="13" s="1"/>
  <c r="V143" i="14" s="1"/>
  <c r="V148" i="5"/>
  <c r="V148" i="6" s="1"/>
  <c r="V148" i="7" s="1"/>
  <c r="V148" i="8" s="1"/>
  <c r="V148" i="9" s="1"/>
  <c r="V148" i="10" s="1"/>
  <c r="V148" i="11" s="1"/>
  <c r="V148" i="12" s="1"/>
  <c r="V148" i="13" s="1"/>
  <c r="V148" i="14" s="1"/>
  <c r="V148" i="15" s="1"/>
  <c r="V148" i="16" s="1"/>
  <c r="V150" i="5"/>
  <c r="V150" i="6" s="1"/>
  <c r="V150" i="7" s="1"/>
  <c r="V150" i="8" s="1"/>
  <c r="V150" i="9" s="1"/>
  <c r="V150" i="10" s="1"/>
  <c r="V151" i="5"/>
  <c r="V151" i="6" s="1"/>
  <c r="V152" i="5"/>
  <c r="V152" i="6" s="1"/>
  <c r="V152" i="7" s="1"/>
  <c r="V152" i="8" s="1"/>
  <c r="V152" i="9" s="1"/>
  <c r="V152" i="10" s="1"/>
  <c r="V152" i="11" s="1"/>
  <c r="V152" i="12" s="1"/>
  <c r="V152" i="13" s="1"/>
  <c r="V153" i="5"/>
  <c r="V153" i="6" s="1"/>
  <c r="V153" i="7" s="1"/>
  <c r="V153" i="8" s="1"/>
  <c r="V153" i="9" s="1"/>
  <c r="V153" i="10" s="1"/>
  <c r="V153" i="11" s="1"/>
  <c r="V153" i="12" s="1"/>
  <c r="V153" i="13" s="1"/>
  <c r="V153" i="14" s="1"/>
  <c r="V153" i="15" s="1"/>
  <c r="V153" i="16" s="1"/>
  <c r="V156" i="5"/>
  <c r="V156" i="6" s="1"/>
  <c r="V156" i="7" s="1"/>
  <c r="V156" i="8" s="1"/>
  <c r="V156" i="9" s="1"/>
  <c r="V156" i="10" s="1"/>
  <c r="V156" i="11" s="1"/>
  <c r="V156" i="12" s="1"/>
  <c r="V156" i="13" s="1"/>
  <c r="V156" i="14" s="1"/>
  <c r="V156" i="15" s="1"/>
  <c r="V156" i="16" s="1"/>
  <c r="V158" i="5"/>
  <c r="V158" i="6" s="1"/>
  <c r="V159" i="5"/>
  <c r="V159" i="6" s="1"/>
  <c r="V159" i="7" s="1"/>
  <c r="V159" i="8" s="1"/>
  <c r="V159" i="9" s="1"/>
  <c r="V159" i="10" s="1"/>
  <c r="V159" i="11" s="1"/>
  <c r="V159" i="12" s="1"/>
  <c r="V159" i="13" s="1"/>
  <c r="V159" i="14" s="1"/>
  <c r="V159" i="15" s="1"/>
  <c r="V159" i="16" s="1"/>
  <c r="V160" i="5"/>
  <c r="V160" i="6" s="1"/>
  <c r="V160" i="7" s="1"/>
  <c r="V160" i="8" s="1"/>
  <c r="V160" i="9" s="1"/>
  <c r="V160" i="10" s="1"/>
  <c r="V160" i="11" s="1"/>
  <c r="V161" i="5"/>
  <c r="V161" i="6" s="1"/>
  <c r="V161" i="7" s="1"/>
  <c r="V161" i="8" s="1"/>
  <c r="V161" i="9" s="1"/>
  <c r="V161" i="10" s="1"/>
  <c r="V161" i="11" s="1"/>
  <c r="V161" i="12" s="1"/>
  <c r="V161" i="13" s="1"/>
  <c r="V161" i="14" s="1"/>
  <c r="V161" i="15" s="1"/>
  <c r="V161" i="16" s="1"/>
  <c r="V162" i="5"/>
  <c r="V162" i="6" s="1"/>
  <c r="V162" i="7" s="1"/>
  <c r="V162" i="8" s="1"/>
  <c r="V162" i="9" s="1"/>
  <c r="V162" i="10" s="1"/>
  <c r="V162" i="11" s="1"/>
  <c r="V162" i="12" s="1"/>
  <c r="V162" i="13" s="1"/>
  <c r="V162" i="14" s="1"/>
  <c r="V162" i="15" s="1"/>
  <c r="V162" i="16" s="1"/>
  <c r="V163" i="5"/>
  <c r="V163" i="6" s="1"/>
  <c r="V163" i="7" s="1"/>
  <c r="V163" i="8" s="1"/>
  <c r="V163" i="9" s="1"/>
  <c r="V163" i="10" s="1"/>
  <c r="V163" i="11" s="1"/>
  <c r="V163" i="12" s="1"/>
  <c r="V163" i="13" s="1"/>
  <c r="V163" i="14" s="1"/>
  <c r="V163" i="15" s="1"/>
  <c r="V163" i="16" s="1"/>
  <c r="V164" i="5"/>
  <c r="V164" i="6" s="1"/>
  <c r="V164" i="7" s="1"/>
  <c r="V164" i="8" s="1"/>
  <c r="V164" i="9" s="1"/>
  <c r="V164" i="10" s="1"/>
  <c r="V164" i="11" s="1"/>
  <c r="V164" i="12" s="1"/>
  <c r="V164" i="13" s="1"/>
  <c r="V164" i="14" s="1"/>
  <c r="V164" i="15" s="1"/>
  <c r="V164" i="16" s="1"/>
  <c r="V165" i="5"/>
  <c r="V165" i="6" s="1"/>
  <c r="V165" i="7" s="1"/>
  <c r="V165" i="8" s="1"/>
  <c r="V165" i="9" s="1"/>
  <c r="V165" i="10" s="1"/>
  <c r="V165" i="11" s="1"/>
  <c r="V165" i="12" s="1"/>
  <c r="V165" i="13" s="1"/>
  <c r="V165" i="14" s="1"/>
  <c r="V165" i="15" s="1"/>
  <c r="V165" i="16" s="1"/>
  <c r="V166" i="5"/>
  <c r="V166" i="6" s="1"/>
  <c r="V166" i="7" s="1"/>
  <c r="V166" i="8" s="1"/>
  <c r="V166" i="9" s="1"/>
  <c r="V166" i="10" s="1"/>
  <c r="V166" i="11" s="1"/>
  <c r="V166" i="12" s="1"/>
  <c r="V166" i="13" s="1"/>
  <c r="V166" i="14" s="1"/>
  <c r="V166" i="15" s="1"/>
  <c r="V166" i="16" s="1"/>
  <c r="V167" i="5"/>
  <c r="V167" i="6" s="1"/>
  <c r="V167" i="7" s="1"/>
  <c r="V167" i="8" s="1"/>
  <c r="V167" i="9" s="1"/>
  <c r="V167" i="10" s="1"/>
  <c r="V167" i="11" s="1"/>
  <c r="V167" i="12" s="1"/>
  <c r="V167" i="13" s="1"/>
  <c r="V167" i="14" s="1"/>
  <c r="V167" i="15" s="1"/>
  <c r="V167" i="16" s="1"/>
  <c r="V168" i="5"/>
  <c r="V168" i="6" s="1"/>
  <c r="V168" i="7" s="1"/>
  <c r="V168" i="8" s="1"/>
  <c r="V168" i="9" s="1"/>
  <c r="V168" i="10" s="1"/>
  <c r="V168" i="11" s="1"/>
  <c r="V168" i="12" s="1"/>
  <c r="V168" i="13" s="1"/>
  <c r="V168" i="14" s="1"/>
  <c r="V168" i="15" s="1"/>
  <c r="V168" i="16" s="1"/>
  <c r="V173" i="5"/>
  <c r="V173" i="6" s="1"/>
  <c r="V173" i="7" s="1"/>
  <c r="V173" i="8" s="1"/>
  <c r="V173" i="9" s="1"/>
  <c r="V173" i="10" s="1"/>
  <c r="V173" i="11" s="1"/>
  <c r="V173" i="12" s="1"/>
  <c r="V173" i="13" s="1"/>
  <c r="V173" i="14" s="1"/>
  <c r="V173" i="15" s="1"/>
  <c r="V173" i="16" s="1"/>
  <c r="V174" i="5"/>
  <c r="V174" i="6" s="1"/>
  <c r="V174" i="7" s="1"/>
  <c r="V177" i="5"/>
  <c r="V177" i="6" s="1"/>
  <c r="V177" i="7" s="1"/>
  <c r="V178" i="5"/>
  <c r="V178" i="6" s="1"/>
  <c r="V178" i="7" s="1"/>
  <c r="V179" i="5"/>
  <c r="V179" i="6" s="1"/>
  <c r="V179" i="7" s="1"/>
  <c r="V180" i="5"/>
  <c r="V180" i="6" s="1"/>
  <c r="V181" i="5"/>
  <c r="V181" i="6" s="1"/>
  <c r="V181" i="7" s="1"/>
  <c r="V181" i="8" s="1"/>
  <c r="V181" i="9" s="1"/>
  <c r="V181" i="10" s="1"/>
  <c r="V181" i="11" s="1"/>
  <c r="V181" i="12" s="1"/>
  <c r="V181" i="13" s="1"/>
  <c r="V181" i="14" s="1"/>
  <c r="V181" i="15" s="1"/>
  <c r="V181" i="16" s="1"/>
  <c r="V182" i="5"/>
  <c r="V182" i="6" s="1"/>
  <c r="V182" i="7" s="1"/>
  <c r="V182" i="8" s="1"/>
  <c r="V182" i="9" s="1"/>
  <c r="V182" i="10" s="1"/>
  <c r="V182" i="11" s="1"/>
  <c r="V182" i="12" s="1"/>
  <c r="V182" i="13" s="1"/>
  <c r="V182" i="14" s="1"/>
  <c r="V182" i="15" s="1"/>
  <c r="V182" i="16" s="1"/>
  <c r="V183" i="5"/>
  <c r="V183" i="6" s="1"/>
  <c r="V183" i="7" s="1"/>
  <c r="V183" i="8" s="1"/>
  <c r="V183" i="9" s="1"/>
  <c r="V183" i="10" s="1"/>
  <c r="V183" i="11" s="1"/>
  <c r="V183" i="12" s="1"/>
  <c r="V183" i="13" s="1"/>
  <c r="V183" i="14" s="1"/>
  <c r="V183" i="15" s="1"/>
  <c r="V183" i="16" s="1"/>
  <c r="V186" i="5"/>
  <c r="V186" i="6" s="1"/>
  <c r="V186" i="7" s="1"/>
  <c r="V186" i="8" s="1"/>
  <c r="V186" i="9" s="1"/>
  <c r="V186" i="10" s="1"/>
  <c r="V186" i="11" s="1"/>
  <c r="V186" i="12" s="1"/>
  <c r="V186" i="13" s="1"/>
  <c r="V186" i="14" s="1"/>
  <c r="V186" i="15" s="1"/>
  <c r="V186" i="16" s="1"/>
  <c r="V188" i="5"/>
  <c r="V188" i="6" s="1"/>
  <c r="V189" i="5"/>
  <c r="V189" i="6" s="1"/>
  <c r="V189" i="7" s="1"/>
  <c r="V189" i="8" s="1"/>
  <c r="V189" i="9" s="1"/>
  <c r="V189" i="10" s="1"/>
  <c r="V189" i="11" s="1"/>
  <c r="V189" i="12" s="1"/>
  <c r="V189" i="13" s="1"/>
  <c r="V189" i="14" s="1"/>
  <c r="V189" i="15" s="1"/>
  <c r="V189" i="16" s="1"/>
  <c r="V190" i="5"/>
  <c r="V190" i="6" s="1"/>
  <c r="V190" i="7" s="1"/>
  <c r="V190" i="8" s="1"/>
  <c r="V190" i="9" s="1"/>
  <c r="V190" i="10" s="1"/>
  <c r="V190" i="11" s="1"/>
  <c r="V190" i="12" s="1"/>
  <c r="V190" i="13" s="1"/>
  <c r="V190" i="14" s="1"/>
  <c r="V190" i="15" s="1"/>
  <c r="V190" i="16" s="1"/>
  <c r="V191" i="5"/>
  <c r="V191" i="6" s="1"/>
  <c r="V191" i="7" s="1"/>
  <c r="V191" i="8" s="1"/>
  <c r="V191" i="9" s="1"/>
  <c r="V191" i="10" s="1"/>
  <c r="V191" i="11" s="1"/>
  <c r="V191" i="12" s="1"/>
  <c r="V191" i="13" s="1"/>
  <c r="V191" i="14" s="1"/>
  <c r="V191" i="15" s="1"/>
  <c r="V191" i="16" s="1"/>
  <c r="V198" i="5"/>
  <c r="V198" i="6" s="1"/>
  <c r="V198" i="7" s="1"/>
  <c r="V198" i="8" s="1"/>
  <c r="V198" i="9" s="1"/>
  <c r="V198" i="10" s="1"/>
  <c r="V198" i="11" s="1"/>
  <c r="V198" i="12" s="1"/>
  <c r="V198" i="13" s="1"/>
  <c r="V198" i="14" s="1"/>
  <c r="V198" i="15" s="1"/>
  <c r="V198" i="16" s="1"/>
  <c r="V199" i="5"/>
  <c r="V199" i="6" s="1"/>
  <c r="V199" i="7" s="1"/>
  <c r="V199" i="8" s="1"/>
  <c r="V199" i="9" s="1"/>
  <c r="V199" i="10" s="1"/>
  <c r="V199" i="11" s="1"/>
  <c r="V200" i="5"/>
  <c r="V200" i="6" s="1"/>
  <c r="V200" i="7" s="1"/>
  <c r="V200" i="8" s="1"/>
  <c r="V200" i="9" s="1"/>
  <c r="V200" i="10" s="1"/>
  <c r="V200" i="11" s="1"/>
  <c r="V200" i="12" s="1"/>
  <c r="V200" i="13" s="1"/>
  <c r="V200" i="14" s="1"/>
  <c r="V200" i="15" s="1"/>
  <c r="V200" i="16" s="1"/>
  <c r="V201" i="5"/>
  <c r="V201" i="6" s="1"/>
  <c r="V202" i="5"/>
  <c r="V202" i="6" s="1"/>
  <c r="V202" i="7" s="1"/>
  <c r="V202" i="8" s="1"/>
  <c r="V202" i="9" s="1"/>
  <c r="V202" i="10" s="1"/>
  <c r="V202" i="11" s="1"/>
  <c r="V202" i="12" s="1"/>
  <c r="V202" i="13" s="1"/>
  <c r="V202" i="14" s="1"/>
  <c r="V202" i="15" s="1"/>
  <c r="V202" i="16" s="1"/>
  <c r="V203" i="5"/>
  <c r="V203" i="6" s="1"/>
  <c r="V203" i="7" s="1"/>
  <c r="V203" i="8" s="1"/>
  <c r="V203" i="9" s="1"/>
  <c r="V203" i="10" s="1"/>
  <c r="V203" i="11" s="1"/>
  <c r="V203" i="12" s="1"/>
  <c r="V203" i="13" s="1"/>
  <c r="V203" i="14" s="1"/>
  <c r="V203" i="15" s="1"/>
  <c r="V203" i="16" s="1"/>
  <c r="V204" i="5"/>
  <c r="V204" i="6" s="1"/>
  <c r="V204" i="7" s="1"/>
  <c r="V204" i="8" s="1"/>
  <c r="V204" i="9" s="1"/>
  <c r="V204" i="10" s="1"/>
  <c r="V204" i="11" s="1"/>
  <c r="V204" i="12" s="1"/>
  <c r="V204" i="13" s="1"/>
  <c r="V204" i="14" s="1"/>
  <c r="V204" i="15" s="1"/>
  <c r="V204" i="16" s="1"/>
  <c r="V206" i="5"/>
  <c r="V206" i="6" s="1"/>
  <c r="V207" i="5"/>
  <c r="V207" i="6" s="1"/>
  <c r="V207" i="7" s="1"/>
  <c r="V212" i="5"/>
  <c r="V212" i="6" s="1"/>
  <c r="V212" i="7" s="1"/>
  <c r="V212" i="8" s="1"/>
  <c r="V212" i="9" s="1"/>
  <c r="V212" i="10" s="1"/>
  <c r="V212" i="11" s="1"/>
  <c r="V212" i="12" s="1"/>
  <c r="V213" i="5"/>
  <c r="V213" i="6" s="1"/>
  <c r="V213" i="7" s="1"/>
  <c r="V213" i="8" s="1"/>
  <c r="V213" i="9" s="1"/>
  <c r="V213" i="10" s="1"/>
  <c r="V214" i="5"/>
  <c r="V214" i="6" s="1"/>
  <c r="V215" i="5"/>
  <c r="V215" i="6" s="1"/>
  <c r="V215" i="7" s="1"/>
  <c r="V215" i="8" s="1"/>
  <c r="V215" i="9" s="1"/>
  <c r="V215" i="10" s="1"/>
  <c r="V215" i="11" s="1"/>
  <c r="V215" i="12" s="1"/>
  <c r="V215" i="13" s="1"/>
  <c r="V215" i="14" s="1"/>
  <c r="V215" i="15" s="1"/>
  <c r="V215" i="16" s="1"/>
  <c r="V216" i="5"/>
  <c r="V216" i="6" s="1"/>
  <c r="V216" i="7" s="1"/>
  <c r="V216" i="8" s="1"/>
  <c r="V216" i="9" s="1"/>
  <c r="V216" i="10" s="1"/>
  <c r="V216" i="11" s="1"/>
  <c r="V216" i="12" s="1"/>
  <c r="V216" i="13" s="1"/>
  <c r="V216" i="14" s="1"/>
  <c r="V216" i="15" s="1"/>
  <c r="V216" i="16" s="1"/>
  <c r="V217" i="5"/>
  <c r="V217" i="6" s="1"/>
  <c r="V217" i="7" s="1"/>
  <c r="V217" i="8" s="1"/>
  <c r="V217" i="9" s="1"/>
  <c r="V217" i="10" s="1"/>
  <c r="V217" i="11" s="1"/>
  <c r="V217" i="12" s="1"/>
  <c r="V217" i="13" s="1"/>
  <c r="V217" i="14" s="1"/>
  <c r="V217" i="15" s="1"/>
  <c r="V217" i="16" s="1"/>
  <c r="V218" i="5"/>
  <c r="V218" i="6" s="1"/>
  <c r="V218" i="7" s="1"/>
  <c r="V218" i="8" s="1"/>
  <c r="V218" i="9" s="1"/>
  <c r="V218" i="10" s="1"/>
  <c r="V218" i="11" s="1"/>
  <c r="V218" i="12" s="1"/>
  <c r="V218" i="13" s="1"/>
  <c r="V218" i="14" s="1"/>
  <c r="V218" i="15" s="1"/>
  <c r="V218" i="16" s="1"/>
  <c r="V223" i="5"/>
  <c r="V223" i="6" s="1"/>
  <c r="V224" i="5"/>
  <c r="V224" i="6" s="1"/>
  <c r="V224" i="7" s="1"/>
  <c r="V224" i="8" s="1"/>
  <c r="V224" i="9" s="1"/>
  <c r="V224" i="10" s="1"/>
  <c r="V224" i="11" s="1"/>
  <c r="V224" i="12" s="1"/>
  <c r="V224" i="13" s="1"/>
  <c r="V224" i="14" s="1"/>
  <c r="V225" i="5"/>
  <c r="V225" i="6" s="1"/>
  <c r="V225" i="7" s="1"/>
  <c r="V225" i="8" s="1"/>
  <c r="V225" i="9" s="1"/>
  <c r="V225" i="10" s="1"/>
  <c r="V228" i="5"/>
  <c r="V228" i="6" s="1"/>
  <c r="V229" i="5"/>
  <c r="V229" i="6" s="1"/>
  <c r="V229" i="7" s="1"/>
  <c r="V230" i="5"/>
  <c r="V230" i="6" s="1"/>
  <c r="V230" i="7" s="1"/>
  <c r="V230" i="8" s="1"/>
  <c r="V230" i="9" s="1"/>
  <c r="V230" i="10" s="1"/>
  <c r="V230" i="11" s="1"/>
  <c r="V230" i="12" s="1"/>
  <c r="V230" i="13" s="1"/>
  <c r="V230" i="14" s="1"/>
  <c r="V230" i="15" s="1"/>
  <c r="V230" i="16" s="1"/>
  <c r="V236" i="5"/>
  <c r="V236" i="6" s="1"/>
  <c r="V236" i="7" s="1"/>
  <c r="V236" i="8" s="1"/>
  <c r="V236" i="9" s="1"/>
  <c r="V236" i="10" s="1"/>
  <c r="V236" i="11" s="1"/>
  <c r="V236" i="12" s="1"/>
  <c r="V236" i="13" s="1"/>
  <c r="V236" i="14" s="1"/>
  <c r="V236" i="15" s="1"/>
  <c r="V236" i="16" s="1"/>
  <c r="V237" i="5"/>
  <c r="V237" i="6" s="1"/>
  <c r="V238" i="5"/>
  <c r="V238" i="6" s="1"/>
  <c r="V238" i="7" s="1"/>
  <c r="V239" i="5"/>
  <c r="V239" i="6" s="1"/>
  <c r="V239" i="7" s="1"/>
  <c r="V239" i="8" s="1"/>
  <c r="V239" i="9" s="1"/>
  <c r="V239" i="10" s="1"/>
  <c r="V239" i="11" s="1"/>
  <c r="V239" i="12" s="1"/>
  <c r="V239" i="13" s="1"/>
  <c r="V239" i="14" s="1"/>
  <c r="V239" i="15" s="1"/>
  <c r="V239" i="16" s="1"/>
  <c r="V240" i="5"/>
  <c r="V240" i="6" s="1"/>
  <c r="V240" i="7" s="1"/>
  <c r="V240" i="8" s="1"/>
  <c r="V240" i="9" s="1"/>
  <c r="V240" i="10" s="1"/>
  <c r="V240" i="11" s="1"/>
  <c r="V240" i="12" s="1"/>
  <c r="V240" i="13" s="1"/>
  <c r="V240" i="14" s="1"/>
  <c r="V240" i="15" s="1"/>
  <c r="V240" i="16" s="1"/>
  <c r="V241" i="5"/>
  <c r="V241" i="6" s="1"/>
  <c r="V241" i="7" s="1"/>
  <c r="V241" i="8" s="1"/>
  <c r="V241" i="9" s="1"/>
  <c r="V241" i="10" s="1"/>
  <c r="V241" i="11" s="1"/>
  <c r="V241" i="12" s="1"/>
  <c r="V241" i="13" s="1"/>
  <c r="V241" i="14" s="1"/>
  <c r="V241" i="15" s="1"/>
  <c r="V241" i="16" s="1"/>
  <c r="V244" i="5"/>
  <c r="V245" i="5"/>
  <c r="V245" i="6" s="1"/>
  <c r="V245" i="7" s="1"/>
  <c r="V246" i="5"/>
  <c r="V246" i="6" s="1"/>
  <c r="V246" i="7" s="1"/>
  <c r="V246" i="8" s="1"/>
  <c r="V246" i="9" s="1"/>
  <c r="V246" i="10" s="1"/>
  <c r="V246" i="11" s="1"/>
  <c r="V246" i="12" s="1"/>
  <c r="V246" i="13" s="1"/>
  <c r="V246" i="14" s="1"/>
  <c r="V246" i="15" s="1"/>
  <c r="V246" i="16" s="1"/>
  <c r="V247" i="5"/>
  <c r="V247" i="6" s="1"/>
  <c r="V247" i="7" s="1"/>
  <c r="V247" i="8" s="1"/>
  <c r="V247" i="9" s="1"/>
  <c r="V247" i="10" s="1"/>
  <c r="V247" i="11" s="1"/>
  <c r="V247" i="12" s="1"/>
  <c r="V247" i="13" s="1"/>
  <c r="V247" i="14" s="1"/>
  <c r="V247" i="15" s="1"/>
  <c r="V247" i="16" s="1"/>
  <c r="V248" i="5"/>
  <c r="V248" i="6" s="1"/>
  <c r="V248" i="7" s="1"/>
  <c r="V248" i="8" s="1"/>
  <c r="V248" i="9" s="1"/>
  <c r="V248" i="10" s="1"/>
  <c r="V248" i="11" s="1"/>
  <c r="V248" i="12" s="1"/>
  <c r="V248" i="13" s="1"/>
  <c r="V248" i="14" s="1"/>
  <c r="V248" i="15" s="1"/>
  <c r="V248" i="16" s="1"/>
  <c r="V249" i="5"/>
  <c r="V249" i="6" s="1"/>
  <c r="V249" i="7" s="1"/>
  <c r="V249" i="8" s="1"/>
  <c r="V249" i="9" s="1"/>
  <c r="V249" i="10" s="1"/>
  <c r="V249" i="11" s="1"/>
  <c r="V249" i="12" s="1"/>
  <c r="V249" i="13" s="1"/>
  <c r="V249" i="14" s="1"/>
  <c r="V249" i="15" s="1"/>
  <c r="V249" i="16" s="1"/>
  <c r="V250" i="5"/>
  <c r="V250" i="6" s="1"/>
  <c r="V250" i="7" s="1"/>
  <c r="V250" i="8" s="1"/>
  <c r="V250" i="9" s="1"/>
  <c r="V250" i="10" s="1"/>
  <c r="V250" i="11" s="1"/>
  <c r="V250" i="12" s="1"/>
  <c r="V250" i="13" s="1"/>
  <c r="V250" i="14" s="1"/>
  <c r="V250" i="15" s="1"/>
  <c r="V250" i="16" s="1"/>
  <c r="V251" i="5"/>
  <c r="V251" i="6" s="1"/>
  <c r="V251" i="7" s="1"/>
  <c r="V251" i="8" s="1"/>
  <c r="V251" i="9" s="1"/>
  <c r="V251" i="10" s="1"/>
  <c r="V251" i="11" s="1"/>
  <c r="V251" i="12" s="1"/>
  <c r="V251" i="13" s="1"/>
  <c r="V251" i="14" s="1"/>
  <c r="V251" i="15" s="1"/>
  <c r="V251" i="16" s="1"/>
  <c r="V252" i="5"/>
  <c r="V252" i="6" s="1"/>
  <c r="V252" i="7" s="1"/>
  <c r="V252" i="8" s="1"/>
  <c r="V252" i="9" s="1"/>
  <c r="V252" i="10" s="1"/>
  <c r="V252" i="11" s="1"/>
  <c r="V252" i="12" s="1"/>
  <c r="V252" i="13" s="1"/>
  <c r="V252" i="14" s="1"/>
  <c r="V252" i="15" s="1"/>
  <c r="V252" i="16" s="1"/>
  <c r="V253" i="5"/>
  <c r="V253" i="6" s="1"/>
  <c r="V253" i="7" s="1"/>
  <c r="V253" i="8" s="1"/>
  <c r="V253" i="9" s="1"/>
  <c r="V253" i="10" s="1"/>
  <c r="V253" i="11" s="1"/>
  <c r="V253" i="12" s="1"/>
  <c r="V253" i="13" s="1"/>
  <c r="V253" i="14" s="1"/>
  <c r="V253" i="15" s="1"/>
  <c r="V253" i="16" s="1"/>
  <c r="V254" i="5"/>
  <c r="V254" i="6" s="1"/>
  <c r="V254" i="7" s="1"/>
  <c r="V254" i="8" s="1"/>
  <c r="V254" i="9" s="1"/>
  <c r="V254" i="10" s="1"/>
  <c r="V254" i="11" s="1"/>
  <c r="V254" i="12" s="1"/>
  <c r="V254" i="13" s="1"/>
  <c r="V254" i="14" s="1"/>
  <c r="V254" i="15" s="1"/>
  <c r="V254" i="16" s="1"/>
  <c r="V255" i="5"/>
  <c r="V255" i="6" s="1"/>
  <c r="V255" i="7" s="1"/>
  <c r="V255" i="8" s="1"/>
  <c r="V255" i="9" s="1"/>
  <c r="V255" i="10" s="1"/>
  <c r="V255" i="11" s="1"/>
  <c r="V255" i="12" s="1"/>
  <c r="V255" i="13" s="1"/>
  <c r="V255" i="14" s="1"/>
  <c r="V255" i="15" s="1"/>
  <c r="V255" i="16" s="1"/>
  <c r="V256" i="5"/>
  <c r="V256" i="6" s="1"/>
  <c r="V256" i="7" s="1"/>
  <c r="V256" i="8" s="1"/>
  <c r="V256" i="9" s="1"/>
  <c r="V256" i="10" s="1"/>
  <c r="V256" i="11" s="1"/>
  <c r="V256" i="12" s="1"/>
  <c r="V256" i="13" s="1"/>
  <c r="V256" i="14" s="1"/>
  <c r="V256" i="15" s="1"/>
  <c r="V256" i="16" s="1"/>
  <c r="E12" i="5"/>
  <c r="E12" i="6" s="1"/>
  <c r="E12" i="7" s="1"/>
  <c r="E12" i="8" s="1"/>
  <c r="E12" i="9" s="1"/>
  <c r="E12" i="10" s="1"/>
  <c r="E12" i="11" s="1"/>
  <c r="E12" i="12" s="1"/>
  <c r="E12" i="13" s="1"/>
  <c r="E12" i="14" s="1"/>
  <c r="E12" i="15" s="1"/>
  <c r="E12" i="16" s="1"/>
  <c r="E13" i="5"/>
  <c r="E13" i="6" s="1"/>
  <c r="E13" i="7" s="1"/>
  <c r="E13" i="8" s="1"/>
  <c r="E13" i="9" s="1"/>
  <c r="E13" i="10" s="1"/>
  <c r="E13" i="11" s="1"/>
  <c r="E13" i="12" s="1"/>
  <c r="E13" i="13" s="1"/>
  <c r="E13" i="14" s="1"/>
  <c r="E13" i="15" s="1"/>
  <c r="E13" i="16" s="1"/>
  <c r="E14" i="5"/>
  <c r="E14" i="6" s="1"/>
  <c r="E15" i="5"/>
  <c r="E15" i="6" s="1"/>
  <c r="E15" i="7" s="1"/>
  <c r="E15" i="8" s="1"/>
  <c r="E15" i="9" s="1"/>
  <c r="E15" i="10" s="1"/>
  <c r="E15" i="11" s="1"/>
  <c r="E15" i="12" s="1"/>
  <c r="E15" i="13" s="1"/>
  <c r="E15" i="14" s="1"/>
  <c r="E15" i="15" s="1"/>
  <c r="E15" i="16" s="1"/>
  <c r="E23" i="5"/>
  <c r="E23" i="6" s="1"/>
  <c r="E23" i="7" s="1"/>
  <c r="E23" i="8" s="1"/>
  <c r="E23" i="9" s="1"/>
  <c r="E23" i="10" s="1"/>
  <c r="E23" i="11" s="1"/>
  <c r="E23" i="12" s="1"/>
  <c r="E23" i="13" s="1"/>
  <c r="E23" i="14" s="1"/>
  <c r="E23" i="15" s="1"/>
  <c r="E23" i="16" s="1"/>
  <c r="E24" i="5"/>
  <c r="E24" i="6" s="1"/>
  <c r="E26" i="5"/>
  <c r="E26" i="6" s="1"/>
  <c r="E27" i="5"/>
  <c r="E27" i="6" s="1"/>
  <c r="E27" i="7" s="1"/>
  <c r="E27" i="8" s="1"/>
  <c r="E27" i="9" s="1"/>
  <c r="E27" i="10" s="1"/>
  <c r="E27" i="11" s="1"/>
  <c r="E27" i="12" s="1"/>
  <c r="E27" i="13" s="1"/>
  <c r="E27" i="14" s="1"/>
  <c r="E27" i="15" s="1"/>
  <c r="E27" i="16" s="1"/>
  <c r="E30" i="5"/>
  <c r="E30" i="6" s="1"/>
  <c r="E30" i="7" s="1"/>
  <c r="E30" i="8" s="1"/>
  <c r="E30" i="9" s="1"/>
  <c r="E30" i="10" s="1"/>
  <c r="E30" i="11" s="1"/>
  <c r="E31" i="5"/>
  <c r="E31" i="6" s="1"/>
  <c r="E31" i="7" s="1"/>
  <c r="E31" i="8" s="1"/>
  <c r="E31" i="9" s="1"/>
  <c r="E31" i="10" s="1"/>
  <c r="E31" i="11" s="1"/>
  <c r="E31" i="12" s="1"/>
  <c r="E33" i="5"/>
  <c r="E33" i="6" s="1"/>
  <c r="E34" i="5"/>
  <c r="E34" i="6" s="1"/>
  <c r="E34" i="7" s="1"/>
  <c r="E34" i="8" s="1"/>
  <c r="E34" i="9" s="1"/>
  <c r="E34" i="10" s="1"/>
  <c r="E34" i="11" s="1"/>
  <c r="E34" i="12" s="1"/>
  <c r="E34" i="13" s="1"/>
  <c r="E34" i="14" s="1"/>
  <c r="E34" i="15" s="1"/>
  <c r="E34" i="16" s="1"/>
  <c r="E36" i="5"/>
  <c r="E36" i="6" s="1"/>
  <c r="E36" i="7" s="1"/>
  <c r="E36" i="8" s="1"/>
  <c r="E36" i="9" s="1"/>
  <c r="E36" i="10" s="1"/>
  <c r="E36" i="11" s="1"/>
  <c r="E36" i="12" s="1"/>
  <c r="E36" i="13" s="1"/>
  <c r="E36" i="14" s="1"/>
  <c r="E36" i="15" s="1"/>
  <c r="E36" i="16" s="1"/>
  <c r="E37" i="5"/>
  <c r="E37" i="6" s="1"/>
  <c r="E37" i="7" s="1"/>
  <c r="E37" i="8" s="1"/>
  <c r="E37" i="9" s="1"/>
  <c r="E41" i="5"/>
  <c r="E41" i="6" s="1"/>
  <c r="E41" i="7" s="1"/>
  <c r="E41" i="8" s="1"/>
  <c r="E41" i="9" s="1"/>
  <c r="E41" i="10" s="1"/>
  <c r="E41" i="11" s="1"/>
  <c r="E41" i="12" s="1"/>
  <c r="E41" i="13" s="1"/>
  <c r="E41" i="14" s="1"/>
  <c r="E41" i="15" s="1"/>
  <c r="E43" i="5"/>
  <c r="E43" i="6" s="1"/>
  <c r="E44" i="5"/>
  <c r="E44" i="6" s="1"/>
  <c r="E44" i="7" s="1"/>
  <c r="E44" i="8" s="1"/>
  <c r="E44" i="9" s="1"/>
  <c r="E44" i="10" s="1"/>
  <c r="E44" i="11" s="1"/>
  <c r="E46" i="5"/>
  <c r="E46" i="6" s="1"/>
  <c r="E46" i="7" s="1"/>
  <c r="E46" i="8" s="1"/>
  <c r="E46" i="9" s="1"/>
  <c r="E46" i="10" s="1"/>
  <c r="E46" i="11" s="1"/>
  <c r="E46" i="12" s="1"/>
  <c r="E46" i="13" s="1"/>
  <c r="E46" i="14" s="1"/>
  <c r="E46" i="15" s="1"/>
  <c r="E46" i="16" s="1"/>
  <c r="E47" i="5"/>
  <c r="E47" i="6" s="1"/>
  <c r="E49" i="5"/>
  <c r="E49" i="6" s="1"/>
  <c r="E50" i="5"/>
  <c r="E50" i="6" s="1"/>
  <c r="E50" i="7" s="1"/>
  <c r="E50" i="8" s="1"/>
  <c r="E50" i="9" s="1"/>
  <c r="E50" i="10" s="1"/>
  <c r="E50" i="11" s="1"/>
  <c r="E52" i="5"/>
  <c r="E52" i="6" s="1"/>
  <c r="E52" i="7" s="1"/>
  <c r="E52" i="8" s="1"/>
  <c r="E52" i="9" s="1"/>
  <c r="E52" i="10" s="1"/>
  <c r="E52" i="11" s="1"/>
  <c r="E52" i="12" s="1"/>
  <c r="E52" i="13" s="1"/>
  <c r="E52" i="14" s="1"/>
  <c r="E52" i="15" s="1"/>
  <c r="E52" i="16" s="1"/>
  <c r="E53" i="5"/>
  <c r="E53" i="6" s="1"/>
  <c r="E55" i="5"/>
  <c r="E55" i="6" s="1"/>
  <c r="E56" i="5"/>
  <c r="E56" i="6" s="1"/>
  <c r="E56" i="7" s="1"/>
  <c r="E56" i="8" s="1"/>
  <c r="E56" i="9" s="1"/>
  <c r="E56" i="10" s="1"/>
  <c r="E56" i="11" s="1"/>
  <c r="E58" i="5"/>
  <c r="E58" i="6" s="1"/>
  <c r="E58" i="7" s="1"/>
  <c r="E58" i="8" s="1"/>
  <c r="E58" i="9" s="1"/>
  <c r="E58" i="10" s="1"/>
  <c r="E58" i="11" s="1"/>
  <c r="E58" i="12" s="1"/>
  <c r="E58" i="13" s="1"/>
  <c r="E58" i="14" s="1"/>
  <c r="E58" i="15" s="1"/>
  <c r="E58" i="16" s="1"/>
  <c r="E59" i="5"/>
  <c r="E59" i="6" s="1"/>
  <c r="E61" i="5"/>
  <c r="E61" i="6" s="1"/>
  <c r="E62" i="5"/>
  <c r="E62" i="6" s="1"/>
  <c r="E62" i="7" s="1"/>
  <c r="E62" i="8" s="1"/>
  <c r="E62" i="9" s="1"/>
  <c r="E62" i="10" s="1"/>
  <c r="E62" i="11" s="1"/>
  <c r="E64" i="5"/>
  <c r="E64" i="6" s="1"/>
  <c r="E64" i="7" s="1"/>
  <c r="E64" i="8" s="1"/>
  <c r="E64" i="9" s="1"/>
  <c r="E64" i="10" s="1"/>
  <c r="E64" i="11" s="1"/>
  <c r="E64" i="12" s="1"/>
  <c r="E64" i="13" s="1"/>
  <c r="E64" i="14" s="1"/>
  <c r="E64" i="15" s="1"/>
  <c r="E64" i="16" s="1"/>
  <c r="E65" i="5"/>
  <c r="E65" i="6" s="1"/>
  <c r="E67" i="5"/>
  <c r="E67" i="6" s="1"/>
  <c r="E68" i="5"/>
  <c r="E68" i="6" s="1"/>
  <c r="E68" i="7" s="1"/>
  <c r="E68" i="8" s="1"/>
  <c r="E68" i="9" s="1"/>
  <c r="E68" i="10" s="1"/>
  <c r="E68" i="11" s="1"/>
  <c r="E70" i="5"/>
  <c r="E70" i="6" s="1"/>
  <c r="E70" i="7" s="1"/>
  <c r="E70" i="8" s="1"/>
  <c r="E70" i="9" s="1"/>
  <c r="E70" i="10" s="1"/>
  <c r="E70" i="11" s="1"/>
  <c r="E70" i="12" s="1"/>
  <c r="E70" i="13" s="1"/>
  <c r="E70" i="14" s="1"/>
  <c r="E70" i="15" s="1"/>
  <c r="E70" i="16" s="1"/>
  <c r="E71" i="5"/>
  <c r="E71" i="6" s="1"/>
  <c r="E73" i="5"/>
  <c r="E73" i="6" s="1"/>
  <c r="E74" i="5"/>
  <c r="E74" i="6" s="1"/>
  <c r="E74" i="7" s="1"/>
  <c r="E74" i="8" s="1"/>
  <c r="E74" i="9" s="1"/>
  <c r="E74" i="10" s="1"/>
  <c r="E74" i="11" s="1"/>
  <c r="E76" i="5"/>
  <c r="E76" i="6" s="1"/>
  <c r="E76" i="7" s="1"/>
  <c r="E76" i="8" s="1"/>
  <c r="E76" i="9" s="1"/>
  <c r="E76" i="10" s="1"/>
  <c r="E76" i="11" s="1"/>
  <c r="E76" i="12" s="1"/>
  <c r="E76" i="13" s="1"/>
  <c r="E76" i="14" s="1"/>
  <c r="E76" i="15" s="1"/>
  <c r="E76" i="16" s="1"/>
  <c r="E77" i="5"/>
  <c r="E77" i="6" s="1"/>
  <c r="E79" i="5"/>
  <c r="E79" i="6" s="1"/>
  <c r="E80" i="5"/>
  <c r="E80" i="6" s="1"/>
  <c r="E80" i="7" s="1"/>
  <c r="E80" i="8" s="1"/>
  <c r="E80" i="9" s="1"/>
  <c r="E80" i="10" s="1"/>
  <c r="E80" i="11" s="1"/>
  <c r="E80" i="12" s="1"/>
  <c r="E82" i="5"/>
  <c r="E82" i="6" s="1"/>
  <c r="E82" i="7" s="1"/>
  <c r="E82" i="8" s="1"/>
  <c r="E82" i="9" s="1"/>
  <c r="E83" i="5"/>
  <c r="E83" i="6" s="1"/>
  <c r="W17" i="5"/>
  <c r="W17" i="6" s="1"/>
  <c r="W17" i="7" s="1"/>
  <c r="W17" i="8" s="1"/>
  <c r="W17" i="9" s="1"/>
  <c r="W17" i="10" s="1"/>
  <c r="W17" i="11" s="1"/>
  <c r="W17" i="12" s="1"/>
  <c r="W17" i="13" s="1"/>
  <c r="W17" i="14" s="1"/>
  <c r="W17" i="15" s="1"/>
  <c r="W17" i="16" s="1"/>
  <c r="W18" i="5"/>
  <c r="W18" i="6" s="1"/>
  <c r="W18" i="7" s="1"/>
  <c r="W18" i="8" s="1"/>
  <c r="W18" i="9" s="1"/>
  <c r="W18" i="10" s="1"/>
  <c r="W18" i="11" s="1"/>
  <c r="W18" i="12" s="1"/>
  <c r="W18" i="13" s="1"/>
  <c r="W18" i="14" s="1"/>
  <c r="W18" i="15" s="1"/>
  <c r="W18" i="16" s="1"/>
  <c r="W19" i="5"/>
  <c r="W19" i="6" s="1"/>
  <c r="W19" i="7" s="1"/>
  <c r="W19" i="8" s="1"/>
  <c r="W19" i="9" s="1"/>
  <c r="W19" i="10" s="1"/>
  <c r="W19" i="11" s="1"/>
  <c r="W19" i="12" s="1"/>
  <c r="W19" i="13" s="1"/>
  <c r="W19" i="14" s="1"/>
  <c r="W19" i="15" s="1"/>
  <c r="W19" i="16" s="1"/>
  <c r="W21" i="5"/>
  <c r="W21" i="6" s="1"/>
  <c r="W22" i="5"/>
  <c r="W22" i="6" s="1"/>
  <c r="W22" i="7" s="1"/>
  <c r="W22" i="8" s="1"/>
  <c r="W22" i="9" s="1"/>
  <c r="W22" i="10" s="1"/>
  <c r="W22" i="11" s="1"/>
  <c r="W22" i="12" s="1"/>
  <c r="W22" i="13" s="1"/>
  <c r="W22" i="14" s="1"/>
  <c r="W22" i="15" s="1"/>
  <c r="W22" i="16" s="1"/>
  <c r="W23" i="5"/>
  <c r="W23" i="6" s="1"/>
  <c r="W23" i="7" s="1"/>
  <c r="W23" i="8" s="1"/>
  <c r="W23" i="9" s="1"/>
  <c r="W23" i="10" s="1"/>
  <c r="W23" i="11" s="1"/>
  <c r="W24" i="5"/>
  <c r="W24" i="6" s="1"/>
  <c r="W24" i="7" s="1"/>
  <c r="W24" i="8" s="1"/>
  <c r="W24" i="9" s="1"/>
  <c r="W24" i="10" s="1"/>
  <c r="W24" i="11" s="1"/>
  <c r="W24" i="12" s="1"/>
  <c r="W24" i="13" s="1"/>
  <c r="W24" i="14" s="1"/>
  <c r="W24" i="15" s="1"/>
  <c r="W24" i="16" s="1"/>
  <c r="W25" i="5"/>
  <c r="W25" i="6" s="1"/>
  <c r="W25" i="7" s="1"/>
  <c r="W25" i="8" s="1"/>
  <c r="W25" i="9" s="1"/>
  <c r="W25" i="10" s="1"/>
  <c r="W25" i="11" s="1"/>
  <c r="W25" i="12" s="1"/>
  <c r="W25" i="13" s="1"/>
  <c r="W25" i="14" s="1"/>
  <c r="W25" i="15" s="1"/>
  <c r="W25" i="16" s="1"/>
  <c r="W26" i="5"/>
  <c r="W26" i="6" s="1"/>
  <c r="W26" i="7" s="1"/>
  <c r="W26" i="8" s="1"/>
  <c r="W26" i="9" s="1"/>
  <c r="W26" i="10" s="1"/>
  <c r="W26" i="11" s="1"/>
  <c r="W26" i="12" s="1"/>
  <c r="W26" i="13" s="1"/>
  <c r="W26" i="14" s="1"/>
  <c r="W26" i="15" s="1"/>
  <c r="W26" i="16" s="1"/>
  <c r="W27" i="5"/>
  <c r="W27" i="6" s="1"/>
  <c r="W27" i="7" s="1"/>
  <c r="W27" i="8" s="1"/>
  <c r="W27" i="9" s="1"/>
  <c r="W27" i="10" s="1"/>
  <c r="W27" i="11" s="1"/>
  <c r="W27" i="12" s="1"/>
  <c r="W27" i="13" s="1"/>
  <c r="W27" i="14" s="1"/>
  <c r="W27" i="15" s="1"/>
  <c r="W27" i="16" s="1"/>
  <c r="W28" i="5"/>
  <c r="W28" i="6" s="1"/>
  <c r="W28" i="7" s="1"/>
  <c r="W28" i="8" s="1"/>
  <c r="W28" i="9" s="1"/>
  <c r="W28" i="10" s="1"/>
  <c r="W28" i="11" s="1"/>
  <c r="W28" i="12" s="1"/>
  <c r="W28" i="13" s="1"/>
  <c r="W28" i="14" s="1"/>
  <c r="W28" i="15" s="1"/>
  <c r="W28" i="16" s="1"/>
  <c r="W29" i="5"/>
  <c r="W29" i="6" s="1"/>
  <c r="W29" i="7" s="1"/>
  <c r="W29" i="8" s="1"/>
  <c r="W29" i="9" s="1"/>
  <c r="W29" i="10" s="1"/>
  <c r="W29" i="11" s="1"/>
  <c r="W29" i="12" s="1"/>
  <c r="W29" i="13" s="1"/>
  <c r="W29" i="14" s="1"/>
  <c r="W29" i="15" s="1"/>
  <c r="W29" i="16" s="1"/>
  <c r="W30" i="5"/>
  <c r="W30" i="6" s="1"/>
  <c r="W30" i="7" s="1"/>
  <c r="W30" i="8" s="1"/>
  <c r="W30" i="9" s="1"/>
  <c r="W30" i="10" s="1"/>
  <c r="W30" i="11" s="1"/>
  <c r="W30" i="12" s="1"/>
  <c r="W30" i="13" s="1"/>
  <c r="W30" i="14" s="1"/>
  <c r="W30" i="15" s="1"/>
  <c r="W30" i="16" s="1"/>
  <c r="W31" i="5"/>
  <c r="W31" i="6" s="1"/>
  <c r="W31" i="7" s="1"/>
  <c r="W31" i="8" s="1"/>
  <c r="W31" i="9" s="1"/>
  <c r="W31" i="10" s="1"/>
  <c r="W31" i="11" s="1"/>
  <c r="W31" i="12" s="1"/>
  <c r="W31" i="13" s="1"/>
  <c r="W31" i="14" s="1"/>
  <c r="W31" i="15" s="1"/>
  <c r="W31" i="16" s="1"/>
  <c r="W32" i="5"/>
  <c r="W32" i="6" s="1"/>
  <c r="W32" i="7" s="1"/>
  <c r="W32" i="8" s="1"/>
  <c r="W32" i="9" s="1"/>
  <c r="W32" i="10" s="1"/>
  <c r="W32" i="11" s="1"/>
  <c r="W32" i="12" s="1"/>
  <c r="W32" i="13" s="1"/>
  <c r="W32" i="14" s="1"/>
  <c r="W32" i="15" s="1"/>
  <c r="W32" i="16" s="1"/>
  <c r="W33" i="5"/>
  <c r="W33" i="6" s="1"/>
  <c r="W33" i="7" s="1"/>
  <c r="W33" i="8" s="1"/>
  <c r="W33" i="9" s="1"/>
  <c r="W33" i="10" s="1"/>
  <c r="W33" i="11" s="1"/>
  <c r="W33" i="12" s="1"/>
  <c r="W33" i="13" s="1"/>
  <c r="W33" i="14" s="1"/>
  <c r="W33" i="15" s="1"/>
  <c r="W33" i="16" s="1"/>
  <c r="W36" i="5"/>
  <c r="W36" i="6" s="1"/>
  <c r="W36" i="7" s="1"/>
  <c r="W36" i="8" s="1"/>
  <c r="W36" i="9" s="1"/>
  <c r="W36" i="10" s="1"/>
  <c r="W36" i="11" s="1"/>
  <c r="W36" i="12" s="1"/>
  <c r="W36" i="13" s="1"/>
  <c r="W36" i="14" s="1"/>
  <c r="W36" i="15" s="1"/>
  <c r="W36" i="16" s="1"/>
  <c r="W37" i="5"/>
  <c r="W37" i="6" s="1"/>
  <c r="W37" i="7" s="1"/>
  <c r="W37" i="8" s="1"/>
  <c r="W37" i="9" s="1"/>
  <c r="W37" i="10" s="1"/>
  <c r="W37" i="11" s="1"/>
  <c r="W38" i="5"/>
  <c r="W38" i="6" s="1"/>
  <c r="W38" i="7" s="1"/>
  <c r="W38" i="8" s="1"/>
  <c r="W38" i="9" s="1"/>
  <c r="W38" i="10" s="1"/>
  <c r="W38" i="11" s="1"/>
  <c r="W38" i="12" s="1"/>
  <c r="W38" i="13" s="1"/>
  <c r="W38" i="14" s="1"/>
  <c r="W38" i="15" s="1"/>
  <c r="W38" i="16" s="1"/>
  <c r="W39" i="5"/>
  <c r="W39" i="6" s="1"/>
  <c r="W40" i="5"/>
  <c r="W40" i="6" s="1"/>
  <c r="W40" i="7" s="1"/>
  <c r="W40" i="8" s="1"/>
  <c r="W40" i="9" s="1"/>
  <c r="W40" i="10" s="1"/>
  <c r="W40" i="11" s="1"/>
  <c r="W40" i="12" s="1"/>
  <c r="W40" i="13" s="1"/>
  <c r="W40" i="14" s="1"/>
  <c r="W40" i="15" s="1"/>
  <c r="W40" i="16" s="1"/>
  <c r="W41" i="5"/>
  <c r="W41" i="6" s="1"/>
  <c r="W41" i="7" s="1"/>
  <c r="W41" i="8" s="1"/>
  <c r="W41" i="9" s="1"/>
  <c r="W41" i="10" s="1"/>
  <c r="W41" i="11" s="1"/>
  <c r="W41" i="12" s="1"/>
  <c r="W41" i="13" s="1"/>
  <c r="W41" i="14" s="1"/>
  <c r="W41" i="15" s="1"/>
  <c r="W41" i="16" s="1"/>
  <c r="W45" i="5"/>
  <c r="W45" i="6" s="1"/>
  <c r="W45" i="7" s="1"/>
  <c r="W45" i="8" s="1"/>
  <c r="W45" i="9" s="1"/>
  <c r="W45" i="10" s="1"/>
  <c r="W45" i="11" s="1"/>
  <c r="W45" i="12" s="1"/>
  <c r="W45" i="13" s="1"/>
  <c r="W45" i="14" s="1"/>
  <c r="W45" i="15" s="1"/>
  <c r="W45" i="16" s="1"/>
  <c r="W46" i="5"/>
  <c r="W46" i="6" s="1"/>
  <c r="W47" i="5"/>
  <c r="W47" i="6" s="1"/>
  <c r="W47" i="7" s="1"/>
  <c r="W47" i="8" s="1"/>
  <c r="W47" i="9" s="1"/>
  <c r="W47" i="10" s="1"/>
  <c r="W47" i="11" s="1"/>
  <c r="W47" i="12" s="1"/>
  <c r="W47" i="13" s="1"/>
  <c r="W47" i="14" s="1"/>
  <c r="W47" i="15" s="1"/>
  <c r="W47" i="16" s="1"/>
  <c r="W48" i="5"/>
  <c r="W48" i="6" s="1"/>
  <c r="W48" i="7" s="1"/>
  <c r="W48" i="8" s="1"/>
  <c r="W48" i="9" s="1"/>
  <c r="W48" i="10" s="1"/>
  <c r="W48" i="11" s="1"/>
  <c r="W50" i="5"/>
  <c r="W50" i="6" s="1"/>
  <c r="W50" i="7" s="1"/>
  <c r="W50" i="8" s="1"/>
  <c r="W50" i="9" s="1"/>
  <c r="W50" i="10" s="1"/>
  <c r="W51" i="5"/>
  <c r="W51" i="6" s="1"/>
  <c r="W52" i="5"/>
  <c r="W52" i="6" s="1"/>
  <c r="W52" i="7" s="1"/>
  <c r="W52" i="8" s="1"/>
  <c r="W52" i="9" s="1"/>
  <c r="W52" i="10" s="1"/>
  <c r="W52" i="11" s="1"/>
  <c r="W52" i="12" s="1"/>
  <c r="W53" i="5"/>
  <c r="W53" i="6" s="1"/>
  <c r="W53" i="7" s="1"/>
  <c r="W53" i="8" s="1"/>
  <c r="W53" i="9" s="1"/>
  <c r="W53" i="10" s="1"/>
  <c r="W53" i="11" s="1"/>
  <c r="W53" i="12" s="1"/>
  <c r="W53" i="13" s="1"/>
  <c r="W53" i="14" s="1"/>
  <c r="W53" i="15" s="1"/>
  <c r="W53" i="16" s="1"/>
  <c r="W54" i="5"/>
  <c r="W54" i="6" s="1"/>
  <c r="W54" i="7" s="1"/>
  <c r="W54" i="8" s="1"/>
  <c r="W54" i="9" s="1"/>
  <c r="W54" i="10" s="1"/>
  <c r="W54" i="11" s="1"/>
  <c r="W54" i="12" s="1"/>
  <c r="W54" i="13" s="1"/>
  <c r="W54" i="14" s="1"/>
  <c r="W54" i="15" s="1"/>
  <c r="W54" i="16" s="1"/>
  <c r="W55" i="5"/>
  <c r="W55" i="6" s="1"/>
  <c r="W55" i="7" s="1"/>
  <c r="W55" i="8" s="1"/>
  <c r="W55" i="9" s="1"/>
  <c r="W55" i="10" s="1"/>
  <c r="W55" i="11" s="1"/>
  <c r="W55" i="12" s="1"/>
  <c r="W55" i="13" s="1"/>
  <c r="W55" i="14" s="1"/>
  <c r="W55" i="15" s="1"/>
  <c r="W55" i="16" s="1"/>
  <c r="W59" i="5"/>
  <c r="W59" i="6" s="1"/>
  <c r="W60" i="5"/>
  <c r="W60" i="6" s="1"/>
  <c r="W60" i="7" s="1"/>
  <c r="W60" i="8" s="1"/>
  <c r="W60" i="9" s="1"/>
  <c r="W60" i="10" s="1"/>
  <c r="W60" i="11" s="1"/>
  <c r="W60" i="12" s="1"/>
  <c r="W60" i="13" s="1"/>
  <c r="W60" i="14" s="1"/>
  <c r="W60" i="15" s="1"/>
  <c r="W60" i="16" s="1"/>
  <c r="W61" i="5"/>
  <c r="W61" i="6" s="1"/>
  <c r="W61" i="7" s="1"/>
  <c r="W61" i="8" s="1"/>
  <c r="W61" i="9" s="1"/>
  <c r="W61" i="10" s="1"/>
  <c r="W61" i="11" s="1"/>
  <c r="W61" i="12" s="1"/>
  <c r="W61" i="13" s="1"/>
  <c r="W61" i="14" s="1"/>
  <c r="W61" i="15" s="1"/>
  <c r="W61" i="16" s="1"/>
  <c r="W66" i="5"/>
  <c r="W66" i="6" s="1"/>
  <c r="W66" i="7" s="1"/>
  <c r="W66" i="8" s="1"/>
  <c r="W66" i="9" s="1"/>
  <c r="W66" i="10" s="1"/>
  <c r="W66" i="11" s="1"/>
  <c r="W66" i="12" s="1"/>
  <c r="W66" i="13" s="1"/>
  <c r="W66" i="14" s="1"/>
  <c r="W66" i="15" s="1"/>
  <c r="W66" i="16" s="1"/>
  <c r="W67" i="5"/>
  <c r="W67" i="6" s="1"/>
  <c r="W67" i="7" s="1"/>
  <c r="W67" i="8" s="1"/>
  <c r="W67" i="9" s="1"/>
  <c r="W67" i="10" s="1"/>
  <c r="W67" i="11" s="1"/>
  <c r="W67" i="12" s="1"/>
  <c r="W67" i="13" s="1"/>
  <c r="W67" i="14" s="1"/>
  <c r="W67" i="15" s="1"/>
  <c r="W67" i="16" s="1"/>
  <c r="W68" i="5"/>
  <c r="W68" i="6" s="1"/>
  <c r="W68" i="7" s="1"/>
  <c r="W68" i="8" s="1"/>
  <c r="W68" i="9" s="1"/>
  <c r="W68" i="10" s="1"/>
  <c r="W68" i="11" s="1"/>
  <c r="W68" i="12" s="1"/>
  <c r="W68" i="13" s="1"/>
  <c r="W68" i="14" s="1"/>
  <c r="W68" i="15" s="1"/>
  <c r="W68" i="16" s="1"/>
  <c r="W70" i="5"/>
  <c r="W70" i="6" s="1"/>
  <c r="W70" i="7" s="1"/>
  <c r="W70" i="8" s="1"/>
  <c r="W70" i="9" s="1"/>
  <c r="W70" i="10" s="1"/>
  <c r="W70" i="11" s="1"/>
  <c r="W70" i="12" s="1"/>
  <c r="W70" i="13" s="1"/>
  <c r="W70" i="14" s="1"/>
  <c r="W70" i="15" s="1"/>
  <c r="W70" i="16" s="1"/>
  <c r="W71" i="5"/>
  <c r="W71" i="6" s="1"/>
  <c r="W71" i="7" s="1"/>
  <c r="W71" i="8" s="1"/>
  <c r="W71" i="9" s="1"/>
  <c r="W71" i="10" s="1"/>
  <c r="W71" i="11" s="1"/>
  <c r="W71" i="12" s="1"/>
  <c r="W71" i="13" s="1"/>
  <c r="W71" i="14" s="1"/>
  <c r="W71" i="15" s="1"/>
  <c r="W71" i="16" s="1"/>
  <c r="W72" i="5"/>
  <c r="W72" i="6" s="1"/>
  <c r="W73" i="5"/>
  <c r="W73" i="6" s="1"/>
  <c r="W73" i="7" s="1"/>
  <c r="W73" i="8" s="1"/>
  <c r="W73" i="9" s="1"/>
  <c r="W73" i="10" s="1"/>
  <c r="W73" i="11" s="1"/>
  <c r="W73" i="12" s="1"/>
  <c r="W73" i="13" s="1"/>
  <c r="W73" i="14" s="1"/>
  <c r="W73" i="15" s="1"/>
  <c r="W73" i="16" s="1"/>
  <c r="W74" i="5"/>
  <c r="W74" i="6" s="1"/>
  <c r="W74" i="7" s="1"/>
  <c r="W74" i="8" s="1"/>
  <c r="W74" i="9" s="1"/>
  <c r="W74" i="10" s="1"/>
  <c r="W74" i="11" s="1"/>
  <c r="W74" i="12" s="1"/>
  <c r="W74" i="13" s="1"/>
  <c r="W74" i="14" s="1"/>
  <c r="W74" i="15" s="1"/>
  <c r="W74" i="16" s="1"/>
  <c r="W75" i="5"/>
  <c r="W75" i="6" s="1"/>
  <c r="W75" i="7" s="1"/>
  <c r="W75" i="8" s="1"/>
  <c r="W75" i="9" s="1"/>
  <c r="W75" i="10" s="1"/>
  <c r="W75" i="11" s="1"/>
  <c r="W75" i="12" s="1"/>
  <c r="W75" i="13" s="1"/>
  <c r="W75" i="14" s="1"/>
  <c r="W75" i="15" s="1"/>
  <c r="W75" i="16" s="1"/>
  <c r="W76" i="5"/>
  <c r="W76" i="6" s="1"/>
  <c r="W76" i="7" s="1"/>
  <c r="W76" i="8" s="1"/>
  <c r="W76" i="9" s="1"/>
  <c r="W76" i="10" s="1"/>
  <c r="W76" i="11" s="1"/>
  <c r="W76" i="12" s="1"/>
  <c r="W76" i="13" s="1"/>
  <c r="W76" i="14" s="1"/>
  <c r="W76" i="15" s="1"/>
  <c r="W76" i="16" s="1"/>
  <c r="W77" i="5"/>
  <c r="W77" i="6" s="1"/>
  <c r="W77" i="7" s="1"/>
  <c r="W77" i="8" s="1"/>
  <c r="W77" i="9" s="1"/>
  <c r="W77" i="10" s="1"/>
  <c r="W77" i="11" s="1"/>
  <c r="W77" i="12" s="1"/>
  <c r="W77" i="13" s="1"/>
  <c r="W77" i="14" s="1"/>
  <c r="W77" i="15" s="1"/>
  <c r="W77" i="16" s="1"/>
  <c r="W78" i="5"/>
  <c r="W78" i="6" s="1"/>
  <c r="W78" i="7" s="1"/>
  <c r="W78" i="8" s="1"/>
  <c r="W78" i="9" s="1"/>
  <c r="W78" i="10" s="1"/>
  <c r="W78" i="11" s="1"/>
  <c r="W78" i="12" s="1"/>
  <c r="W78" i="13" s="1"/>
  <c r="W78" i="14" s="1"/>
  <c r="W78" i="15" s="1"/>
  <c r="W78" i="16" s="1"/>
  <c r="W79" i="5"/>
  <c r="W79" i="6" s="1"/>
  <c r="W79" i="7" s="1"/>
  <c r="W79" i="8" s="1"/>
  <c r="W79" i="9" s="1"/>
  <c r="W79" i="10" s="1"/>
  <c r="W79" i="11" s="1"/>
  <c r="W79" i="12" s="1"/>
  <c r="W79" i="13" s="1"/>
  <c r="W79" i="14" s="1"/>
  <c r="W79" i="15" s="1"/>
  <c r="W79" i="16" s="1"/>
  <c r="W80" i="5"/>
  <c r="W80" i="6" s="1"/>
  <c r="W80" i="7" s="1"/>
  <c r="W80" i="8" s="1"/>
  <c r="W80" i="9" s="1"/>
  <c r="W80" i="10" s="1"/>
  <c r="W80" i="11" s="1"/>
  <c r="W80" i="12" s="1"/>
  <c r="W80" i="13" s="1"/>
  <c r="W80" i="14" s="1"/>
  <c r="W80" i="15" s="1"/>
  <c r="W80" i="16" s="1"/>
  <c r="W81" i="5"/>
  <c r="W81" i="6" s="1"/>
  <c r="W81" i="7" s="1"/>
  <c r="W81" i="8" s="1"/>
  <c r="W81" i="9" s="1"/>
  <c r="W81" i="10" s="1"/>
  <c r="W81" i="11" s="1"/>
  <c r="W81" i="12" s="1"/>
  <c r="W81" i="13" s="1"/>
  <c r="W81" i="14" s="1"/>
  <c r="W81" i="15" s="1"/>
  <c r="W81" i="16" s="1"/>
  <c r="W84" i="5"/>
  <c r="W84" i="6" s="1"/>
  <c r="W84" i="7" s="1"/>
  <c r="W84" i="8" s="1"/>
  <c r="W84" i="9" s="1"/>
  <c r="W84" i="10" s="1"/>
  <c r="W84" i="11" s="1"/>
  <c r="W84" i="12" s="1"/>
  <c r="W84" i="13" s="1"/>
  <c r="W84" i="14" s="1"/>
  <c r="W84" i="15" s="1"/>
  <c r="W84" i="16" s="1"/>
  <c r="W85" i="5"/>
  <c r="W85" i="6" s="1"/>
  <c r="W85" i="7" s="1"/>
  <c r="W85" i="8" s="1"/>
  <c r="W85" i="9" s="1"/>
  <c r="W85" i="10" s="1"/>
  <c r="W85" i="11" s="1"/>
  <c r="W85" i="12" s="1"/>
  <c r="W85" i="13" s="1"/>
  <c r="W85" i="14" s="1"/>
  <c r="W85" i="15" s="1"/>
  <c r="W85" i="16" s="1"/>
  <c r="W86" i="5"/>
  <c r="W86" i="6" s="1"/>
  <c r="W87" i="5"/>
  <c r="W87" i="6" s="1"/>
  <c r="W87" i="7" s="1"/>
  <c r="W87" i="8" s="1"/>
  <c r="W87" i="9" s="1"/>
  <c r="W87" i="10" s="1"/>
  <c r="W87" i="11" s="1"/>
  <c r="W87" i="12" s="1"/>
  <c r="W87" i="13" s="1"/>
  <c r="W87" i="14" s="1"/>
  <c r="W87" i="15" s="1"/>
  <c r="W87" i="16" s="1"/>
  <c r="W88" i="5"/>
  <c r="W88" i="6" s="1"/>
  <c r="W88" i="7" s="1"/>
  <c r="W88" i="8" s="1"/>
  <c r="W88" i="9" s="1"/>
  <c r="W88" i="10" s="1"/>
  <c r="W88" i="11" s="1"/>
  <c r="W88" i="12" s="1"/>
  <c r="W88" i="13" s="1"/>
  <c r="W88" i="14" s="1"/>
  <c r="W88" i="15" s="1"/>
  <c r="W88" i="16" s="1"/>
  <c r="W92" i="5"/>
  <c r="W92" i="6" s="1"/>
  <c r="W92" i="7" s="1"/>
  <c r="W92" i="8" s="1"/>
  <c r="W92" i="9" s="1"/>
  <c r="W92" i="10" s="1"/>
  <c r="W92" i="11" s="1"/>
  <c r="W92" i="12" s="1"/>
  <c r="W92" i="13" s="1"/>
  <c r="W92" i="14" s="1"/>
  <c r="W92" i="15" s="1"/>
  <c r="W92" i="16" s="1"/>
  <c r="W93" i="5"/>
  <c r="W93" i="6" s="1"/>
  <c r="W94" i="5"/>
  <c r="W94" i="6" s="1"/>
  <c r="W94" i="7" s="1"/>
  <c r="W94" i="8" s="1"/>
  <c r="W94" i="9" s="1"/>
  <c r="W94" i="10" s="1"/>
  <c r="W95" i="5"/>
  <c r="W95" i="6" s="1"/>
  <c r="W95" i="7" s="1"/>
  <c r="W95" i="8" s="1"/>
  <c r="W95" i="9" s="1"/>
  <c r="W95" i="10" s="1"/>
  <c r="W95" i="11" s="1"/>
  <c r="W95" i="12" s="1"/>
  <c r="W95" i="13" s="1"/>
  <c r="W95" i="14" s="1"/>
  <c r="W95" i="15" s="1"/>
  <c r="W95" i="16" s="1"/>
  <c r="W97" i="5"/>
  <c r="W97" i="6" s="1"/>
  <c r="W97" i="7" s="1"/>
  <c r="W97" i="8" s="1"/>
  <c r="W97" i="9" s="1"/>
  <c r="W97" i="10" s="1"/>
  <c r="W97" i="11" s="1"/>
  <c r="W97" i="12" s="1"/>
  <c r="W97" i="13" s="1"/>
  <c r="W97" i="14" s="1"/>
  <c r="W97" i="15" s="1"/>
  <c r="W97" i="16" s="1"/>
  <c r="W98" i="5"/>
  <c r="W98" i="6" s="1"/>
  <c r="W98" i="7" s="1"/>
  <c r="W98" i="8" s="1"/>
  <c r="W99" i="5"/>
  <c r="W99" i="6" s="1"/>
  <c r="W99" i="7" s="1"/>
  <c r="W99" i="8" s="1"/>
  <c r="W99" i="9" s="1"/>
  <c r="W99" i="10" s="1"/>
  <c r="W99" i="11" s="1"/>
  <c r="W99" i="12" s="1"/>
  <c r="W99" i="13" s="1"/>
  <c r="W99" i="14" s="1"/>
  <c r="W99" i="15" s="1"/>
  <c r="W99" i="16" s="1"/>
  <c r="W100" i="5"/>
  <c r="W100" i="6" s="1"/>
  <c r="W100" i="7" s="1"/>
  <c r="W100" i="8" s="1"/>
  <c r="W100" i="9" s="1"/>
  <c r="W100" i="10" s="1"/>
  <c r="W100" i="11" s="1"/>
  <c r="W100" i="12" s="1"/>
  <c r="W100" i="13" s="1"/>
  <c r="W100" i="14" s="1"/>
  <c r="W100" i="15" s="1"/>
  <c r="W100" i="16" s="1"/>
  <c r="W101" i="5"/>
  <c r="W101" i="6" s="1"/>
  <c r="W101" i="7" s="1"/>
  <c r="W101" i="8" s="1"/>
  <c r="W101" i="9" s="1"/>
  <c r="W101" i="10" s="1"/>
  <c r="W101" i="11" s="1"/>
  <c r="W101" i="12" s="1"/>
  <c r="W101" i="13" s="1"/>
  <c r="W101" i="14" s="1"/>
  <c r="W101" i="15" s="1"/>
  <c r="W101" i="16" s="1"/>
  <c r="W102" i="5"/>
  <c r="W102" i="6" s="1"/>
  <c r="W102" i="7" s="1"/>
  <c r="W102" i="8" s="1"/>
  <c r="W102" i="9" s="1"/>
  <c r="W102" i="10" s="1"/>
  <c r="W102" i="11" s="1"/>
  <c r="W102" i="12" s="1"/>
  <c r="W102" i="13" s="1"/>
  <c r="W102" i="14" s="1"/>
  <c r="W102" i="15" s="1"/>
  <c r="W102" i="16" s="1"/>
  <c r="W106" i="5"/>
  <c r="W106" i="6" s="1"/>
  <c r="W106" i="7" s="1"/>
  <c r="W106" i="8" s="1"/>
  <c r="W106" i="9" s="1"/>
  <c r="W106" i="10" s="1"/>
  <c r="W106" i="11" s="1"/>
  <c r="W106" i="12" s="1"/>
  <c r="W107" i="5"/>
  <c r="W107" i="6" s="1"/>
  <c r="W107" i="7" s="1"/>
  <c r="W107" i="8" s="1"/>
  <c r="W107" i="9" s="1"/>
  <c r="W107" i="10" s="1"/>
  <c r="W107" i="11" s="1"/>
  <c r="W107" i="12" s="1"/>
  <c r="W107" i="13" s="1"/>
  <c r="W107" i="14" s="1"/>
  <c r="W107" i="15" s="1"/>
  <c r="W107" i="16" s="1"/>
  <c r="W108" i="5"/>
  <c r="W108" i="6" s="1"/>
  <c r="W108" i="7" s="1"/>
  <c r="W108" i="8" s="1"/>
  <c r="W108" i="9" s="1"/>
  <c r="W108" i="10" s="1"/>
  <c r="W108" i="11" s="1"/>
  <c r="W108" i="12" s="1"/>
  <c r="W108" i="13" s="1"/>
  <c r="W108" i="14" s="1"/>
  <c r="W108" i="15" s="1"/>
  <c r="W108" i="16" s="1"/>
  <c r="W115" i="5"/>
  <c r="W115" i="6" s="1"/>
  <c r="W116" i="5"/>
  <c r="W116" i="6" s="1"/>
  <c r="W116" i="7" s="1"/>
  <c r="W116" i="8" s="1"/>
  <c r="W116" i="9" s="1"/>
  <c r="W116" i="10" s="1"/>
  <c r="W116" i="11" s="1"/>
  <c r="W116" i="12" s="1"/>
  <c r="W116" i="13" s="1"/>
  <c r="W116" i="14" s="1"/>
  <c r="W116" i="15" s="1"/>
  <c r="W116" i="16" s="1"/>
  <c r="W117" i="5"/>
  <c r="W117" i="6" s="1"/>
  <c r="W117" i="7" s="1"/>
  <c r="W117" i="8" s="1"/>
  <c r="W117" i="9" s="1"/>
  <c r="W117" i="10" s="1"/>
  <c r="W117" i="11" s="1"/>
  <c r="W117" i="12" s="1"/>
  <c r="W117" i="13" s="1"/>
  <c r="W117" i="14" s="1"/>
  <c r="W117" i="15" s="1"/>
  <c r="W117" i="16" s="1"/>
  <c r="W118" i="5"/>
  <c r="W118" i="6" s="1"/>
  <c r="W118" i="7" s="1"/>
  <c r="W118" i="8" s="1"/>
  <c r="W118" i="9" s="1"/>
  <c r="W118" i="10" s="1"/>
  <c r="W118" i="11" s="1"/>
  <c r="W118" i="12" s="1"/>
  <c r="W118" i="13" s="1"/>
  <c r="W118" i="14" s="1"/>
  <c r="W118" i="15" s="1"/>
  <c r="W118" i="16" s="1"/>
  <c r="W119" i="5"/>
  <c r="W119" i="6" s="1"/>
  <c r="W119" i="7" s="1"/>
  <c r="W119" i="8" s="1"/>
  <c r="W119" i="9" s="1"/>
  <c r="W119" i="10" s="1"/>
  <c r="W119" i="11" s="1"/>
  <c r="W119" i="12" s="1"/>
  <c r="W119" i="13" s="1"/>
  <c r="W119" i="14" s="1"/>
  <c r="W119" i="15" s="1"/>
  <c r="W119" i="16" s="1"/>
  <c r="W120" i="5"/>
  <c r="W120" i="6" s="1"/>
  <c r="W120" i="7" s="1"/>
  <c r="W120" i="8" s="1"/>
  <c r="W120" i="9" s="1"/>
  <c r="W120" i="10" s="1"/>
  <c r="W120" i="11" s="1"/>
  <c r="W120" i="12" s="1"/>
  <c r="W120" i="13" s="1"/>
  <c r="W120" i="14" s="1"/>
  <c r="W120" i="15" s="1"/>
  <c r="W120" i="16" s="1"/>
  <c r="W121" i="5"/>
  <c r="W121" i="6" s="1"/>
  <c r="W121" i="7" s="1"/>
  <c r="W121" i="8" s="1"/>
  <c r="W121" i="9" s="1"/>
  <c r="W121" i="10" s="1"/>
  <c r="W121" i="11" s="1"/>
  <c r="W121" i="12" s="1"/>
  <c r="W121" i="13" s="1"/>
  <c r="W121" i="14" s="1"/>
  <c r="W121" i="15" s="1"/>
  <c r="W121" i="16" s="1"/>
  <c r="W124" i="5"/>
  <c r="W124" i="6" s="1"/>
  <c r="W124" i="7" s="1"/>
  <c r="W124" i="8" s="1"/>
  <c r="W124" i="9" s="1"/>
  <c r="W124" i="10" s="1"/>
  <c r="W124" i="11" s="1"/>
  <c r="W124" i="12" s="1"/>
  <c r="W124" i="13" s="1"/>
  <c r="W124" i="14" s="1"/>
  <c r="W124" i="15" s="1"/>
  <c r="W124" i="16" s="1"/>
  <c r="W125" i="5"/>
  <c r="W125" i="6" s="1"/>
  <c r="W125" i="7" s="1"/>
  <c r="W125" i="8" s="1"/>
  <c r="W125" i="9" s="1"/>
  <c r="W125" i="10" s="1"/>
  <c r="W125" i="11" s="1"/>
  <c r="W125" i="12" s="1"/>
  <c r="W125" i="13" s="1"/>
  <c r="W125" i="14" s="1"/>
  <c r="W125" i="15" s="1"/>
  <c r="W125" i="16" s="1"/>
  <c r="W126" i="5"/>
  <c r="W126" i="6" s="1"/>
  <c r="W126" i="7" s="1"/>
  <c r="W126" i="8" s="1"/>
  <c r="W126" i="9" s="1"/>
  <c r="W126" i="10" s="1"/>
  <c r="W126" i="11" s="1"/>
  <c r="W126" i="12" s="1"/>
  <c r="W126" i="13" s="1"/>
  <c r="W126" i="14" s="1"/>
  <c r="W126" i="15" s="1"/>
  <c r="W126" i="16" s="1"/>
  <c r="W127" i="5"/>
  <c r="W127" i="6" s="1"/>
  <c r="W127" i="7" s="1"/>
  <c r="W127" i="8" s="1"/>
  <c r="W127" i="9" s="1"/>
  <c r="W127" i="10" s="1"/>
  <c r="W127" i="11" s="1"/>
  <c r="W127" i="12" s="1"/>
  <c r="W127" i="13" s="1"/>
  <c r="W127" i="14" s="1"/>
  <c r="W127" i="15" s="1"/>
  <c r="W127" i="16" s="1"/>
  <c r="W128" i="5"/>
  <c r="W128" i="6" s="1"/>
  <c r="W128" i="7" s="1"/>
  <c r="W128" i="8" s="1"/>
  <c r="W128" i="9" s="1"/>
  <c r="W128" i="10" s="1"/>
  <c r="W128" i="11" s="1"/>
  <c r="W128" i="12" s="1"/>
  <c r="W128" i="13" s="1"/>
  <c r="W128" i="14" s="1"/>
  <c r="W128" i="15" s="1"/>
  <c r="W128" i="16" s="1"/>
  <c r="W129" i="5"/>
  <c r="W129" i="6" s="1"/>
  <c r="W129" i="7" s="1"/>
  <c r="W129" i="8" s="1"/>
  <c r="W129" i="9" s="1"/>
  <c r="W129" i="10" s="1"/>
  <c r="W129" i="11" s="1"/>
  <c r="W129" i="12" s="1"/>
  <c r="W129" i="13" s="1"/>
  <c r="W129" i="14" s="1"/>
  <c r="W129" i="15" s="1"/>
  <c r="W129" i="16" s="1"/>
  <c r="W130" i="5"/>
  <c r="W130" i="6" s="1"/>
  <c r="W130" i="7" s="1"/>
  <c r="W130" i="8" s="1"/>
  <c r="W130" i="9" s="1"/>
  <c r="W130" i="10" s="1"/>
  <c r="W130" i="11" s="1"/>
  <c r="W130" i="12" s="1"/>
  <c r="W130" i="13" s="1"/>
  <c r="W130" i="14" s="1"/>
  <c r="W130" i="15" s="1"/>
  <c r="W130" i="16" s="1"/>
  <c r="W131" i="5"/>
  <c r="W131" i="6" s="1"/>
  <c r="W131" i="7" s="1"/>
  <c r="W131" i="8" s="1"/>
  <c r="W131" i="9" s="1"/>
  <c r="W131" i="10" s="1"/>
  <c r="W131" i="11" s="1"/>
  <c r="W131" i="12" s="1"/>
  <c r="W131" i="13" s="1"/>
  <c r="W131" i="14" s="1"/>
  <c r="W131" i="15" s="1"/>
  <c r="W132" i="5"/>
  <c r="W132" i="6" s="1"/>
  <c r="W132" i="7" s="1"/>
  <c r="W132" i="8" s="1"/>
  <c r="W132" i="9" s="1"/>
  <c r="W132" i="10" s="1"/>
  <c r="W132" i="11" s="1"/>
  <c r="W132" i="12" s="1"/>
  <c r="W132" i="13" s="1"/>
  <c r="W133" i="5"/>
  <c r="W133" i="6" s="1"/>
  <c r="W134" i="5"/>
  <c r="W134" i="6" s="1"/>
  <c r="W134" i="7" s="1"/>
  <c r="W134" i="8" s="1"/>
  <c r="W134" i="9" s="1"/>
  <c r="W134" i="10" s="1"/>
  <c r="W134" i="11" s="1"/>
  <c r="W134" i="12" s="1"/>
  <c r="W134" i="13" s="1"/>
  <c r="W134" i="14" s="1"/>
  <c r="W134" i="15" s="1"/>
  <c r="W134" i="16" s="1"/>
  <c r="W135" i="5"/>
  <c r="W135" i="6" s="1"/>
  <c r="W135" i="7" s="1"/>
  <c r="W135" i="8" s="1"/>
  <c r="W135" i="9" s="1"/>
  <c r="W135" i="10" s="1"/>
  <c r="W135" i="11" s="1"/>
  <c r="W135" i="12" s="1"/>
  <c r="W135" i="13" s="1"/>
  <c r="W135" i="14" s="1"/>
  <c r="W135" i="15" s="1"/>
  <c r="W135" i="16" s="1"/>
  <c r="W136" i="5"/>
  <c r="W136" i="6" s="1"/>
  <c r="W136" i="7" s="1"/>
  <c r="W136" i="8" s="1"/>
  <c r="W136" i="9" s="1"/>
  <c r="W136" i="10" s="1"/>
  <c r="W136" i="11" s="1"/>
  <c r="W136" i="12" s="1"/>
  <c r="W136" i="13" s="1"/>
  <c r="W136" i="14" s="1"/>
  <c r="W136" i="15" s="1"/>
  <c r="W136" i="16" s="1"/>
  <c r="W137" i="5"/>
  <c r="W137" i="6" s="1"/>
  <c r="W137" i="7" s="1"/>
  <c r="W137" i="8" s="1"/>
  <c r="W137" i="9" s="1"/>
  <c r="W137" i="10" s="1"/>
  <c r="W137" i="11" s="1"/>
  <c r="W137" i="12" s="1"/>
  <c r="W137" i="13" s="1"/>
  <c r="W137" i="14" s="1"/>
  <c r="W137" i="15" s="1"/>
  <c r="W137" i="16" s="1"/>
  <c r="W138" i="5"/>
  <c r="W138" i="6" s="1"/>
  <c r="W138" i="7" s="1"/>
  <c r="W138" i="8" s="1"/>
  <c r="W138" i="9" s="1"/>
  <c r="W138" i="10" s="1"/>
  <c r="W138" i="11" s="1"/>
  <c r="W138" i="12" s="1"/>
  <c r="W138" i="13" s="1"/>
  <c r="W138" i="14" s="1"/>
  <c r="W139" i="5"/>
  <c r="W139" i="6" s="1"/>
  <c r="W139" i="7" s="1"/>
  <c r="W139" i="8" s="1"/>
  <c r="W139" i="9" s="1"/>
  <c r="W139" i="10" s="1"/>
  <c r="W139" i="11" s="1"/>
  <c r="W139" i="12" s="1"/>
  <c r="W139" i="13" s="1"/>
  <c r="W139" i="14" s="1"/>
  <c r="W139" i="15" s="1"/>
  <c r="W139" i="16" s="1"/>
  <c r="W142" i="5"/>
  <c r="W142" i="6" s="1"/>
  <c r="W142" i="7" s="1"/>
  <c r="W142" i="8" s="1"/>
  <c r="W142" i="9" s="1"/>
  <c r="W142" i="10" s="1"/>
  <c r="W142" i="11" s="1"/>
  <c r="W142" i="12" s="1"/>
  <c r="W142" i="13" s="1"/>
  <c r="W142" i="14" s="1"/>
  <c r="W142" i="15" s="1"/>
  <c r="W142" i="16" s="1"/>
  <c r="W143" i="5"/>
  <c r="W143" i="6" s="1"/>
  <c r="W148" i="5"/>
  <c r="W148" i="6" s="1"/>
  <c r="W148" i="7" s="1"/>
  <c r="W148" i="8" s="1"/>
  <c r="W148" i="9" s="1"/>
  <c r="W148" i="10" s="1"/>
  <c r="W148" i="11" s="1"/>
  <c r="W148" i="12" s="1"/>
  <c r="W148" i="13" s="1"/>
  <c r="W148" i="14" s="1"/>
  <c r="W148" i="15" s="1"/>
  <c r="W148" i="16" s="1"/>
  <c r="W150" i="5"/>
  <c r="W150" i="6" s="1"/>
  <c r="W150" i="7" s="1"/>
  <c r="W150" i="8" s="1"/>
  <c r="W150" i="9" s="1"/>
  <c r="W150" i="10" s="1"/>
  <c r="W150" i="11" s="1"/>
  <c r="W150" i="12" s="1"/>
  <c r="W150" i="13" s="1"/>
  <c r="W150" i="14" s="1"/>
  <c r="W150" i="15" s="1"/>
  <c r="W150" i="16" s="1"/>
  <c r="W151" i="5"/>
  <c r="W151" i="6" s="1"/>
  <c r="W151" i="7" s="1"/>
  <c r="W151" i="8" s="1"/>
  <c r="W151" i="9" s="1"/>
  <c r="W151" i="10" s="1"/>
  <c r="W151" i="11" s="1"/>
  <c r="W151" i="12" s="1"/>
  <c r="W151" i="13" s="1"/>
  <c r="W151" i="14" s="1"/>
  <c r="W151" i="15" s="1"/>
  <c r="W151" i="16" s="1"/>
  <c r="W152" i="5"/>
  <c r="W152" i="6" s="1"/>
  <c r="W153" i="5"/>
  <c r="W153" i="6" s="1"/>
  <c r="W153" i="7" s="1"/>
  <c r="W153" i="8" s="1"/>
  <c r="W153" i="9" s="1"/>
  <c r="W153" i="10" s="1"/>
  <c r="W153" i="11" s="1"/>
  <c r="W153" i="12" s="1"/>
  <c r="W153" i="13" s="1"/>
  <c r="W153" i="14" s="1"/>
  <c r="W153" i="15" s="1"/>
  <c r="W153" i="16" s="1"/>
  <c r="W156" i="5"/>
  <c r="W156" i="6" s="1"/>
  <c r="W156" i="7" s="1"/>
  <c r="W156" i="8" s="1"/>
  <c r="W156" i="9" s="1"/>
  <c r="W156" i="10" s="1"/>
  <c r="W156" i="11" s="1"/>
  <c r="W156" i="12" s="1"/>
  <c r="W156" i="13" s="1"/>
  <c r="W156" i="14" s="1"/>
  <c r="W156" i="15" s="1"/>
  <c r="W156" i="16" s="1"/>
  <c r="W158" i="5"/>
  <c r="W158" i="6" s="1"/>
  <c r="W158" i="7" s="1"/>
  <c r="W158" i="8" s="1"/>
  <c r="W158" i="9" s="1"/>
  <c r="W158" i="10" s="1"/>
  <c r="W158" i="11" s="1"/>
  <c r="W158" i="12" s="1"/>
  <c r="W158" i="13" s="1"/>
  <c r="W158" i="14" s="1"/>
  <c r="W158" i="15" s="1"/>
  <c r="W158" i="16" s="1"/>
  <c r="W159" i="5"/>
  <c r="W159" i="6" s="1"/>
  <c r="W160" i="5"/>
  <c r="W160" i="6" s="1"/>
  <c r="W160" i="7" s="1"/>
  <c r="W160" i="8" s="1"/>
  <c r="W160" i="9" s="1"/>
  <c r="W160" i="10" s="1"/>
  <c r="W160" i="11" s="1"/>
  <c r="W160" i="12" s="1"/>
  <c r="W160" i="13" s="1"/>
  <c r="W160" i="14" s="1"/>
  <c r="W160" i="15" s="1"/>
  <c r="W160" i="16" s="1"/>
  <c r="W161" i="5"/>
  <c r="W161" i="6" s="1"/>
  <c r="W161" i="7" s="1"/>
  <c r="W161" i="8" s="1"/>
  <c r="W161" i="9" s="1"/>
  <c r="W161" i="10" s="1"/>
  <c r="W161" i="11" s="1"/>
  <c r="W161" i="12" s="1"/>
  <c r="W161" i="13" s="1"/>
  <c r="W161" i="14" s="1"/>
  <c r="W161" i="15" s="1"/>
  <c r="W161" i="16" s="1"/>
  <c r="W162" i="5"/>
  <c r="W162" i="6" s="1"/>
  <c r="W162" i="7" s="1"/>
  <c r="W162" i="8" s="1"/>
  <c r="W162" i="9" s="1"/>
  <c r="W162" i="10" s="1"/>
  <c r="W162" i="11" s="1"/>
  <c r="W162" i="12" s="1"/>
  <c r="W163" i="5"/>
  <c r="W163" i="6" s="1"/>
  <c r="W163" i="7" s="1"/>
  <c r="W163" i="8" s="1"/>
  <c r="W163" i="9" s="1"/>
  <c r="W163" i="10" s="1"/>
  <c r="W163" i="11" s="1"/>
  <c r="W163" i="12" s="1"/>
  <c r="W163" i="13" s="1"/>
  <c r="W163" i="14" s="1"/>
  <c r="W163" i="15" s="1"/>
  <c r="W163" i="16" s="1"/>
  <c r="W164" i="5"/>
  <c r="W164" i="6" s="1"/>
  <c r="W164" i="7" s="1"/>
  <c r="W164" i="8" s="1"/>
  <c r="W164" i="9" s="1"/>
  <c r="W164" i="10" s="1"/>
  <c r="W164" i="11" s="1"/>
  <c r="W164" i="12" s="1"/>
  <c r="W164" i="13" s="1"/>
  <c r="W164" i="14" s="1"/>
  <c r="W164" i="15" s="1"/>
  <c r="W164" i="16" s="1"/>
  <c r="W165" i="5"/>
  <c r="W165" i="6" s="1"/>
  <c r="W165" i="7" s="1"/>
  <c r="W165" i="8" s="1"/>
  <c r="W165" i="9" s="1"/>
  <c r="W165" i="10" s="1"/>
  <c r="W165" i="11" s="1"/>
  <c r="W165" i="12" s="1"/>
  <c r="W165" i="13" s="1"/>
  <c r="W165" i="14" s="1"/>
  <c r="W165" i="15" s="1"/>
  <c r="W165" i="16" s="1"/>
  <c r="W166" i="5"/>
  <c r="W166" i="6" s="1"/>
  <c r="W166" i="7" s="1"/>
  <c r="W166" i="8" s="1"/>
  <c r="W166" i="9" s="1"/>
  <c r="W166" i="10" s="1"/>
  <c r="W166" i="11" s="1"/>
  <c r="W166" i="12" s="1"/>
  <c r="W166" i="13" s="1"/>
  <c r="W166" i="14" s="1"/>
  <c r="W166" i="15" s="1"/>
  <c r="W166" i="16" s="1"/>
  <c r="W167" i="5"/>
  <c r="W167" i="6" s="1"/>
  <c r="W167" i="7" s="1"/>
  <c r="W167" i="8" s="1"/>
  <c r="W167" i="9" s="1"/>
  <c r="W167" i="10" s="1"/>
  <c r="W167" i="11" s="1"/>
  <c r="W167" i="12" s="1"/>
  <c r="W167" i="13" s="1"/>
  <c r="W167" i="14" s="1"/>
  <c r="W167" i="15" s="1"/>
  <c r="W167" i="16" s="1"/>
  <c r="W168" i="5"/>
  <c r="W168" i="6" s="1"/>
  <c r="W168" i="7" s="1"/>
  <c r="W168" i="8" s="1"/>
  <c r="W168" i="9" s="1"/>
  <c r="W168" i="10" s="1"/>
  <c r="W168" i="11" s="1"/>
  <c r="W168" i="12" s="1"/>
  <c r="W168" i="13" s="1"/>
  <c r="W168" i="14" s="1"/>
  <c r="W168" i="15" s="1"/>
  <c r="W168" i="16" s="1"/>
  <c r="W173" i="5"/>
  <c r="W173" i="6" s="1"/>
  <c r="W173" i="7" s="1"/>
  <c r="W173" i="8" s="1"/>
  <c r="W173" i="9" s="1"/>
  <c r="W173" i="10" s="1"/>
  <c r="W173" i="11" s="1"/>
  <c r="W173" i="12" s="1"/>
  <c r="W173" i="13" s="1"/>
  <c r="W173" i="14" s="1"/>
  <c r="W173" i="15" s="1"/>
  <c r="W173" i="16" s="1"/>
  <c r="W174" i="5"/>
  <c r="W174" i="6" s="1"/>
  <c r="W174" i="7" s="1"/>
  <c r="W174" i="8" s="1"/>
  <c r="W174" i="9" s="1"/>
  <c r="W174" i="10" s="1"/>
  <c r="W174" i="11" s="1"/>
  <c r="W174" i="12" s="1"/>
  <c r="W177" i="5"/>
  <c r="W177" i="6" s="1"/>
  <c r="W177" i="7" s="1"/>
  <c r="W178" i="5"/>
  <c r="W178" i="6" s="1"/>
  <c r="W178" i="7" s="1"/>
  <c r="W178" i="8" s="1"/>
  <c r="W178" i="9" s="1"/>
  <c r="W178" i="10" s="1"/>
  <c r="W179" i="5"/>
  <c r="W179" i="6" s="1"/>
  <c r="W179" i="7" s="1"/>
  <c r="W179" i="8" s="1"/>
  <c r="W179" i="9" s="1"/>
  <c r="W179" i="10" s="1"/>
  <c r="W179" i="11" s="1"/>
  <c r="W179" i="12" s="1"/>
  <c r="W179" i="13" s="1"/>
  <c r="W179" i="14" s="1"/>
  <c r="W179" i="15" s="1"/>
  <c r="W179" i="16" s="1"/>
  <c r="W180" i="5"/>
  <c r="W180" i="6" s="1"/>
  <c r="W180" i="7" s="1"/>
  <c r="W180" i="8" s="1"/>
  <c r="W180" i="9" s="1"/>
  <c r="W180" i="10" s="1"/>
  <c r="W180" i="11" s="1"/>
  <c r="W180" i="12" s="1"/>
  <c r="W180" i="13" s="1"/>
  <c r="W180" i="14" s="1"/>
  <c r="W180" i="15" s="1"/>
  <c r="W180" i="16" s="1"/>
  <c r="W181" i="5"/>
  <c r="W181" i="6" s="1"/>
  <c r="W181" i="7" s="1"/>
  <c r="W181" i="8" s="1"/>
  <c r="W181" i="9" s="1"/>
  <c r="W181" i="10" s="1"/>
  <c r="W181" i="11" s="1"/>
  <c r="W181" i="12" s="1"/>
  <c r="W181" i="13" s="1"/>
  <c r="W181" i="14" s="1"/>
  <c r="W181" i="15" s="1"/>
  <c r="W181" i="16" s="1"/>
  <c r="W182" i="5"/>
  <c r="W182" i="6" s="1"/>
  <c r="W182" i="7" s="1"/>
  <c r="W182" i="8" s="1"/>
  <c r="W182" i="9" s="1"/>
  <c r="W182" i="10" s="1"/>
  <c r="W182" i="11" s="1"/>
  <c r="W182" i="12" s="1"/>
  <c r="W182" i="13" s="1"/>
  <c r="W182" i="14" s="1"/>
  <c r="W182" i="15" s="1"/>
  <c r="W182" i="16" s="1"/>
  <c r="W183" i="5"/>
  <c r="W183" i="6" s="1"/>
  <c r="W183" i="7" s="1"/>
  <c r="W183" i="8" s="1"/>
  <c r="W183" i="9" s="1"/>
  <c r="W183" i="10" s="1"/>
  <c r="W183" i="11" s="1"/>
  <c r="W183" i="12" s="1"/>
  <c r="W183" i="13" s="1"/>
  <c r="W183" i="14" s="1"/>
  <c r="W186" i="5"/>
  <c r="W186" i="6" s="1"/>
  <c r="W186" i="7" s="1"/>
  <c r="W186" i="8" s="1"/>
  <c r="W186" i="9" s="1"/>
  <c r="W186" i="10" s="1"/>
  <c r="W186" i="11" s="1"/>
  <c r="W186" i="12" s="1"/>
  <c r="W186" i="13" s="1"/>
  <c r="W186" i="14" s="1"/>
  <c r="W186" i="15" s="1"/>
  <c r="W186" i="16" s="1"/>
  <c r="W188" i="5"/>
  <c r="W188" i="6" s="1"/>
  <c r="W188" i="7" s="1"/>
  <c r="W189" i="5"/>
  <c r="W189" i="6" s="1"/>
  <c r="W189" i="7" s="1"/>
  <c r="W189" i="8" s="1"/>
  <c r="W189" i="9" s="1"/>
  <c r="W189" i="10" s="1"/>
  <c r="W189" i="11" s="1"/>
  <c r="W189" i="12" s="1"/>
  <c r="W189" i="13" s="1"/>
  <c r="W189" i="14" s="1"/>
  <c r="W189" i="15" s="1"/>
  <c r="W189" i="16" s="1"/>
  <c r="W190" i="5"/>
  <c r="W190" i="6" s="1"/>
  <c r="W190" i="7" s="1"/>
  <c r="W190" i="8" s="1"/>
  <c r="W190" i="9" s="1"/>
  <c r="W190" i="10" s="1"/>
  <c r="W190" i="11" s="1"/>
  <c r="W190" i="12" s="1"/>
  <c r="W190" i="13" s="1"/>
  <c r="W191" i="5"/>
  <c r="W191" i="6" s="1"/>
  <c r="W191" i="7" s="1"/>
  <c r="W191" i="8" s="1"/>
  <c r="W191" i="9" s="1"/>
  <c r="W191" i="10" s="1"/>
  <c r="W191" i="11" s="1"/>
  <c r="W191" i="12" s="1"/>
  <c r="W191" i="13" s="1"/>
  <c r="W191" i="14" s="1"/>
  <c r="W191" i="15" s="1"/>
  <c r="W191" i="16" s="1"/>
  <c r="W198" i="5"/>
  <c r="W198" i="6" s="1"/>
  <c r="W199" i="5"/>
  <c r="W199" i="6" s="1"/>
  <c r="W199" i="7" s="1"/>
  <c r="W199" i="8" s="1"/>
  <c r="W199" i="9" s="1"/>
  <c r="W199" i="10" s="1"/>
  <c r="W199" i="11" s="1"/>
  <c r="W199" i="12" s="1"/>
  <c r="W199" i="13" s="1"/>
  <c r="W199" i="14" s="1"/>
  <c r="W199" i="15" s="1"/>
  <c r="W199" i="16" s="1"/>
  <c r="W200" i="5"/>
  <c r="W200" i="6" s="1"/>
  <c r="W200" i="7" s="1"/>
  <c r="W200" i="8" s="1"/>
  <c r="W200" i="9" s="1"/>
  <c r="W200" i="10" s="1"/>
  <c r="W200" i="11" s="1"/>
  <c r="W200" i="12" s="1"/>
  <c r="W200" i="13" s="1"/>
  <c r="W200" i="14" s="1"/>
  <c r="W200" i="15" s="1"/>
  <c r="W200" i="16" s="1"/>
  <c r="W201" i="5"/>
  <c r="W201" i="6" s="1"/>
  <c r="W201" i="7" s="1"/>
  <c r="W201" i="8" s="1"/>
  <c r="W201" i="9" s="1"/>
  <c r="W201" i="10" s="1"/>
  <c r="W201" i="11" s="1"/>
  <c r="W201" i="12" s="1"/>
  <c r="W201" i="13" s="1"/>
  <c r="W201" i="14" s="1"/>
  <c r="W201" i="15" s="1"/>
  <c r="W201" i="16" s="1"/>
  <c r="W202" i="5"/>
  <c r="W202" i="6" s="1"/>
  <c r="W202" i="7" s="1"/>
  <c r="W202" i="8" s="1"/>
  <c r="W202" i="9" s="1"/>
  <c r="W202" i="10" s="1"/>
  <c r="W202" i="11" s="1"/>
  <c r="W202" i="12" s="1"/>
  <c r="W202" i="13" s="1"/>
  <c r="W202" i="14" s="1"/>
  <c r="W202" i="15" s="1"/>
  <c r="W202" i="16" s="1"/>
  <c r="W203" i="5"/>
  <c r="W203" i="6" s="1"/>
  <c r="W203" i="7" s="1"/>
  <c r="W203" i="8" s="1"/>
  <c r="W203" i="9" s="1"/>
  <c r="W203" i="10" s="1"/>
  <c r="W203" i="11" s="1"/>
  <c r="W203" i="12" s="1"/>
  <c r="W203" i="13" s="1"/>
  <c r="W203" i="14" s="1"/>
  <c r="W203" i="15" s="1"/>
  <c r="W203" i="16" s="1"/>
  <c r="W204" i="5"/>
  <c r="W204" i="6" s="1"/>
  <c r="W204" i="7" s="1"/>
  <c r="W204" i="8" s="1"/>
  <c r="W204" i="9" s="1"/>
  <c r="W204" i="10" s="1"/>
  <c r="W204" i="11" s="1"/>
  <c r="W204" i="12" s="1"/>
  <c r="W204" i="13" s="1"/>
  <c r="W204" i="14" s="1"/>
  <c r="W204" i="15" s="1"/>
  <c r="W204" i="16" s="1"/>
  <c r="W206" i="5"/>
  <c r="W206" i="6" s="1"/>
  <c r="W206" i="7" s="1"/>
  <c r="W206" i="8" s="1"/>
  <c r="W206" i="9" s="1"/>
  <c r="W206" i="10" s="1"/>
  <c r="W206" i="11" s="1"/>
  <c r="W206" i="12" s="1"/>
  <c r="W206" i="13" s="1"/>
  <c r="W206" i="14" s="1"/>
  <c r="W207" i="5"/>
  <c r="W207" i="6" s="1"/>
  <c r="W207" i="7" s="1"/>
  <c r="W207" i="8" s="1"/>
  <c r="W207" i="9" s="1"/>
  <c r="W207" i="10" s="1"/>
  <c r="W207" i="11" s="1"/>
  <c r="W207" i="12" s="1"/>
  <c r="W207" i="13" s="1"/>
  <c r="W207" i="14" s="1"/>
  <c r="W207" i="15" s="1"/>
  <c r="W207" i="16" s="1"/>
  <c r="W212" i="5"/>
  <c r="W212" i="6" s="1"/>
  <c r="W212" i="7" s="1"/>
  <c r="W212" i="8" s="1"/>
  <c r="W212" i="9" s="1"/>
  <c r="W212" i="10" s="1"/>
  <c r="W213" i="5"/>
  <c r="W213" i="6" s="1"/>
  <c r="W213" i="7" s="1"/>
  <c r="W213" i="8" s="1"/>
  <c r="W213" i="9" s="1"/>
  <c r="W213" i="10" s="1"/>
  <c r="W213" i="11" s="1"/>
  <c r="W213" i="12" s="1"/>
  <c r="W213" i="13" s="1"/>
  <c r="W213" i="14" s="1"/>
  <c r="W213" i="15" s="1"/>
  <c r="W213" i="16" s="1"/>
  <c r="W214" i="5"/>
  <c r="W214" i="6" s="1"/>
  <c r="W214" i="7" s="1"/>
  <c r="W214" i="8" s="1"/>
  <c r="W214" i="9" s="1"/>
  <c r="W214" i="10" s="1"/>
  <c r="W214" i="11" s="1"/>
  <c r="W214" i="12" s="1"/>
  <c r="W214" i="13" s="1"/>
  <c r="W214" i="14" s="1"/>
  <c r="W214" i="15" s="1"/>
  <c r="W214" i="16" s="1"/>
  <c r="W215" i="5"/>
  <c r="W215" i="6" s="1"/>
  <c r="W215" i="7" s="1"/>
  <c r="W216" i="5"/>
  <c r="W216" i="6" s="1"/>
  <c r="W216" i="7" s="1"/>
  <c r="W216" i="8" s="1"/>
  <c r="W216" i="9" s="1"/>
  <c r="W216" i="10" s="1"/>
  <c r="W216" i="11" s="1"/>
  <c r="W216" i="12" s="1"/>
  <c r="W216" i="13" s="1"/>
  <c r="W216" i="14" s="1"/>
  <c r="W216" i="15" s="1"/>
  <c r="W216" i="16" s="1"/>
  <c r="W217" i="5"/>
  <c r="W217" i="6" s="1"/>
  <c r="W217" i="7" s="1"/>
  <c r="W217" i="8" s="1"/>
  <c r="W217" i="9" s="1"/>
  <c r="W217" i="10" s="1"/>
  <c r="W217" i="11" s="1"/>
  <c r="W217" i="12" s="1"/>
  <c r="W217" i="13" s="1"/>
  <c r="W217" i="14" s="1"/>
  <c r="W217" i="15" s="1"/>
  <c r="W217" i="16" s="1"/>
  <c r="W218" i="5"/>
  <c r="W218" i="6" s="1"/>
  <c r="W218" i="7" s="1"/>
  <c r="W218" i="8" s="1"/>
  <c r="W218" i="9" s="1"/>
  <c r="W218" i="10" s="1"/>
  <c r="W218" i="11" s="1"/>
  <c r="W218" i="12" s="1"/>
  <c r="W218" i="13" s="1"/>
  <c r="W218" i="14" s="1"/>
  <c r="W218" i="15" s="1"/>
  <c r="W218" i="16" s="1"/>
  <c r="W223" i="5"/>
  <c r="W223" i="6" s="1"/>
  <c r="W223" i="7" s="1"/>
  <c r="W224" i="5"/>
  <c r="W224" i="6" s="1"/>
  <c r="W224" i="7" s="1"/>
  <c r="W224" i="8" s="1"/>
  <c r="W224" i="9" s="1"/>
  <c r="W224" i="10" s="1"/>
  <c r="W224" i="11" s="1"/>
  <c r="W224" i="12" s="1"/>
  <c r="W224" i="13" s="1"/>
  <c r="W224" i="14" s="1"/>
  <c r="W225" i="5"/>
  <c r="W225" i="6" s="1"/>
  <c r="W225" i="7" s="1"/>
  <c r="W225" i="8" s="1"/>
  <c r="W225" i="9" s="1"/>
  <c r="W225" i="10" s="1"/>
  <c r="W225" i="11" s="1"/>
  <c r="W225" i="12" s="1"/>
  <c r="W225" i="13" s="1"/>
  <c r="W225" i="14" s="1"/>
  <c r="W225" i="15" s="1"/>
  <c r="W228" i="5"/>
  <c r="W228" i="6" s="1"/>
  <c r="W228" i="7" s="1"/>
  <c r="W228" i="8" s="1"/>
  <c r="W228" i="9" s="1"/>
  <c r="W228" i="10" s="1"/>
  <c r="W228" i="11" s="1"/>
  <c r="W228" i="12" s="1"/>
  <c r="W228" i="13" s="1"/>
  <c r="W228" i="14" s="1"/>
  <c r="W228" i="15" s="1"/>
  <c r="W228" i="16" s="1"/>
  <c r="W229" i="5"/>
  <c r="W229" i="6" s="1"/>
  <c r="W230" i="5"/>
  <c r="W230" i="6" s="1"/>
  <c r="W230" i="7" s="1"/>
  <c r="W230" i="8" s="1"/>
  <c r="W230" i="9" s="1"/>
  <c r="W230" i="10" s="1"/>
  <c r="W230" i="11" s="1"/>
  <c r="W230" i="12" s="1"/>
  <c r="W230" i="13" s="1"/>
  <c r="W230" i="14" s="1"/>
  <c r="W230" i="15" s="1"/>
  <c r="W230" i="16" s="1"/>
  <c r="W236" i="5"/>
  <c r="W236" i="6" s="1"/>
  <c r="W236" i="7" s="1"/>
  <c r="W236" i="8" s="1"/>
  <c r="W236" i="9" s="1"/>
  <c r="W236" i="10" s="1"/>
  <c r="W236" i="11" s="1"/>
  <c r="W236" i="12" s="1"/>
  <c r="W236" i="13" s="1"/>
  <c r="W236" i="14" s="1"/>
  <c r="W236" i="15" s="1"/>
  <c r="W236" i="16" s="1"/>
  <c r="W237" i="5"/>
  <c r="W237" i="6" s="1"/>
  <c r="W237" i="7" s="1"/>
  <c r="W237" i="8" s="1"/>
  <c r="W237" i="9" s="1"/>
  <c r="W237" i="10" s="1"/>
  <c r="W237" i="11" s="1"/>
  <c r="W237" i="12" s="1"/>
  <c r="W237" i="13" s="1"/>
  <c r="W237" i="14" s="1"/>
  <c r="W237" i="15" s="1"/>
  <c r="W237" i="16" s="1"/>
  <c r="W238" i="5"/>
  <c r="W238" i="6" s="1"/>
  <c r="W239" i="5"/>
  <c r="W239" i="6" s="1"/>
  <c r="W239" i="7" s="1"/>
  <c r="W239" i="8" s="1"/>
  <c r="W239" i="9" s="1"/>
  <c r="W239" i="10" s="1"/>
  <c r="W239" i="11" s="1"/>
  <c r="W239" i="12" s="1"/>
  <c r="W239" i="13" s="1"/>
  <c r="W239" i="14" s="1"/>
  <c r="W239" i="15" s="1"/>
  <c r="W239" i="16" s="1"/>
  <c r="W240" i="5"/>
  <c r="W240" i="6" s="1"/>
  <c r="W240" i="7" s="1"/>
  <c r="W240" i="8" s="1"/>
  <c r="W240" i="9" s="1"/>
  <c r="W240" i="10" s="1"/>
  <c r="W240" i="11" s="1"/>
  <c r="W240" i="12" s="1"/>
  <c r="W240" i="13" s="1"/>
  <c r="W240" i="14" s="1"/>
  <c r="W240" i="15" s="1"/>
  <c r="W240" i="16" s="1"/>
  <c r="W241" i="5"/>
  <c r="W241" i="6" s="1"/>
  <c r="W241" i="7" s="1"/>
  <c r="W241" i="8" s="1"/>
  <c r="W241" i="9" s="1"/>
  <c r="W241" i="10" s="1"/>
  <c r="W241" i="11" s="1"/>
  <c r="W241" i="12" s="1"/>
  <c r="W241" i="13" s="1"/>
  <c r="W241" i="14" s="1"/>
  <c r="W241" i="15" s="1"/>
  <c r="W241" i="16" s="1"/>
  <c r="W244" i="5"/>
  <c r="W245" i="5"/>
  <c r="W245" i="6" s="1"/>
  <c r="W245" i="7" s="1"/>
  <c r="W245" i="8" s="1"/>
  <c r="W245" i="9" s="1"/>
  <c r="W245" i="10" s="1"/>
  <c r="W245" i="11" s="1"/>
  <c r="W245" i="12" s="1"/>
  <c r="W245" i="13" s="1"/>
  <c r="W245" i="14" s="1"/>
  <c r="W245" i="15" s="1"/>
  <c r="W245" i="16" s="1"/>
  <c r="W246" i="5"/>
  <c r="W246" i="6" s="1"/>
  <c r="W246" i="7" s="1"/>
  <c r="W246" i="8" s="1"/>
  <c r="W246" i="9" s="1"/>
  <c r="W246" i="10" s="1"/>
  <c r="W246" i="11" s="1"/>
  <c r="W246" i="12" s="1"/>
  <c r="W246" i="13" s="1"/>
  <c r="W246" i="14" s="1"/>
  <c r="W246" i="15" s="1"/>
  <c r="W246" i="16" s="1"/>
  <c r="W247" i="5"/>
  <c r="W247" i="6" s="1"/>
  <c r="W247" i="7" s="1"/>
  <c r="W247" i="8" s="1"/>
  <c r="W247" i="9" s="1"/>
  <c r="W247" i="10" s="1"/>
  <c r="W247" i="11" s="1"/>
  <c r="W247" i="12" s="1"/>
  <c r="W247" i="13" s="1"/>
  <c r="W247" i="14" s="1"/>
  <c r="W247" i="15" s="1"/>
  <c r="W247" i="16" s="1"/>
  <c r="W248" i="5"/>
  <c r="W248" i="6" s="1"/>
  <c r="W248" i="7" s="1"/>
  <c r="W248" i="8" s="1"/>
  <c r="W248" i="9" s="1"/>
  <c r="W248" i="10" s="1"/>
  <c r="W248" i="11" s="1"/>
  <c r="W248" i="12" s="1"/>
  <c r="W248" i="13" s="1"/>
  <c r="W248" i="14" s="1"/>
  <c r="W248" i="15" s="1"/>
  <c r="W248" i="16" s="1"/>
  <c r="W249" i="5"/>
  <c r="W249" i="6" s="1"/>
  <c r="W249" i="7" s="1"/>
  <c r="W249" i="8" s="1"/>
  <c r="W249" i="9" s="1"/>
  <c r="W249" i="10" s="1"/>
  <c r="W249" i="11" s="1"/>
  <c r="W249" i="12" s="1"/>
  <c r="W249" i="13" s="1"/>
  <c r="W249" i="14" s="1"/>
  <c r="W249" i="15" s="1"/>
  <c r="W249" i="16" s="1"/>
  <c r="W250" i="5"/>
  <c r="W250" i="6" s="1"/>
  <c r="W250" i="7" s="1"/>
  <c r="W250" i="8" s="1"/>
  <c r="W250" i="9" s="1"/>
  <c r="W250" i="10" s="1"/>
  <c r="W250" i="11" s="1"/>
  <c r="W250" i="12" s="1"/>
  <c r="W250" i="13" s="1"/>
  <c r="W250" i="14" s="1"/>
  <c r="W250" i="15" s="1"/>
  <c r="W250" i="16" s="1"/>
  <c r="W251" i="5"/>
  <c r="W251" i="6" s="1"/>
  <c r="W251" i="7" s="1"/>
  <c r="W251" i="8" s="1"/>
  <c r="W251" i="9" s="1"/>
  <c r="W251" i="10" s="1"/>
  <c r="W251" i="11" s="1"/>
  <c r="W251" i="12" s="1"/>
  <c r="W251" i="13" s="1"/>
  <c r="W251" i="14" s="1"/>
  <c r="W251" i="15" s="1"/>
  <c r="W251" i="16" s="1"/>
  <c r="W252" i="5"/>
  <c r="W252" i="6" s="1"/>
  <c r="W252" i="7" s="1"/>
  <c r="W252" i="8" s="1"/>
  <c r="W252" i="9" s="1"/>
  <c r="W252" i="10" s="1"/>
  <c r="W252" i="11" s="1"/>
  <c r="W252" i="12" s="1"/>
  <c r="W252" i="13" s="1"/>
  <c r="W252" i="14" s="1"/>
  <c r="W252" i="15" s="1"/>
  <c r="W252" i="16" s="1"/>
  <c r="W253" i="5"/>
  <c r="W253" i="6" s="1"/>
  <c r="W253" i="7" s="1"/>
  <c r="W253" i="8" s="1"/>
  <c r="W253" i="9" s="1"/>
  <c r="W253" i="10" s="1"/>
  <c r="W253" i="11" s="1"/>
  <c r="W253" i="12" s="1"/>
  <c r="W253" i="13" s="1"/>
  <c r="W253" i="14" s="1"/>
  <c r="W253" i="15" s="1"/>
  <c r="W253" i="16" s="1"/>
  <c r="W254" i="5"/>
  <c r="W254" i="6" s="1"/>
  <c r="W254" i="7" s="1"/>
  <c r="W254" i="8" s="1"/>
  <c r="W254" i="9" s="1"/>
  <c r="W254" i="10" s="1"/>
  <c r="W254" i="11" s="1"/>
  <c r="W254" i="12" s="1"/>
  <c r="W254" i="13" s="1"/>
  <c r="W254" i="14" s="1"/>
  <c r="W254" i="15" s="1"/>
  <c r="W254" i="16" s="1"/>
  <c r="W255" i="5"/>
  <c r="W255" i="6" s="1"/>
  <c r="W255" i="7" s="1"/>
  <c r="W255" i="8" s="1"/>
  <c r="W255" i="9" s="1"/>
  <c r="W255" i="10" s="1"/>
  <c r="W255" i="11" s="1"/>
  <c r="W255" i="12" s="1"/>
  <c r="W255" i="13" s="1"/>
  <c r="W255" i="14" s="1"/>
  <c r="W255" i="15" s="1"/>
  <c r="W255" i="16" s="1"/>
  <c r="W256" i="5"/>
  <c r="W256" i="6" s="1"/>
  <c r="W256" i="7" s="1"/>
  <c r="W256" i="8" s="1"/>
  <c r="W256" i="9" s="1"/>
  <c r="W256" i="10" s="1"/>
  <c r="W256" i="11" s="1"/>
  <c r="W256" i="12" s="1"/>
  <c r="W256" i="13" s="1"/>
  <c r="W256" i="14" s="1"/>
  <c r="W256" i="15" s="1"/>
  <c r="W256" i="16" s="1"/>
  <c r="C12" i="16"/>
  <c r="C13" i="16"/>
  <c r="C14" i="16"/>
  <c r="C15" i="16"/>
  <c r="C23" i="16"/>
  <c r="C24" i="16"/>
  <c r="C26" i="16"/>
  <c r="C27" i="16"/>
  <c r="C30" i="16"/>
  <c r="C31" i="16"/>
  <c r="C33" i="16"/>
  <c r="C34" i="16"/>
  <c r="C36" i="16"/>
  <c r="C37" i="16"/>
  <c r="C43" i="16"/>
  <c r="C44" i="16"/>
  <c r="C46" i="16"/>
  <c r="C47" i="16"/>
  <c r="C49" i="16"/>
  <c r="C50" i="16"/>
  <c r="C52" i="16"/>
  <c r="C53" i="16"/>
  <c r="C55" i="16"/>
  <c r="C56" i="16"/>
  <c r="C58" i="16"/>
  <c r="C59" i="16"/>
  <c r="C61" i="16"/>
  <c r="C62" i="16"/>
  <c r="C64" i="16"/>
  <c r="C65" i="16"/>
  <c r="C67" i="16"/>
  <c r="C68" i="16"/>
  <c r="C70" i="16"/>
  <c r="C71" i="16"/>
  <c r="C73" i="16"/>
  <c r="C74" i="16"/>
  <c r="C76" i="16"/>
  <c r="C77" i="16"/>
  <c r="C79" i="16"/>
  <c r="C80" i="16"/>
  <c r="C82" i="16"/>
  <c r="C83" i="16"/>
  <c r="U17" i="16"/>
  <c r="U18" i="16"/>
  <c r="U19" i="16"/>
  <c r="U21" i="16"/>
  <c r="U22" i="16"/>
  <c r="U23" i="16"/>
  <c r="U24" i="16"/>
  <c r="U25" i="16"/>
  <c r="U26" i="16"/>
  <c r="U27" i="16"/>
  <c r="U28" i="16"/>
  <c r="U29" i="16"/>
  <c r="U30" i="16"/>
  <c r="U31" i="16"/>
  <c r="U32" i="16"/>
  <c r="U33" i="16"/>
  <c r="U36" i="16"/>
  <c r="U37" i="16"/>
  <c r="U38" i="16"/>
  <c r="U39" i="16"/>
  <c r="U40" i="16"/>
  <c r="U41" i="16"/>
  <c r="U45" i="16"/>
  <c r="U46" i="16"/>
  <c r="U47" i="16"/>
  <c r="U48" i="16"/>
  <c r="U50" i="16"/>
  <c r="U51" i="16"/>
  <c r="U52" i="16"/>
  <c r="U53" i="16"/>
  <c r="U54" i="16"/>
  <c r="U55" i="16"/>
  <c r="U59" i="16"/>
  <c r="U60" i="16"/>
  <c r="U61" i="16"/>
  <c r="U66" i="16"/>
  <c r="U67" i="16"/>
  <c r="U68" i="16"/>
  <c r="U70" i="16"/>
  <c r="U71" i="16"/>
  <c r="U72" i="16"/>
  <c r="U73" i="16"/>
  <c r="U74" i="16"/>
  <c r="U75" i="16"/>
  <c r="U76" i="16"/>
  <c r="U77" i="16"/>
  <c r="U78" i="16"/>
  <c r="U79" i="16"/>
  <c r="U80" i="16"/>
  <c r="U81" i="16"/>
  <c r="U84" i="16"/>
  <c r="U85" i="16"/>
  <c r="U86" i="16"/>
  <c r="U87" i="16"/>
  <c r="U88" i="16"/>
  <c r="U92" i="16"/>
  <c r="U93" i="16"/>
  <c r="U94" i="16"/>
  <c r="U95" i="16"/>
  <c r="U97" i="16"/>
  <c r="U98" i="16"/>
  <c r="U99" i="16"/>
  <c r="U100" i="16"/>
  <c r="U101" i="16"/>
  <c r="U102" i="16"/>
  <c r="U106" i="16"/>
  <c r="U107" i="16"/>
  <c r="U108" i="16"/>
  <c r="U115" i="16"/>
  <c r="U116" i="16"/>
  <c r="U117" i="16"/>
  <c r="U118" i="16"/>
  <c r="U119" i="16"/>
  <c r="U120" i="16"/>
  <c r="U121" i="16"/>
  <c r="U124" i="16"/>
  <c r="U125" i="16"/>
  <c r="U126" i="16"/>
  <c r="U127" i="16"/>
  <c r="U128" i="16"/>
  <c r="U129" i="16"/>
  <c r="U130" i="16"/>
  <c r="U131" i="16"/>
  <c r="U132" i="16"/>
  <c r="U133" i="16"/>
  <c r="U134" i="16"/>
  <c r="U135" i="16"/>
  <c r="U136" i="16"/>
  <c r="U137" i="16"/>
  <c r="U138" i="16"/>
  <c r="U139" i="16"/>
  <c r="U142" i="16"/>
  <c r="U143" i="16"/>
  <c r="U148" i="16"/>
  <c r="U150" i="16"/>
  <c r="U151" i="16"/>
  <c r="U152" i="16"/>
  <c r="U153" i="16"/>
  <c r="U156" i="16"/>
  <c r="U158" i="16"/>
  <c r="U159" i="16"/>
  <c r="U160" i="16"/>
  <c r="U161" i="16"/>
  <c r="U162" i="16"/>
  <c r="U163" i="16"/>
  <c r="U164" i="16"/>
  <c r="U165" i="16"/>
  <c r="U166" i="16"/>
  <c r="U167" i="16"/>
  <c r="U168" i="16"/>
  <c r="U173" i="16"/>
  <c r="U174" i="16"/>
  <c r="U177" i="16"/>
  <c r="U178" i="16"/>
  <c r="U179" i="16"/>
  <c r="U180" i="16"/>
  <c r="U181" i="16"/>
  <c r="U182" i="16"/>
  <c r="U183" i="16"/>
  <c r="U186" i="16"/>
  <c r="U188" i="16"/>
  <c r="U189" i="16"/>
  <c r="U190" i="16"/>
  <c r="U191" i="16"/>
  <c r="U198" i="16"/>
  <c r="U199" i="16"/>
  <c r="U200" i="16"/>
  <c r="U201" i="16"/>
  <c r="U202" i="16"/>
  <c r="U203" i="16"/>
  <c r="U204" i="16"/>
  <c r="U206" i="16"/>
  <c r="U205" i="16" s="1"/>
  <c r="U207" i="16"/>
  <c r="U212" i="16"/>
  <c r="U213" i="16"/>
  <c r="U214" i="16"/>
  <c r="U215" i="16"/>
  <c r="U216" i="16"/>
  <c r="U217" i="16"/>
  <c r="U218" i="16"/>
  <c r="U223" i="16"/>
  <c r="U224" i="16"/>
  <c r="U225" i="16"/>
  <c r="U228" i="16"/>
  <c r="U229" i="16"/>
  <c r="U230" i="16"/>
  <c r="U236" i="16"/>
  <c r="U237" i="16"/>
  <c r="U238" i="16"/>
  <c r="U239" i="16"/>
  <c r="U240" i="16"/>
  <c r="U241" i="16"/>
  <c r="U244" i="16"/>
  <c r="U245" i="16"/>
  <c r="U246" i="16"/>
  <c r="U247" i="16"/>
  <c r="U248" i="16"/>
  <c r="U249" i="16"/>
  <c r="U250" i="16"/>
  <c r="U251" i="16"/>
  <c r="U252" i="16"/>
  <c r="U253" i="16"/>
  <c r="U254" i="16"/>
  <c r="U255" i="16"/>
  <c r="U256" i="16"/>
  <c r="I12" i="5"/>
  <c r="G12" i="6" s="1"/>
  <c r="I13" i="5"/>
  <c r="G13" i="6" s="1"/>
  <c r="I13" i="6" s="1"/>
  <c r="G13" i="7" s="1"/>
  <c r="I13" i="7" s="1"/>
  <c r="G13" i="8" s="1"/>
  <c r="I13" i="8" s="1"/>
  <c r="G13" i="9" s="1"/>
  <c r="I13" i="9" s="1"/>
  <c r="G13" i="10" s="1"/>
  <c r="I13" i="10" s="1"/>
  <c r="G13" i="11" s="1"/>
  <c r="I13" i="11" s="1"/>
  <c r="G13" i="12" s="1"/>
  <c r="I13" i="12" s="1"/>
  <c r="G13" i="13" s="1"/>
  <c r="I13" i="13" s="1"/>
  <c r="G13" i="14" s="1"/>
  <c r="I13" i="14" s="1"/>
  <c r="G13" i="15" s="1"/>
  <c r="I13" i="15" s="1"/>
  <c r="G13" i="16" s="1"/>
  <c r="I14" i="5"/>
  <c r="G14" i="6" s="1"/>
  <c r="I14" i="6" s="1"/>
  <c r="G14" i="7" s="1"/>
  <c r="I14" i="7" s="1"/>
  <c r="G14" i="8" s="1"/>
  <c r="I14" i="8" s="1"/>
  <c r="G14" i="9" s="1"/>
  <c r="I14" i="9" s="1"/>
  <c r="G14" i="10" s="1"/>
  <c r="I14" i="10" s="1"/>
  <c r="G14" i="11" s="1"/>
  <c r="I14" i="11" s="1"/>
  <c r="G14" i="12" s="1"/>
  <c r="I14" i="12" s="1"/>
  <c r="G14" i="13" s="1"/>
  <c r="I14" i="13" s="1"/>
  <c r="G14" i="14" s="1"/>
  <c r="I14" i="14" s="1"/>
  <c r="G14" i="15" s="1"/>
  <c r="I14" i="15" s="1"/>
  <c r="G14" i="16" s="1"/>
  <c r="I14" i="16" s="1"/>
  <c r="I15" i="5"/>
  <c r="G15" i="6" s="1"/>
  <c r="I15" i="6" s="1"/>
  <c r="G15" i="7" s="1"/>
  <c r="I15" i="7" s="1"/>
  <c r="G15" i="8" s="1"/>
  <c r="I15" i="8" s="1"/>
  <c r="G15" i="9" s="1"/>
  <c r="I15" i="9" s="1"/>
  <c r="G15" i="10" s="1"/>
  <c r="I15" i="10" s="1"/>
  <c r="G15" i="11" s="1"/>
  <c r="I15" i="11" s="1"/>
  <c r="G15" i="12" s="1"/>
  <c r="I15" i="12" s="1"/>
  <c r="G15" i="13" s="1"/>
  <c r="I15" i="13" s="1"/>
  <c r="G15" i="14" s="1"/>
  <c r="I15" i="14" s="1"/>
  <c r="G15" i="15" s="1"/>
  <c r="I15" i="15" s="1"/>
  <c r="G15" i="16" s="1"/>
  <c r="I15" i="16" s="1"/>
  <c r="I23" i="5"/>
  <c r="G23" i="6" s="1"/>
  <c r="I23" i="6" s="1"/>
  <c r="I24" i="5"/>
  <c r="I26" i="5"/>
  <c r="G26" i="6" s="1"/>
  <c r="I26" i="6" s="1"/>
  <c r="G26" i="7" s="1"/>
  <c r="I26" i="7" s="1"/>
  <c r="G26" i="8" s="1"/>
  <c r="I26" i="8" s="1"/>
  <c r="G26" i="9" s="1"/>
  <c r="I26" i="9" s="1"/>
  <c r="G26" i="10" s="1"/>
  <c r="I26" i="10" s="1"/>
  <c r="G26" i="11" s="1"/>
  <c r="I26" i="11" s="1"/>
  <c r="G26" i="12" s="1"/>
  <c r="I26" i="12" s="1"/>
  <c r="G26" i="13" s="1"/>
  <c r="I26" i="13" s="1"/>
  <c r="G26" i="14" s="1"/>
  <c r="I26" i="14" s="1"/>
  <c r="BD11" i="14" s="1"/>
  <c r="I27" i="5"/>
  <c r="I30" i="5"/>
  <c r="G30" i="6" s="1"/>
  <c r="I30" i="6" s="1"/>
  <c r="I31" i="5"/>
  <c r="G31" i="6" s="1"/>
  <c r="I31" i="6" s="1"/>
  <c r="G31" i="7" s="1"/>
  <c r="I31" i="7" s="1"/>
  <c r="G31" i="8" s="1"/>
  <c r="I31" i="8" s="1"/>
  <c r="G31" i="9" s="1"/>
  <c r="I31" i="9" s="1"/>
  <c r="G31" i="10" s="1"/>
  <c r="I31" i="10" s="1"/>
  <c r="G31" i="11" s="1"/>
  <c r="I31" i="11" s="1"/>
  <c r="G31" i="12" s="1"/>
  <c r="I31" i="12" s="1"/>
  <c r="G31" i="13" s="1"/>
  <c r="I31" i="13" s="1"/>
  <c r="G31" i="14" s="1"/>
  <c r="I31" i="14" s="1"/>
  <c r="G31" i="15" s="1"/>
  <c r="I31" i="15" s="1"/>
  <c r="G31" i="16" s="1"/>
  <c r="I31" i="16" s="1"/>
  <c r="I33" i="5"/>
  <c r="G33" i="6" s="1"/>
  <c r="I33" i="6" s="1"/>
  <c r="G33" i="7" s="1"/>
  <c r="I33" i="7" s="1"/>
  <c r="G33" i="8" s="1"/>
  <c r="I33" i="8" s="1"/>
  <c r="G33" i="9" s="1"/>
  <c r="I33" i="9" s="1"/>
  <c r="G33" i="10" s="1"/>
  <c r="I33" i="10" s="1"/>
  <c r="G33" i="11" s="1"/>
  <c r="I33" i="11" s="1"/>
  <c r="I34" i="5"/>
  <c r="G34" i="6" s="1"/>
  <c r="I34" i="6" s="1"/>
  <c r="G34" i="7" s="1"/>
  <c r="I34" i="7" s="1"/>
  <c r="G34" i="8" s="1"/>
  <c r="I34" i="8" s="1"/>
  <c r="G34" i="9" s="1"/>
  <c r="I34" i="9" s="1"/>
  <c r="G34" i="10" s="1"/>
  <c r="I34" i="10" s="1"/>
  <c r="G34" i="11" s="1"/>
  <c r="I34" i="11" s="1"/>
  <c r="G34" i="12" s="1"/>
  <c r="I34" i="12" s="1"/>
  <c r="G34" i="13" s="1"/>
  <c r="I34" i="13" s="1"/>
  <c r="I36" i="5"/>
  <c r="G36" i="6" s="1"/>
  <c r="I37" i="5"/>
  <c r="G37" i="6" s="1"/>
  <c r="I37" i="6" s="1"/>
  <c r="G37" i="7" s="1"/>
  <c r="I37" i="7" s="1"/>
  <c r="I41" i="5"/>
  <c r="I43" i="5"/>
  <c r="G43" i="6" s="1"/>
  <c r="I43" i="6" s="1"/>
  <c r="G43" i="7" s="1"/>
  <c r="I43" i="7" s="1"/>
  <c r="G43" i="8" s="1"/>
  <c r="I43" i="8" s="1"/>
  <c r="G43" i="9" s="1"/>
  <c r="I43" i="9" s="1"/>
  <c r="G43" i="10" s="1"/>
  <c r="I43" i="10" s="1"/>
  <c r="G43" i="11" s="1"/>
  <c r="I43" i="11" s="1"/>
  <c r="G43" i="12" s="1"/>
  <c r="I43" i="12" s="1"/>
  <c r="G43" i="13" s="1"/>
  <c r="I43" i="13" s="1"/>
  <c r="G43" i="14" s="1"/>
  <c r="I43" i="14" s="1"/>
  <c r="G43" i="15" s="1"/>
  <c r="I43" i="15" s="1"/>
  <c r="G43" i="16" s="1"/>
  <c r="I43" i="16" s="1"/>
  <c r="I44" i="5"/>
  <c r="G44" i="6" s="1"/>
  <c r="I46" i="5"/>
  <c r="G46" i="6" s="1"/>
  <c r="I46" i="6" s="1"/>
  <c r="G46" i="7" s="1"/>
  <c r="I46" i="7" s="1"/>
  <c r="I47" i="5"/>
  <c r="G47" i="6" s="1"/>
  <c r="I47" i="6" s="1"/>
  <c r="G47" i="7" s="1"/>
  <c r="I47" i="7" s="1"/>
  <c r="G47" i="8" s="1"/>
  <c r="I47" i="8" s="1"/>
  <c r="G47" i="9" s="1"/>
  <c r="I47" i="9" s="1"/>
  <c r="G47" i="10" s="1"/>
  <c r="I47" i="10" s="1"/>
  <c r="G47" i="11" s="1"/>
  <c r="I47" i="11" s="1"/>
  <c r="G47" i="12" s="1"/>
  <c r="I47" i="12" s="1"/>
  <c r="G47" i="13" s="1"/>
  <c r="I47" i="13" s="1"/>
  <c r="G47" i="14" s="1"/>
  <c r="I47" i="14" s="1"/>
  <c r="G47" i="15" s="1"/>
  <c r="I47" i="15" s="1"/>
  <c r="G47" i="16" s="1"/>
  <c r="I47" i="16" s="1"/>
  <c r="I49" i="5"/>
  <c r="G49" i="6" s="1"/>
  <c r="I49" i="6" s="1"/>
  <c r="G49" i="7" s="1"/>
  <c r="I49" i="7" s="1"/>
  <c r="G49" i="8" s="1"/>
  <c r="I49" i="8" s="1"/>
  <c r="G49" i="9" s="1"/>
  <c r="I49" i="9" s="1"/>
  <c r="G49" i="10" s="1"/>
  <c r="I49" i="10" s="1"/>
  <c r="G49" i="11" s="1"/>
  <c r="I49" i="11" s="1"/>
  <c r="G49" i="12" s="1"/>
  <c r="I49" i="12" s="1"/>
  <c r="G49" i="13" s="1"/>
  <c r="I49" i="13" s="1"/>
  <c r="G49" i="14" s="1"/>
  <c r="I49" i="14" s="1"/>
  <c r="G49" i="15" s="1"/>
  <c r="I49" i="15" s="1"/>
  <c r="G49" i="16" s="1"/>
  <c r="I49" i="16" s="1"/>
  <c r="I50" i="5"/>
  <c r="G50" i="6" s="1"/>
  <c r="I50" i="6" s="1"/>
  <c r="G50" i="7" s="1"/>
  <c r="I52" i="5"/>
  <c r="G52" i="6" s="1"/>
  <c r="I52" i="6" s="1"/>
  <c r="G52" i="7" s="1"/>
  <c r="I52" i="7" s="1"/>
  <c r="I53" i="5"/>
  <c r="G53" i="6" s="1"/>
  <c r="I53" i="6" s="1"/>
  <c r="G53" i="7" s="1"/>
  <c r="I53" i="7" s="1"/>
  <c r="G53" i="8" s="1"/>
  <c r="I53" i="8" s="1"/>
  <c r="G53" i="9" s="1"/>
  <c r="I53" i="9" s="1"/>
  <c r="G53" i="10" s="1"/>
  <c r="I53" i="10" s="1"/>
  <c r="G53" i="11" s="1"/>
  <c r="I53" i="11" s="1"/>
  <c r="G53" i="12" s="1"/>
  <c r="I53" i="12" s="1"/>
  <c r="G53" i="13" s="1"/>
  <c r="I53" i="13" s="1"/>
  <c r="G53" i="14" s="1"/>
  <c r="I53" i="14" s="1"/>
  <c r="G53" i="15" s="1"/>
  <c r="I53" i="15" s="1"/>
  <c r="I55" i="5"/>
  <c r="G55" i="6" s="1"/>
  <c r="I56" i="5"/>
  <c r="G56" i="6" s="1"/>
  <c r="I56" i="6" s="1"/>
  <c r="G56" i="7" s="1"/>
  <c r="I58" i="5"/>
  <c r="G58" i="6" s="1"/>
  <c r="I58" i="6" s="1"/>
  <c r="G58" i="7" s="1"/>
  <c r="I58" i="7" s="1"/>
  <c r="G58" i="8" s="1"/>
  <c r="I58" i="8" s="1"/>
  <c r="G58" i="9" s="1"/>
  <c r="I58" i="9" s="1"/>
  <c r="G58" i="10" s="1"/>
  <c r="I58" i="10" s="1"/>
  <c r="G58" i="11" s="1"/>
  <c r="I58" i="11" s="1"/>
  <c r="G58" i="12" s="1"/>
  <c r="I58" i="12" s="1"/>
  <c r="G58" i="13" s="1"/>
  <c r="I58" i="13" s="1"/>
  <c r="G58" i="14" s="1"/>
  <c r="I58" i="14" s="1"/>
  <c r="G58" i="15" s="1"/>
  <c r="I58" i="15" s="1"/>
  <c r="G58" i="16" s="1"/>
  <c r="I58" i="16" s="1"/>
  <c r="I59" i="5"/>
  <c r="G59" i="6" s="1"/>
  <c r="I59" i="6" s="1"/>
  <c r="G59" i="7" s="1"/>
  <c r="I59" i="7" s="1"/>
  <c r="G59" i="8" s="1"/>
  <c r="I59" i="8" s="1"/>
  <c r="G59" i="9" s="1"/>
  <c r="I59" i="9" s="1"/>
  <c r="G59" i="10" s="1"/>
  <c r="I59" i="10" s="1"/>
  <c r="G59" i="11" s="1"/>
  <c r="I59" i="11" s="1"/>
  <c r="G59" i="12" s="1"/>
  <c r="I59" i="12" s="1"/>
  <c r="G59" i="13" s="1"/>
  <c r="I61" i="5"/>
  <c r="G61" i="6" s="1"/>
  <c r="I61" i="6" s="1"/>
  <c r="G61" i="7" s="1"/>
  <c r="I61" i="7" s="1"/>
  <c r="G61" i="8" s="1"/>
  <c r="I61" i="8" s="1"/>
  <c r="G61" i="9" s="1"/>
  <c r="I61" i="9" s="1"/>
  <c r="I62" i="5"/>
  <c r="G62" i="6" s="1"/>
  <c r="I62" i="6" s="1"/>
  <c r="G62" i="7" s="1"/>
  <c r="I64" i="5"/>
  <c r="G64" i="6" s="1"/>
  <c r="I64" i="6" s="1"/>
  <c r="G64" i="7" s="1"/>
  <c r="I64" i="7" s="1"/>
  <c r="G64" i="8" s="1"/>
  <c r="I64" i="8" s="1"/>
  <c r="G64" i="9" s="1"/>
  <c r="I64" i="9" s="1"/>
  <c r="G64" i="10" s="1"/>
  <c r="I64" i="10" s="1"/>
  <c r="G64" i="11" s="1"/>
  <c r="I64" i="11" s="1"/>
  <c r="G64" i="12" s="1"/>
  <c r="I65" i="5"/>
  <c r="G65" i="6" s="1"/>
  <c r="I65" i="6" s="1"/>
  <c r="G65" i="7" s="1"/>
  <c r="I65" i="7" s="1"/>
  <c r="G65" i="8" s="1"/>
  <c r="I65" i="8" s="1"/>
  <c r="G65" i="9" s="1"/>
  <c r="I65" i="9" s="1"/>
  <c r="G65" i="10" s="1"/>
  <c r="I65" i="10" s="1"/>
  <c r="G65" i="11" s="1"/>
  <c r="I65" i="11" s="1"/>
  <c r="G65" i="12" s="1"/>
  <c r="I65" i="12" s="1"/>
  <c r="G65" i="13" s="1"/>
  <c r="I67" i="5"/>
  <c r="G67" i="6" s="1"/>
  <c r="I67" i="6" s="1"/>
  <c r="G67" i="7" s="1"/>
  <c r="I67" i="7" s="1"/>
  <c r="G67" i="8" s="1"/>
  <c r="I67" i="8" s="1"/>
  <c r="G67" i="9" s="1"/>
  <c r="I67" i="9" s="1"/>
  <c r="G67" i="10" s="1"/>
  <c r="I67" i="10" s="1"/>
  <c r="G67" i="11" s="1"/>
  <c r="I67" i="11" s="1"/>
  <c r="G67" i="12" s="1"/>
  <c r="I67" i="12" s="1"/>
  <c r="G67" i="13" s="1"/>
  <c r="I67" i="13" s="1"/>
  <c r="G67" i="14" s="1"/>
  <c r="I67" i="14" s="1"/>
  <c r="G67" i="15" s="1"/>
  <c r="I67" i="15" s="1"/>
  <c r="G67" i="16" s="1"/>
  <c r="I67" i="16" s="1"/>
  <c r="I68" i="5"/>
  <c r="G68" i="6" s="1"/>
  <c r="I70" i="5"/>
  <c r="G70" i="6" s="1"/>
  <c r="I70" i="6" s="1"/>
  <c r="G70" i="7" s="1"/>
  <c r="I70" i="7" s="1"/>
  <c r="G70" i="8" s="1"/>
  <c r="I70" i="8" s="1"/>
  <c r="G70" i="9" s="1"/>
  <c r="I70" i="9" s="1"/>
  <c r="G70" i="10" s="1"/>
  <c r="I70" i="10" s="1"/>
  <c r="G70" i="11" s="1"/>
  <c r="I71" i="5"/>
  <c r="G71" i="6" s="1"/>
  <c r="I71" i="6" s="1"/>
  <c r="G71" i="7" s="1"/>
  <c r="I71" i="7" s="1"/>
  <c r="G71" i="8" s="1"/>
  <c r="I71" i="8" s="1"/>
  <c r="G71" i="9" s="1"/>
  <c r="I71" i="9" s="1"/>
  <c r="G71" i="10" s="1"/>
  <c r="I71" i="10" s="1"/>
  <c r="G71" i="11" s="1"/>
  <c r="I71" i="11" s="1"/>
  <c r="G71" i="12" s="1"/>
  <c r="I71" i="12" s="1"/>
  <c r="G71" i="13" s="1"/>
  <c r="I73" i="5"/>
  <c r="G73" i="6" s="1"/>
  <c r="I73" i="6" s="1"/>
  <c r="G73" i="7" s="1"/>
  <c r="I73" i="7" s="1"/>
  <c r="G73" i="8" s="1"/>
  <c r="I73" i="8" s="1"/>
  <c r="G73" i="9" s="1"/>
  <c r="I73" i="9" s="1"/>
  <c r="G73" i="10" s="1"/>
  <c r="I73" i="10" s="1"/>
  <c r="G73" i="11" s="1"/>
  <c r="I73" i="11" s="1"/>
  <c r="G73" i="12" s="1"/>
  <c r="I73" i="12" s="1"/>
  <c r="G73" i="13" s="1"/>
  <c r="I73" i="13" s="1"/>
  <c r="G73" i="14" s="1"/>
  <c r="I73" i="14" s="1"/>
  <c r="G73" i="15" s="1"/>
  <c r="I73" i="15" s="1"/>
  <c r="I74" i="5"/>
  <c r="G74" i="6" s="1"/>
  <c r="I74" i="6" s="1"/>
  <c r="G74" i="7" s="1"/>
  <c r="I76" i="5"/>
  <c r="G76" i="6" s="1"/>
  <c r="I76" i="6" s="1"/>
  <c r="G76" i="7" s="1"/>
  <c r="I76" i="7" s="1"/>
  <c r="G76" i="8" s="1"/>
  <c r="I76" i="8" s="1"/>
  <c r="G76" i="9" s="1"/>
  <c r="I76" i="9" s="1"/>
  <c r="G76" i="10" s="1"/>
  <c r="I77" i="5"/>
  <c r="G77" i="6" s="1"/>
  <c r="I77" i="6" s="1"/>
  <c r="G77" i="7" s="1"/>
  <c r="I77" i="7" s="1"/>
  <c r="G77" i="8" s="1"/>
  <c r="I77" i="8" s="1"/>
  <c r="G77" i="9" s="1"/>
  <c r="I77" i="9" s="1"/>
  <c r="G77" i="10" s="1"/>
  <c r="I77" i="10" s="1"/>
  <c r="G77" i="11" s="1"/>
  <c r="I77" i="11" s="1"/>
  <c r="G77" i="12" s="1"/>
  <c r="I77" i="12" s="1"/>
  <c r="G77" i="13" s="1"/>
  <c r="I77" i="13" s="1"/>
  <c r="I79" i="5"/>
  <c r="G79" i="6" s="1"/>
  <c r="I79" i="6" s="1"/>
  <c r="G79" i="7" s="1"/>
  <c r="I79" i="7" s="1"/>
  <c r="G79" i="8" s="1"/>
  <c r="I79" i="8" s="1"/>
  <c r="G79" i="9" s="1"/>
  <c r="I79" i="9" s="1"/>
  <c r="G79" i="10" s="1"/>
  <c r="I79" i="10" s="1"/>
  <c r="G79" i="11" s="1"/>
  <c r="I79" i="11" s="1"/>
  <c r="G79" i="12" s="1"/>
  <c r="I79" i="12" s="1"/>
  <c r="G79" i="13" s="1"/>
  <c r="I79" i="13" s="1"/>
  <c r="G79" i="14" s="1"/>
  <c r="I79" i="14" s="1"/>
  <c r="G79" i="15" s="1"/>
  <c r="I79" i="15" s="1"/>
  <c r="G79" i="16" s="1"/>
  <c r="I79" i="16" s="1"/>
  <c r="I80" i="5"/>
  <c r="G80" i="6" s="1"/>
  <c r="I82" i="5"/>
  <c r="G82" i="6" s="1"/>
  <c r="I82" i="6" s="1"/>
  <c r="G82" i="7" s="1"/>
  <c r="I82" i="7" s="1"/>
  <c r="G82" i="8" s="1"/>
  <c r="I82" i="8" s="1"/>
  <c r="G82" i="9" s="1"/>
  <c r="I82" i="9" s="1"/>
  <c r="G82" i="10" s="1"/>
  <c r="I82" i="10" s="1"/>
  <c r="G82" i="11" s="1"/>
  <c r="I82" i="11" s="1"/>
  <c r="G82" i="12" s="1"/>
  <c r="I82" i="12" s="1"/>
  <c r="G82" i="13" s="1"/>
  <c r="I82" i="13" s="1"/>
  <c r="G82" i="14" s="1"/>
  <c r="I82" i="14" s="1"/>
  <c r="G82" i="15" s="1"/>
  <c r="I82" i="15" s="1"/>
  <c r="G82" i="16" s="1"/>
  <c r="I83" i="5"/>
  <c r="G83" i="6" s="1"/>
  <c r="I83" i="6" s="1"/>
  <c r="G83" i="7" s="1"/>
  <c r="I83" i="7" s="1"/>
  <c r="G83" i="8" s="1"/>
  <c r="I83" i="8" s="1"/>
  <c r="G83" i="9" s="1"/>
  <c r="I83" i="9" s="1"/>
  <c r="G83" i="10" s="1"/>
  <c r="I83" i="10" s="1"/>
  <c r="G83" i="11" s="1"/>
  <c r="I83" i="11" s="1"/>
  <c r="G83" i="12" s="1"/>
  <c r="I83" i="12" s="1"/>
  <c r="G83" i="13" s="1"/>
  <c r="AR13" i="6"/>
  <c r="AA17" i="5"/>
  <c r="Y17" i="6" s="1"/>
  <c r="AA17" i="6" s="1"/>
  <c r="Y17" i="7" s="1"/>
  <c r="AA17" i="7" s="1"/>
  <c r="Y17" i="8" s="1"/>
  <c r="AA17" i="8" s="1"/>
  <c r="Y17" i="9" s="1"/>
  <c r="AA17" i="9" s="1"/>
  <c r="Y17" i="10" s="1"/>
  <c r="AA17" i="10" s="1"/>
  <c r="Y17" i="11" s="1"/>
  <c r="AA17" i="11" s="1"/>
  <c r="Y17" i="12" s="1"/>
  <c r="AA17" i="12" s="1"/>
  <c r="Y17" i="13" s="1"/>
  <c r="AA17" i="13" s="1"/>
  <c r="Y17" i="14" s="1"/>
  <c r="AA17" i="14" s="1"/>
  <c r="Y17" i="15" s="1"/>
  <c r="AA17" i="15" s="1"/>
  <c r="Y17" i="16" s="1"/>
  <c r="AA17" i="16" s="1"/>
  <c r="AA18" i="5"/>
  <c r="Y18" i="6" s="1"/>
  <c r="AA18" i="6" s="1"/>
  <c r="Y18" i="7" s="1"/>
  <c r="AA18" i="7" s="1"/>
  <c r="Y18" i="8" s="1"/>
  <c r="AA18" i="8" s="1"/>
  <c r="Y18" i="9" s="1"/>
  <c r="AA18" i="9" s="1"/>
  <c r="Y18" i="10" s="1"/>
  <c r="AA18" i="10" s="1"/>
  <c r="Y18" i="11" s="1"/>
  <c r="AA18" i="11" s="1"/>
  <c r="Y18" i="12" s="1"/>
  <c r="AA18" i="12" s="1"/>
  <c r="Y18" i="13" s="1"/>
  <c r="AA18" i="13" s="1"/>
  <c r="Y18" i="14" s="1"/>
  <c r="AA18" i="14" s="1"/>
  <c r="Y18" i="15" s="1"/>
  <c r="AA18" i="15" s="1"/>
  <c r="Y18" i="16" s="1"/>
  <c r="AA19" i="5"/>
  <c r="Y19" i="6" s="1"/>
  <c r="AA19" i="6" s="1"/>
  <c r="Y19" i="7" s="1"/>
  <c r="AA19" i="7" s="1"/>
  <c r="Y19" i="8" s="1"/>
  <c r="AA19" i="8" s="1"/>
  <c r="Y19" i="9" s="1"/>
  <c r="AA19" i="9" s="1"/>
  <c r="Y19" i="10" s="1"/>
  <c r="AA19" i="10" s="1"/>
  <c r="Y19" i="11" s="1"/>
  <c r="AA19" i="11" s="1"/>
  <c r="Y19" i="12" s="1"/>
  <c r="AA19" i="12" s="1"/>
  <c r="Y19" i="13" s="1"/>
  <c r="AA19" i="13" s="1"/>
  <c r="Y19" i="14" s="1"/>
  <c r="AA19" i="14" s="1"/>
  <c r="Y19" i="15" s="1"/>
  <c r="AA19" i="15" s="1"/>
  <c r="Y19" i="16" s="1"/>
  <c r="AA19" i="16" s="1"/>
  <c r="AA21" i="5"/>
  <c r="Y21" i="6" s="1"/>
  <c r="AA21" i="6" s="1"/>
  <c r="Y21" i="7" s="1"/>
  <c r="AA21" i="7" s="1"/>
  <c r="Y21" i="8" s="1"/>
  <c r="AA21" i="8" s="1"/>
  <c r="Y21" i="9" s="1"/>
  <c r="AA21" i="9" s="1"/>
  <c r="Y21" i="10" s="1"/>
  <c r="AA21" i="10" s="1"/>
  <c r="Y21" i="11" s="1"/>
  <c r="AA21" i="11" s="1"/>
  <c r="Y21" i="12" s="1"/>
  <c r="AA21" i="12" s="1"/>
  <c r="Y21" i="13" s="1"/>
  <c r="AA21" i="13" s="1"/>
  <c r="Y21" i="14" s="1"/>
  <c r="AA21" i="14" s="1"/>
  <c r="Y21" i="15" s="1"/>
  <c r="AA21" i="15" s="1"/>
  <c r="Y21" i="16" s="1"/>
  <c r="AA22" i="5"/>
  <c r="Y22" i="6" s="1"/>
  <c r="AA22" i="6" s="1"/>
  <c r="Y22" i="7" s="1"/>
  <c r="AA22" i="7" s="1"/>
  <c r="Y22" i="8" s="1"/>
  <c r="AA22" i="8" s="1"/>
  <c r="Y22" i="9" s="1"/>
  <c r="AA22" i="9" s="1"/>
  <c r="Y22" i="10" s="1"/>
  <c r="AA22" i="10" s="1"/>
  <c r="Y22" i="11" s="1"/>
  <c r="AA22" i="11" s="1"/>
  <c r="Y22" i="12" s="1"/>
  <c r="AA22" i="12" s="1"/>
  <c r="Y22" i="13" s="1"/>
  <c r="AA22" i="13" s="1"/>
  <c r="Y22" i="14" s="1"/>
  <c r="AA22" i="14" s="1"/>
  <c r="Y22" i="15" s="1"/>
  <c r="AA22" i="15" s="1"/>
  <c r="Y22" i="16" s="1"/>
  <c r="AA22" i="16" s="1"/>
  <c r="AA23" i="5"/>
  <c r="Y23" i="6" s="1"/>
  <c r="AA23" i="6" s="1"/>
  <c r="Y23" i="7" s="1"/>
  <c r="AA23" i="7" s="1"/>
  <c r="Y23" i="8" s="1"/>
  <c r="AA23" i="8" s="1"/>
  <c r="Y23" i="9" s="1"/>
  <c r="AA23" i="9" s="1"/>
  <c r="Y23" i="10" s="1"/>
  <c r="AA23" i="10" s="1"/>
  <c r="Y23" i="11" s="1"/>
  <c r="AA23" i="11" s="1"/>
  <c r="Y23" i="12" s="1"/>
  <c r="AA23" i="12" s="1"/>
  <c r="Y23" i="13" s="1"/>
  <c r="AA23" i="13" s="1"/>
  <c r="Y23" i="14" s="1"/>
  <c r="AA23" i="14" s="1"/>
  <c r="Y23" i="15" s="1"/>
  <c r="AA23" i="15" s="1"/>
  <c r="Y23" i="16" s="1"/>
  <c r="AA24" i="5"/>
  <c r="Y24" i="6" s="1"/>
  <c r="AA24" i="6" s="1"/>
  <c r="Y24" i="7" s="1"/>
  <c r="AA24" i="7" s="1"/>
  <c r="Y24" i="8" s="1"/>
  <c r="AA24" i="8" s="1"/>
  <c r="Y24" i="9" s="1"/>
  <c r="AA24" i="9" s="1"/>
  <c r="Y24" i="10" s="1"/>
  <c r="AA24" i="10" s="1"/>
  <c r="Y24" i="11" s="1"/>
  <c r="AA24" i="11" s="1"/>
  <c r="Y24" i="12" s="1"/>
  <c r="AA24" i="12" s="1"/>
  <c r="Y24" i="13" s="1"/>
  <c r="AA24" i="13" s="1"/>
  <c r="Y24" i="14" s="1"/>
  <c r="AA24" i="14" s="1"/>
  <c r="Y24" i="15" s="1"/>
  <c r="AA24" i="15" s="1"/>
  <c r="Y24" i="16" s="1"/>
  <c r="AA24" i="16" s="1"/>
  <c r="AA25" i="5"/>
  <c r="Y25" i="6" s="1"/>
  <c r="AA25" i="6" s="1"/>
  <c r="Y25" i="7" s="1"/>
  <c r="AA25" i="7" s="1"/>
  <c r="Y25" i="8" s="1"/>
  <c r="AA25" i="8" s="1"/>
  <c r="Y25" i="9" s="1"/>
  <c r="AA25" i="9" s="1"/>
  <c r="Y25" i="10" s="1"/>
  <c r="AA25" i="10" s="1"/>
  <c r="Y25" i="11" s="1"/>
  <c r="AA25" i="11" s="1"/>
  <c r="Y25" i="12" s="1"/>
  <c r="AA25" i="12" s="1"/>
  <c r="AA26" i="5"/>
  <c r="Y26" i="6" s="1"/>
  <c r="AA26" i="6" s="1"/>
  <c r="Y26" i="7" s="1"/>
  <c r="AA26" i="7" s="1"/>
  <c r="Y26" i="8" s="1"/>
  <c r="AA26" i="8" s="1"/>
  <c r="AA27" i="5"/>
  <c r="Y27" i="6" s="1"/>
  <c r="AA28" i="5"/>
  <c r="Y28" i="6" s="1"/>
  <c r="AA28" i="6" s="1"/>
  <c r="AA29" i="5"/>
  <c r="Y29" i="6" s="1"/>
  <c r="AA29" i="6" s="1"/>
  <c r="Y29" i="7" s="1"/>
  <c r="AA29" i="7" s="1"/>
  <c r="Y29" i="8" s="1"/>
  <c r="AA29" i="8" s="1"/>
  <c r="Y29" i="9" s="1"/>
  <c r="AA29" i="9" s="1"/>
  <c r="Y29" i="10" s="1"/>
  <c r="AA29" i="10" s="1"/>
  <c r="Y29" i="11" s="1"/>
  <c r="AA29" i="11" s="1"/>
  <c r="Y29" i="12" s="1"/>
  <c r="AA29" i="12" s="1"/>
  <c r="Y29" i="13" s="1"/>
  <c r="AA29" i="13" s="1"/>
  <c r="Y29" i="14" s="1"/>
  <c r="AA29" i="14" s="1"/>
  <c r="Y29" i="15" s="1"/>
  <c r="AA29" i="15" s="1"/>
  <c r="AA30" i="5"/>
  <c r="Y30" i="6" s="1"/>
  <c r="AA30" i="6" s="1"/>
  <c r="Y30" i="7" s="1"/>
  <c r="AA30" i="7" s="1"/>
  <c r="Y30" i="8" s="1"/>
  <c r="AA30" i="8" s="1"/>
  <c r="Y30" i="9" s="1"/>
  <c r="AA30" i="9" s="1"/>
  <c r="Y30" i="10" s="1"/>
  <c r="AA30" i="10" s="1"/>
  <c r="Y30" i="11" s="1"/>
  <c r="AA30" i="11" s="1"/>
  <c r="Y30" i="12" s="1"/>
  <c r="AA30" i="12" s="1"/>
  <c r="Y30" i="13" s="1"/>
  <c r="AA30" i="13" s="1"/>
  <c r="Y30" i="14" s="1"/>
  <c r="AA30" i="14" s="1"/>
  <c r="Y30" i="15" s="1"/>
  <c r="AA30" i="15" s="1"/>
  <c r="Y30" i="16" s="1"/>
  <c r="AA30" i="16" s="1"/>
  <c r="AA31" i="5"/>
  <c r="Y31" i="6" s="1"/>
  <c r="AA31" i="6" s="1"/>
  <c r="Y31" i="7" s="1"/>
  <c r="AA31" i="7" s="1"/>
  <c r="Y31" i="8" s="1"/>
  <c r="AA31" i="8" s="1"/>
  <c r="Y31" i="9" s="1"/>
  <c r="AA31" i="9" s="1"/>
  <c r="Y31" i="10" s="1"/>
  <c r="AA31" i="10" s="1"/>
  <c r="Y31" i="11" s="1"/>
  <c r="AA31" i="11" s="1"/>
  <c r="Y31" i="12" s="1"/>
  <c r="AA31" i="12" s="1"/>
  <c r="Y31" i="13" s="1"/>
  <c r="AA31" i="13" s="1"/>
  <c r="Y31" i="14" s="1"/>
  <c r="AA31" i="14" s="1"/>
  <c r="Y31" i="15" s="1"/>
  <c r="AA31" i="15" s="1"/>
  <c r="Y31" i="16" s="1"/>
  <c r="AA31" i="16" s="1"/>
  <c r="AA32" i="5"/>
  <c r="Y32" i="6" s="1"/>
  <c r="AA32" i="6" s="1"/>
  <c r="Y32" i="7" s="1"/>
  <c r="AA32" i="7" s="1"/>
  <c r="Y32" i="8" s="1"/>
  <c r="AA32" i="8" s="1"/>
  <c r="Y32" i="9" s="1"/>
  <c r="AA32" i="9" s="1"/>
  <c r="Y32" i="10" s="1"/>
  <c r="AA32" i="10" s="1"/>
  <c r="Y32" i="11" s="1"/>
  <c r="AA32" i="11" s="1"/>
  <c r="Y32" i="12" s="1"/>
  <c r="AA32" i="12" s="1"/>
  <c r="Y32" i="13" s="1"/>
  <c r="AA32" i="13" s="1"/>
  <c r="Y32" i="14" s="1"/>
  <c r="AA32" i="14" s="1"/>
  <c r="Y32" i="15" s="1"/>
  <c r="AA32" i="15" s="1"/>
  <c r="Y32" i="16" s="1"/>
  <c r="AA32" i="16" s="1"/>
  <c r="AA33" i="5"/>
  <c r="Y33" i="6" s="1"/>
  <c r="AA33" i="6" s="1"/>
  <c r="Y33" i="7" s="1"/>
  <c r="AA33" i="7" s="1"/>
  <c r="Y33" i="8" s="1"/>
  <c r="AA33" i="8" s="1"/>
  <c r="Y33" i="9" s="1"/>
  <c r="AA33" i="9" s="1"/>
  <c r="Y33" i="10" s="1"/>
  <c r="AA33" i="10" s="1"/>
  <c r="Y33" i="11" s="1"/>
  <c r="AA33" i="11" s="1"/>
  <c r="Y33" i="12" s="1"/>
  <c r="AA33" i="12" s="1"/>
  <c r="Y33" i="13" s="1"/>
  <c r="AA33" i="13" s="1"/>
  <c r="AA36" i="5"/>
  <c r="Y36" i="6" s="1"/>
  <c r="AA36" i="6" s="1"/>
  <c r="Y36" i="7" s="1"/>
  <c r="AA36" i="7" s="1"/>
  <c r="Y36" i="8" s="1"/>
  <c r="AA36" i="8" s="1"/>
  <c r="Y36" i="9" s="1"/>
  <c r="AA36" i="9" s="1"/>
  <c r="AA37" i="5"/>
  <c r="Y37" i="6" s="1"/>
  <c r="AA38" i="5"/>
  <c r="Y38" i="6" s="1"/>
  <c r="AA38" i="6" s="1"/>
  <c r="Y38" i="7" s="1"/>
  <c r="AA38" i="7" s="1"/>
  <c r="Y38" i="8" s="1"/>
  <c r="AA38" i="8" s="1"/>
  <c r="Y38" i="9" s="1"/>
  <c r="AA38" i="9" s="1"/>
  <c r="Y38" i="10" s="1"/>
  <c r="AA38" i="10" s="1"/>
  <c r="Y38" i="11" s="1"/>
  <c r="AA38" i="11" s="1"/>
  <c r="Y38" i="12" s="1"/>
  <c r="AA38" i="12" s="1"/>
  <c r="Y38" i="13" s="1"/>
  <c r="AA38" i="13" s="1"/>
  <c r="Y38" i="14" s="1"/>
  <c r="AA38" i="14" s="1"/>
  <c r="Y38" i="15" s="1"/>
  <c r="AA38" i="15" s="1"/>
  <c r="Y38" i="16" s="1"/>
  <c r="AA38" i="16" s="1"/>
  <c r="AA39" i="5"/>
  <c r="Y39" i="6" s="1"/>
  <c r="AA39" i="6" s="1"/>
  <c r="Y39" i="7" s="1"/>
  <c r="AA39" i="7" s="1"/>
  <c r="Y39" i="8" s="1"/>
  <c r="AA39" i="8" s="1"/>
  <c r="Y39" i="9" s="1"/>
  <c r="AA39" i="9" s="1"/>
  <c r="Y39" i="10" s="1"/>
  <c r="AA39" i="10" s="1"/>
  <c r="Y39" i="11" s="1"/>
  <c r="AA39" i="11" s="1"/>
  <c r="Y39" i="12" s="1"/>
  <c r="AA39" i="12" s="1"/>
  <c r="AA40" i="5"/>
  <c r="Y40" i="6" s="1"/>
  <c r="AA40" i="6" s="1"/>
  <c r="Y40" i="7" s="1"/>
  <c r="AA40" i="7" s="1"/>
  <c r="Y40" i="8" s="1"/>
  <c r="AA40" i="8" s="1"/>
  <c r="Y40" i="9" s="1"/>
  <c r="AA40" i="9" s="1"/>
  <c r="Y40" i="10" s="1"/>
  <c r="AA40" i="10" s="1"/>
  <c r="Y40" i="11" s="1"/>
  <c r="AA40" i="11" s="1"/>
  <c r="Y40" i="12" s="1"/>
  <c r="AA40" i="12" s="1"/>
  <c r="Y40" i="13" s="1"/>
  <c r="AA40" i="13" s="1"/>
  <c r="Y40" i="14" s="1"/>
  <c r="AA40" i="14" s="1"/>
  <c r="Y40" i="15" s="1"/>
  <c r="AA40" i="15" s="1"/>
  <c r="Y40" i="16" s="1"/>
  <c r="AA40" i="16" s="1"/>
  <c r="AA41" i="5"/>
  <c r="Y41" i="6" s="1"/>
  <c r="AA41" i="6" s="1"/>
  <c r="Y41" i="7" s="1"/>
  <c r="AA41" i="7" s="1"/>
  <c r="Y41" i="8" s="1"/>
  <c r="AA41" i="8" s="1"/>
  <c r="Y41" i="9" s="1"/>
  <c r="AA41" i="9" s="1"/>
  <c r="Y41" i="10" s="1"/>
  <c r="AA41" i="10" s="1"/>
  <c r="Y41" i="11" s="1"/>
  <c r="AA41" i="11" s="1"/>
  <c r="Y41" i="12" s="1"/>
  <c r="AA41" i="12" s="1"/>
  <c r="Y41" i="13" s="1"/>
  <c r="AA41" i="13" s="1"/>
  <c r="Y41" i="14" s="1"/>
  <c r="AA41" i="14" s="1"/>
  <c r="Y41" i="15" s="1"/>
  <c r="AA41" i="15" s="1"/>
  <c r="Y41" i="16" s="1"/>
  <c r="AA41" i="16" s="1"/>
  <c r="AA45" i="5"/>
  <c r="Y45" i="6" s="1"/>
  <c r="AA45" i="6" s="1"/>
  <c r="Y45" i="7" s="1"/>
  <c r="AA45" i="7" s="1"/>
  <c r="Y45" i="8" s="1"/>
  <c r="AA45" i="8" s="1"/>
  <c r="Y45" i="9" s="1"/>
  <c r="AA45" i="9" s="1"/>
  <c r="Y45" i="10" s="1"/>
  <c r="AA45" i="10" s="1"/>
  <c r="Y45" i="11" s="1"/>
  <c r="AA45" i="11" s="1"/>
  <c r="Y45" i="12" s="1"/>
  <c r="AA45" i="12" s="1"/>
  <c r="Y45" i="13" s="1"/>
  <c r="AA45" i="13" s="1"/>
  <c r="Y45" i="14" s="1"/>
  <c r="AA45" i="14" s="1"/>
  <c r="Y45" i="15" s="1"/>
  <c r="AA45" i="15" s="1"/>
  <c r="Y45" i="16" s="1"/>
  <c r="AA45" i="16" s="1"/>
  <c r="AA46" i="5"/>
  <c r="Y46" i="6" s="1"/>
  <c r="AA46" i="6" s="1"/>
  <c r="Y46" i="7" s="1"/>
  <c r="AA46" i="7" s="1"/>
  <c r="Y46" i="8" s="1"/>
  <c r="AA46" i="8" s="1"/>
  <c r="Y46" i="9" s="1"/>
  <c r="AA46" i="9" s="1"/>
  <c r="Y46" i="10" s="1"/>
  <c r="AA46" i="10" s="1"/>
  <c r="Y46" i="11" s="1"/>
  <c r="AA46" i="11" s="1"/>
  <c r="Y46" i="12" s="1"/>
  <c r="AA47" i="5"/>
  <c r="Y47" i="6" s="1"/>
  <c r="AA47" i="6" s="1"/>
  <c r="AA48" i="5"/>
  <c r="Y48" i="6" s="1"/>
  <c r="AA48" i="6" s="1"/>
  <c r="Y48" i="7" s="1"/>
  <c r="AA48" i="7" s="1"/>
  <c r="Y48" i="8" s="1"/>
  <c r="AA48" i="8" s="1"/>
  <c r="Y48" i="9" s="1"/>
  <c r="AA48" i="9" s="1"/>
  <c r="Y48" i="10" s="1"/>
  <c r="AA48" i="10" s="1"/>
  <c r="Y48" i="11" s="1"/>
  <c r="AA48" i="11" s="1"/>
  <c r="Y48" i="12" s="1"/>
  <c r="AA48" i="12" s="1"/>
  <c r="Y48" i="13" s="1"/>
  <c r="AA48" i="13" s="1"/>
  <c r="Y48" i="14" s="1"/>
  <c r="AA48" i="14" s="1"/>
  <c r="Y48" i="15" s="1"/>
  <c r="AA48" i="15" s="1"/>
  <c r="Y48" i="16" s="1"/>
  <c r="AA48" i="16" s="1"/>
  <c r="AA50" i="5"/>
  <c r="Y50" i="6" s="1"/>
  <c r="AA50" i="6" s="1"/>
  <c r="Y50" i="7" s="1"/>
  <c r="AA50" i="7" s="1"/>
  <c r="Y50" i="8" s="1"/>
  <c r="AA50" i="8" s="1"/>
  <c r="Y50" i="9" s="1"/>
  <c r="AA50" i="9" s="1"/>
  <c r="Y50" i="10" s="1"/>
  <c r="AA50" i="10" s="1"/>
  <c r="Y50" i="11" s="1"/>
  <c r="AA50" i="11" s="1"/>
  <c r="Y50" i="12" s="1"/>
  <c r="AA50" i="12" s="1"/>
  <c r="AA51" i="5"/>
  <c r="Y51" i="6" s="1"/>
  <c r="AA51" i="6" s="1"/>
  <c r="Y51" i="7" s="1"/>
  <c r="AA51" i="7" s="1"/>
  <c r="Y51" i="8" s="1"/>
  <c r="AA51" i="8" s="1"/>
  <c r="Y51" i="9" s="1"/>
  <c r="AA51" i="9" s="1"/>
  <c r="Y51" i="10" s="1"/>
  <c r="AA51" i="10" s="1"/>
  <c r="Y51" i="11" s="1"/>
  <c r="AA51" i="11" s="1"/>
  <c r="Y51" i="12" s="1"/>
  <c r="AA52" i="5"/>
  <c r="Y52" i="6" s="1"/>
  <c r="AA52" i="6" s="1"/>
  <c r="Y52" i="7" s="1"/>
  <c r="AA53" i="5"/>
  <c r="Y53" i="6" s="1"/>
  <c r="AA53" i="6" s="1"/>
  <c r="Y53" i="7" s="1"/>
  <c r="AA53" i="7" s="1"/>
  <c r="Y53" i="8" s="1"/>
  <c r="AA53" i="8" s="1"/>
  <c r="Y53" i="9" s="1"/>
  <c r="AA53" i="9" s="1"/>
  <c r="Y53" i="10" s="1"/>
  <c r="AA53" i="10" s="1"/>
  <c r="Y53" i="11" s="1"/>
  <c r="AA53" i="11" s="1"/>
  <c r="Y53" i="12" s="1"/>
  <c r="AA53" i="12" s="1"/>
  <c r="AA54" i="5"/>
  <c r="Y54" i="6" s="1"/>
  <c r="AA54" i="6" s="1"/>
  <c r="Y54" i="7" s="1"/>
  <c r="AA54" i="7" s="1"/>
  <c r="Y54" i="8" s="1"/>
  <c r="AA54" i="8" s="1"/>
  <c r="Y54" i="9" s="1"/>
  <c r="AA54" i="9" s="1"/>
  <c r="Y54" i="10" s="1"/>
  <c r="AA54" i="10" s="1"/>
  <c r="Y54" i="11" s="1"/>
  <c r="AA54" i="11" s="1"/>
  <c r="Y54" i="12" s="1"/>
  <c r="AA54" i="12" s="1"/>
  <c r="Y54" i="13" s="1"/>
  <c r="AA54" i="13" s="1"/>
  <c r="Y54" i="14" s="1"/>
  <c r="AA54" i="14" s="1"/>
  <c r="Y54" i="15" s="1"/>
  <c r="AA54" i="15" s="1"/>
  <c r="Y54" i="16" s="1"/>
  <c r="AA54" i="16" s="1"/>
  <c r="AA55" i="5"/>
  <c r="Y55" i="6" s="1"/>
  <c r="AA55" i="6" s="1"/>
  <c r="Y55" i="7" s="1"/>
  <c r="AA55" i="7" s="1"/>
  <c r="Y55" i="8" s="1"/>
  <c r="AA55" i="8" s="1"/>
  <c r="Y55" i="9" s="1"/>
  <c r="AA55" i="9" s="1"/>
  <c r="Y55" i="10" s="1"/>
  <c r="AA55" i="10" s="1"/>
  <c r="Y55" i="11" s="1"/>
  <c r="AA55" i="11" s="1"/>
  <c r="Y55" i="12" s="1"/>
  <c r="AA55" i="12" s="1"/>
  <c r="AA59" i="5"/>
  <c r="Y59" i="6" s="1"/>
  <c r="AA60" i="5"/>
  <c r="Y60" i="6" s="1"/>
  <c r="AA60" i="6" s="1"/>
  <c r="Y60" i="7" s="1"/>
  <c r="AA60" i="7" s="1"/>
  <c r="Y60" i="8" s="1"/>
  <c r="AA60" i="8" s="1"/>
  <c r="Y60" i="9" s="1"/>
  <c r="AA60" i="9" s="1"/>
  <c r="Y60" i="10" s="1"/>
  <c r="AA60" i="10" s="1"/>
  <c r="Y60" i="11" s="1"/>
  <c r="AA60" i="11" s="1"/>
  <c r="Y60" i="12" s="1"/>
  <c r="AA60" i="12" s="1"/>
  <c r="Y60" i="13" s="1"/>
  <c r="AA60" i="13" s="1"/>
  <c r="Y60" i="14" s="1"/>
  <c r="AA60" i="14" s="1"/>
  <c r="Y60" i="15" s="1"/>
  <c r="AA60" i="15" s="1"/>
  <c r="Y60" i="16" s="1"/>
  <c r="AA60" i="16" s="1"/>
  <c r="AA61" i="5"/>
  <c r="Y61" i="6" s="1"/>
  <c r="AA61" i="6" s="1"/>
  <c r="AA66" i="5"/>
  <c r="Y66" i="6" s="1"/>
  <c r="AA66" i="6" s="1"/>
  <c r="Y66" i="7" s="1"/>
  <c r="AA66" i="7" s="1"/>
  <c r="Y66" i="8" s="1"/>
  <c r="AA66" i="8" s="1"/>
  <c r="Y66" i="9" s="1"/>
  <c r="AA66" i="9" s="1"/>
  <c r="Y66" i="10" s="1"/>
  <c r="AA66" i="10" s="1"/>
  <c r="Y66" i="11" s="1"/>
  <c r="AA66" i="11" s="1"/>
  <c r="Y66" i="12" s="1"/>
  <c r="AA66" i="12" s="1"/>
  <c r="AA67" i="5"/>
  <c r="Y67" i="6" s="1"/>
  <c r="AA67" i="6" s="1"/>
  <c r="Y67" i="7" s="1"/>
  <c r="AA67" i="7" s="1"/>
  <c r="Y67" i="8" s="1"/>
  <c r="AA67" i="8" s="1"/>
  <c r="Y67" i="9" s="1"/>
  <c r="AA67" i="9" s="1"/>
  <c r="Y67" i="10" s="1"/>
  <c r="AA67" i="10" s="1"/>
  <c r="Y67" i="11" s="1"/>
  <c r="AA67" i="11" s="1"/>
  <c r="Y67" i="12" s="1"/>
  <c r="AA67" i="12" s="1"/>
  <c r="Y67" i="13" s="1"/>
  <c r="AA67" i="13" s="1"/>
  <c r="Y67" i="14" s="1"/>
  <c r="AA67" i="14" s="1"/>
  <c r="Y67" i="15" s="1"/>
  <c r="AA67" i="15" s="1"/>
  <c r="Y67" i="16" s="1"/>
  <c r="AA67" i="16" s="1"/>
  <c r="AA68" i="5"/>
  <c r="Y68" i="6" s="1"/>
  <c r="AA68" i="6" s="1"/>
  <c r="Y68" i="7" s="1"/>
  <c r="AA68" i="7" s="1"/>
  <c r="AA70" i="5"/>
  <c r="Y70" i="6" s="1"/>
  <c r="AA70" i="6" s="1"/>
  <c r="Y70" i="7" s="1"/>
  <c r="AA70" i="7" s="1"/>
  <c r="Y70" i="8" s="1"/>
  <c r="AA70" i="8" s="1"/>
  <c r="AA71" i="5"/>
  <c r="Y71" i="6" s="1"/>
  <c r="AA72" i="5"/>
  <c r="Y72" i="6" s="1"/>
  <c r="AA72" i="6" s="1"/>
  <c r="Y72" i="7" s="1"/>
  <c r="AA72" i="7" s="1"/>
  <c r="Y72" i="8" s="1"/>
  <c r="AA72" i="8" s="1"/>
  <c r="Y72" i="9" s="1"/>
  <c r="AA72" i="9" s="1"/>
  <c r="Y72" i="10" s="1"/>
  <c r="AA72" i="10" s="1"/>
  <c r="Y72" i="11" s="1"/>
  <c r="AA72" i="11" s="1"/>
  <c r="Y72" i="12" s="1"/>
  <c r="AA72" i="12" s="1"/>
  <c r="Y72" i="13" s="1"/>
  <c r="AA72" i="13" s="1"/>
  <c r="Y72" i="14" s="1"/>
  <c r="AA72" i="14" s="1"/>
  <c r="Y72" i="15" s="1"/>
  <c r="AA72" i="15" s="1"/>
  <c r="AA73" i="5"/>
  <c r="Y73" i="6" s="1"/>
  <c r="AA73" i="6" s="1"/>
  <c r="Y73" i="7" s="1"/>
  <c r="AA73" i="7" s="1"/>
  <c r="Y73" i="8" s="1"/>
  <c r="AA73" i="8" s="1"/>
  <c r="Y73" i="9" s="1"/>
  <c r="AA73" i="9" s="1"/>
  <c r="Y73" i="10" s="1"/>
  <c r="AA73" i="10" s="1"/>
  <c r="Y73" i="11" s="1"/>
  <c r="AA73" i="11" s="1"/>
  <c r="Y73" i="12" s="1"/>
  <c r="AA73" i="12" s="1"/>
  <c r="Y73" i="13" s="1"/>
  <c r="AA73" i="13" s="1"/>
  <c r="Y73" i="14" s="1"/>
  <c r="AA73" i="14" s="1"/>
  <c r="Y73" i="15" s="1"/>
  <c r="AA73" i="15" s="1"/>
  <c r="Y73" i="16" s="1"/>
  <c r="AA73" i="16" s="1"/>
  <c r="AA74" i="5"/>
  <c r="Y74" i="6" s="1"/>
  <c r="AA74" i="6" s="1"/>
  <c r="Y74" i="7" s="1"/>
  <c r="AA74" i="7" s="1"/>
  <c r="Y74" i="8" s="1"/>
  <c r="AA74" i="8" s="1"/>
  <c r="Y74" i="9" s="1"/>
  <c r="AA74" i="9" s="1"/>
  <c r="Y74" i="10" s="1"/>
  <c r="AA74" i="10" s="1"/>
  <c r="Y74" i="11" s="1"/>
  <c r="AA74" i="11" s="1"/>
  <c r="Y74" i="12" s="1"/>
  <c r="AA74" i="12" s="1"/>
  <c r="Y74" i="13" s="1"/>
  <c r="AA74" i="13" s="1"/>
  <c r="Y74" i="14" s="1"/>
  <c r="AA74" i="14" s="1"/>
  <c r="Y74" i="15" s="1"/>
  <c r="AA74" i="15" s="1"/>
  <c r="Y74" i="16" s="1"/>
  <c r="AA74" i="16" s="1"/>
  <c r="AA75" i="5"/>
  <c r="Y75" i="6" s="1"/>
  <c r="AA75" i="6" s="1"/>
  <c r="Y75" i="7" s="1"/>
  <c r="AA75" i="7" s="1"/>
  <c r="Y75" i="8" s="1"/>
  <c r="AA75" i="8" s="1"/>
  <c r="Y75" i="9" s="1"/>
  <c r="AA75" i="9" s="1"/>
  <c r="Y75" i="10" s="1"/>
  <c r="AA75" i="10" s="1"/>
  <c r="Y75" i="11" s="1"/>
  <c r="AA75" i="11" s="1"/>
  <c r="Y75" i="12" s="1"/>
  <c r="AA75" i="12" s="1"/>
  <c r="Y75" i="13" s="1"/>
  <c r="AA75" i="13" s="1"/>
  <c r="Y75" i="14" s="1"/>
  <c r="AA75" i="14" s="1"/>
  <c r="Y75" i="15" s="1"/>
  <c r="AA75" i="15" s="1"/>
  <c r="Y75" i="16" s="1"/>
  <c r="AA75" i="16" s="1"/>
  <c r="AA76" i="5"/>
  <c r="Y76" i="6" s="1"/>
  <c r="AA76" i="6" s="1"/>
  <c r="Y76" i="7" s="1"/>
  <c r="AA76" i="7" s="1"/>
  <c r="Y76" i="8" s="1"/>
  <c r="AA76" i="8" s="1"/>
  <c r="AA77" i="5"/>
  <c r="Y77" i="6" s="1"/>
  <c r="AA77" i="6" s="1"/>
  <c r="Y77" i="7" s="1"/>
  <c r="AA77" i="7" s="1"/>
  <c r="Y77" i="8" s="1"/>
  <c r="AA77" i="8" s="1"/>
  <c r="Y77" i="9" s="1"/>
  <c r="AA77" i="9" s="1"/>
  <c r="Y77" i="10" s="1"/>
  <c r="AA77" i="10" s="1"/>
  <c r="Y77" i="11" s="1"/>
  <c r="AA77" i="11" s="1"/>
  <c r="Y77" i="12" s="1"/>
  <c r="AA77" i="12" s="1"/>
  <c r="Y77" i="13" s="1"/>
  <c r="AA77" i="13" s="1"/>
  <c r="Y77" i="14" s="1"/>
  <c r="AA77" i="14" s="1"/>
  <c r="Y77" i="15" s="1"/>
  <c r="AA77" i="15" s="1"/>
  <c r="Y77" i="16" s="1"/>
  <c r="AA77" i="16" s="1"/>
  <c r="AA78" i="5"/>
  <c r="Y78" i="6" s="1"/>
  <c r="AA78" i="6" s="1"/>
  <c r="Y78" i="7" s="1"/>
  <c r="AA78" i="7" s="1"/>
  <c r="Y78" i="8" s="1"/>
  <c r="AA78" i="8" s="1"/>
  <c r="Y78" i="9" s="1"/>
  <c r="AA78" i="9" s="1"/>
  <c r="Y78" i="10" s="1"/>
  <c r="AA78" i="10" s="1"/>
  <c r="Y78" i="11" s="1"/>
  <c r="AA78" i="11" s="1"/>
  <c r="Y78" i="12" s="1"/>
  <c r="AA78" i="12" s="1"/>
  <c r="Y78" i="13" s="1"/>
  <c r="AA78" i="13" s="1"/>
  <c r="AA79" i="5"/>
  <c r="Y79" i="6" s="1"/>
  <c r="AA79" i="6" s="1"/>
  <c r="Y79" i="7" s="1"/>
  <c r="AA79" i="7" s="1"/>
  <c r="Y79" i="8" s="1"/>
  <c r="AA79" i="8" s="1"/>
  <c r="Y79" i="9" s="1"/>
  <c r="AA79" i="9" s="1"/>
  <c r="Y79" i="10" s="1"/>
  <c r="AA79" i="10" s="1"/>
  <c r="Y79" i="11" s="1"/>
  <c r="AA79" i="11" s="1"/>
  <c r="Y79" i="12" s="1"/>
  <c r="AA79" i="12" s="1"/>
  <c r="Y79" i="13" s="1"/>
  <c r="AA79" i="13" s="1"/>
  <c r="Y79" i="14" s="1"/>
  <c r="AA79" i="14" s="1"/>
  <c r="Y79" i="15" s="1"/>
  <c r="AA79" i="15" s="1"/>
  <c r="AA80" i="5"/>
  <c r="Y80" i="6" s="1"/>
  <c r="AA80" i="6" s="1"/>
  <c r="Y80" i="7" s="1"/>
  <c r="AA80" i="7" s="1"/>
  <c r="Y80" i="8" s="1"/>
  <c r="AA80" i="8" s="1"/>
  <c r="Y80" i="9" s="1"/>
  <c r="AA80" i="9" s="1"/>
  <c r="Y80" i="10" s="1"/>
  <c r="AA80" i="10" s="1"/>
  <c r="Y80" i="11" s="1"/>
  <c r="AA80" i="11" s="1"/>
  <c r="Y80" i="12" s="1"/>
  <c r="AA80" i="12" s="1"/>
  <c r="Y80" i="13" s="1"/>
  <c r="AA80" i="13" s="1"/>
  <c r="Y80" i="14" s="1"/>
  <c r="AA80" i="14" s="1"/>
  <c r="Y80" i="15" s="1"/>
  <c r="AA80" i="15" s="1"/>
  <c r="Y80" i="16" s="1"/>
  <c r="AA80" i="16" s="1"/>
  <c r="AA81" i="5"/>
  <c r="Y81" i="6" s="1"/>
  <c r="AA81" i="6" s="1"/>
  <c r="Y81" i="7" s="1"/>
  <c r="AA81" i="7" s="1"/>
  <c r="Y81" i="8" s="1"/>
  <c r="AA81" i="8" s="1"/>
  <c r="Y81" i="9" s="1"/>
  <c r="AA81" i="9" s="1"/>
  <c r="Y81" i="10" s="1"/>
  <c r="AA81" i="10" s="1"/>
  <c r="Y81" i="11" s="1"/>
  <c r="AA81" i="11" s="1"/>
  <c r="Y81" i="12" s="1"/>
  <c r="AA81" i="12" s="1"/>
  <c r="Y81" i="13" s="1"/>
  <c r="AA81" i="13" s="1"/>
  <c r="Y81" i="14" s="1"/>
  <c r="AA81" i="14" s="1"/>
  <c r="Y81" i="15" s="1"/>
  <c r="AA81" i="15" s="1"/>
  <c r="Y81" i="16" s="1"/>
  <c r="AA81" i="16" s="1"/>
  <c r="AA84" i="5"/>
  <c r="Y84" i="6" s="1"/>
  <c r="AA84" i="6" s="1"/>
  <c r="Y84" i="7" s="1"/>
  <c r="AA84" i="7" s="1"/>
  <c r="Y84" i="8" s="1"/>
  <c r="AA84" i="8" s="1"/>
  <c r="Y84" i="9" s="1"/>
  <c r="AA84" i="9" s="1"/>
  <c r="Y84" i="10" s="1"/>
  <c r="AA84" i="10" s="1"/>
  <c r="Y84" i="11" s="1"/>
  <c r="AA84" i="11" s="1"/>
  <c r="Y84" i="12" s="1"/>
  <c r="AA84" i="12" s="1"/>
  <c r="Y84" i="13" s="1"/>
  <c r="AA84" i="13" s="1"/>
  <c r="AA85" i="5"/>
  <c r="Y85" i="6" s="1"/>
  <c r="AA86" i="5"/>
  <c r="Y86" i="6" s="1"/>
  <c r="AA86" i="6" s="1"/>
  <c r="Y86" i="7" s="1"/>
  <c r="AA86" i="7" s="1"/>
  <c r="Y86" i="8" s="1"/>
  <c r="AA86" i="8" s="1"/>
  <c r="Y86" i="9" s="1"/>
  <c r="AA86" i="9" s="1"/>
  <c r="Y86" i="10" s="1"/>
  <c r="AA86" i="10" s="1"/>
  <c r="Y86" i="11" s="1"/>
  <c r="AA86" i="11" s="1"/>
  <c r="Y86" i="12" s="1"/>
  <c r="AA86" i="12" s="1"/>
  <c r="Y86" i="13" s="1"/>
  <c r="AA86" i="13" s="1"/>
  <c r="Y86" i="14" s="1"/>
  <c r="AA86" i="14" s="1"/>
  <c r="Y86" i="15" s="1"/>
  <c r="AA86" i="15" s="1"/>
  <c r="Y86" i="16" s="1"/>
  <c r="AA86" i="16" s="1"/>
  <c r="AA87" i="5"/>
  <c r="Y87" i="6" s="1"/>
  <c r="AA87" i="6" s="1"/>
  <c r="Y87" i="7" s="1"/>
  <c r="AA87" i="7" s="1"/>
  <c r="Y87" i="8" s="1"/>
  <c r="AA87" i="8" s="1"/>
  <c r="Y87" i="9" s="1"/>
  <c r="AA87" i="9" s="1"/>
  <c r="Y87" i="10" s="1"/>
  <c r="AA87" i="10" s="1"/>
  <c r="Y87" i="11" s="1"/>
  <c r="AA87" i="11" s="1"/>
  <c r="Y87" i="12" s="1"/>
  <c r="AA87" i="12" s="1"/>
  <c r="Y87" i="13" s="1"/>
  <c r="AA87" i="13" s="1"/>
  <c r="Y87" i="14" s="1"/>
  <c r="AA87" i="14" s="1"/>
  <c r="Y87" i="15" s="1"/>
  <c r="AA87" i="15" s="1"/>
  <c r="Y87" i="16" s="1"/>
  <c r="AA87" i="16" s="1"/>
  <c r="AA88" i="5"/>
  <c r="Y88" i="6" s="1"/>
  <c r="AA88" i="6" s="1"/>
  <c r="Y88" i="7" s="1"/>
  <c r="AA88" i="7" s="1"/>
  <c r="Y88" i="8" s="1"/>
  <c r="AA88" i="8" s="1"/>
  <c r="Y88" i="9" s="1"/>
  <c r="AA88" i="9" s="1"/>
  <c r="Y88" i="10" s="1"/>
  <c r="AA88" i="10" s="1"/>
  <c r="Y88" i="11" s="1"/>
  <c r="AA88" i="11" s="1"/>
  <c r="Y88" i="12" s="1"/>
  <c r="AA88" i="12" s="1"/>
  <c r="Y88" i="13" s="1"/>
  <c r="AA88" i="13" s="1"/>
  <c r="Y88" i="14" s="1"/>
  <c r="AA88" i="14" s="1"/>
  <c r="Y88" i="15" s="1"/>
  <c r="AA88" i="15" s="1"/>
  <c r="Y88" i="16" s="1"/>
  <c r="AA88" i="16" s="1"/>
  <c r="AA92" i="5"/>
  <c r="Y92" i="6" s="1"/>
  <c r="AA92" i="6" s="1"/>
  <c r="Y92" i="7" s="1"/>
  <c r="AA92" i="7" s="1"/>
  <c r="Y92" i="8" s="1"/>
  <c r="AA92" i="8" s="1"/>
  <c r="Y92" i="9" s="1"/>
  <c r="AA92" i="9" s="1"/>
  <c r="Y92" i="10" s="1"/>
  <c r="AA92" i="10" s="1"/>
  <c r="Y92" i="11" s="1"/>
  <c r="AA92" i="11" s="1"/>
  <c r="Y92" i="12" s="1"/>
  <c r="AA92" i="12" s="1"/>
  <c r="Y92" i="13" s="1"/>
  <c r="AA92" i="13" s="1"/>
  <c r="Y92" i="14" s="1"/>
  <c r="AA92" i="14" s="1"/>
  <c r="Y92" i="15" s="1"/>
  <c r="AA92" i="15" s="1"/>
  <c r="Y92" i="16" s="1"/>
  <c r="AA92" i="16" s="1"/>
  <c r="AA93" i="5"/>
  <c r="Y93" i="6" s="1"/>
  <c r="AA94" i="5"/>
  <c r="Y94" i="6" s="1"/>
  <c r="AA94" i="6" s="1"/>
  <c r="Y94" i="7" s="1"/>
  <c r="AA94" i="7" s="1"/>
  <c r="Y94" i="8" s="1"/>
  <c r="AA94" i="8" s="1"/>
  <c r="Y94" i="9" s="1"/>
  <c r="AA94" i="9" s="1"/>
  <c r="Y94" i="10" s="1"/>
  <c r="AA94" i="10" s="1"/>
  <c r="Y94" i="11" s="1"/>
  <c r="AA94" i="11" s="1"/>
  <c r="Y94" i="12" s="1"/>
  <c r="AA94" i="12" s="1"/>
  <c r="Y94" i="13" s="1"/>
  <c r="AA94" i="13" s="1"/>
  <c r="Y94" i="14" s="1"/>
  <c r="AA94" i="14" s="1"/>
  <c r="Y94" i="15" s="1"/>
  <c r="AA94" i="15" s="1"/>
  <c r="Y94" i="16" s="1"/>
  <c r="AA94" i="16" s="1"/>
  <c r="AA95" i="5"/>
  <c r="Y95" i="6" s="1"/>
  <c r="AA95" i="6" s="1"/>
  <c r="Y95" i="7" s="1"/>
  <c r="AA95" i="7" s="1"/>
  <c r="Y95" i="8" s="1"/>
  <c r="AA95" i="8" s="1"/>
  <c r="Y95" i="9" s="1"/>
  <c r="AA95" i="9" s="1"/>
  <c r="Y95" i="10" s="1"/>
  <c r="AA97" i="5"/>
  <c r="Y97" i="6" s="1"/>
  <c r="AA97" i="6" s="1"/>
  <c r="Y97" i="7" s="1"/>
  <c r="AA97" i="7" s="1"/>
  <c r="Y97" i="8" s="1"/>
  <c r="AA97" i="8" s="1"/>
  <c r="Y97" i="9" s="1"/>
  <c r="AA97" i="9" s="1"/>
  <c r="Y97" i="10" s="1"/>
  <c r="AA97" i="10" s="1"/>
  <c r="Y97" i="11" s="1"/>
  <c r="AA97" i="11" s="1"/>
  <c r="Y97" i="12" s="1"/>
  <c r="AA97" i="12" s="1"/>
  <c r="Y97" i="13" s="1"/>
  <c r="AA97" i="13" s="1"/>
  <c r="Y97" i="14" s="1"/>
  <c r="AA97" i="14" s="1"/>
  <c r="Y97" i="15" s="1"/>
  <c r="AA97" i="15" s="1"/>
  <c r="Y97" i="16" s="1"/>
  <c r="AA97" i="16" s="1"/>
  <c r="AA98" i="5"/>
  <c r="Y98" i="6" s="1"/>
  <c r="AA98" i="6" s="1"/>
  <c r="AA99" i="5"/>
  <c r="Y99" i="6" s="1"/>
  <c r="AA99" i="6" s="1"/>
  <c r="Y99" i="7" s="1"/>
  <c r="AA99" i="7" s="1"/>
  <c r="Y99" i="8" s="1"/>
  <c r="AA99" i="8" s="1"/>
  <c r="Y99" i="9" s="1"/>
  <c r="AA99" i="9" s="1"/>
  <c r="Y99" i="10" s="1"/>
  <c r="AA99" i="10" s="1"/>
  <c r="Y99" i="11" s="1"/>
  <c r="AA99" i="11" s="1"/>
  <c r="Y99" i="12" s="1"/>
  <c r="AA99" i="12" s="1"/>
  <c r="Y99" i="13" s="1"/>
  <c r="AA99" i="13" s="1"/>
  <c r="Y99" i="14" s="1"/>
  <c r="AA99" i="14" s="1"/>
  <c r="Y99" i="15" s="1"/>
  <c r="AA99" i="15" s="1"/>
  <c r="Y99" i="16" s="1"/>
  <c r="AA99" i="16" s="1"/>
  <c r="AA100" i="5"/>
  <c r="Y100" i="6" s="1"/>
  <c r="AA100" i="6" s="1"/>
  <c r="Y100" i="7" s="1"/>
  <c r="AA100" i="7" s="1"/>
  <c r="Y100" i="8" s="1"/>
  <c r="AA100" i="8" s="1"/>
  <c r="Y100" i="9" s="1"/>
  <c r="AA100" i="9" s="1"/>
  <c r="Y100" i="10" s="1"/>
  <c r="AA101" i="5"/>
  <c r="Y101" i="6" s="1"/>
  <c r="AA101" i="6" s="1"/>
  <c r="Y101" i="7" s="1"/>
  <c r="AA101" i="7" s="1"/>
  <c r="Y101" i="8" s="1"/>
  <c r="AA101" i="8" s="1"/>
  <c r="Y101" i="9" s="1"/>
  <c r="AA101" i="9" s="1"/>
  <c r="Y101" i="10" s="1"/>
  <c r="AA101" i="10" s="1"/>
  <c r="Y101" i="11" s="1"/>
  <c r="AA101" i="11" s="1"/>
  <c r="Y101" i="12" s="1"/>
  <c r="AA101" i="12" s="1"/>
  <c r="Y101" i="13" s="1"/>
  <c r="AA101" i="13" s="1"/>
  <c r="Y101" i="14" s="1"/>
  <c r="AA101" i="14" s="1"/>
  <c r="Y101" i="15" s="1"/>
  <c r="AA101" i="15" s="1"/>
  <c r="Y101" i="16" s="1"/>
  <c r="AA101" i="16" s="1"/>
  <c r="AA102" i="5"/>
  <c r="Y102" i="6" s="1"/>
  <c r="AA102" i="6" s="1"/>
  <c r="Y102" i="7" s="1"/>
  <c r="AA102" i="7" s="1"/>
  <c r="Y102" i="8" s="1"/>
  <c r="AA102" i="8" s="1"/>
  <c r="Y102" i="9" s="1"/>
  <c r="AA102" i="9" s="1"/>
  <c r="Y102" i="10" s="1"/>
  <c r="AA102" i="10" s="1"/>
  <c r="Y102" i="11" s="1"/>
  <c r="AA102" i="11" s="1"/>
  <c r="Y102" i="12" s="1"/>
  <c r="AA102" i="12" s="1"/>
  <c r="Y102" i="13" s="1"/>
  <c r="AA102" i="13" s="1"/>
  <c r="Y102" i="14" s="1"/>
  <c r="AA102" i="14" s="1"/>
  <c r="Y102" i="15" s="1"/>
  <c r="AA102" i="15" s="1"/>
  <c r="Y102" i="16" s="1"/>
  <c r="AA102" i="16" s="1"/>
  <c r="AA106" i="5"/>
  <c r="Y106" i="6" s="1"/>
  <c r="AA106" i="6" s="1"/>
  <c r="Y106" i="7" s="1"/>
  <c r="AA106" i="7" s="1"/>
  <c r="Y106" i="8" s="1"/>
  <c r="AA106" i="8" s="1"/>
  <c r="Y106" i="9" s="1"/>
  <c r="AA106" i="9" s="1"/>
  <c r="Y106" i="10" s="1"/>
  <c r="AA106" i="10" s="1"/>
  <c r="Y106" i="11" s="1"/>
  <c r="AA106" i="11" s="1"/>
  <c r="Y106" i="12" s="1"/>
  <c r="AA106" i="12" s="1"/>
  <c r="Y106" i="13" s="1"/>
  <c r="AA106" i="13" s="1"/>
  <c r="Y106" i="14" s="1"/>
  <c r="AA106" i="14" s="1"/>
  <c r="Y106" i="15" s="1"/>
  <c r="AA106" i="15" s="1"/>
  <c r="Y106" i="16" s="1"/>
  <c r="AA106" i="16" s="1"/>
  <c r="AA107" i="5"/>
  <c r="Y107" i="6" s="1"/>
  <c r="AA107" i="6" s="1"/>
  <c r="Y107" i="7" s="1"/>
  <c r="AA107" i="7" s="1"/>
  <c r="Y107" i="8" s="1"/>
  <c r="AA107" i="8" s="1"/>
  <c r="Y107" i="9" s="1"/>
  <c r="AA107" i="9" s="1"/>
  <c r="Y107" i="10" s="1"/>
  <c r="AA107" i="10" s="1"/>
  <c r="AA108" i="5"/>
  <c r="Y108" i="6" s="1"/>
  <c r="AA108" i="6" s="1"/>
  <c r="Y108" i="7" s="1"/>
  <c r="AA108" i="7" s="1"/>
  <c r="Y108" i="8" s="1"/>
  <c r="AA108" i="8" s="1"/>
  <c r="Y108" i="9" s="1"/>
  <c r="AA108" i="9" s="1"/>
  <c r="Y108" i="10" s="1"/>
  <c r="AA108" i="10" s="1"/>
  <c r="Y108" i="11" s="1"/>
  <c r="AA108" i="11" s="1"/>
  <c r="Y108" i="12" s="1"/>
  <c r="AA108" i="12" s="1"/>
  <c r="Y108" i="13" s="1"/>
  <c r="AA108" i="13" s="1"/>
  <c r="Y108" i="14" s="1"/>
  <c r="AA108" i="14" s="1"/>
  <c r="Y108" i="15" s="1"/>
  <c r="AA108" i="15" s="1"/>
  <c r="Y108" i="16" s="1"/>
  <c r="AA108" i="16" s="1"/>
  <c r="AA115" i="5"/>
  <c r="Y115" i="6" s="1"/>
  <c r="AA116" i="5"/>
  <c r="Y116" i="6" s="1"/>
  <c r="AA116" i="6" s="1"/>
  <c r="Y116" i="7" s="1"/>
  <c r="AA116" i="7" s="1"/>
  <c r="Y116" i="8" s="1"/>
  <c r="AA116" i="8" s="1"/>
  <c r="Y116" i="9" s="1"/>
  <c r="AA116" i="9" s="1"/>
  <c r="Y116" i="10" s="1"/>
  <c r="AA116" i="10" s="1"/>
  <c r="Y116" i="11" s="1"/>
  <c r="AA116" i="11" s="1"/>
  <c r="Y116" i="12" s="1"/>
  <c r="AA116" i="12" s="1"/>
  <c r="Y116" i="13" s="1"/>
  <c r="AA116" i="13" s="1"/>
  <c r="Y116" i="14" s="1"/>
  <c r="AA116" i="14" s="1"/>
  <c r="Y116" i="15" s="1"/>
  <c r="AA116" i="15" s="1"/>
  <c r="Y116" i="16" s="1"/>
  <c r="AA116" i="16" s="1"/>
  <c r="AA117" i="5"/>
  <c r="Y117" i="6" s="1"/>
  <c r="AA117" i="6" s="1"/>
  <c r="Y117" i="7" s="1"/>
  <c r="AA117" i="7" s="1"/>
  <c r="Y117" i="8" s="1"/>
  <c r="AA117" i="8" s="1"/>
  <c r="Y117" i="9" s="1"/>
  <c r="AA117" i="9" s="1"/>
  <c r="Y117" i="10" s="1"/>
  <c r="AA117" i="10" s="1"/>
  <c r="AA118" i="5"/>
  <c r="Y118" i="6" s="1"/>
  <c r="AA118" i="6" s="1"/>
  <c r="Y118" i="7" s="1"/>
  <c r="AA118" i="7" s="1"/>
  <c r="Y118" i="8" s="1"/>
  <c r="AA118" i="8" s="1"/>
  <c r="Y118" i="9" s="1"/>
  <c r="AA118" i="9" s="1"/>
  <c r="Y118" i="10" s="1"/>
  <c r="AA118" i="10" s="1"/>
  <c r="Y118" i="11" s="1"/>
  <c r="AA118" i="11" s="1"/>
  <c r="Y118" i="12" s="1"/>
  <c r="AA118" i="12" s="1"/>
  <c r="Y118" i="13" s="1"/>
  <c r="AA118" i="13" s="1"/>
  <c r="Y118" i="14" s="1"/>
  <c r="AA118" i="14" s="1"/>
  <c r="Y118" i="15" s="1"/>
  <c r="AA118" i="15" s="1"/>
  <c r="Y118" i="16" s="1"/>
  <c r="AA118" i="16" s="1"/>
  <c r="AA119" i="5"/>
  <c r="Y119" i="6" s="1"/>
  <c r="AA119" i="6" s="1"/>
  <c r="Y119" i="7" s="1"/>
  <c r="AA119" i="7" s="1"/>
  <c r="Y119" i="8" s="1"/>
  <c r="AA119" i="8" s="1"/>
  <c r="Y119" i="9" s="1"/>
  <c r="AA119" i="9" s="1"/>
  <c r="Y119" i="10" s="1"/>
  <c r="AA119" i="10" s="1"/>
  <c r="Y119" i="11" s="1"/>
  <c r="AA119" i="11" s="1"/>
  <c r="Y119" i="12" s="1"/>
  <c r="AA119" i="12" s="1"/>
  <c r="Y119" i="13" s="1"/>
  <c r="AA119" i="13" s="1"/>
  <c r="Y119" i="14" s="1"/>
  <c r="AA119" i="14" s="1"/>
  <c r="Y119" i="15" s="1"/>
  <c r="AA119" i="15" s="1"/>
  <c r="Y119" i="16" s="1"/>
  <c r="AA119" i="16" s="1"/>
  <c r="AA120" i="5"/>
  <c r="Y120" i="6" s="1"/>
  <c r="AA120" i="6" s="1"/>
  <c r="Y120" i="7" s="1"/>
  <c r="AA120" i="7" s="1"/>
  <c r="Y120" i="8" s="1"/>
  <c r="AA120" i="8" s="1"/>
  <c r="Y120" i="9" s="1"/>
  <c r="AA120" i="9" s="1"/>
  <c r="Y120" i="10" s="1"/>
  <c r="AA120" i="10" s="1"/>
  <c r="Y120" i="11" s="1"/>
  <c r="AA120" i="11" s="1"/>
  <c r="Y120" i="12" s="1"/>
  <c r="AA120" i="12" s="1"/>
  <c r="Y120" i="13" s="1"/>
  <c r="AA120" i="13" s="1"/>
  <c r="Y120" i="14" s="1"/>
  <c r="AA120" i="14" s="1"/>
  <c r="Y120" i="15" s="1"/>
  <c r="AA120" i="15" s="1"/>
  <c r="Y120" i="16" s="1"/>
  <c r="AA120" i="16" s="1"/>
  <c r="AA121" i="5"/>
  <c r="Y121" i="6" s="1"/>
  <c r="AA121" i="6" s="1"/>
  <c r="Y121" i="7" s="1"/>
  <c r="AA121" i="7" s="1"/>
  <c r="Y121" i="8" s="1"/>
  <c r="AA121" i="8" s="1"/>
  <c r="Y121" i="9" s="1"/>
  <c r="AA121" i="9" s="1"/>
  <c r="Y121" i="10" s="1"/>
  <c r="AA121" i="10" s="1"/>
  <c r="Y121" i="11" s="1"/>
  <c r="AA121" i="11" s="1"/>
  <c r="Y121" i="12" s="1"/>
  <c r="AA121" i="12" s="1"/>
  <c r="Y121" i="13" s="1"/>
  <c r="AA121" i="13" s="1"/>
  <c r="Y121" i="14" s="1"/>
  <c r="AA121" i="14" s="1"/>
  <c r="Y121" i="15" s="1"/>
  <c r="AA121" i="15" s="1"/>
  <c r="AA124" i="5"/>
  <c r="Y124" i="6" s="1"/>
  <c r="AA124" i="6" s="1"/>
  <c r="Y124" i="7" s="1"/>
  <c r="AA124" i="7" s="1"/>
  <c r="Y124" i="8" s="1"/>
  <c r="AA124" i="8" s="1"/>
  <c r="Y124" i="9" s="1"/>
  <c r="AA124" i="9" s="1"/>
  <c r="Y124" i="10" s="1"/>
  <c r="AA124" i="10" s="1"/>
  <c r="Y124" i="11" s="1"/>
  <c r="AA124" i="11" s="1"/>
  <c r="Y124" i="12" s="1"/>
  <c r="AA124" i="12" s="1"/>
  <c r="Y124" i="13" s="1"/>
  <c r="AA124" i="13" s="1"/>
  <c r="Y124" i="14" s="1"/>
  <c r="AA124" i="14" s="1"/>
  <c r="Y124" i="15" s="1"/>
  <c r="AA124" i="15" s="1"/>
  <c r="Y124" i="16" s="1"/>
  <c r="AA124" i="16" s="1"/>
  <c r="AA125" i="5"/>
  <c r="Y125" i="6" s="1"/>
  <c r="AA126" i="5"/>
  <c r="Y126" i="6" s="1"/>
  <c r="AA126" i="6" s="1"/>
  <c r="Y126" i="7" s="1"/>
  <c r="AA126" i="7" s="1"/>
  <c r="Y126" i="8" s="1"/>
  <c r="AA126" i="8" s="1"/>
  <c r="Y126" i="9" s="1"/>
  <c r="AA126" i="9" s="1"/>
  <c r="Y126" i="10" s="1"/>
  <c r="AA126" i="10" s="1"/>
  <c r="Y126" i="11" s="1"/>
  <c r="AA126" i="11" s="1"/>
  <c r="Y126" i="12" s="1"/>
  <c r="AA126" i="12" s="1"/>
  <c r="Y126" i="13" s="1"/>
  <c r="AA126" i="13" s="1"/>
  <c r="Y126" i="14" s="1"/>
  <c r="AA126" i="14" s="1"/>
  <c r="Y126" i="15" s="1"/>
  <c r="AA126" i="15" s="1"/>
  <c r="Y126" i="16" s="1"/>
  <c r="AA126" i="16" s="1"/>
  <c r="AA127" i="5"/>
  <c r="Y127" i="6" s="1"/>
  <c r="AA127" i="6" s="1"/>
  <c r="Y127" i="7" s="1"/>
  <c r="AA127" i="7" s="1"/>
  <c r="Y127" i="8" s="1"/>
  <c r="AA127" i="8" s="1"/>
  <c r="Y127" i="9" s="1"/>
  <c r="AA127" i="9" s="1"/>
  <c r="Y127" i="10" s="1"/>
  <c r="AA127" i="10" s="1"/>
  <c r="Y127" i="11" s="1"/>
  <c r="AA127" i="11" s="1"/>
  <c r="Y127" i="12" s="1"/>
  <c r="AA127" i="12" s="1"/>
  <c r="Y127" i="13" s="1"/>
  <c r="AA127" i="13" s="1"/>
  <c r="Y127" i="14" s="1"/>
  <c r="AA127" i="14" s="1"/>
  <c r="Y127" i="15" s="1"/>
  <c r="AA127" i="15" s="1"/>
  <c r="Y127" i="16" s="1"/>
  <c r="AA127" i="16" s="1"/>
  <c r="AA128" i="5"/>
  <c r="Y128" i="6" s="1"/>
  <c r="AA128" i="6" s="1"/>
  <c r="Y128" i="7" s="1"/>
  <c r="AA128" i="7" s="1"/>
  <c r="Y128" i="8" s="1"/>
  <c r="AA128" i="8" s="1"/>
  <c r="Y128" i="9" s="1"/>
  <c r="AA128" i="9" s="1"/>
  <c r="Y128" i="10" s="1"/>
  <c r="AA128" i="10" s="1"/>
  <c r="Y128" i="11" s="1"/>
  <c r="AA128" i="11" s="1"/>
  <c r="Y128" i="12" s="1"/>
  <c r="AA128" i="12" s="1"/>
  <c r="Y128" i="13" s="1"/>
  <c r="AA128" i="13" s="1"/>
  <c r="Y128" i="14" s="1"/>
  <c r="AA128" i="14" s="1"/>
  <c r="Y128" i="15" s="1"/>
  <c r="AA128" i="15" s="1"/>
  <c r="Y128" i="16" s="1"/>
  <c r="AA128" i="16" s="1"/>
  <c r="AA129" i="5"/>
  <c r="Y129" i="6" s="1"/>
  <c r="AA129" i="6" s="1"/>
  <c r="Y129" i="7" s="1"/>
  <c r="AA129" i="7" s="1"/>
  <c r="Y129" i="8" s="1"/>
  <c r="AA129" i="8" s="1"/>
  <c r="Y129" i="9" s="1"/>
  <c r="AA129" i="9" s="1"/>
  <c r="Y129" i="10" s="1"/>
  <c r="AA129" i="10" s="1"/>
  <c r="Y129" i="11" s="1"/>
  <c r="AA129" i="11" s="1"/>
  <c r="Y129" i="12" s="1"/>
  <c r="AA129" i="12" s="1"/>
  <c r="Y129" i="13" s="1"/>
  <c r="AA129" i="13" s="1"/>
  <c r="Y129" i="14" s="1"/>
  <c r="AA129" i="14" s="1"/>
  <c r="Y129" i="15" s="1"/>
  <c r="AA129" i="15" s="1"/>
  <c r="Y129" i="16" s="1"/>
  <c r="AA129" i="16" s="1"/>
  <c r="AA130" i="5"/>
  <c r="Y130" i="6" s="1"/>
  <c r="AA130" i="6" s="1"/>
  <c r="Y130" i="7" s="1"/>
  <c r="AA130" i="7" s="1"/>
  <c r="Y130" i="8" s="1"/>
  <c r="AA130" i="8" s="1"/>
  <c r="Y130" i="9" s="1"/>
  <c r="AA130" i="9" s="1"/>
  <c r="Y130" i="10" s="1"/>
  <c r="AA130" i="10" s="1"/>
  <c r="Y130" i="11" s="1"/>
  <c r="AA130" i="11" s="1"/>
  <c r="Y130" i="12" s="1"/>
  <c r="AA130" i="12" s="1"/>
  <c r="Y130" i="13" s="1"/>
  <c r="AA130" i="13" s="1"/>
  <c r="Y130" i="14" s="1"/>
  <c r="AA130" i="14" s="1"/>
  <c r="Y130" i="15" s="1"/>
  <c r="AA130" i="15" s="1"/>
  <c r="Y130" i="16" s="1"/>
  <c r="AA130" i="16" s="1"/>
  <c r="AA131" i="5"/>
  <c r="Y131" i="6" s="1"/>
  <c r="AA131" i="6" s="1"/>
  <c r="Y131" i="7" s="1"/>
  <c r="AA131" i="7" s="1"/>
  <c r="Y131" i="8" s="1"/>
  <c r="AA131" i="8" s="1"/>
  <c r="Y131" i="9" s="1"/>
  <c r="AA131" i="9" s="1"/>
  <c r="Y131" i="10" s="1"/>
  <c r="AA131" i="10" s="1"/>
  <c r="Y131" i="11" s="1"/>
  <c r="AA131" i="11" s="1"/>
  <c r="Y131" i="12" s="1"/>
  <c r="AA131" i="12" s="1"/>
  <c r="AA132" i="5"/>
  <c r="Y132" i="6" s="1"/>
  <c r="AA132" i="6" s="1"/>
  <c r="Y132" i="7" s="1"/>
  <c r="AA132" i="7" s="1"/>
  <c r="Y132" i="8" s="1"/>
  <c r="AA132" i="8" s="1"/>
  <c r="Y132" i="9" s="1"/>
  <c r="AA132" i="9" s="1"/>
  <c r="Y132" i="10" s="1"/>
  <c r="AA132" i="10" s="1"/>
  <c r="Y132" i="11" s="1"/>
  <c r="AA132" i="11" s="1"/>
  <c r="Y132" i="12" s="1"/>
  <c r="AA132" i="12" s="1"/>
  <c r="Y132" i="13" s="1"/>
  <c r="AA132" i="13" s="1"/>
  <c r="Y132" i="14" s="1"/>
  <c r="AA132" i="14" s="1"/>
  <c r="Y132" i="15" s="1"/>
  <c r="AA132" i="15" s="1"/>
  <c r="Y132" i="16" s="1"/>
  <c r="AA132" i="16" s="1"/>
  <c r="AA133" i="5"/>
  <c r="Y133" i="6" s="1"/>
  <c r="AA133" i="6" s="1"/>
  <c r="Y133" i="7" s="1"/>
  <c r="AA134" i="5"/>
  <c r="Y134" i="6" s="1"/>
  <c r="AA134" i="6" s="1"/>
  <c r="Y134" i="7" s="1"/>
  <c r="AA134" i="7" s="1"/>
  <c r="Y134" i="8" s="1"/>
  <c r="AA134" i="8" s="1"/>
  <c r="Y134" i="9" s="1"/>
  <c r="AA134" i="9" s="1"/>
  <c r="Y134" i="10" s="1"/>
  <c r="AA134" i="10" s="1"/>
  <c r="Y134" i="11" s="1"/>
  <c r="AA134" i="11" s="1"/>
  <c r="Y134" i="12" s="1"/>
  <c r="AA134" i="12" s="1"/>
  <c r="Y134" i="13" s="1"/>
  <c r="AA134" i="13" s="1"/>
  <c r="Y134" i="14" s="1"/>
  <c r="AA134" i="14" s="1"/>
  <c r="Y134" i="15" s="1"/>
  <c r="AA134" i="15" s="1"/>
  <c r="Y134" i="16" s="1"/>
  <c r="AA134" i="16" s="1"/>
  <c r="AA135" i="5"/>
  <c r="Y135" i="6" s="1"/>
  <c r="AA135" i="6" s="1"/>
  <c r="Y135" i="7" s="1"/>
  <c r="AA135" i="7" s="1"/>
  <c r="Y135" i="8" s="1"/>
  <c r="AA135" i="8" s="1"/>
  <c r="Y135" i="9" s="1"/>
  <c r="AA135" i="9" s="1"/>
  <c r="Y135" i="10" s="1"/>
  <c r="AA135" i="10" s="1"/>
  <c r="Y135" i="11" s="1"/>
  <c r="AA135" i="11" s="1"/>
  <c r="Y135" i="12" s="1"/>
  <c r="AA135" i="12" s="1"/>
  <c r="Y135" i="13" s="1"/>
  <c r="AA135" i="13" s="1"/>
  <c r="Y135" i="14" s="1"/>
  <c r="AA135" i="14" s="1"/>
  <c r="Y135" i="15" s="1"/>
  <c r="AA135" i="15" s="1"/>
  <c r="Y135" i="16" s="1"/>
  <c r="AA135" i="16" s="1"/>
  <c r="AA136" i="5"/>
  <c r="Y136" i="6" s="1"/>
  <c r="AA136" i="6" s="1"/>
  <c r="Y136" i="7" s="1"/>
  <c r="AA136" i="7" s="1"/>
  <c r="Y136" i="8" s="1"/>
  <c r="AA136" i="8" s="1"/>
  <c r="Y136" i="9" s="1"/>
  <c r="AA136" i="9" s="1"/>
  <c r="Y136" i="10" s="1"/>
  <c r="AA136" i="10" s="1"/>
  <c r="Y136" i="11" s="1"/>
  <c r="AA136" i="11" s="1"/>
  <c r="Y136" i="12" s="1"/>
  <c r="AA136" i="12" s="1"/>
  <c r="Y136" i="13" s="1"/>
  <c r="AA136" i="13" s="1"/>
  <c r="Y136" i="14" s="1"/>
  <c r="AA136" i="14" s="1"/>
  <c r="Y136" i="15" s="1"/>
  <c r="AA136" i="15" s="1"/>
  <c r="Y136" i="16" s="1"/>
  <c r="AA136" i="16" s="1"/>
  <c r="AA137" i="5"/>
  <c r="Y137" i="6" s="1"/>
  <c r="AA137" i="6" s="1"/>
  <c r="Y137" i="7" s="1"/>
  <c r="AA137" i="7" s="1"/>
  <c r="Y137" i="8" s="1"/>
  <c r="AA137" i="8" s="1"/>
  <c r="Y137" i="9" s="1"/>
  <c r="AA137" i="9" s="1"/>
  <c r="Y137" i="10" s="1"/>
  <c r="AA137" i="10" s="1"/>
  <c r="Y137" i="11" s="1"/>
  <c r="AA137" i="11" s="1"/>
  <c r="Y137" i="12" s="1"/>
  <c r="AA137" i="12" s="1"/>
  <c r="Y137" i="13" s="1"/>
  <c r="AA137" i="13" s="1"/>
  <c r="Y137" i="14" s="1"/>
  <c r="AA137" i="14" s="1"/>
  <c r="Y137" i="15" s="1"/>
  <c r="AA137" i="15" s="1"/>
  <c r="Y137" i="16" s="1"/>
  <c r="AA137" i="16" s="1"/>
  <c r="AA138" i="5"/>
  <c r="Y138" i="6" s="1"/>
  <c r="AA138" i="6" s="1"/>
  <c r="Y138" i="7" s="1"/>
  <c r="AA138" i="7" s="1"/>
  <c r="Y138" i="8" s="1"/>
  <c r="AA138" i="8" s="1"/>
  <c r="Y138" i="9" s="1"/>
  <c r="AA138" i="9" s="1"/>
  <c r="Y138" i="10" s="1"/>
  <c r="AA138" i="10" s="1"/>
  <c r="Y138" i="11" s="1"/>
  <c r="AA138" i="11" s="1"/>
  <c r="Y138" i="12" s="1"/>
  <c r="AA138" i="12" s="1"/>
  <c r="Y138" i="13" s="1"/>
  <c r="AA138" i="13" s="1"/>
  <c r="Y138" i="14" s="1"/>
  <c r="AA138" i="14" s="1"/>
  <c r="Y138" i="15" s="1"/>
  <c r="AA138" i="15" s="1"/>
  <c r="Y138" i="16" s="1"/>
  <c r="AA138" i="16" s="1"/>
  <c r="AA139" i="5"/>
  <c r="Y139" i="6" s="1"/>
  <c r="AA139" i="6" s="1"/>
  <c r="Y139" i="7" s="1"/>
  <c r="AA139" i="7" s="1"/>
  <c r="Y139" i="8" s="1"/>
  <c r="AA139" i="8" s="1"/>
  <c r="Y139" i="9" s="1"/>
  <c r="AA139" i="9" s="1"/>
  <c r="Y139" i="10" s="1"/>
  <c r="AA139" i="10" s="1"/>
  <c r="Y139" i="11" s="1"/>
  <c r="AA139" i="11" s="1"/>
  <c r="Y139" i="12" s="1"/>
  <c r="AA139" i="12" s="1"/>
  <c r="AA142" i="5"/>
  <c r="Y142" i="6" s="1"/>
  <c r="AA142" i="6" s="1"/>
  <c r="Y142" i="7" s="1"/>
  <c r="AA142" i="7" s="1"/>
  <c r="Y142" i="8" s="1"/>
  <c r="AA142" i="8" s="1"/>
  <c r="Y142" i="9" s="1"/>
  <c r="AA142" i="9" s="1"/>
  <c r="Y142" i="10" s="1"/>
  <c r="AA142" i="10" s="1"/>
  <c r="Y142" i="11" s="1"/>
  <c r="AA142" i="11" s="1"/>
  <c r="Y142" i="12" s="1"/>
  <c r="AA142" i="12" s="1"/>
  <c r="Y142" i="13" s="1"/>
  <c r="AA142" i="13" s="1"/>
  <c r="Y142" i="14" s="1"/>
  <c r="AA142" i="14" s="1"/>
  <c r="Y142" i="15" s="1"/>
  <c r="AA142" i="15" s="1"/>
  <c r="Y142" i="16" s="1"/>
  <c r="AA142" i="16" s="1"/>
  <c r="AA143" i="5"/>
  <c r="Y143" i="6" s="1"/>
  <c r="AA143" i="6" s="1"/>
  <c r="AA148" i="5"/>
  <c r="Y148" i="6" s="1"/>
  <c r="AA148" i="6" s="1"/>
  <c r="Y148" i="7" s="1"/>
  <c r="AA148" i="7" s="1"/>
  <c r="Y148" i="8" s="1"/>
  <c r="AA148" i="8" s="1"/>
  <c r="Y148" i="9" s="1"/>
  <c r="AA148" i="9" s="1"/>
  <c r="Y148" i="10" s="1"/>
  <c r="AA148" i="10" s="1"/>
  <c r="Y148" i="11" s="1"/>
  <c r="AA148" i="11" s="1"/>
  <c r="Y148" i="12" s="1"/>
  <c r="AA148" i="12" s="1"/>
  <c r="Y148" i="13" s="1"/>
  <c r="AA148" i="13" s="1"/>
  <c r="Y148" i="14" s="1"/>
  <c r="AA148" i="14" s="1"/>
  <c r="Y148" i="15" s="1"/>
  <c r="AA148" i="15" s="1"/>
  <c r="Y148" i="16" s="1"/>
  <c r="AA148" i="16" s="1"/>
  <c r="AA150" i="5"/>
  <c r="Y150" i="6" s="1"/>
  <c r="AA150" i="6" s="1"/>
  <c r="Y150" i="7" s="1"/>
  <c r="AA150" i="7" s="1"/>
  <c r="Y150" i="8" s="1"/>
  <c r="AA150" i="8" s="1"/>
  <c r="Y150" i="9" s="1"/>
  <c r="AA150" i="9" s="1"/>
  <c r="Y150" i="10" s="1"/>
  <c r="AA151" i="5"/>
  <c r="Y151" i="6" s="1"/>
  <c r="AA151" i="6" s="1"/>
  <c r="Y151" i="7" s="1"/>
  <c r="AA151" i="7" s="1"/>
  <c r="Y151" i="8" s="1"/>
  <c r="AA151" i="8" s="1"/>
  <c r="Y151" i="9" s="1"/>
  <c r="AA151" i="9" s="1"/>
  <c r="Y151" i="10" s="1"/>
  <c r="AA151" i="10" s="1"/>
  <c r="Y151" i="11" s="1"/>
  <c r="AA151" i="11" s="1"/>
  <c r="Y151" i="12" s="1"/>
  <c r="AA151" i="12" s="1"/>
  <c r="Y151" i="13" s="1"/>
  <c r="AA151" i="13" s="1"/>
  <c r="Y151" i="14" s="1"/>
  <c r="AA152" i="5"/>
  <c r="Y152" i="6" s="1"/>
  <c r="AA152" i="6" s="1"/>
  <c r="Y152" i="7" s="1"/>
  <c r="AA152" i="7" s="1"/>
  <c r="Y152" i="8" s="1"/>
  <c r="AA153" i="5"/>
  <c r="Y153" i="6" s="1"/>
  <c r="AA153" i="6" s="1"/>
  <c r="Y153" i="7" s="1"/>
  <c r="AA153" i="7" s="1"/>
  <c r="Y153" i="8" s="1"/>
  <c r="AA153" i="8" s="1"/>
  <c r="Y153" i="9" s="1"/>
  <c r="AA153" i="9" s="1"/>
  <c r="Y153" i="10" s="1"/>
  <c r="AA153" i="10" s="1"/>
  <c r="Y153" i="11" s="1"/>
  <c r="AA153" i="11" s="1"/>
  <c r="Y153" i="12" s="1"/>
  <c r="AA153" i="12" s="1"/>
  <c r="Y153" i="13" s="1"/>
  <c r="AA153" i="13" s="1"/>
  <c r="Y153" i="14" s="1"/>
  <c r="AA153" i="14" s="1"/>
  <c r="Y153" i="15" s="1"/>
  <c r="AA153" i="15" s="1"/>
  <c r="Y153" i="16" s="1"/>
  <c r="AA153" i="16" s="1"/>
  <c r="AA156" i="5"/>
  <c r="Y156" i="6" s="1"/>
  <c r="AA156" i="6" s="1"/>
  <c r="Y156" i="7" s="1"/>
  <c r="AA156" i="7" s="1"/>
  <c r="Y156" i="8" s="1"/>
  <c r="AA156" i="8" s="1"/>
  <c r="Y156" i="9" s="1"/>
  <c r="AA156" i="9" s="1"/>
  <c r="Y156" i="10" s="1"/>
  <c r="AA156" i="10" s="1"/>
  <c r="Y156" i="11" s="1"/>
  <c r="AA156" i="11" s="1"/>
  <c r="Y156" i="12" s="1"/>
  <c r="AA156" i="12" s="1"/>
  <c r="AA158" i="5"/>
  <c r="Y158" i="6" s="1"/>
  <c r="AA158" i="6" s="1"/>
  <c r="Y158" i="7" s="1"/>
  <c r="AA158" i="7" s="1"/>
  <c r="Y158" i="8" s="1"/>
  <c r="AA158" i="8" s="1"/>
  <c r="Y158" i="9" s="1"/>
  <c r="AA158" i="9" s="1"/>
  <c r="Y158" i="10" s="1"/>
  <c r="AA158" i="10" s="1"/>
  <c r="Y158" i="11" s="1"/>
  <c r="AA158" i="11" s="1"/>
  <c r="Y158" i="12" s="1"/>
  <c r="AA158" i="12" s="1"/>
  <c r="Y158" i="13" s="1"/>
  <c r="AA158" i="13" s="1"/>
  <c r="Y158" i="14" s="1"/>
  <c r="AA158" i="14" s="1"/>
  <c r="Y158" i="15" s="1"/>
  <c r="AA158" i="15" s="1"/>
  <c r="Y158" i="16" s="1"/>
  <c r="AA158" i="16" s="1"/>
  <c r="AA159" i="5"/>
  <c r="Y159" i="6" s="1"/>
  <c r="AA160" i="5"/>
  <c r="Y160" i="6" s="1"/>
  <c r="AA160" i="6" s="1"/>
  <c r="Y160" i="7" s="1"/>
  <c r="AA160" i="7" s="1"/>
  <c r="Y160" i="8" s="1"/>
  <c r="AA160" i="8" s="1"/>
  <c r="Y160" i="9" s="1"/>
  <c r="AA160" i="9" s="1"/>
  <c r="Y160" i="10" s="1"/>
  <c r="AA160" i="10" s="1"/>
  <c r="Y160" i="11" s="1"/>
  <c r="AA160" i="11" s="1"/>
  <c r="Y160" i="12" s="1"/>
  <c r="AA160" i="12" s="1"/>
  <c r="Y160" i="13" s="1"/>
  <c r="AA160" i="13" s="1"/>
  <c r="Y160" i="14" s="1"/>
  <c r="AA160" i="14" s="1"/>
  <c r="Y160" i="15" s="1"/>
  <c r="AA160" i="15" s="1"/>
  <c r="Y160" i="16" s="1"/>
  <c r="AA160" i="16" s="1"/>
  <c r="AA161" i="5"/>
  <c r="Y161" i="6" s="1"/>
  <c r="AA161" i="6" s="1"/>
  <c r="Y161" i="7" s="1"/>
  <c r="AA161" i="7" s="1"/>
  <c r="AA162" i="5"/>
  <c r="Y162" i="6" s="1"/>
  <c r="AA162" i="6" s="1"/>
  <c r="Y162" i="7" s="1"/>
  <c r="AA162" i="7" s="1"/>
  <c r="Y162" i="8" s="1"/>
  <c r="AA162" i="8" s="1"/>
  <c r="Y162" i="9" s="1"/>
  <c r="AA162" i="9" s="1"/>
  <c r="Y162" i="10" s="1"/>
  <c r="AA162" i="10" s="1"/>
  <c r="Y162" i="11" s="1"/>
  <c r="AA162" i="11" s="1"/>
  <c r="Y162" i="12" s="1"/>
  <c r="AA162" i="12" s="1"/>
  <c r="Y162" i="13" s="1"/>
  <c r="AA162" i="13" s="1"/>
  <c r="Y162" i="14" s="1"/>
  <c r="AA162" i="14" s="1"/>
  <c r="Y162" i="15" s="1"/>
  <c r="AA162" i="15" s="1"/>
  <c r="Y162" i="16" s="1"/>
  <c r="AA162" i="16" s="1"/>
  <c r="AA163" i="5"/>
  <c r="Y163" i="6" s="1"/>
  <c r="AA163" i="6" s="1"/>
  <c r="Y163" i="7" s="1"/>
  <c r="AA163" i="7" s="1"/>
  <c r="Y163" i="8" s="1"/>
  <c r="AA163" i="8" s="1"/>
  <c r="Y163" i="9" s="1"/>
  <c r="AA163" i="9" s="1"/>
  <c r="Y163" i="10" s="1"/>
  <c r="AA163" i="10" s="1"/>
  <c r="Y163" i="11" s="1"/>
  <c r="AA163" i="11" s="1"/>
  <c r="Y163" i="12" s="1"/>
  <c r="AA163" i="12" s="1"/>
  <c r="Y163" i="13" s="1"/>
  <c r="AA163" i="13" s="1"/>
  <c r="Y163" i="14" s="1"/>
  <c r="AA163" i="14" s="1"/>
  <c r="Y163" i="15" s="1"/>
  <c r="AA163" i="15" s="1"/>
  <c r="Y163" i="16" s="1"/>
  <c r="AA163" i="16" s="1"/>
  <c r="AA164" i="5"/>
  <c r="Y164" i="6" s="1"/>
  <c r="AA164" i="6" s="1"/>
  <c r="Y164" i="7" s="1"/>
  <c r="AA164" i="7" s="1"/>
  <c r="Y164" i="8" s="1"/>
  <c r="AA164" i="8" s="1"/>
  <c r="Y164" i="9" s="1"/>
  <c r="AA164" i="9" s="1"/>
  <c r="Y164" i="10" s="1"/>
  <c r="AA164" i="10" s="1"/>
  <c r="Y164" i="11" s="1"/>
  <c r="AA164" i="11" s="1"/>
  <c r="Y164" i="12" s="1"/>
  <c r="AA164" i="12" s="1"/>
  <c r="Y164" i="13" s="1"/>
  <c r="AA164" i="13" s="1"/>
  <c r="Y164" i="14" s="1"/>
  <c r="AA164" i="14" s="1"/>
  <c r="Y164" i="15" s="1"/>
  <c r="AA164" i="15" s="1"/>
  <c r="Y164" i="16" s="1"/>
  <c r="AA164" i="16" s="1"/>
  <c r="AA165" i="5"/>
  <c r="Y165" i="6" s="1"/>
  <c r="AA165" i="6" s="1"/>
  <c r="Y165" i="7" s="1"/>
  <c r="AA165" i="7" s="1"/>
  <c r="Y165" i="8" s="1"/>
  <c r="AA165" i="8" s="1"/>
  <c r="Y165" i="9" s="1"/>
  <c r="AA165" i="9" s="1"/>
  <c r="Y165" i="10" s="1"/>
  <c r="AA165" i="10" s="1"/>
  <c r="Y165" i="11" s="1"/>
  <c r="AA165" i="11" s="1"/>
  <c r="Y165" i="12" s="1"/>
  <c r="AA165" i="12" s="1"/>
  <c r="Y165" i="13" s="1"/>
  <c r="AA165" i="13" s="1"/>
  <c r="Y165" i="14" s="1"/>
  <c r="AA165" i="14" s="1"/>
  <c r="Y165" i="15" s="1"/>
  <c r="AA165" i="15" s="1"/>
  <c r="Y165" i="16" s="1"/>
  <c r="AA165" i="16" s="1"/>
  <c r="AA166" i="5"/>
  <c r="Y166" i="6" s="1"/>
  <c r="AA166" i="6" s="1"/>
  <c r="Y166" i="7" s="1"/>
  <c r="AA166" i="7" s="1"/>
  <c r="Y166" i="8" s="1"/>
  <c r="AA166" i="8" s="1"/>
  <c r="Y166" i="9" s="1"/>
  <c r="AA166" i="9" s="1"/>
  <c r="Y166" i="10" s="1"/>
  <c r="AA166" i="10" s="1"/>
  <c r="Y166" i="11" s="1"/>
  <c r="AA166" i="11" s="1"/>
  <c r="Y166" i="12" s="1"/>
  <c r="AA166" i="12" s="1"/>
  <c r="Y166" i="13" s="1"/>
  <c r="AA166" i="13" s="1"/>
  <c r="Y166" i="14" s="1"/>
  <c r="AA166" i="14" s="1"/>
  <c r="Y166" i="15" s="1"/>
  <c r="AA166" i="15" s="1"/>
  <c r="Y166" i="16" s="1"/>
  <c r="AA166" i="16" s="1"/>
  <c r="AA167" i="5"/>
  <c r="Y167" i="6" s="1"/>
  <c r="AA167" i="6" s="1"/>
  <c r="Y167" i="7" s="1"/>
  <c r="AA167" i="7" s="1"/>
  <c r="Y167" i="8" s="1"/>
  <c r="AA167" i="8" s="1"/>
  <c r="Y167" i="9" s="1"/>
  <c r="AA167" i="9" s="1"/>
  <c r="Y167" i="10" s="1"/>
  <c r="AA167" i="10" s="1"/>
  <c r="Y167" i="11" s="1"/>
  <c r="AA167" i="11" s="1"/>
  <c r="Y167" i="12" s="1"/>
  <c r="AA167" i="12" s="1"/>
  <c r="Y167" i="13" s="1"/>
  <c r="AA167" i="13" s="1"/>
  <c r="Y167" i="14" s="1"/>
  <c r="AA167" i="14" s="1"/>
  <c r="Y167" i="15" s="1"/>
  <c r="AA167" i="15" s="1"/>
  <c r="Y167" i="16" s="1"/>
  <c r="AA167" i="16" s="1"/>
  <c r="AA168" i="5"/>
  <c r="Y168" i="6" s="1"/>
  <c r="AA168" i="6" s="1"/>
  <c r="Y168" i="7" s="1"/>
  <c r="AA168" i="7" s="1"/>
  <c r="Y168" i="8" s="1"/>
  <c r="AA168" i="8" s="1"/>
  <c r="Y168" i="9" s="1"/>
  <c r="AA168" i="9" s="1"/>
  <c r="Y168" i="10" s="1"/>
  <c r="AA168" i="10" s="1"/>
  <c r="Y168" i="11" s="1"/>
  <c r="AA168" i="11" s="1"/>
  <c r="Y168" i="12" s="1"/>
  <c r="AA168" i="12" s="1"/>
  <c r="Y168" i="13" s="1"/>
  <c r="AA168" i="13" s="1"/>
  <c r="Y168" i="14" s="1"/>
  <c r="AA168" i="14" s="1"/>
  <c r="Y168" i="15" s="1"/>
  <c r="AA168" i="15" s="1"/>
  <c r="Y168" i="16" s="1"/>
  <c r="AA168" i="16" s="1"/>
  <c r="AA173" i="5"/>
  <c r="Y173" i="6" s="1"/>
  <c r="AA173" i="6" s="1"/>
  <c r="Y173" i="7" s="1"/>
  <c r="AA173" i="7" s="1"/>
  <c r="Y173" i="8" s="1"/>
  <c r="AA173" i="8" s="1"/>
  <c r="Y173" i="9" s="1"/>
  <c r="AA173" i="9" s="1"/>
  <c r="Y173" i="10" s="1"/>
  <c r="AA173" i="10" s="1"/>
  <c r="AA174" i="5"/>
  <c r="Y174" i="6" s="1"/>
  <c r="AA174" i="6" s="1"/>
  <c r="Y174" i="7" s="1"/>
  <c r="AA174" i="7" s="1"/>
  <c r="Y174" i="8" s="1"/>
  <c r="AA174" i="8" s="1"/>
  <c r="Y174" i="9" s="1"/>
  <c r="AA174" i="9" s="1"/>
  <c r="Y174" i="10" s="1"/>
  <c r="AA174" i="10" s="1"/>
  <c r="Y174" i="11" s="1"/>
  <c r="AA174" i="11" s="1"/>
  <c r="Y174" i="12" s="1"/>
  <c r="AA174" i="12" s="1"/>
  <c r="Y174" i="13" s="1"/>
  <c r="AA174" i="13" s="1"/>
  <c r="Y174" i="14" s="1"/>
  <c r="AA174" i="14" s="1"/>
  <c r="AA177" i="5"/>
  <c r="Y177" i="6" s="1"/>
  <c r="AA177" i="6" s="1"/>
  <c r="AA178" i="5"/>
  <c r="Y178" i="6" s="1"/>
  <c r="AA178" i="6" s="1"/>
  <c r="Y178" i="7" s="1"/>
  <c r="AA178" i="7" s="1"/>
  <c r="Y178" i="8" s="1"/>
  <c r="AA178" i="8" s="1"/>
  <c r="Y178" i="9" s="1"/>
  <c r="AA178" i="9" s="1"/>
  <c r="Y178" i="10" s="1"/>
  <c r="AA178" i="10" s="1"/>
  <c r="Y178" i="11" s="1"/>
  <c r="AA178" i="11" s="1"/>
  <c r="Y178" i="12" s="1"/>
  <c r="AA178" i="12" s="1"/>
  <c r="Y178" i="13" s="1"/>
  <c r="AA178" i="13" s="1"/>
  <c r="Y178" i="14" s="1"/>
  <c r="AA178" i="14" s="1"/>
  <c r="Y178" i="15" s="1"/>
  <c r="AA178" i="15" s="1"/>
  <c r="Y178" i="16" s="1"/>
  <c r="AA178" i="16" s="1"/>
  <c r="AA179" i="5"/>
  <c r="Y179" i="6" s="1"/>
  <c r="AA179" i="6" s="1"/>
  <c r="Y179" i="7" s="1"/>
  <c r="AA179" i="7" s="1"/>
  <c r="Y179" i="8" s="1"/>
  <c r="AA179" i="8" s="1"/>
  <c r="Y179" i="9" s="1"/>
  <c r="AA179" i="9" s="1"/>
  <c r="Y179" i="10" s="1"/>
  <c r="AA179" i="10" s="1"/>
  <c r="AA180" i="5"/>
  <c r="Y180" i="6" s="1"/>
  <c r="AA180" i="6" s="1"/>
  <c r="Y180" i="7" s="1"/>
  <c r="AA180" i="7" s="1"/>
  <c r="Y180" i="8" s="1"/>
  <c r="AA180" i="8" s="1"/>
  <c r="Y180" i="9" s="1"/>
  <c r="AA180" i="9" s="1"/>
  <c r="Y180" i="10" s="1"/>
  <c r="AA180" i="10" s="1"/>
  <c r="Y180" i="11" s="1"/>
  <c r="AA180" i="11" s="1"/>
  <c r="Y180" i="12" s="1"/>
  <c r="AA180" i="12" s="1"/>
  <c r="Y180" i="13" s="1"/>
  <c r="AA180" i="13" s="1"/>
  <c r="Y180" i="14" s="1"/>
  <c r="AA180" i="14" s="1"/>
  <c r="Y180" i="15" s="1"/>
  <c r="AA180" i="15" s="1"/>
  <c r="Y180" i="16" s="1"/>
  <c r="AA180" i="16" s="1"/>
  <c r="AA181" i="5"/>
  <c r="Y181" i="6" s="1"/>
  <c r="AA181" i="6" s="1"/>
  <c r="Y181" i="7" s="1"/>
  <c r="AA181" i="7" s="1"/>
  <c r="Y181" i="8" s="1"/>
  <c r="AA181" i="8" s="1"/>
  <c r="Y181" i="9" s="1"/>
  <c r="AA181" i="9" s="1"/>
  <c r="Y181" i="10" s="1"/>
  <c r="AA181" i="10" s="1"/>
  <c r="Y181" i="11" s="1"/>
  <c r="AA181" i="11" s="1"/>
  <c r="Y181" i="12" s="1"/>
  <c r="AA181" i="12" s="1"/>
  <c r="Y181" i="13" s="1"/>
  <c r="AA181" i="13" s="1"/>
  <c r="Y181" i="14" s="1"/>
  <c r="AA181" i="14" s="1"/>
  <c r="Y181" i="15" s="1"/>
  <c r="AA181" i="15" s="1"/>
  <c r="Y181" i="16" s="1"/>
  <c r="AA181" i="16" s="1"/>
  <c r="AA182" i="5"/>
  <c r="Y182" i="6" s="1"/>
  <c r="AA182" i="6" s="1"/>
  <c r="Y182" i="7" s="1"/>
  <c r="AA182" i="7" s="1"/>
  <c r="Y182" i="8" s="1"/>
  <c r="AA182" i="8" s="1"/>
  <c r="Y182" i="9" s="1"/>
  <c r="AA182" i="9" s="1"/>
  <c r="Y182" i="10" s="1"/>
  <c r="AA182" i="10" s="1"/>
  <c r="Y182" i="11" s="1"/>
  <c r="AA182" i="11" s="1"/>
  <c r="Y182" i="12" s="1"/>
  <c r="AA182" i="12" s="1"/>
  <c r="Y182" i="13" s="1"/>
  <c r="AA182" i="13" s="1"/>
  <c r="Y182" i="14" s="1"/>
  <c r="AA182" i="14" s="1"/>
  <c r="Y182" i="15" s="1"/>
  <c r="AA182" i="15" s="1"/>
  <c r="Y182" i="16" s="1"/>
  <c r="AA182" i="16" s="1"/>
  <c r="AA183" i="5"/>
  <c r="Y183" i="6" s="1"/>
  <c r="AA183" i="6" s="1"/>
  <c r="Y183" i="7" s="1"/>
  <c r="AA183" i="7" s="1"/>
  <c r="Y183" i="8" s="1"/>
  <c r="AA183" i="8" s="1"/>
  <c r="Y183" i="9" s="1"/>
  <c r="AA183" i="9" s="1"/>
  <c r="Y183" i="10" s="1"/>
  <c r="AA183" i="10" s="1"/>
  <c r="Y183" i="11" s="1"/>
  <c r="AA183" i="11" s="1"/>
  <c r="Y183" i="12" s="1"/>
  <c r="AA183" i="12" s="1"/>
  <c r="Y183" i="13" s="1"/>
  <c r="AA183" i="13" s="1"/>
  <c r="Y183" i="14" s="1"/>
  <c r="AA183" i="14" s="1"/>
  <c r="Y183" i="15" s="1"/>
  <c r="AA183" i="15" s="1"/>
  <c r="Y183" i="16" s="1"/>
  <c r="AA183" i="16" s="1"/>
  <c r="AA186" i="5"/>
  <c r="Y186" i="6" s="1"/>
  <c r="AA186" i="6" s="1"/>
  <c r="Y186" i="7" s="1"/>
  <c r="AA186" i="7" s="1"/>
  <c r="Y186" i="8" s="1"/>
  <c r="AA186" i="8" s="1"/>
  <c r="Y186" i="9" s="1"/>
  <c r="AA186" i="9" s="1"/>
  <c r="Y186" i="10" s="1"/>
  <c r="AA186" i="10" s="1"/>
  <c r="Y186" i="11" s="1"/>
  <c r="AA186" i="11" s="1"/>
  <c r="Y186" i="12" s="1"/>
  <c r="AA186" i="12" s="1"/>
  <c r="Y186" i="13" s="1"/>
  <c r="AA186" i="13" s="1"/>
  <c r="Y186" i="14" s="1"/>
  <c r="AA186" i="14" s="1"/>
  <c r="Y186" i="15" s="1"/>
  <c r="AA186" i="15" s="1"/>
  <c r="Y186" i="16" s="1"/>
  <c r="AA186" i="16" s="1"/>
  <c r="AA188" i="5"/>
  <c r="Y188" i="6" s="1"/>
  <c r="AA188" i="6" s="1"/>
  <c r="Y188" i="7" s="1"/>
  <c r="AA189" i="5"/>
  <c r="Y189" i="6" s="1"/>
  <c r="AA189" i="6" s="1"/>
  <c r="Y189" i="7" s="1"/>
  <c r="AA189" i="7" s="1"/>
  <c r="Y189" i="8" s="1"/>
  <c r="AA189" i="8" s="1"/>
  <c r="Y189" i="9" s="1"/>
  <c r="AA189" i="9" s="1"/>
  <c r="Y189" i="10" s="1"/>
  <c r="AA189" i="10" s="1"/>
  <c r="Y189" i="11" s="1"/>
  <c r="AA189" i="11" s="1"/>
  <c r="Y189" i="12" s="1"/>
  <c r="AA189" i="12" s="1"/>
  <c r="Y189" i="13" s="1"/>
  <c r="AA189" i="13" s="1"/>
  <c r="Y189" i="14" s="1"/>
  <c r="AA189" i="14" s="1"/>
  <c r="Y189" i="15" s="1"/>
  <c r="AA189" i="15" s="1"/>
  <c r="Y189" i="16" s="1"/>
  <c r="AA189" i="16" s="1"/>
  <c r="AA190" i="5"/>
  <c r="Y190" i="6" s="1"/>
  <c r="AA190" i="6" s="1"/>
  <c r="Y190" i="7" s="1"/>
  <c r="AA190" i="7" s="1"/>
  <c r="Y190" i="8" s="1"/>
  <c r="AA190" i="8" s="1"/>
  <c r="Y190" i="9" s="1"/>
  <c r="AA190" i="9" s="1"/>
  <c r="Y190" i="10" s="1"/>
  <c r="AA191" i="5"/>
  <c r="Y191" i="6" s="1"/>
  <c r="AA191" i="6" s="1"/>
  <c r="Y191" i="7" s="1"/>
  <c r="AA191" i="7" s="1"/>
  <c r="Y191" i="8" s="1"/>
  <c r="AA191" i="8" s="1"/>
  <c r="Y191" i="9" s="1"/>
  <c r="AA191" i="9" s="1"/>
  <c r="Y191" i="10" s="1"/>
  <c r="AA191" i="10" s="1"/>
  <c r="Y191" i="11" s="1"/>
  <c r="AA191" i="11" s="1"/>
  <c r="Y191" i="12" s="1"/>
  <c r="AA191" i="12" s="1"/>
  <c r="Y191" i="13" s="1"/>
  <c r="AA191" i="13" s="1"/>
  <c r="Y191" i="14" s="1"/>
  <c r="AA191" i="14" s="1"/>
  <c r="Y191" i="15" s="1"/>
  <c r="AA191" i="15" s="1"/>
  <c r="Y191" i="16" s="1"/>
  <c r="AA191" i="16" s="1"/>
  <c r="AA198" i="5"/>
  <c r="Y198" i="6" s="1"/>
  <c r="AA199" i="5"/>
  <c r="Y199" i="6" s="1"/>
  <c r="AA199" i="6" s="1"/>
  <c r="Y199" i="7" s="1"/>
  <c r="AA199" i="7" s="1"/>
  <c r="Y199" i="8" s="1"/>
  <c r="AA199" i="8" s="1"/>
  <c r="Y199" i="9" s="1"/>
  <c r="AA199" i="9" s="1"/>
  <c r="Y199" i="10" s="1"/>
  <c r="AA199" i="10" s="1"/>
  <c r="Y199" i="11" s="1"/>
  <c r="AA199" i="11" s="1"/>
  <c r="Y199" i="12" s="1"/>
  <c r="AA199" i="12" s="1"/>
  <c r="Y199" i="13" s="1"/>
  <c r="AA199" i="13" s="1"/>
  <c r="Y199" i="14" s="1"/>
  <c r="AA199" i="14" s="1"/>
  <c r="Y199" i="15" s="1"/>
  <c r="AA199" i="15" s="1"/>
  <c r="Y199" i="16" s="1"/>
  <c r="AA199" i="16" s="1"/>
  <c r="AA200" i="5"/>
  <c r="Y200" i="6" s="1"/>
  <c r="AA200" i="6" s="1"/>
  <c r="Y200" i="7" s="1"/>
  <c r="AA200" i="7" s="1"/>
  <c r="Y200" i="8" s="1"/>
  <c r="AA200" i="8" s="1"/>
  <c r="Y200" i="9" s="1"/>
  <c r="AA200" i="9" s="1"/>
  <c r="Y200" i="10" s="1"/>
  <c r="AA201" i="5"/>
  <c r="Y201" i="6" s="1"/>
  <c r="AA201" i="6" s="1"/>
  <c r="Y201" i="7" s="1"/>
  <c r="AA201" i="7" s="1"/>
  <c r="Y201" i="8" s="1"/>
  <c r="AA201" i="8" s="1"/>
  <c r="Y201" i="9" s="1"/>
  <c r="AA201" i="9" s="1"/>
  <c r="Y201" i="10" s="1"/>
  <c r="AA201" i="10" s="1"/>
  <c r="Y201" i="11" s="1"/>
  <c r="AA201" i="11" s="1"/>
  <c r="Y201" i="12" s="1"/>
  <c r="AA201" i="12" s="1"/>
  <c r="Y201" i="13" s="1"/>
  <c r="AA201" i="13" s="1"/>
  <c r="Y201" i="14" s="1"/>
  <c r="AA201" i="14" s="1"/>
  <c r="Y201" i="15" s="1"/>
  <c r="AA201" i="15" s="1"/>
  <c r="Y201" i="16" s="1"/>
  <c r="AA201" i="16" s="1"/>
  <c r="AA202" i="5"/>
  <c r="Y202" i="6" s="1"/>
  <c r="AA202" i="6" s="1"/>
  <c r="Y202" i="7" s="1"/>
  <c r="AA202" i="7" s="1"/>
  <c r="Y202" i="8" s="1"/>
  <c r="AA202" i="8" s="1"/>
  <c r="Y202" i="9" s="1"/>
  <c r="AA202" i="9" s="1"/>
  <c r="Y202" i="10" s="1"/>
  <c r="AA202" i="10" s="1"/>
  <c r="Y202" i="11" s="1"/>
  <c r="AA202" i="11" s="1"/>
  <c r="Y202" i="12" s="1"/>
  <c r="AA202" i="12" s="1"/>
  <c r="Y202" i="13" s="1"/>
  <c r="AA202" i="13" s="1"/>
  <c r="Y202" i="14" s="1"/>
  <c r="AA202" i="14" s="1"/>
  <c r="Y202" i="15" s="1"/>
  <c r="AA202" i="15" s="1"/>
  <c r="Y202" i="16" s="1"/>
  <c r="AA202" i="16" s="1"/>
  <c r="AA203" i="5"/>
  <c r="Y203" i="6" s="1"/>
  <c r="AA203" i="6" s="1"/>
  <c r="Y203" i="7" s="1"/>
  <c r="AA203" i="7" s="1"/>
  <c r="Y203" i="8" s="1"/>
  <c r="AA203" i="8" s="1"/>
  <c r="Y203" i="9" s="1"/>
  <c r="AA203" i="9" s="1"/>
  <c r="Y203" i="10" s="1"/>
  <c r="AA203" i="10" s="1"/>
  <c r="Y203" i="11" s="1"/>
  <c r="AA203" i="11" s="1"/>
  <c r="Y203" i="12" s="1"/>
  <c r="AA203" i="12" s="1"/>
  <c r="Y203" i="13" s="1"/>
  <c r="AA203" i="13" s="1"/>
  <c r="Y203" i="14" s="1"/>
  <c r="AA203" i="14" s="1"/>
  <c r="Y203" i="15" s="1"/>
  <c r="AA203" i="15" s="1"/>
  <c r="Y203" i="16" s="1"/>
  <c r="AA203" i="16" s="1"/>
  <c r="AA204" i="5"/>
  <c r="Y204" i="6" s="1"/>
  <c r="AA204" i="6" s="1"/>
  <c r="Y204" i="7" s="1"/>
  <c r="AA204" i="7" s="1"/>
  <c r="Y204" i="8" s="1"/>
  <c r="AA204" i="8" s="1"/>
  <c r="Y204" i="9" s="1"/>
  <c r="AA204" i="9" s="1"/>
  <c r="Y204" i="10" s="1"/>
  <c r="AA204" i="10" s="1"/>
  <c r="Y204" i="11" s="1"/>
  <c r="AA204" i="11" s="1"/>
  <c r="Y204" i="12" s="1"/>
  <c r="AA204" i="12" s="1"/>
  <c r="Y204" i="13" s="1"/>
  <c r="AA204" i="13" s="1"/>
  <c r="Y204" i="14" s="1"/>
  <c r="AA204" i="14" s="1"/>
  <c r="Y204" i="15" s="1"/>
  <c r="AA204" i="15" s="1"/>
  <c r="AA206" i="5"/>
  <c r="Y206" i="6" s="1"/>
  <c r="AA206" i="6" s="1"/>
  <c r="Y206" i="7" s="1"/>
  <c r="AA206" i="7" s="1"/>
  <c r="Y206" i="8" s="1"/>
  <c r="AA206" i="8" s="1"/>
  <c r="Y206" i="9" s="1"/>
  <c r="AA206" i="9" s="1"/>
  <c r="Y206" i="10" s="1"/>
  <c r="AA206" i="10" s="1"/>
  <c r="Y206" i="11" s="1"/>
  <c r="AA206" i="11" s="1"/>
  <c r="Y206" i="12" s="1"/>
  <c r="AA206" i="12" s="1"/>
  <c r="Y206" i="13" s="1"/>
  <c r="AA206" i="13" s="1"/>
  <c r="Y206" i="14" s="1"/>
  <c r="AA206" i="14" s="1"/>
  <c r="Y206" i="15" s="1"/>
  <c r="AA206" i="15" s="1"/>
  <c r="Y206" i="16" s="1"/>
  <c r="AA207" i="5"/>
  <c r="Y207" i="6" s="1"/>
  <c r="AA207" i="6" s="1"/>
  <c r="Y207" i="7" s="1"/>
  <c r="AA207" i="7" s="1"/>
  <c r="Y207" i="8" s="1"/>
  <c r="AA207" i="8" s="1"/>
  <c r="Y207" i="9" s="1"/>
  <c r="AA207" i="9" s="1"/>
  <c r="Y207" i="10" s="1"/>
  <c r="AA207" i="10" s="1"/>
  <c r="Y207" i="11" s="1"/>
  <c r="AA207" i="11" s="1"/>
  <c r="Y207" i="12" s="1"/>
  <c r="AA207" i="12" s="1"/>
  <c r="Y207" i="13" s="1"/>
  <c r="AA207" i="13" s="1"/>
  <c r="Y207" i="14" s="1"/>
  <c r="AA207" i="14" s="1"/>
  <c r="Y207" i="15" s="1"/>
  <c r="AA207" i="15" s="1"/>
  <c r="Y207" i="16" s="1"/>
  <c r="AA207" i="16" s="1"/>
  <c r="AA212" i="5"/>
  <c r="Y212" i="6" s="1"/>
  <c r="AA212" i="6" s="1"/>
  <c r="Y212" i="7" s="1"/>
  <c r="AA212" i="7" s="1"/>
  <c r="Y212" i="8" s="1"/>
  <c r="AA212" i="8" s="1"/>
  <c r="Y212" i="9" s="1"/>
  <c r="AA212" i="9" s="1"/>
  <c r="Y212" i="10" s="1"/>
  <c r="AA212" i="10" s="1"/>
  <c r="Y212" i="11" s="1"/>
  <c r="AA212" i="11" s="1"/>
  <c r="Y212" i="12" s="1"/>
  <c r="AA212" i="12" s="1"/>
  <c r="Y212" i="13" s="1"/>
  <c r="AA212" i="13" s="1"/>
  <c r="Y212" i="14" s="1"/>
  <c r="AA212" i="14" s="1"/>
  <c r="Y212" i="15" s="1"/>
  <c r="AA212" i="15" s="1"/>
  <c r="Y212" i="16" s="1"/>
  <c r="AA213" i="5"/>
  <c r="Y213" i="6" s="1"/>
  <c r="AA213" i="6" s="1"/>
  <c r="Y213" i="7" s="1"/>
  <c r="AA213" i="7" s="1"/>
  <c r="Y213" i="8" s="1"/>
  <c r="AA213" i="8" s="1"/>
  <c r="Y213" i="9" s="1"/>
  <c r="AA213" i="9" s="1"/>
  <c r="Y213" i="10" s="1"/>
  <c r="AA213" i="10" s="1"/>
  <c r="AA214" i="5"/>
  <c r="Y214" i="6" s="1"/>
  <c r="AA214" i="6" s="1"/>
  <c r="Y214" i="7" s="1"/>
  <c r="AA214" i="7" s="1"/>
  <c r="Y214" i="8" s="1"/>
  <c r="AA214" i="8" s="1"/>
  <c r="Y214" i="9" s="1"/>
  <c r="AA214" i="9" s="1"/>
  <c r="Y214" i="10" s="1"/>
  <c r="AA214" i="10" s="1"/>
  <c r="Y214" i="11" s="1"/>
  <c r="AA214" i="11" s="1"/>
  <c r="Y214" i="12" s="1"/>
  <c r="AA214" i="12" s="1"/>
  <c r="Y214" i="13" s="1"/>
  <c r="AA214" i="13" s="1"/>
  <c r="Y214" i="14" s="1"/>
  <c r="AA214" i="14" s="1"/>
  <c r="Y214" i="15" s="1"/>
  <c r="AA214" i="15" s="1"/>
  <c r="Y214" i="16" s="1"/>
  <c r="AA214" i="16" s="1"/>
  <c r="AA215" i="5"/>
  <c r="Y215" i="6" s="1"/>
  <c r="AA215" i="6" s="1"/>
  <c r="AA216" i="5"/>
  <c r="Y216" i="6" s="1"/>
  <c r="AA216" i="6" s="1"/>
  <c r="Y216" i="7" s="1"/>
  <c r="AA216" i="7" s="1"/>
  <c r="Y216" i="8" s="1"/>
  <c r="AA216" i="8" s="1"/>
  <c r="Y216" i="9" s="1"/>
  <c r="AA216" i="9" s="1"/>
  <c r="Y216" i="10" s="1"/>
  <c r="AA216" i="10" s="1"/>
  <c r="Y216" i="11" s="1"/>
  <c r="AA216" i="11" s="1"/>
  <c r="Y216" i="12" s="1"/>
  <c r="AA216" i="12" s="1"/>
  <c r="Y216" i="13" s="1"/>
  <c r="AA216" i="13" s="1"/>
  <c r="Y216" i="14" s="1"/>
  <c r="AA216" i="14" s="1"/>
  <c r="Y216" i="15" s="1"/>
  <c r="AA216" i="15" s="1"/>
  <c r="Y216" i="16" s="1"/>
  <c r="AA216" i="16" s="1"/>
  <c r="AA217" i="5"/>
  <c r="Y217" i="6" s="1"/>
  <c r="AA217" i="6" s="1"/>
  <c r="Y217" i="7" s="1"/>
  <c r="AA217" i="7" s="1"/>
  <c r="Y217" i="8" s="1"/>
  <c r="AA217" i="8" s="1"/>
  <c r="Y217" i="9" s="1"/>
  <c r="AA217" i="9" s="1"/>
  <c r="Y217" i="10" s="1"/>
  <c r="AA217" i="10" s="1"/>
  <c r="Y217" i="11" s="1"/>
  <c r="AA217" i="11" s="1"/>
  <c r="Y217" i="12" s="1"/>
  <c r="AA217" i="12" s="1"/>
  <c r="Y217" i="13" s="1"/>
  <c r="AA217" i="13" s="1"/>
  <c r="Y217" i="14" s="1"/>
  <c r="AA217" i="14" s="1"/>
  <c r="Y217" i="15" s="1"/>
  <c r="AA217" i="15" s="1"/>
  <c r="AA218" i="5"/>
  <c r="Y218" i="6" s="1"/>
  <c r="AA218" i="6" s="1"/>
  <c r="Y218" i="7" s="1"/>
  <c r="AA218" i="7" s="1"/>
  <c r="Y218" i="8" s="1"/>
  <c r="AA218" i="8" s="1"/>
  <c r="Y218" i="9" s="1"/>
  <c r="AA218" i="9" s="1"/>
  <c r="Y218" i="10" s="1"/>
  <c r="AA218" i="10" s="1"/>
  <c r="Y218" i="11" s="1"/>
  <c r="AA218" i="11" s="1"/>
  <c r="Y218" i="12" s="1"/>
  <c r="AA218" i="12" s="1"/>
  <c r="Y218" i="13" s="1"/>
  <c r="AA218" i="13" s="1"/>
  <c r="Y218" i="14" s="1"/>
  <c r="AA218" i="14" s="1"/>
  <c r="Y218" i="15" s="1"/>
  <c r="AA218" i="15" s="1"/>
  <c r="Y218" i="16" s="1"/>
  <c r="AA218" i="16" s="1"/>
  <c r="AA223" i="5"/>
  <c r="Y223" i="6" s="1"/>
  <c r="AA223" i="6" s="1"/>
  <c r="Y223" i="7" s="1"/>
  <c r="AA224" i="5"/>
  <c r="Y224" i="6" s="1"/>
  <c r="AA224" i="6" s="1"/>
  <c r="Y224" i="7" s="1"/>
  <c r="AA224" i="7" s="1"/>
  <c r="Y224" i="8" s="1"/>
  <c r="AA224" i="8" s="1"/>
  <c r="Y224" i="9" s="1"/>
  <c r="AA224" i="9" s="1"/>
  <c r="Y224" i="10" s="1"/>
  <c r="AA224" i="10" s="1"/>
  <c r="Y224" i="11" s="1"/>
  <c r="AA224" i="11" s="1"/>
  <c r="Y224" i="12" s="1"/>
  <c r="AA224" i="12" s="1"/>
  <c r="Y224" i="13" s="1"/>
  <c r="AA224" i="13" s="1"/>
  <c r="Y224" i="14" s="1"/>
  <c r="AA224" i="14" s="1"/>
  <c r="Y224" i="15" s="1"/>
  <c r="AA224" i="15" s="1"/>
  <c r="Y224" i="16" s="1"/>
  <c r="AA224" i="16" s="1"/>
  <c r="AA225" i="5"/>
  <c r="Y225" i="6" s="1"/>
  <c r="AA225" i="6" s="1"/>
  <c r="Y225" i="7" s="1"/>
  <c r="AA225" i="7" s="1"/>
  <c r="Y225" i="8" s="1"/>
  <c r="AA225" i="8" s="1"/>
  <c r="Y225" i="9" s="1"/>
  <c r="AA225" i="9" s="1"/>
  <c r="Y225" i="10" s="1"/>
  <c r="AA228" i="5"/>
  <c r="Y228" i="6" s="1"/>
  <c r="AA228" i="6" s="1"/>
  <c r="Y228" i="7" s="1"/>
  <c r="AA228" i="7" s="1"/>
  <c r="Y228" i="8" s="1"/>
  <c r="AA228" i="8" s="1"/>
  <c r="Y228" i="9" s="1"/>
  <c r="AA228" i="9" s="1"/>
  <c r="Y228" i="10" s="1"/>
  <c r="AA228" i="10" s="1"/>
  <c r="Y228" i="11" s="1"/>
  <c r="AA228" i="11" s="1"/>
  <c r="Y228" i="12" s="1"/>
  <c r="AA228" i="12" s="1"/>
  <c r="Y228" i="13" s="1"/>
  <c r="AA228" i="13" s="1"/>
  <c r="Y228" i="14" s="1"/>
  <c r="AA228" i="14" s="1"/>
  <c r="Y228" i="15" s="1"/>
  <c r="AA228" i="15" s="1"/>
  <c r="Y228" i="16" s="1"/>
  <c r="AA229" i="5"/>
  <c r="Y229" i="6" s="1"/>
  <c r="AA229" i="6" s="1"/>
  <c r="Y229" i="7" s="1"/>
  <c r="AA230" i="5"/>
  <c r="Y230" i="6" s="1"/>
  <c r="AA230" i="6" s="1"/>
  <c r="Y230" i="7" s="1"/>
  <c r="AA230" i="7" s="1"/>
  <c r="Y230" i="8" s="1"/>
  <c r="AA230" i="8" s="1"/>
  <c r="Y230" i="9" s="1"/>
  <c r="AA230" i="9" s="1"/>
  <c r="Y230" i="10" s="1"/>
  <c r="AA230" i="10" s="1"/>
  <c r="Y230" i="11" s="1"/>
  <c r="AA230" i="11" s="1"/>
  <c r="Y230" i="12" s="1"/>
  <c r="AA230" i="12" s="1"/>
  <c r="Y230" i="13" s="1"/>
  <c r="AA236" i="5"/>
  <c r="Y236" i="6" s="1"/>
  <c r="AA236" i="6" s="1"/>
  <c r="Y236" i="7" s="1"/>
  <c r="AA236" i="7" s="1"/>
  <c r="Y236" i="8" s="1"/>
  <c r="AA236" i="8" s="1"/>
  <c r="Y236" i="9" s="1"/>
  <c r="AA236" i="9" s="1"/>
  <c r="Y236" i="10" s="1"/>
  <c r="AA236" i="10" s="1"/>
  <c r="Y236" i="11" s="1"/>
  <c r="AA236" i="11" s="1"/>
  <c r="Y236" i="12" s="1"/>
  <c r="AA236" i="12" s="1"/>
  <c r="Y236" i="13" s="1"/>
  <c r="AA236" i="13" s="1"/>
  <c r="Y236" i="14" s="1"/>
  <c r="AA236" i="14" s="1"/>
  <c r="Y236" i="15" s="1"/>
  <c r="AA236" i="15" s="1"/>
  <c r="Y236" i="16" s="1"/>
  <c r="AA236" i="16" s="1"/>
  <c r="AA237" i="5"/>
  <c r="Y237" i="6" s="1"/>
  <c r="AA237" i="6" s="1"/>
  <c r="AA238" i="5"/>
  <c r="Y238" i="6" s="1"/>
  <c r="AA239" i="5"/>
  <c r="Y239" i="6" s="1"/>
  <c r="AA239" i="6" s="1"/>
  <c r="Y239" i="7" s="1"/>
  <c r="AA239" i="7" s="1"/>
  <c r="Y239" i="8" s="1"/>
  <c r="AA239" i="8" s="1"/>
  <c r="Y239" i="9" s="1"/>
  <c r="AA239" i="9" s="1"/>
  <c r="Y239" i="10" s="1"/>
  <c r="AA239" i="10" s="1"/>
  <c r="Y239" i="11" s="1"/>
  <c r="AA239" i="11" s="1"/>
  <c r="Y239" i="12" s="1"/>
  <c r="AA239" i="12" s="1"/>
  <c r="Y239" i="13" s="1"/>
  <c r="AA239" i="13" s="1"/>
  <c r="Y239" i="14" s="1"/>
  <c r="AA239" i="14" s="1"/>
  <c r="Y239" i="15" s="1"/>
  <c r="AA239" i="15" s="1"/>
  <c r="Y239" i="16" s="1"/>
  <c r="AA239" i="16" s="1"/>
  <c r="AA240" i="5"/>
  <c r="Y240" i="6" s="1"/>
  <c r="AA240" i="6" s="1"/>
  <c r="Y240" i="7" s="1"/>
  <c r="AA240" i="7" s="1"/>
  <c r="Y240" i="8" s="1"/>
  <c r="AA240" i="8" s="1"/>
  <c r="Y240" i="9" s="1"/>
  <c r="AA240" i="9" s="1"/>
  <c r="Y240" i="10" s="1"/>
  <c r="AA240" i="10" s="1"/>
  <c r="Y240" i="11" s="1"/>
  <c r="AA240" i="11" s="1"/>
  <c r="Y240" i="12" s="1"/>
  <c r="AA240" i="12" s="1"/>
  <c r="AA241" i="5"/>
  <c r="Y241" i="6" s="1"/>
  <c r="AA241" i="6" s="1"/>
  <c r="Y241" i="7" s="1"/>
  <c r="AA241" i="7" s="1"/>
  <c r="Y241" i="8" s="1"/>
  <c r="AA241" i="8" s="1"/>
  <c r="Y241" i="9" s="1"/>
  <c r="AA241" i="9" s="1"/>
  <c r="Y241" i="10" s="1"/>
  <c r="AA241" i="10" s="1"/>
  <c r="Y241" i="11" s="1"/>
  <c r="AA241" i="11" s="1"/>
  <c r="Y241" i="12" s="1"/>
  <c r="AA241" i="12" s="1"/>
  <c r="Y241" i="13" s="1"/>
  <c r="AA241" i="13" s="1"/>
  <c r="Y241" i="14" s="1"/>
  <c r="AA241" i="14" s="1"/>
  <c r="Y241" i="15" s="1"/>
  <c r="AA241" i="15" s="1"/>
  <c r="Y241" i="16" s="1"/>
  <c r="AA241" i="16" s="1"/>
  <c r="AA244" i="5"/>
  <c r="AA245" i="5"/>
  <c r="Y245" i="6" s="1"/>
  <c r="AA245" i="6" s="1"/>
  <c r="Y245" i="7" s="1"/>
  <c r="AA245" i="7" s="1"/>
  <c r="Y245" i="8" s="1"/>
  <c r="AA245" i="8" s="1"/>
  <c r="Y245" i="9" s="1"/>
  <c r="AA245" i="9" s="1"/>
  <c r="Y245" i="10" s="1"/>
  <c r="AA245" i="10" s="1"/>
  <c r="Y245" i="11" s="1"/>
  <c r="AA245" i="11" s="1"/>
  <c r="Y245" i="12" s="1"/>
  <c r="AA245" i="12" s="1"/>
  <c r="Y245" i="13" s="1"/>
  <c r="AA245" i="13" s="1"/>
  <c r="Y245" i="14" s="1"/>
  <c r="AA245" i="14" s="1"/>
  <c r="Y245" i="15" s="1"/>
  <c r="AA245" i="15" s="1"/>
  <c r="Y245" i="16" s="1"/>
  <c r="AA245" i="16" s="1"/>
  <c r="AA246" i="5"/>
  <c r="Y246" i="6" s="1"/>
  <c r="AA246" i="6" s="1"/>
  <c r="Y246" i="7" s="1"/>
  <c r="AA246" i="7" s="1"/>
  <c r="Y246" i="8" s="1"/>
  <c r="AA246" i="8" s="1"/>
  <c r="Y246" i="9" s="1"/>
  <c r="AA246" i="9" s="1"/>
  <c r="Y246" i="10" s="1"/>
  <c r="AA246" i="10" s="1"/>
  <c r="AA247" i="5"/>
  <c r="Y247" i="6" s="1"/>
  <c r="AA247" i="6" s="1"/>
  <c r="Y247" i="7" s="1"/>
  <c r="AA247" i="7" s="1"/>
  <c r="Y247" i="8" s="1"/>
  <c r="AA247" i="8" s="1"/>
  <c r="Y247" i="9" s="1"/>
  <c r="AA247" i="9" s="1"/>
  <c r="Y247" i="10" s="1"/>
  <c r="AA247" i="10" s="1"/>
  <c r="Y247" i="11" s="1"/>
  <c r="AA247" i="11" s="1"/>
  <c r="Y247" i="12" s="1"/>
  <c r="AA247" i="12" s="1"/>
  <c r="Y247" i="13" s="1"/>
  <c r="AA247" i="13" s="1"/>
  <c r="Y247" i="14" s="1"/>
  <c r="AA247" i="14" s="1"/>
  <c r="Y247" i="15" s="1"/>
  <c r="AA247" i="15" s="1"/>
  <c r="Y247" i="16" s="1"/>
  <c r="AA247" i="16" s="1"/>
  <c r="AA248" i="5"/>
  <c r="Y248" i="6" s="1"/>
  <c r="AA248" i="6" s="1"/>
  <c r="Y248" i="7" s="1"/>
  <c r="AA248" i="7" s="1"/>
  <c r="Y248" i="8" s="1"/>
  <c r="AA248" i="8" s="1"/>
  <c r="Y248" i="9" s="1"/>
  <c r="AA248" i="9" s="1"/>
  <c r="Y248" i="10" s="1"/>
  <c r="AA248" i="10" s="1"/>
  <c r="Y248" i="11" s="1"/>
  <c r="AA248" i="11" s="1"/>
  <c r="Y248" i="12" s="1"/>
  <c r="AA248" i="12" s="1"/>
  <c r="Y248" i="13" s="1"/>
  <c r="AA248" i="13" s="1"/>
  <c r="Y248" i="14" s="1"/>
  <c r="AA248" i="14" s="1"/>
  <c r="Y248" i="15" s="1"/>
  <c r="AA248" i="15" s="1"/>
  <c r="Y248" i="16" s="1"/>
  <c r="AA248" i="16" s="1"/>
  <c r="AA249" i="5"/>
  <c r="Y249" i="6" s="1"/>
  <c r="AA249" i="6" s="1"/>
  <c r="Y249" i="7" s="1"/>
  <c r="AA249" i="7" s="1"/>
  <c r="Y249" i="8" s="1"/>
  <c r="AA249" i="8" s="1"/>
  <c r="Y249" i="9" s="1"/>
  <c r="AA249" i="9" s="1"/>
  <c r="Y249" i="10" s="1"/>
  <c r="AA249" i="10" s="1"/>
  <c r="Y249" i="11" s="1"/>
  <c r="AA249" i="11" s="1"/>
  <c r="Y249" i="12" s="1"/>
  <c r="AA249" i="12" s="1"/>
  <c r="Y249" i="13" s="1"/>
  <c r="AA249" i="13" s="1"/>
  <c r="Y249" i="14" s="1"/>
  <c r="AA249" i="14" s="1"/>
  <c r="Y249" i="15" s="1"/>
  <c r="AA250" i="5"/>
  <c r="Y250" i="6" s="1"/>
  <c r="AA250" i="6" s="1"/>
  <c r="Y250" i="7" s="1"/>
  <c r="AA250" i="7" s="1"/>
  <c r="Y250" i="8" s="1"/>
  <c r="AA250" i="8" s="1"/>
  <c r="Y250" i="9" s="1"/>
  <c r="AA250" i="9" s="1"/>
  <c r="Y250" i="10" s="1"/>
  <c r="AA250" i="10" s="1"/>
  <c r="Y250" i="11" s="1"/>
  <c r="AA250" i="11" s="1"/>
  <c r="Y250" i="12" s="1"/>
  <c r="AA250" i="12" s="1"/>
  <c r="Y250" i="13" s="1"/>
  <c r="AA250" i="13" s="1"/>
  <c r="AA251" i="5"/>
  <c r="Y251" i="6" s="1"/>
  <c r="AA251" i="6" s="1"/>
  <c r="Y251" i="7" s="1"/>
  <c r="AA251" i="7" s="1"/>
  <c r="Y251" i="8" s="1"/>
  <c r="AA251" i="8" s="1"/>
  <c r="Y251" i="9" s="1"/>
  <c r="AA251" i="9" s="1"/>
  <c r="Y251" i="10" s="1"/>
  <c r="AA251" i="10" s="1"/>
  <c r="Y251" i="11" s="1"/>
  <c r="AA251" i="11" s="1"/>
  <c r="Y251" i="12" s="1"/>
  <c r="AA251" i="12" s="1"/>
  <c r="Y251" i="13" s="1"/>
  <c r="AA251" i="13" s="1"/>
  <c r="Y251" i="14" s="1"/>
  <c r="AA252" i="5"/>
  <c r="Y252" i="6" s="1"/>
  <c r="AA252" i="6" s="1"/>
  <c r="Y252" i="7" s="1"/>
  <c r="AA252" i="7" s="1"/>
  <c r="Y252" i="8" s="1"/>
  <c r="AA252" i="8" s="1"/>
  <c r="Y252" i="9" s="1"/>
  <c r="AA252" i="9" s="1"/>
  <c r="Y252" i="10" s="1"/>
  <c r="AA252" i="10" s="1"/>
  <c r="Y252" i="11" s="1"/>
  <c r="AA252" i="11" s="1"/>
  <c r="Y252" i="12" s="1"/>
  <c r="AA252" i="12" s="1"/>
  <c r="Y252" i="13" s="1"/>
  <c r="AA252" i="13" s="1"/>
  <c r="Y252" i="14" s="1"/>
  <c r="AA252" i="14" s="1"/>
  <c r="Y252" i="15" s="1"/>
  <c r="AA252" i="15" s="1"/>
  <c r="Y252" i="16" s="1"/>
  <c r="AA252" i="16" s="1"/>
  <c r="AA253" i="5"/>
  <c r="Y253" i="6" s="1"/>
  <c r="AA253" i="6" s="1"/>
  <c r="Y253" i="7" s="1"/>
  <c r="AA253" i="7" s="1"/>
  <c r="Y253" i="8" s="1"/>
  <c r="AA253" i="8" s="1"/>
  <c r="Y253" i="9" s="1"/>
  <c r="AA253" i="9" s="1"/>
  <c r="Y253" i="10" s="1"/>
  <c r="AA253" i="10" s="1"/>
  <c r="Y253" i="11" s="1"/>
  <c r="AA253" i="11" s="1"/>
  <c r="Y253" i="12" s="1"/>
  <c r="AA253" i="12" s="1"/>
  <c r="Y253" i="13" s="1"/>
  <c r="AA253" i="13" s="1"/>
  <c r="Y253" i="14" s="1"/>
  <c r="AA253" i="14" s="1"/>
  <c r="Y253" i="15" s="1"/>
  <c r="AA253" i="15" s="1"/>
  <c r="Y253" i="16" s="1"/>
  <c r="AA253" i="16" s="1"/>
  <c r="AA254" i="5"/>
  <c r="Y254" i="6" s="1"/>
  <c r="AA254" i="6" s="1"/>
  <c r="Y254" i="7" s="1"/>
  <c r="AA254" i="7" s="1"/>
  <c r="Y254" i="8" s="1"/>
  <c r="AA254" i="8" s="1"/>
  <c r="Y254" i="9" s="1"/>
  <c r="AA254" i="9" s="1"/>
  <c r="Y254" i="10" s="1"/>
  <c r="AA254" i="10" s="1"/>
  <c r="Y254" i="11" s="1"/>
  <c r="AA254" i="11" s="1"/>
  <c r="Y254" i="12" s="1"/>
  <c r="AA254" i="12" s="1"/>
  <c r="AA255" i="5"/>
  <c r="Y255" i="6" s="1"/>
  <c r="AA255" i="6" s="1"/>
  <c r="Y255" i="7" s="1"/>
  <c r="AA255" i="7" s="1"/>
  <c r="Y255" i="8" s="1"/>
  <c r="AA255" i="8" s="1"/>
  <c r="Y255" i="9" s="1"/>
  <c r="AA255" i="9" s="1"/>
  <c r="Y255" i="10" s="1"/>
  <c r="AA255" i="10" s="1"/>
  <c r="Y255" i="11" s="1"/>
  <c r="AA255" i="11" s="1"/>
  <c r="Y255" i="12" s="1"/>
  <c r="AA255" i="12" s="1"/>
  <c r="Y255" i="13" s="1"/>
  <c r="AA255" i="13" s="1"/>
  <c r="Y255" i="14" s="1"/>
  <c r="AA255" i="14" s="1"/>
  <c r="Y255" i="15" s="1"/>
  <c r="AA255" i="15" s="1"/>
  <c r="Y255" i="16" s="1"/>
  <c r="AA255" i="16" s="1"/>
  <c r="AA256" i="5"/>
  <c r="Y256" i="6" s="1"/>
  <c r="AA256" i="6" s="1"/>
  <c r="Y256" i="7" s="1"/>
  <c r="AA256" i="7" s="1"/>
  <c r="Y256" i="8" s="1"/>
  <c r="AA256" i="8" s="1"/>
  <c r="Y256" i="9" s="1"/>
  <c r="AA256" i="9" s="1"/>
  <c r="Y256" i="10" s="1"/>
  <c r="AA256" i="10" s="1"/>
  <c r="Y256" i="11" s="1"/>
  <c r="AA256" i="11" s="1"/>
  <c r="Y256" i="12" s="1"/>
  <c r="AA256" i="12" s="1"/>
  <c r="Y256" i="13" s="1"/>
  <c r="AA256" i="13" s="1"/>
  <c r="Y256" i="14" s="1"/>
  <c r="AA256" i="14" s="1"/>
  <c r="Y256" i="15" s="1"/>
  <c r="AA256" i="15" s="1"/>
  <c r="Y256" i="16" s="1"/>
  <c r="AA256" i="16" s="1"/>
  <c r="H78" i="16"/>
  <c r="I13" i="16"/>
  <c r="AA18" i="16"/>
  <c r="AA23" i="16"/>
  <c r="K12" i="5"/>
  <c r="L12" i="5" s="1"/>
  <c r="J12" i="6" s="1"/>
  <c r="K12" i="6"/>
  <c r="K12" i="7"/>
  <c r="K13" i="5"/>
  <c r="L13" i="5" s="1"/>
  <c r="J13" i="6" s="1"/>
  <c r="K13" i="6"/>
  <c r="K13" i="7"/>
  <c r="K14" i="5"/>
  <c r="L14" i="5" s="1"/>
  <c r="J14" i="6" s="1"/>
  <c r="K14" i="6"/>
  <c r="K14" i="7"/>
  <c r="K15" i="5"/>
  <c r="L15" i="5" s="1"/>
  <c r="J15" i="6" s="1"/>
  <c r="K15" i="6"/>
  <c r="K15" i="7"/>
  <c r="L23" i="5"/>
  <c r="J23" i="6" s="1"/>
  <c r="L23" i="6" s="1"/>
  <c r="J23" i="7" s="1"/>
  <c r="L23" i="7" s="1"/>
  <c r="J23" i="8" s="1"/>
  <c r="L23" i="8" s="1"/>
  <c r="J23" i="9" s="1"/>
  <c r="L23" i="9" s="1"/>
  <c r="J23" i="10" s="1"/>
  <c r="L23" i="10" s="1"/>
  <c r="J23" i="11" s="1"/>
  <c r="L23" i="11" s="1"/>
  <c r="J23" i="12" s="1"/>
  <c r="L23" i="12" s="1"/>
  <c r="J23" i="13" s="1"/>
  <c r="L23" i="13" s="1"/>
  <c r="J23" i="14" s="1"/>
  <c r="L23" i="14" s="1"/>
  <c r="L24" i="5"/>
  <c r="J24" i="6" s="1"/>
  <c r="L24" i="6" s="1"/>
  <c r="L26" i="5"/>
  <c r="J26" i="6" s="1"/>
  <c r="L26" i="6" s="1"/>
  <c r="J26" i="7" s="1"/>
  <c r="L26" i="7" s="1"/>
  <c r="L27" i="5"/>
  <c r="J27" i="6" s="1"/>
  <c r="L30" i="5"/>
  <c r="J30" i="6" s="1"/>
  <c r="L30" i="6" s="1"/>
  <c r="J30" i="7" s="1"/>
  <c r="L30" i="7" s="1"/>
  <c r="J30" i="8" s="1"/>
  <c r="L31" i="5"/>
  <c r="J31" i="6" s="1"/>
  <c r="L31" i="6" s="1"/>
  <c r="J31" i="7" s="1"/>
  <c r="L31" i="7" s="1"/>
  <c r="J31" i="8" s="1"/>
  <c r="L31" i="8" s="1"/>
  <c r="J31" i="9" s="1"/>
  <c r="L31" i="9" s="1"/>
  <c r="J31" i="10" s="1"/>
  <c r="L33" i="5"/>
  <c r="J33" i="6" s="1"/>
  <c r="L33" i="6" s="1"/>
  <c r="J33" i="7" s="1"/>
  <c r="L33" i="7" s="1"/>
  <c r="L34" i="5"/>
  <c r="J34" i="6" s="1"/>
  <c r="L36" i="5"/>
  <c r="J36" i="6" s="1"/>
  <c r="L36" i="6" s="1"/>
  <c r="J36" i="7" s="1"/>
  <c r="L36" i="7" s="1"/>
  <c r="J36" i="8" s="1"/>
  <c r="L37" i="5"/>
  <c r="J37" i="6" s="1"/>
  <c r="L37" i="6" s="1"/>
  <c r="J37" i="7" s="1"/>
  <c r="L37" i="7" s="1"/>
  <c r="J37" i="8" s="1"/>
  <c r="L37" i="8" s="1"/>
  <c r="J37" i="9" s="1"/>
  <c r="L37" i="9" s="1"/>
  <c r="L41" i="5"/>
  <c r="L43" i="5"/>
  <c r="J43" i="6" s="1"/>
  <c r="L43" i="6" s="1"/>
  <c r="J43" i="7" s="1"/>
  <c r="L44" i="5"/>
  <c r="J44" i="6" s="1"/>
  <c r="L44" i="6" s="1"/>
  <c r="J44" i="7" s="1"/>
  <c r="L44" i="7" s="1"/>
  <c r="J44" i="8" s="1"/>
  <c r="L46" i="5"/>
  <c r="J46" i="6" s="1"/>
  <c r="L46" i="6" s="1"/>
  <c r="J46" i="7" s="1"/>
  <c r="L46" i="7" s="1"/>
  <c r="J46" i="8" s="1"/>
  <c r="L46" i="8" s="1"/>
  <c r="J46" i="9" s="1"/>
  <c r="L46" i="9" s="1"/>
  <c r="J46" i="10" s="1"/>
  <c r="L46" i="10" s="1"/>
  <c r="J46" i="11" s="1"/>
  <c r="L46" i="11" s="1"/>
  <c r="J46" i="12" s="1"/>
  <c r="L46" i="12" s="1"/>
  <c r="J46" i="13" s="1"/>
  <c r="L46" i="13" s="1"/>
  <c r="J46" i="14" s="1"/>
  <c r="L46" i="14" s="1"/>
  <c r="L47" i="5"/>
  <c r="J47" i="6" s="1"/>
  <c r="L47" i="6" s="1"/>
  <c r="J47" i="7" s="1"/>
  <c r="L47" i="7" s="1"/>
  <c r="L49" i="5"/>
  <c r="J49" i="6" s="1"/>
  <c r="L50" i="5"/>
  <c r="J50" i="6" s="1"/>
  <c r="L50" i="6" s="1"/>
  <c r="J50" i="7" s="1"/>
  <c r="L50" i="7" s="1"/>
  <c r="J50" i="8" s="1"/>
  <c r="L50" i="8" s="1"/>
  <c r="L52" i="5"/>
  <c r="J52" i="6" s="1"/>
  <c r="L52" i="6" s="1"/>
  <c r="J52" i="7" s="1"/>
  <c r="L52" i="7" s="1"/>
  <c r="J52" i="8" s="1"/>
  <c r="L52" i="8" s="1"/>
  <c r="J52" i="9" s="1"/>
  <c r="L52" i="9" s="1"/>
  <c r="J52" i="10" s="1"/>
  <c r="L52" i="10" s="1"/>
  <c r="J52" i="11" s="1"/>
  <c r="L52" i="11" s="1"/>
  <c r="J52" i="12" s="1"/>
  <c r="L52" i="12" s="1"/>
  <c r="J52" i="13" s="1"/>
  <c r="L52" i="13" s="1"/>
  <c r="J52" i="14" s="1"/>
  <c r="L52" i="14" s="1"/>
  <c r="J52" i="15" s="1"/>
  <c r="L52" i="15" s="1"/>
  <c r="J52" i="16" s="1"/>
  <c r="L52" i="16" s="1"/>
  <c r="L53" i="5"/>
  <c r="J53" i="6" s="1"/>
  <c r="L53" i="6" s="1"/>
  <c r="J53" i="7" s="1"/>
  <c r="L53" i="7" s="1"/>
  <c r="L55" i="5"/>
  <c r="J55" i="6" s="1"/>
  <c r="L55" i="6" s="1"/>
  <c r="J55" i="7" s="1"/>
  <c r="L56" i="5"/>
  <c r="J56" i="6" s="1"/>
  <c r="L56" i="6" s="1"/>
  <c r="J56" i="7" s="1"/>
  <c r="L56" i="7" s="1"/>
  <c r="J56" i="8" s="1"/>
  <c r="L58" i="5"/>
  <c r="J58" i="6" s="1"/>
  <c r="L58" i="6" s="1"/>
  <c r="J58" i="7" s="1"/>
  <c r="L58" i="7" s="1"/>
  <c r="J58" i="8" s="1"/>
  <c r="L58" i="8" s="1"/>
  <c r="J58" i="9" s="1"/>
  <c r="L58" i="9" s="1"/>
  <c r="J58" i="10" s="1"/>
  <c r="L58" i="10" s="1"/>
  <c r="J58" i="11" s="1"/>
  <c r="L58" i="11" s="1"/>
  <c r="J58" i="12" s="1"/>
  <c r="L58" i="12" s="1"/>
  <c r="J58" i="13" s="1"/>
  <c r="L58" i="13" s="1"/>
  <c r="J58" i="14" s="1"/>
  <c r="L58" i="14" s="1"/>
  <c r="J58" i="15" s="1"/>
  <c r="L58" i="15" s="1"/>
  <c r="J58" i="16" s="1"/>
  <c r="L59" i="5"/>
  <c r="J59" i="6" s="1"/>
  <c r="L59" i="6" s="1"/>
  <c r="J59" i="7" s="1"/>
  <c r="L59" i="7" s="1"/>
  <c r="L61" i="5"/>
  <c r="J61" i="6" s="1"/>
  <c r="L62" i="5"/>
  <c r="J62" i="6" s="1"/>
  <c r="L62" i="6" s="1"/>
  <c r="J62" i="7" s="1"/>
  <c r="L62" i="7" s="1"/>
  <c r="J62" i="8" s="1"/>
  <c r="L64" i="5"/>
  <c r="J64" i="6" s="1"/>
  <c r="L64" i="6" s="1"/>
  <c r="J64" i="7" s="1"/>
  <c r="L64" i="7" s="1"/>
  <c r="J64" i="8" s="1"/>
  <c r="L64" i="8" s="1"/>
  <c r="J64" i="9" s="1"/>
  <c r="L64" i="9" s="1"/>
  <c r="J64" i="10" s="1"/>
  <c r="L64" i="10" s="1"/>
  <c r="J64" i="11" s="1"/>
  <c r="L64" i="11" s="1"/>
  <c r="J64" i="12" s="1"/>
  <c r="L64" i="12" s="1"/>
  <c r="J64" i="13" s="1"/>
  <c r="L64" i="13" s="1"/>
  <c r="J64" i="14" s="1"/>
  <c r="L64" i="14" s="1"/>
  <c r="J64" i="15" s="1"/>
  <c r="L64" i="15" s="1"/>
  <c r="J64" i="16" s="1"/>
  <c r="L64" i="16" s="1"/>
  <c r="L65" i="5"/>
  <c r="J65" i="6" s="1"/>
  <c r="L65" i="6" s="1"/>
  <c r="J65" i="7" s="1"/>
  <c r="L65" i="7" s="1"/>
  <c r="L67" i="5"/>
  <c r="J67" i="6" s="1"/>
  <c r="L67" i="6" s="1"/>
  <c r="J67" i="7" s="1"/>
  <c r="L68" i="5"/>
  <c r="J68" i="6" s="1"/>
  <c r="L68" i="6" s="1"/>
  <c r="J68" i="7" s="1"/>
  <c r="L68" i="7" s="1"/>
  <c r="J68" i="8" s="1"/>
  <c r="L70" i="5"/>
  <c r="J70" i="6" s="1"/>
  <c r="L70" i="6" s="1"/>
  <c r="J70" i="7" s="1"/>
  <c r="L70" i="7" s="1"/>
  <c r="J70" i="8" s="1"/>
  <c r="L70" i="8" s="1"/>
  <c r="J70" i="9" s="1"/>
  <c r="L70" i="9" s="1"/>
  <c r="J70" i="10" s="1"/>
  <c r="L70" i="10" s="1"/>
  <c r="J70" i="11" s="1"/>
  <c r="L70" i="11" s="1"/>
  <c r="J70" i="12" s="1"/>
  <c r="L70" i="12" s="1"/>
  <c r="J70" i="13" s="1"/>
  <c r="L70" i="13" s="1"/>
  <c r="J70" i="14" s="1"/>
  <c r="L70" i="14" s="1"/>
  <c r="J70" i="15" s="1"/>
  <c r="L70" i="15" s="1"/>
  <c r="J70" i="16" s="1"/>
  <c r="L70" i="16" s="1"/>
  <c r="L71" i="5"/>
  <c r="J71" i="6" s="1"/>
  <c r="L71" i="6" s="1"/>
  <c r="J71" i="7" s="1"/>
  <c r="L71" i="7" s="1"/>
  <c r="L73" i="5"/>
  <c r="J73" i="6" s="1"/>
  <c r="L74" i="5"/>
  <c r="J74" i="6" s="1"/>
  <c r="L74" i="6" s="1"/>
  <c r="J74" i="7" s="1"/>
  <c r="L74" i="7" s="1"/>
  <c r="J74" i="8" s="1"/>
  <c r="L74" i="8" s="1"/>
  <c r="L76" i="5"/>
  <c r="J76" i="6" s="1"/>
  <c r="L76" i="6" s="1"/>
  <c r="J76" i="7" s="1"/>
  <c r="L76" i="7" s="1"/>
  <c r="J76" i="8" s="1"/>
  <c r="L76" i="8" s="1"/>
  <c r="J76" i="9" s="1"/>
  <c r="L76" i="9" s="1"/>
  <c r="J76" i="10" s="1"/>
  <c r="L76" i="10" s="1"/>
  <c r="J76" i="11" s="1"/>
  <c r="L76" i="11" s="1"/>
  <c r="J76" i="12" s="1"/>
  <c r="L76" i="12" s="1"/>
  <c r="J76" i="13" s="1"/>
  <c r="L76" i="13" s="1"/>
  <c r="J76" i="14" s="1"/>
  <c r="L76" i="14" s="1"/>
  <c r="J76" i="15" s="1"/>
  <c r="L76" i="15" s="1"/>
  <c r="J76" i="16" s="1"/>
  <c r="L76" i="16" s="1"/>
  <c r="L77" i="5"/>
  <c r="J77" i="6" s="1"/>
  <c r="L77" i="6" s="1"/>
  <c r="J77" i="7" s="1"/>
  <c r="L77" i="7" s="1"/>
  <c r="L79" i="5"/>
  <c r="J79" i="6" s="1"/>
  <c r="L79" i="6" s="1"/>
  <c r="J79" i="7" s="1"/>
  <c r="L80" i="5"/>
  <c r="J80" i="6" s="1"/>
  <c r="L80" i="6" s="1"/>
  <c r="J80" i="7" s="1"/>
  <c r="L80" i="7" s="1"/>
  <c r="J80" i="8" s="1"/>
  <c r="L82" i="5"/>
  <c r="J82" i="6" s="1"/>
  <c r="L82" i="6" s="1"/>
  <c r="J82" i="7" s="1"/>
  <c r="L82" i="7" s="1"/>
  <c r="J82" i="8" s="1"/>
  <c r="L82" i="8" s="1"/>
  <c r="J82" i="9" s="1"/>
  <c r="L82" i="9" s="1"/>
  <c r="J82" i="10" s="1"/>
  <c r="L82" i="10" s="1"/>
  <c r="J82" i="11" s="1"/>
  <c r="L82" i="11" s="1"/>
  <c r="J82" i="12" s="1"/>
  <c r="L82" i="12" s="1"/>
  <c r="J82" i="13" s="1"/>
  <c r="L82" i="13" s="1"/>
  <c r="J82" i="14" s="1"/>
  <c r="L82" i="14" s="1"/>
  <c r="J82" i="15" s="1"/>
  <c r="L82" i="15" s="1"/>
  <c r="J82" i="16" s="1"/>
  <c r="L83" i="5"/>
  <c r="J83" i="6" s="1"/>
  <c r="L83" i="6" s="1"/>
  <c r="J83" i="7" s="1"/>
  <c r="L83" i="7" s="1"/>
  <c r="AX12" i="16"/>
  <c r="AD17" i="5"/>
  <c r="AB17" i="6" s="1"/>
  <c r="AD17" i="6" s="1"/>
  <c r="AB17" i="7" s="1"/>
  <c r="AD17" i="7" s="1"/>
  <c r="AB17" i="8" s="1"/>
  <c r="AD17" i="8" s="1"/>
  <c r="AB17" i="9" s="1"/>
  <c r="AD17" i="9" s="1"/>
  <c r="AB17" i="10" s="1"/>
  <c r="AD17" i="10" s="1"/>
  <c r="AB17" i="11" s="1"/>
  <c r="AD17" i="11" s="1"/>
  <c r="AB17" i="12" s="1"/>
  <c r="AD17" i="12" s="1"/>
  <c r="AB17" i="13" s="1"/>
  <c r="AD17" i="13" s="1"/>
  <c r="AB17" i="14" s="1"/>
  <c r="AD17" i="14" s="1"/>
  <c r="AB17" i="15" s="1"/>
  <c r="AD17" i="15" s="1"/>
  <c r="AB17" i="16" s="1"/>
  <c r="AD17" i="16" s="1"/>
  <c r="AD18" i="5"/>
  <c r="AB18" i="6" s="1"/>
  <c r="AD18" i="6" s="1"/>
  <c r="AB18" i="7" s="1"/>
  <c r="AD18" i="7" s="1"/>
  <c r="AB18" i="8" s="1"/>
  <c r="AD18" i="8" s="1"/>
  <c r="AB18" i="9" s="1"/>
  <c r="AD18" i="9" s="1"/>
  <c r="AB18" i="10" s="1"/>
  <c r="AD18" i="10" s="1"/>
  <c r="AB18" i="11" s="1"/>
  <c r="AD18" i="11" s="1"/>
  <c r="AB18" i="12" s="1"/>
  <c r="AD18" i="12" s="1"/>
  <c r="AB18" i="13" s="1"/>
  <c r="AD18" i="13" s="1"/>
  <c r="AB18" i="14" s="1"/>
  <c r="AD18" i="14" s="1"/>
  <c r="AB18" i="15" s="1"/>
  <c r="AD18" i="15" s="1"/>
  <c r="AB18" i="16" s="1"/>
  <c r="AD19" i="5"/>
  <c r="AB19" i="6" s="1"/>
  <c r="AD19" i="6" s="1"/>
  <c r="AB19" i="7" s="1"/>
  <c r="AD19" i="7" s="1"/>
  <c r="AB19" i="8" s="1"/>
  <c r="AD19" i="8" s="1"/>
  <c r="AB19" i="9" s="1"/>
  <c r="AD19" i="9" s="1"/>
  <c r="AB19" i="10" s="1"/>
  <c r="AD19" i="10" s="1"/>
  <c r="AB19" i="11" s="1"/>
  <c r="AD19" i="11" s="1"/>
  <c r="AB19" i="12" s="1"/>
  <c r="AD19" i="12" s="1"/>
  <c r="AB19" i="13" s="1"/>
  <c r="AD19" i="13" s="1"/>
  <c r="AB19" i="14" s="1"/>
  <c r="AD19" i="14" s="1"/>
  <c r="AB19" i="15" s="1"/>
  <c r="AD19" i="15" s="1"/>
  <c r="AB19" i="16" s="1"/>
  <c r="AD21" i="5"/>
  <c r="AB21" i="6" s="1"/>
  <c r="AD22" i="5"/>
  <c r="AB22" i="6" s="1"/>
  <c r="AD22" i="6" s="1"/>
  <c r="AB22" i="7" s="1"/>
  <c r="AD22" i="7" s="1"/>
  <c r="AB22" i="8" s="1"/>
  <c r="AD23" i="5"/>
  <c r="AB23" i="6" s="1"/>
  <c r="AD23" i="6" s="1"/>
  <c r="AB23" i="7" s="1"/>
  <c r="AD23" i="7" s="1"/>
  <c r="AB23" i="8" s="1"/>
  <c r="AD23" i="8" s="1"/>
  <c r="AB23" i="9" s="1"/>
  <c r="AD23" i="9" s="1"/>
  <c r="AB23" i="10" s="1"/>
  <c r="AD23" i="10" s="1"/>
  <c r="AB23" i="11" s="1"/>
  <c r="AD23" i="11" s="1"/>
  <c r="AB23" i="12" s="1"/>
  <c r="AD23" i="12" s="1"/>
  <c r="AB23" i="13" s="1"/>
  <c r="AD23" i="13" s="1"/>
  <c r="AB23" i="14" s="1"/>
  <c r="AD23" i="14" s="1"/>
  <c r="AB23" i="15" s="1"/>
  <c r="AD23" i="15" s="1"/>
  <c r="AB23" i="16" s="1"/>
  <c r="AD23" i="16" s="1"/>
  <c r="AD24" i="5"/>
  <c r="AB24" i="6" s="1"/>
  <c r="AD24" i="6" s="1"/>
  <c r="AB24" i="7" s="1"/>
  <c r="AD24" i="7" s="1"/>
  <c r="AB24" i="8" s="1"/>
  <c r="AD24" i="8" s="1"/>
  <c r="AB24" i="9" s="1"/>
  <c r="AD24" i="9" s="1"/>
  <c r="AB24" i="10" s="1"/>
  <c r="AD24" i="10" s="1"/>
  <c r="AB24" i="11" s="1"/>
  <c r="AD24" i="11" s="1"/>
  <c r="AB24" i="12" s="1"/>
  <c r="AD24" i="12" s="1"/>
  <c r="AB24" i="13" s="1"/>
  <c r="AD24" i="13" s="1"/>
  <c r="AB24" i="14" s="1"/>
  <c r="AD24" i="14" s="1"/>
  <c r="AB24" i="15" s="1"/>
  <c r="AD24" i="15" s="1"/>
  <c r="AB24" i="16" s="1"/>
  <c r="AD24" i="16" s="1"/>
  <c r="AD25" i="5"/>
  <c r="AB25" i="6" s="1"/>
  <c r="AD25" i="6" s="1"/>
  <c r="AB25" i="7" s="1"/>
  <c r="AD25" i="7" s="1"/>
  <c r="AB25" i="8" s="1"/>
  <c r="AD25" i="8" s="1"/>
  <c r="AB25" i="9" s="1"/>
  <c r="AD25" i="9" s="1"/>
  <c r="AB25" i="10" s="1"/>
  <c r="AD25" i="10" s="1"/>
  <c r="AB25" i="11" s="1"/>
  <c r="AD25" i="11" s="1"/>
  <c r="AB25" i="12" s="1"/>
  <c r="AD25" i="12" s="1"/>
  <c r="AD26" i="5"/>
  <c r="AB26" i="6" s="1"/>
  <c r="AD26" i="6" s="1"/>
  <c r="AB26" i="7" s="1"/>
  <c r="AD26" i="7" s="1"/>
  <c r="AB26" i="8" s="1"/>
  <c r="AD26" i="8" s="1"/>
  <c r="AB26" i="9" s="1"/>
  <c r="AD26" i="9" s="1"/>
  <c r="AB26" i="10" s="1"/>
  <c r="AD26" i="10" s="1"/>
  <c r="AB26" i="11" s="1"/>
  <c r="AD26" i="11" s="1"/>
  <c r="AB26" i="12" s="1"/>
  <c r="AD26" i="12" s="1"/>
  <c r="AB26" i="13" s="1"/>
  <c r="AD26" i="13" s="1"/>
  <c r="AB26" i="14" s="1"/>
  <c r="AD26" i="14" s="1"/>
  <c r="AB26" i="15" s="1"/>
  <c r="AD26" i="15" s="1"/>
  <c r="AB26" i="16" s="1"/>
  <c r="AD26" i="16" s="1"/>
  <c r="AD27" i="5"/>
  <c r="AB27" i="6" s="1"/>
  <c r="AD27" i="6" s="1"/>
  <c r="AB27" i="7" s="1"/>
  <c r="AD27" i="7" s="1"/>
  <c r="AB27" i="8" s="1"/>
  <c r="AD27" i="8" s="1"/>
  <c r="AB27" i="9" s="1"/>
  <c r="AD27" i="9" s="1"/>
  <c r="AB27" i="10" s="1"/>
  <c r="AD27" i="10" s="1"/>
  <c r="AB27" i="11" s="1"/>
  <c r="AD27" i="11" s="1"/>
  <c r="AB27" i="12" s="1"/>
  <c r="AD27" i="12" s="1"/>
  <c r="AB27" i="13" s="1"/>
  <c r="AD27" i="13" s="1"/>
  <c r="AB27" i="14" s="1"/>
  <c r="AD27" i="14" s="1"/>
  <c r="AB27" i="15" s="1"/>
  <c r="AD27" i="15" s="1"/>
  <c r="AB27" i="16" s="1"/>
  <c r="AD27" i="16" s="1"/>
  <c r="AD28" i="5"/>
  <c r="AB28" i="6" s="1"/>
  <c r="AD28" i="6" s="1"/>
  <c r="AB28" i="7" s="1"/>
  <c r="AD28" i="7" s="1"/>
  <c r="AB28" i="8" s="1"/>
  <c r="AD28" i="8" s="1"/>
  <c r="AB28" i="9" s="1"/>
  <c r="AD28" i="9" s="1"/>
  <c r="AB28" i="10" s="1"/>
  <c r="AD28" i="10" s="1"/>
  <c r="AB28" i="11" s="1"/>
  <c r="AD28" i="11" s="1"/>
  <c r="AB28" i="12" s="1"/>
  <c r="AD28" i="12" s="1"/>
  <c r="AB28" i="13" s="1"/>
  <c r="AD28" i="13" s="1"/>
  <c r="AB28" i="14" s="1"/>
  <c r="AD28" i="14" s="1"/>
  <c r="AB28" i="15" s="1"/>
  <c r="AD28" i="15" s="1"/>
  <c r="AB28" i="16" s="1"/>
  <c r="AD28" i="16" s="1"/>
  <c r="AD29" i="5"/>
  <c r="AB29" i="6" s="1"/>
  <c r="AD29" i="6" s="1"/>
  <c r="AB29" i="7" s="1"/>
  <c r="AD29" i="7" s="1"/>
  <c r="AB29" i="8" s="1"/>
  <c r="AD29" i="8" s="1"/>
  <c r="AB29" i="9" s="1"/>
  <c r="AD29" i="9" s="1"/>
  <c r="AB29" i="10" s="1"/>
  <c r="AD29" i="10" s="1"/>
  <c r="AB29" i="11" s="1"/>
  <c r="AD29" i="11" s="1"/>
  <c r="AB29" i="12" s="1"/>
  <c r="AD29" i="12" s="1"/>
  <c r="AD30" i="5"/>
  <c r="AB30" i="6" s="1"/>
  <c r="AD30" i="6" s="1"/>
  <c r="AB30" i="7" s="1"/>
  <c r="AD30" i="7" s="1"/>
  <c r="AB30" i="8" s="1"/>
  <c r="AD30" i="8" s="1"/>
  <c r="AB30" i="9" s="1"/>
  <c r="AD30" i="9" s="1"/>
  <c r="AB30" i="10" s="1"/>
  <c r="AD30" i="10" s="1"/>
  <c r="AB30" i="11" s="1"/>
  <c r="AD30" i="11" s="1"/>
  <c r="AB30" i="12" s="1"/>
  <c r="AD30" i="12" s="1"/>
  <c r="AB30" i="13" s="1"/>
  <c r="AD30" i="13" s="1"/>
  <c r="AB30" i="14" s="1"/>
  <c r="AD30" i="14" s="1"/>
  <c r="AB30" i="15" s="1"/>
  <c r="AD30" i="15" s="1"/>
  <c r="AB30" i="16" s="1"/>
  <c r="AD30" i="16" s="1"/>
  <c r="AD31" i="5"/>
  <c r="AB31" i="6" s="1"/>
  <c r="AD31" i="6" s="1"/>
  <c r="AB31" i="7" s="1"/>
  <c r="AD31" i="7" s="1"/>
  <c r="AB31" i="8" s="1"/>
  <c r="AD31" i="8" s="1"/>
  <c r="AB31" i="9" s="1"/>
  <c r="AD31" i="9" s="1"/>
  <c r="AB31" i="10" s="1"/>
  <c r="AD31" i="10" s="1"/>
  <c r="AB31" i="11" s="1"/>
  <c r="AD31" i="11" s="1"/>
  <c r="AB31" i="12" s="1"/>
  <c r="AD31" i="12" s="1"/>
  <c r="AB31" i="13" s="1"/>
  <c r="AD31" i="13" s="1"/>
  <c r="AB31" i="14" s="1"/>
  <c r="AD31" i="14" s="1"/>
  <c r="AB31" i="15" s="1"/>
  <c r="AD31" i="15" s="1"/>
  <c r="AD32" i="5"/>
  <c r="AB32" i="6" s="1"/>
  <c r="AD32" i="6" s="1"/>
  <c r="AB32" i="7" s="1"/>
  <c r="AD32" i="7" s="1"/>
  <c r="AB32" i="8" s="1"/>
  <c r="AD32" i="8" s="1"/>
  <c r="AB32" i="9" s="1"/>
  <c r="AD32" i="9" s="1"/>
  <c r="AB32" i="10" s="1"/>
  <c r="AD32" i="10" s="1"/>
  <c r="AB32" i="11" s="1"/>
  <c r="AD32" i="11" s="1"/>
  <c r="AB32" i="12" s="1"/>
  <c r="AD32" i="12" s="1"/>
  <c r="AB32" i="13" s="1"/>
  <c r="AD32" i="13" s="1"/>
  <c r="AB32" i="14" s="1"/>
  <c r="AD32" i="14" s="1"/>
  <c r="AB32" i="15" s="1"/>
  <c r="AD32" i="15" s="1"/>
  <c r="AB32" i="16" s="1"/>
  <c r="AD32" i="16" s="1"/>
  <c r="AD33" i="5"/>
  <c r="AB33" i="6" s="1"/>
  <c r="AD33" i="6" s="1"/>
  <c r="AB33" i="7" s="1"/>
  <c r="AD33" i="7" s="1"/>
  <c r="AB33" i="8" s="1"/>
  <c r="AD33" i="8" s="1"/>
  <c r="AB33" i="9" s="1"/>
  <c r="AD33" i="9" s="1"/>
  <c r="AB33" i="10" s="1"/>
  <c r="AD33" i="10" s="1"/>
  <c r="AB33" i="11" s="1"/>
  <c r="AD33" i="11" s="1"/>
  <c r="AB33" i="12" s="1"/>
  <c r="AD33" i="12" s="1"/>
  <c r="AB33" i="13" s="1"/>
  <c r="AD33" i="13" s="1"/>
  <c r="AD36" i="5"/>
  <c r="AB36" i="6" s="1"/>
  <c r="AD36" i="6" s="1"/>
  <c r="AB36" i="7" s="1"/>
  <c r="AD36" i="7" s="1"/>
  <c r="AB36" i="8" s="1"/>
  <c r="AD36" i="8" s="1"/>
  <c r="AB36" i="9" s="1"/>
  <c r="AD36" i="9" s="1"/>
  <c r="AB36" i="10" s="1"/>
  <c r="AD36" i="10" s="1"/>
  <c r="AB36" i="11" s="1"/>
  <c r="AD36" i="11" s="1"/>
  <c r="AB36" i="12" s="1"/>
  <c r="AD36" i="12" s="1"/>
  <c r="AB36" i="13" s="1"/>
  <c r="AD36" i="13" s="1"/>
  <c r="AB36" i="14" s="1"/>
  <c r="AD36" i="14" s="1"/>
  <c r="AD37" i="5"/>
  <c r="AB37" i="6" s="1"/>
  <c r="AD37" i="6" s="1"/>
  <c r="AB37" i="7" s="1"/>
  <c r="AD37" i="7" s="1"/>
  <c r="AB37" i="8" s="1"/>
  <c r="AD37" i="8" s="1"/>
  <c r="AB37" i="9" s="1"/>
  <c r="AD37" i="9" s="1"/>
  <c r="AB37" i="10" s="1"/>
  <c r="AD37" i="10" s="1"/>
  <c r="AB37" i="11" s="1"/>
  <c r="AD37" i="11" s="1"/>
  <c r="AB37" i="12" s="1"/>
  <c r="AD37" i="12" s="1"/>
  <c r="AB37" i="13" s="1"/>
  <c r="AD37" i="13" s="1"/>
  <c r="AB37" i="14" s="1"/>
  <c r="AD37" i="14" s="1"/>
  <c r="AB37" i="15" s="1"/>
  <c r="AD37" i="15" s="1"/>
  <c r="AB37" i="16" s="1"/>
  <c r="AD37" i="16" s="1"/>
  <c r="AD38" i="5"/>
  <c r="AB38" i="6" s="1"/>
  <c r="AD38" i="6" s="1"/>
  <c r="AB38" i="7" s="1"/>
  <c r="AD38" i="7" s="1"/>
  <c r="AB38" i="8" s="1"/>
  <c r="AD38" i="8" s="1"/>
  <c r="AB38" i="9" s="1"/>
  <c r="AD38" i="9" s="1"/>
  <c r="AB38" i="10" s="1"/>
  <c r="AD38" i="10" s="1"/>
  <c r="AB38" i="11" s="1"/>
  <c r="AD38" i="11" s="1"/>
  <c r="AB38" i="12" s="1"/>
  <c r="AD38" i="12" s="1"/>
  <c r="AB38" i="13" s="1"/>
  <c r="AD38" i="13" s="1"/>
  <c r="AB38" i="14" s="1"/>
  <c r="AD39" i="5"/>
  <c r="AB39" i="6" s="1"/>
  <c r="AD40" i="5"/>
  <c r="AB40" i="6" s="1"/>
  <c r="AD40" i="6" s="1"/>
  <c r="AB40" i="7" s="1"/>
  <c r="AD40" i="7" s="1"/>
  <c r="AB40" i="8" s="1"/>
  <c r="AD40" i="8" s="1"/>
  <c r="AB40" i="9" s="1"/>
  <c r="AD40" i="9" s="1"/>
  <c r="AB40" i="10" s="1"/>
  <c r="AD40" i="10" s="1"/>
  <c r="AB40" i="11" s="1"/>
  <c r="AD40" i="11" s="1"/>
  <c r="AB40" i="12" s="1"/>
  <c r="AD40" i="12" s="1"/>
  <c r="AB40" i="13" s="1"/>
  <c r="AD40" i="13" s="1"/>
  <c r="AB40" i="14" s="1"/>
  <c r="AD40" i="14" s="1"/>
  <c r="AB40" i="15" s="1"/>
  <c r="AD40" i="15" s="1"/>
  <c r="AB40" i="16" s="1"/>
  <c r="AD40" i="16" s="1"/>
  <c r="AD41" i="5"/>
  <c r="AB41" i="6" s="1"/>
  <c r="AD41" i="6" s="1"/>
  <c r="AB41" i="7" s="1"/>
  <c r="AD41" i="7" s="1"/>
  <c r="AB41" i="8" s="1"/>
  <c r="AD41" i="8" s="1"/>
  <c r="AB41" i="9" s="1"/>
  <c r="AD41" i="9" s="1"/>
  <c r="AB41" i="10" s="1"/>
  <c r="AD41" i="10" s="1"/>
  <c r="AB41" i="11" s="1"/>
  <c r="AD41" i="11" s="1"/>
  <c r="AB41" i="12" s="1"/>
  <c r="AD41" i="12" s="1"/>
  <c r="AB41" i="13" s="1"/>
  <c r="AD41" i="13" s="1"/>
  <c r="AB41" i="14" s="1"/>
  <c r="AD41" i="14" s="1"/>
  <c r="AB41" i="15" s="1"/>
  <c r="AD41" i="15" s="1"/>
  <c r="AB41" i="16" s="1"/>
  <c r="AD41" i="16" s="1"/>
  <c r="AD45" i="5"/>
  <c r="AB45" i="6" s="1"/>
  <c r="AD45" i="6" s="1"/>
  <c r="AB45" i="7" s="1"/>
  <c r="AD45" i="7" s="1"/>
  <c r="AB45" i="8" s="1"/>
  <c r="AD45" i="8" s="1"/>
  <c r="AB45" i="9" s="1"/>
  <c r="AD45" i="9" s="1"/>
  <c r="AB45" i="10" s="1"/>
  <c r="AD45" i="10" s="1"/>
  <c r="AB45" i="11" s="1"/>
  <c r="AD45" i="11" s="1"/>
  <c r="AB45" i="12" s="1"/>
  <c r="AD45" i="12" s="1"/>
  <c r="AB45" i="13" s="1"/>
  <c r="AD45" i="13" s="1"/>
  <c r="AB45" i="14" s="1"/>
  <c r="AD45" i="14" s="1"/>
  <c r="AB45" i="15" s="1"/>
  <c r="AD45" i="15" s="1"/>
  <c r="AB45" i="16" s="1"/>
  <c r="AD45" i="16" s="1"/>
  <c r="AD46" i="5"/>
  <c r="AB46" i="6" s="1"/>
  <c r="AD47" i="5"/>
  <c r="AB47" i="6" s="1"/>
  <c r="AD47" i="6" s="1"/>
  <c r="AB47" i="7" s="1"/>
  <c r="AD47" i="7" s="1"/>
  <c r="AB47" i="8" s="1"/>
  <c r="AD47" i="8" s="1"/>
  <c r="AB47" i="9" s="1"/>
  <c r="AD47" i="9" s="1"/>
  <c r="AB47" i="10" s="1"/>
  <c r="AD47" i="10" s="1"/>
  <c r="AB47" i="11" s="1"/>
  <c r="AD47" i="11" s="1"/>
  <c r="AB47" i="12" s="1"/>
  <c r="AD47" i="12" s="1"/>
  <c r="AB47" i="13" s="1"/>
  <c r="AD47" i="13" s="1"/>
  <c r="AB47" i="14" s="1"/>
  <c r="AD47" i="14" s="1"/>
  <c r="AB47" i="15" s="1"/>
  <c r="AD47" i="15" s="1"/>
  <c r="AB47" i="16" s="1"/>
  <c r="AD47" i="16" s="1"/>
  <c r="AD48" i="5"/>
  <c r="AB48" i="6" s="1"/>
  <c r="AD48" i="6" s="1"/>
  <c r="AB48" i="7" s="1"/>
  <c r="AD48" i="7" s="1"/>
  <c r="AB48" i="8" s="1"/>
  <c r="AD48" i="8" s="1"/>
  <c r="AB48" i="9" s="1"/>
  <c r="AD48" i="9" s="1"/>
  <c r="AB48" i="10" s="1"/>
  <c r="AD48" i="10" s="1"/>
  <c r="AB48" i="11" s="1"/>
  <c r="AD48" i="11" s="1"/>
  <c r="AB48" i="12" s="1"/>
  <c r="AD48" i="12" s="1"/>
  <c r="AB48" i="13" s="1"/>
  <c r="AD48" i="13" s="1"/>
  <c r="AB48" i="14" s="1"/>
  <c r="AD48" i="14" s="1"/>
  <c r="AB48" i="15" s="1"/>
  <c r="AD48" i="15" s="1"/>
  <c r="AB48" i="16" s="1"/>
  <c r="AD48" i="16" s="1"/>
  <c r="AD50" i="5"/>
  <c r="AB50" i="6" s="1"/>
  <c r="AD50" i="6" s="1"/>
  <c r="AB50" i="7" s="1"/>
  <c r="AD51" i="5"/>
  <c r="AB51" i="6" s="1"/>
  <c r="AD51" i="6" s="1"/>
  <c r="AD52" i="5"/>
  <c r="AB52" i="6" s="1"/>
  <c r="AD52" i="6" s="1"/>
  <c r="AB52" i="7" s="1"/>
  <c r="AD52" i="7" s="1"/>
  <c r="AB52" i="8" s="1"/>
  <c r="AD52" i="8" s="1"/>
  <c r="AB52" i="9" s="1"/>
  <c r="AD52" i="9" s="1"/>
  <c r="AB52" i="10" s="1"/>
  <c r="AD52" i="10" s="1"/>
  <c r="AB52" i="11" s="1"/>
  <c r="AD52" i="11" s="1"/>
  <c r="AB52" i="12" s="1"/>
  <c r="AD52" i="12" s="1"/>
  <c r="AB52" i="13" s="1"/>
  <c r="AD52" i="13" s="1"/>
  <c r="AB52" i="14" s="1"/>
  <c r="AD52" i="14" s="1"/>
  <c r="AB52" i="15" s="1"/>
  <c r="AD52" i="15" s="1"/>
  <c r="AB52" i="16" s="1"/>
  <c r="AD52" i="16" s="1"/>
  <c r="AD53" i="5"/>
  <c r="AB53" i="6" s="1"/>
  <c r="AD53" i="6" s="1"/>
  <c r="AB53" i="7" s="1"/>
  <c r="AD53" i="7" s="1"/>
  <c r="AB53" i="8" s="1"/>
  <c r="AD53" i="8" s="1"/>
  <c r="AB53" i="9" s="1"/>
  <c r="AD53" i="9" s="1"/>
  <c r="AB53" i="10" s="1"/>
  <c r="AD53" i="10" s="1"/>
  <c r="AB53" i="11" s="1"/>
  <c r="AD53" i="11" s="1"/>
  <c r="AB53" i="12" s="1"/>
  <c r="AD53" i="12" s="1"/>
  <c r="AB53" i="13" s="1"/>
  <c r="AD53" i="13" s="1"/>
  <c r="AB53" i="14" s="1"/>
  <c r="AD53" i="14" s="1"/>
  <c r="AB53" i="15" s="1"/>
  <c r="AD53" i="15" s="1"/>
  <c r="AB53" i="16" s="1"/>
  <c r="AD53" i="16" s="1"/>
  <c r="AD54" i="5"/>
  <c r="AB54" i="6" s="1"/>
  <c r="AD54" i="6" s="1"/>
  <c r="AB54" i="7" s="1"/>
  <c r="AD54" i="7" s="1"/>
  <c r="AB54" i="8" s="1"/>
  <c r="AD54" i="8" s="1"/>
  <c r="AB54" i="9" s="1"/>
  <c r="AD54" i="9" s="1"/>
  <c r="AB54" i="10" s="1"/>
  <c r="AD54" i="10" s="1"/>
  <c r="AB54" i="11" s="1"/>
  <c r="AD54" i="11" s="1"/>
  <c r="AB54" i="12" s="1"/>
  <c r="AD54" i="12" s="1"/>
  <c r="AB54" i="13" s="1"/>
  <c r="AD54" i="13" s="1"/>
  <c r="AB54" i="14" s="1"/>
  <c r="AD54" i="14" s="1"/>
  <c r="AB54" i="15" s="1"/>
  <c r="AD54" i="15" s="1"/>
  <c r="AB54" i="16" s="1"/>
  <c r="AD54" i="16" s="1"/>
  <c r="AD55" i="5"/>
  <c r="AB55" i="6" s="1"/>
  <c r="AD55" i="6" s="1"/>
  <c r="AB55" i="7" s="1"/>
  <c r="AD55" i="7" s="1"/>
  <c r="AB55" i="8" s="1"/>
  <c r="AD55" i="8" s="1"/>
  <c r="AB55" i="9" s="1"/>
  <c r="AD55" i="9" s="1"/>
  <c r="AD59" i="5"/>
  <c r="AB59" i="6" s="1"/>
  <c r="AD59" i="6" s="1"/>
  <c r="AB59" i="7" s="1"/>
  <c r="AD59" i="7" s="1"/>
  <c r="AB59" i="8" s="1"/>
  <c r="AD59" i="8" s="1"/>
  <c r="AB59" i="9" s="1"/>
  <c r="AD59" i="9" s="1"/>
  <c r="AB59" i="10" s="1"/>
  <c r="AD59" i="10" s="1"/>
  <c r="AB59" i="11" s="1"/>
  <c r="AD59" i="11" s="1"/>
  <c r="AB59" i="12" s="1"/>
  <c r="AD60" i="5"/>
  <c r="AB60" i="6" s="1"/>
  <c r="AD60" i="6" s="1"/>
  <c r="AB60" i="7" s="1"/>
  <c r="AD60" i="7" s="1"/>
  <c r="AB60" i="8" s="1"/>
  <c r="AD60" i="8" s="1"/>
  <c r="AB60" i="9" s="1"/>
  <c r="AD60" i="9" s="1"/>
  <c r="AB60" i="10" s="1"/>
  <c r="AD60" i="10" s="1"/>
  <c r="AB60" i="11" s="1"/>
  <c r="AD60" i="11" s="1"/>
  <c r="AB60" i="12" s="1"/>
  <c r="AD60" i="12" s="1"/>
  <c r="AB60" i="13" s="1"/>
  <c r="AD60" i="13" s="1"/>
  <c r="AB60" i="14" s="1"/>
  <c r="AD60" i="14" s="1"/>
  <c r="AB60" i="15" s="1"/>
  <c r="AD60" i="15" s="1"/>
  <c r="AB60" i="16" s="1"/>
  <c r="AD60" i="16" s="1"/>
  <c r="AD61" i="5"/>
  <c r="AB61" i="6" s="1"/>
  <c r="AD61" i="6" s="1"/>
  <c r="AB61" i="7" s="1"/>
  <c r="AD61" i="7" s="1"/>
  <c r="AB61" i="8" s="1"/>
  <c r="AD61" i="8" s="1"/>
  <c r="AB61" i="9" s="1"/>
  <c r="AD61" i="9" s="1"/>
  <c r="AB61" i="10" s="1"/>
  <c r="AD61" i="10" s="1"/>
  <c r="AB61" i="11" s="1"/>
  <c r="AD61" i="11" s="1"/>
  <c r="AB61" i="12" s="1"/>
  <c r="AD61" i="12" s="1"/>
  <c r="AB61" i="13" s="1"/>
  <c r="AD61" i="13" s="1"/>
  <c r="AB61" i="14" s="1"/>
  <c r="AD61" i="14" s="1"/>
  <c r="AB61" i="15" s="1"/>
  <c r="AD61" i="15" s="1"/>
  <c r="AB61" i="16" s="1"/>
  <c r="AD61" i="16" s="1"/>
  <c r="AD66" i="5"/>
  <c r="AB66" i="6" s="1"/>
  <c r="AD66" i="6" s="1"/>
  <c r="AB66" i="7" s="1"/>
  <c r="AD66" i="7" s="1"/>
  <c r="AB66" i="8" s="1"/>
  <c r="AD66" i="8" s="1"/>
  <c r="AB66" i="9" s="1"/>
  <c r="AD66" i="9" s="1"/>
  <c r="AD67" i="5"/>
  <c r="AB67" i="6" s="1"/>
  <c r="AD67" i="6" s="1"/>
  <c r="AB67" i="7" s="1"/>
  <c r="AD67" i="7" s="1"/>
  <c r="AB67" i="8" s="1"/>
  <c r="AD67" i="8" s="1"/>
  <c r="AB67" i="9" s="1"/>
  <c r="AD67" i="9" s="1"/>
  <c r="AB67" i="10" s="1"/>
  <c r="AD67" i="10" s="1"/>
  <c r="AB67" i="11" s="1"/>
  <c r="AD67" i="11" s="1"/>
  <c r="AB67" i="12" s="1"/>
  <c r="AD67" i="12" s="1"/>
  <c r="AB67" i="13" s="1"/>
  <c r="AD67" i="13" s="1"/>
  <c r="AB67" i="14" s="1"/>
  <c r="AD67" i="14" s="1"/>
  <c r="AB67" i="15" s="1"/>
  <c r="AD67" i="15" s="1"/>
  <c r="AB67" i="16" s="1"/>
  <c r="AD67" i="16" s="1"/>
  <c r="AD68" i="5"/>
  <c r="AB68" i="6" s="1"/>
  <c r="AD68" i="6" s="1"/>
  <c r="AB68" i="7" s="1"/>
  <c r="AD68" i="7" s="1"/>
  <c r="AB68" i="8" s="1"/>
  <c r="AD68" i="8" s="1"/>
  <c r="AB68" i="9" s="1"/>
  <c r="AD68" i="9" s="1"/>
  <c r="AB68" i="10" s="1"/>
  <c r="AD68" i="10" s="1"/>
  <c r="AB68" i="11" s="1"/>
  <c r="AD68" i="11" s="1"/>
  <c r="AB68" i="12" s="1"/>
  <c r="AD68" i="12" s="1"/>
  <c r="AB68" i="13" s="1"/>
  <c r="AD68" i="13" s="1"/>
  <c r="AB68" i="14" s="1"/>
  <c r="AD68" i="14" s="1"/>
  <c r="AB68" i="15" s="1"/>
  <c r="AD68" i="15" s="1"/>
  <c r="AB68" i="16" s="1"/>
  <c r="AD68" i="16" s="1"/>
  <c r="AD70" i="5"/>
  <c r="AB70" i="6" s="1"/>
  <c r="AD70" i="6" s="1"/>
  <c r="AB70" i="7" s="1"/>
  <c r="AD70" i="7" s="1"/>
  <c r="AB70" i="8" s="1"/>
  <c r="AD70" i="8" s="1"/>
  <c r="AB70" i="9" s="1"/>
  <c r="AD70" i="9" s="1"/>
  <c r="AB70" i="10" s="1"/>
  <c r="AD70" i="10" s="1"/>
  <c r="AB70" i="11" s="1"/>
  <c r="AD70" i="11" s="1"/>
  <c r="AB70" i="12" s="1"/>
  <c r="AD70" i="12" s="1"/>
  <c r="AB70" i="13" s="1"/>
  <c r="AD70" i="13" s="1"/>
  <c r="AB70" i="14" s="1"/>
  <c r="AD70" i="14" s="1"/>
  <c r="AB70" i="15" s="1"/>
  <c r="AD70" i="15" s="1"/>
  <c r="AB70" i="16" s="1"/>
  <c r="AD70" i="16" s="1"/>
  <c r="AD71" i="5"/>
  <c r="AB71" i="6" s="1"/>
  <c r="AD72" i="5"/>
  <c r="AB72" i="6" s="1"/>
  <c r="AD72" i="6" s="1"/>
  <c r="AB72" i="7" s="1"/>
  <c r="AD72" i="7" s="1"/>
  <c r="AB72" i="8" s="1"/>
  <c r="AD72" i="8" s="1"/>
  <c r="AB72" i="9" s="1"/>
  <c r="AD72" i="9" s="1"/>
  <c r="AB72" i="10" s="1"/>
  <c r="AD72" i="10" s="1"/>
  <c r="AB72" i="11" s="1"/>
  <c r="AD72" i="11" s="1"/>
  <c r="AB72" i="12" s="1"/>
  <c r="AD72" i="12" s="1"/>
  <c r="AB72" i="13" s="1"/>
  <c r="AD72" i="13" s="1"/>
  <c r="AB72" i="14" s="1"/>
  <c r="AD72" i="14" s="1"/>
  <c r="AB72" i="15" s="1"/>
  <c r="AD72" i="15" s="1"/>
  <c r="AB72" i="16" s="1"/>
  <c r="AD72" i="16" s="1"/>
  <c r="AD73" i="5"/>
  <c r="AB73" i="6" s="1"/>
  <c r="AD73" i="6" s="1"/>
  <c r="AB73" i="7" s="1"/>
  <c r="AD73" i="7" s="1"/>
  <c r="AB73" i="8" s="1"/>
  <c r="AD73" i="8" s="1"/>
  <c r="AB73" i="9" s="1"/>
  <c r="AD73" i="9" s="1"/>
  <c r="AB73" i="10" s="1"/>
  <c r="AD73" i="10" s="1"/>
  <c r="AB73" i="11" s="1"/>
  <c r="AD73" i="11" s="1"/>
  <c r="AB73" i="12" s="1"/>
  <c r="AD73" i="12" s="1"/>
  <c r="AB73" i="13" s="1"/>
  <c r="AD73" i="13" s="1"/>
  <c r="AB73" i="14" s="1"/>
  <c r="AD73" i="14" s="1"/>
  <c r="AB73" i="15" s="1"/>
  <c r="AD73" i="15" s="1"/>
  <c r="AB73" i="16" s="1"/>
  <c r="AD73" i="16" s="1"/>
  <c r="AD74" i="5"/>
  <c r="AB74" i="6" s="1"/>
  <c r="AD74" i="6" s="1"/>
  <c r="AB74" i="7" s="1"/>
  <c r="AD74" i="7" s="1"/>
  <c r="AB74" i="8" s="1"/>
  <c r="AD74" i="8" s="1"/>
  <c r="AB74" i="9" s="1"/>
  <c r="AD74" i="9" s="1"/>
  <c r="AB74" i="10" s="1"/>
  <c r="AD74" i="10" s="1"/>
  <c r="AB74" i="11" s="1"/>
  <c r="AD74" i="11" s="1"/>
  <c r="AB74" i="12" s="1"/>
  <c r="AD74" i="12" s="1"/>
  <c r="AB74" i="13" s="1"/>
  <c r="AD74" i="13" s="1"/>
  <c r="AB74" i="14" s="1"/>
  <c r="AD75" i="5"/>
  <c r="AB75" i="6" s="1"/>
  <c r="AD75" i="6" s="1"/>
  <c r="AB75" i="7" s="1"/>
  <c r="AD76" i="5"/>
  <c r="AB76" i="6" s="1"/>
  <c r="AD76" i="6" s="1"/>
  <c r="AB76" i="7" s="1"/>
  <c r="AD76" i="7" s="1"/>
  <c r="AB76" i="8" s="1"/>
  <c r="AD76" i="8" s="1"/>
  <c r="AB76" i="9" s="1"/>
  <c r="AD76" i="9" s="1"/>
  <c r="AB76" i="10" s="1"/>
  <c r="AD76" i="10" s="1"/>
  <c r="AB76" i="11" s="1"/>
  <c r="AD76" i="11" s="1"/>
  <c r="AB76" i="12" s="1"/>
  <c r="AD76" i="12" s="1"/>
  <c r="AD77" i="5"/>
  <c r="AB77" i="6" s="1"/>
  <c r="AD77" i="6" s="1"/>
  <c r="AB77" i="7" s="1"/>
  <c r="AD77" i="7" s="1"/>
  <c r="AB77" i="8" s="1"/>
  <c r="AD77" i="8" s="1"/>
  <c r="AB77" i="9" s="1"/>
  <c r="AD77" i="9" s="1"/>
  <c r="AB77" i="10" s="1"/>
  <c r="AD77" i="10" s="1"/>
  <c r="AB77" i="11" s="1"/>
  <c r="AD77" i="11" s="1"/>
  <c r="AB77" i="12" s="1"/>
  <c r="AD77" i="12" s="1"/>
  <c r="AB77" i="13" s="1"/>
  <c r="AD77" i="13" s="1"/>
  <c r="AB77" i="14" s="1"/>
  <c r="AD77" i="14" s="1"/>
  <c r="AB77" i="15" s="1"/>
  <c r="AD77" i="15" s="1"/>
  <c r="AB77" i="16" s="1"/>
  <c r="AD77" i="16" s="1"/>
  <c r="AD78" i="5"/>
  <c r="AB78" i="6" s="1"/>
  <c r="AD78" i="6" s="1"/>
  <c r="AB78" i="7" s="1"/>
  <c r="AD78" i="7" s="1"/>
  <c r="AB78" i="8" s="1"/>
  <c r="AD78" i="8" s="1"/>
  <c r="AB78" i="9" s="1"/>
  <c r="AD78" i="9" s="1"/>
  <c r="AB78" i="10" s="1"/>
  <c r="AD78" i="10" s="1"/>
  <c r="AB78" i="11" s="1"/>
  <c r="AD78" i="11" s="1"/>
  <c r="AB78" i="12" s="1"/>
  <c r="AD78" i="12" s="1"/>
  <c r="AB78" i="13" s="1"/>
  <c r="AD78" i="13" s="1"/>
  <c r="AB78" i="14" s="1"/>
  <c r="AD78" i="14" s="1"/>
  <c r="AB78" i="15" s="1"/>
  <c r="AD78" i="15" s="1"/>
  <c r="AB78" i="16" s="1"/>
  <c r="AD78" i="16" s="1"/>
  <c r="AD79" i="5"/>
  <c r="AB79" i="6" s="1"/>
  <c r="AD79" i="6" s="1"/>
  <c r="AB79" i="7" s="1"/>
  <c r="AD79" i="7" s="1"/>
  <c r="AB79" i="8" s="1"/>
  <c r="AD79" i="8" s="1"/>
  <c r="AD80" i="5"/>
  <c r="AB80" i="6" s="1"/>
  <c r="AD80" i="6" s="1"/>
  <c r="AB80" i="7" s="1"/>
  <c r="AD80" i="7" s="1"/>
  <c r="AB80" i="8" s="1"/>
  <c r="AD80" i="8" s="1"/>
  <c r="AB80" i="9" s="1"/>
  <c r="AD80" i="9" s="1"/>
  <c r="AB80" i="10" s="1"/>
  <c r="AD80" i="10" s="1"/>
  <c r="AB80" i="11" s="1"/>
  <c r="AD80" i="11" s="1"/>
  <c r="AB80" i="12" s="1"/>
  <c r="AD80" i="12" s="1"/>
  <c r="AB80" i="13" s="1"/>
  <c r="AD80" i="13" s="1"/>
  <c r="AB80" i="14" s="1"/>
  <c r="AD80" i="14" s="1"/>
  <c r="AB80" i="15" s="1"/>
  <c r="AD80" i="15" s="1"/>
  <c r="AB80" i="16" s="1"/>
  <c r="AD80" i="16" s="1"/>
  <c r="AD81" i="5"/>
  <c r="AB81" i="6" s="1"/>
  <c r="AD81" i="6" s="1"/>
  <c r="AB81" i="7" s="1"/>
  <c r="AD81" i="7" s="1"/>
  <c r="AB81" i="8" s="1"/>
  <c r="AD81" i="8" s="1"/>
  <c r="AB81" i="9" s="1"/>
  <c r="AD81" i="9" s="1"/>
  <c r="AB81" i="10" s="1"/>
  <c r="AD81" i="10" s="1"/>
  <c r="AB81" i="11" s="1"/>
  <c r="AD81" i="11" s="1"/>
  <c r="AB81" i="12" s="1"/>
  <c r="AD81" i="12" s="1"/>
  <c r="AB81" i="13" s="1"/>
  <c r="AD81" i="13" s="1"/>
  <c r="AB81" i="14" s="1"/>
  <c r="AD81" i="14" s="1"/>
  <c r="AB81" i="15" s="1"/>
  <c r="AD84" i="5"/>
  <c r="AB84" i="6" s="1"/>
  <c r="AD84" i="6" s="1"/>
  <c r="AB84" i="7" s="1"/>
  <c r="AD84" i="7" s="1"/>
  <c r="AB84" i="8" s="1"/>
  <c r="AD84" i="8" s="1"/>
  <c r="AB84" i="9" s="1"/>
  <c r="AD84" i="9" s="1"/>
  <c r="AB84" i="10" s="1"/>
  <c r="AD84" i="10" s="1"/>
  <c r="AB84" i="11" s="1"/>
  <c r="AD84" i="11" s="1"/>
  <c r="AB84" i="12" s="1"/>
  <c r="AD84" i="12" s="1"/>
  <c r="AB84" i="13" s="1"/>
  <c r="AD84" i="13" s="1"/>
  <c r="AB84" i="14" s="1"/>
  <c r="AD84" i="14" s="1"/>
  <c r="AD85" i="5"/>
  <c r="AB85" i="6" s="1"/>
  <c r="AD86" i="5"/>
  <c r="AB86" i="6" s="1"/>
  <c r="AD86" i="6" s="1"/>
  <c r="AB86" i="7" s="1"/>
  <c r="AD86" i="7" s="1"/>
  <c r="AB86" i="8" s="1"/>
  <c r="AD86" i="8" s="1"/>
  <c r="AB86" i="9" s="1"/>
  <c r="AD86" i="9" s="1"/>
  <c r="AB86" i="10" s="1"/>
  <c r="AD86" i="10" s="1"/>
  <c r="AB86" i="11" s="1"/>
  <c r="AD86" i="11" s="1"/>
  <c r="AB86" i="12" s="1"/>
  <c r="AD86" i="12" s="1"/>
  <c r="AB86" i="13" s="1"/>
  <c r="AD86" i="13" s="1"/>
  <c r="AD87" i="5"/>
  <c r="AB87" i="6" s="1"/>
  <c r="AD87" i="6" s="1"/>
  <c r="AB87" i="7" s="1"/>
  <c r="AD87" i="7" s="1"/>
  <c r="AB87" i="8" s="1"/>
  <c r="AD87" i="8" s="1"/>
  <c r="AB87" i="9" s="1"/>
  <c r="AD87" i="9" s="1"/>
  <c r="AB87" i="10" s="1"/>
  <c r="AD87" i="10" s="1"/>
  <c r="AB87" i="11" s="1"/>
  <c r="AD87" i="11" s="1"/>
  <c r="AB87" i="12" s="1"/>
  <c r="AD87" i="12" s="1"/>
  <c r="AB87" i="13" s="1"/>
  <c r="AD87" i="13" s="1"/>
  <c r="AB87" i="14" s="1"/>
  <c r="AD87" i="14" s="1"/>
  <c r="AB87" i="15" s="1"/>
  <c r="AD87" i="15" s="1"/>
  <c r="AD88" i="5"/>
  <c r="AB88" i="6" s="1"/>
  <c r="AD88" i="6" s="1"/>
  <c r="AD92" i="5"/>
  <c r="AB92" i="6" s="1"/>
  <c r="AD92" i="6" s="1"/>
  <c r="AB92" i="7" s="1"/>
  <c r="AD92" i="7" s="1"/>
  <c r="AB92" i="8" s="1"/>
  <c r="AD93" i="5"/>
  <c r="AB93" i="6" s="1"/>
  <c r="AD93" i="6" s="1"/>
  <c r="AB93" i="7" s="1"/>
  <c r="AD93" i="7" s="1"/>
  <c r="AB93" i="8" s="1"/>
  <c r="AD93" i="8" s="1"/>
  <c r="AB93" i="9" s="1"/>
  <c r="AD93" i="9" s="1"/>
  <c r="AB93" i="10" s="1"/>
  <c r="AD93" i="10" s="1"/>
  <c r="AB93" i="11" s="1"/>
  <c r="AD93" i="11" s="1"/>
  <c r="AB93" i="12" s="1"/>
  <c r="AD93" i="12" s="1"/>
  <c r="AB93" i="13" s="1"/>
  <c r="AD93" i="13" s="1"/>
  <c r="AB93" i="14" s="1"/>
  <c r="AD94" i="5"/>
  <c r="AB94" i="6" s="1"/>
  <c r="AD94" i="6" s="1"/>
  <c r="AB94" i="7" s="1"/>
  <c r="AD94" i="7" s="1"/>
  <c r="AB94" i="8" s="1"/>
  <c r="AD94" i="8" s="1"/>
  <c r="AB94" i="9" s="1"/>
  <c r="AD94" i="9" s="1"/>
  <c r="AB94" i="10" s="1"/>
  <c r="AD94" i="10" s="1"/>
  <c r="AB94" i="11" s="1"/>
  <c r="AD94" i="11" s="1"/>
  <c r="AB94" i="12" s="1"/>
  <c r="AD94" i="12" s="1"/>
  <c r="AB94" i="13" s="1"/>
  <c r="AD94" i="13" s="1"/>
  <c r="AB94" i="14" s="1"/>
  <c r="AD94" i="14" s="1"/>
  <c r="AB94" i="15" s="1"/>
  <c r="AD94" i="15" s="1"/>
  <c r="AB94" i="16" s="1"/>
  <c r="AD94" i="16" s="1"/>
  <c r="AD95" i="5"/>
  <c r="AB95" i="6" s="1"/>
  <c r="AD95" i="6" s="1"/>
  <c r="AB95" i="7" s="1"/>
  <c r="AD95" i="7" s="1"/>
  <c r="AB95" i="8" s="1"/>
  <c r="AD95" i="8" s="1"/>
  <c r="AB95" i="9" s="1"/>
  <c r="AD95" i="9" s="1"/>
  <c r="AB95" i="10" s="1"/>
  <c r="AD95" i="10" s="1"/>
  <c r="AB95" i="11" s="1"/>
  <c r="AD95" i="11" s="1"/>
  <c r="AB95" i="12" s="1"/>
  <c r="AD95" i="12" s="1"/>
  <c r="AD97" i="5"/>
  <c r="AB97" i="6" s="1"/>
  <c r="AD97" i="6" s="1"/>
  <c r="AD98" i="5"/>
  <c r="AB98" i="6" s="1"/>
  <c r="AD98" i="6" s="1"/>
  <c r="AB98" i="7" s="1"/>
  <c r="AD98" i="7" s="1"/>
  <c r="AB98" i="8" s="1"/>
  <c r="AD98" i="8" s="1"/>
  <c r="AB98" i="9" s="1"/>
  <c r="AD98" i="9" s="1"/>
  <c r="AB98" i="10" s="1"/>
  <c r="AD98" i="10" s="1"/>
  <c r="AB98" i="11" s="1"/>
  <c r="AD98" i="11" s="1"/>
  <c r="AB98" i="12" s="1"/>
  <c r="AD98" i="12" s="1"/>
  <c r="AD99" i="5"/>
  <c r="AB99" i="6" s="1"/>
  <c r="AD99" i="6" s="1"/>
  <c r="AB99" i="7" s="1"/>
  <c r="AD99" i="7" s="1"/>
  <c r="AB99" i="8" s="1"/>
  <c r="AD99" i="8" s="1"/>
  <c r="AB99" i="9" s="1"/>
  <c r="AD99" i="9" s="1"/>
  <c r="AB99" i="10" s="1"/>
  <c r="AD99" i="10" s="1"/>
  <c r="AB99" i="11" s="1"/>
  <c r="AD99" i="11" s="1"/>
  <c r="AB99" i="12" s="1"/>
  <c r="AD99" i="12" s="1"/>
  <c r="AB99" i="13" s="1"/>
  <c r="AD99" i="13" s="1"/>
  <c r="AB99" i="14" s="1"/>
  <c r="AD99" i="14" s="1"/>
  <c r="AB99" i="15" s="1"/>
  <c r="AD99" i="15" s="1"/>
  <c r="AD100" i="5"/>
  <c r="AB100" i="6" s="1"/>
  <c r="AD100" i="6" s="1"/>
  <c r="AB100" i="7" s="1"/>
  <c r="AD100" i="7" s="1"/>
  <c r="AB100" i="8" s="1"/>
  <c r="AD101" i="5"/>
  <c r="AB101" i="6" s="1"/>
  <c r="AD101" i="6" s="1"/>
  <c r="AB101" i="7" s="1"/>
  <c r="AD101" i="7" s="1"/>
  <c r="AB101" i="8" s="1"/>
  <c r="AD101" i="8" s="1"/>
  <c r="AB101" i="9" s="1"/>
  <c r="AD101" i="9" s="1"/>
  <c r="AB101" i="10" s="1"/>
  <c r="AD101" i="10" s="1"/>
  <c r="AB101" i="11" s="1"/>
  <c r="AD101" i="11" s="1"/>
  <c r="AB101" i="12" s="1"/>
  <c r="AD101" i="12" s="1"/>
  <c r="AB101" i="13" s="1"/>
  <c r="AD101" i="13" s="1"/>
  <c r="AB101" i="14" s="1"/>
  <c r="AD101" i="14" s="1"/>
  <c r="AB101" i="15" s="1"/>
  <c r="AD101" i="15" s="1"/>
  <c r="AD102" i="5"/>
  <c r="AB102" i="6" s="1"/>
  <c r="AD102" i="6" s="1"/>
  <c r="AB102" i="7" s="1"/>
  <c r="AD102" i="7" s="1"/>
  <c r="AB102" i="8" s="1"/>
  <c r="AD102" i="8" s="1"/>
  <c r="AB102" i="9" s="1"/>
  <c r="AD102" i="9" s="1"/>
  <c r="AB102" i="10" s="1"/>
  <c r="AD102" i="10" s="1"/>
  <c r="AB102" i="11" s="1"/>
  <c r="AD102" i="11" s="1"/>
  <c r="AB102" i="12" s="1"/>
  <c r="AD102" i="12" s="1"/>
  <c r="AB102" i="13" s="1"/>
  <c r="AD102" i="13" s="1"/>
  <c r="AB102" i="14" s="1"/>
  <c r="AD102" i="14" s="1"/>
  <c r="AB102" i="15" s="1"/>
  <c r="AD102" i="15" s="1"/>
  <c r="AD106" i="5"/>
  <c r="AB106" i="6" s="1"/>
  <c r="AD106" i="6" s="1"/>
  <c r="AB106" i="7" s="1"/>
  <c r="AD106" i="7" s="1"/>
  <c r="AB106" i="8" s="1"/>
  <c r="AD106" i="8" s="1"/>
  <c r="AB106" i="9" s="1"/>
  <c r="AD106" i="9" s="1"/>
  <c r="AB106" i="10" s="1"/>
  <c r="AD106" i="10" s="1"/>
  <c r="AB106" i="11" s="1"/>
  <c r="AD106" i="11" s="1"/>
  <c r="AB106" i="12" s="1"/>
  <c r="AD106" i="12" s="1"/>
  <c r="AB106" i="13" s="1"/>
  <c r="AD106" i="13" s="1"/>
  <c r="AB106" i="14" s="1"/>
  <c r="AD106" i="14" s="1"/>
  <c r="AB106" i="15" s="1"/>
  <c r="AD107" i="5"/>
  <c r="AB107" i="6" s="1"/>
  <c r="AD107" i="6" s="1"/>
  <c r="AB107" i="7" s="1"/>
  <c r="AD108" i="5"/>
  <c r="AB108" i="6" s="1"/>
  <c r="AD108" i="6" s="1"/>
  <c r="AB108" i="7" s="1"/>
  <c r="AD108" i="7" s="1"/>
  <c r="AB108" i="8" s="1"/>
  <c r="AD108" i="8" s="1"/>
  <c r="AB108" i="9" s="1"/>
  <c r="AD108" i="9" s="1"/>
  <c r="AB108" i="10" s="1"/>
  <c r="AD108" i="10" s="1"/>
  <c r="AB108" i="11" s="1"/>
  <c r="AD108" i="11" s="1"/>
  <c r="AB108" i="12" s="1"/>
  <c r="AD108" i="12" s="1"/>
  <c r="AB108" i="13" s="1"/>
  <c r="AD108" i="13" s="1"/>
  <c r="AB108" i="14" s="1"/>
  <c r="AD108" i="14" s="1"/>
  <c r="AB108" i="15" s="1"/>
  <c r="AD108" i="15" s="1"/>
  <c r="AB108" i="16" s="1"/>
  <c r="AD108" i="16" s="1"/>
  <c r="AD115" i="5"/>
  <c r="AB115" i="6" s="1"/>
  <c r="AD115" i="6" s="1"/>
  <c r="AB115" i="7" s="1"/>
  <c r="AD115" i="7" s="1"/>
  <c r="AB115" i="8" s="1"/>
  <c r="AD115" i="8" s="1"/>
  <c r="AB115" i="9" s="1"/>
  <c r="AD115" i="9" s="1"/>
  <c r="AB115" i="10" s="1"/>
  <c r="AD115" i="10" s="1"/>
  <c r="AB115" i="11" s="1"/>
  <c r="AD115" i="11" s="1"/>
  <c r="AB115" i="12" s="1"/>
  <c r="AD115" i="12" s="1"/>
  <c r="AB115" i="13" s="1"/>
  <c r="AD115" i="13" s="1"/>
  <c r="AB115" i="14" s="1"/>
  <c r="AD115" i="14" s="1"/>
  <c r="AB115" i="15" s="1"/>
  <c r="AD115" i="15" s="1"/>
  <c r="AD116" i="5"/>
  <c r="AB116" i="6" s="1"/>
  <c r="AD116" i="6" s="1"/>
  <c r="AB116" i="7" s="1"/>
  <c r="AD116" i="7" s="1"/>
  <c r="AB116" i="8" s="1"/>
  <c r="AD116" i="8" s="1"/>
  <c r="AB116" i="9" s="1"/>
  <c r="AD116" i="9" s="1"/>
  <c r="AB116" i="10" s="1"/>
  <c r="AD116" i="10" s="1"/>
  <c r="AB116" i="11" s="1"/>
  <c r="AD116" i="11" s="1"/>
  <c r="AB116" i="12" s="1"/>
  <c r="AD116" i="12" s="1"/>
  <c r="AB116" i="13" s="1"/>
  <c r="AD116" i="13" s="1"/>
  <c r="AB116" i="14" s="1"/>
  <c r="AD116" i="14" s="1"/>
  <c r="AB116" i="15" s="1"/>
  <c r="AD116" i="15" s="1"/>
  <c r="AB116" i="16" s="1"/>
  <c r="AD116" i="16" s="1"/>
  <c r="AD117" i="5"/>
  <c r="AB117" i="6" s="1"/>
  <c r="AD117" i="6" s="1"/>
  <c r="AB117" i="7" s="1"/>
  <c r="AD117" i="7" s="1"/>
  <c r="AB117" i="8" s="1"/>
  <c r="AD118" i="5"/>
  <c r="AB118" i="6" s="1"/>
  <c r="AD118" i="6" s="1"/>
  <c r="AB118" i="7" s="1"/>
  <c r="AD118" i="7" s="1"/>
  <c r="AB118" i="8" s="1"/>
  <c r="AD118" i="8" s="1"/>
  <c r="AB118" i="9" s="1"/>
  <c r="AD118" i="9" s="1"/>
  <c r="AB118" i="10" s="1"/>
  <c r="AD118" i="10" s="1"/>
  <c r="AB118" i="11" s="1"/>
  <c r="AD118" i="11" s="1"/>
  <c r="AB118" i="12" s="1"/>
  <c r="AD118" i="12" s="1"/>
  <c r="AB118" i="13" s="1"/>
  <c r="AD118" i="13" s="1"/>
  <c r="AB118" i="14" s="1"/>
  <c r="AD118" i="14" s="1"/>
  <c r="AD119" i="5"/>
  <c r="AB119" i="6" s="1"/>
  <c r="AD119" i="6" s="1"/>
  <c r="AB119" i="7" s="1"/>
  <c r="AD119" i="7" s="1"/>
  <c r="AB119" i="8" s="1"/>
  <c r="AD119" i="8" s="1"/>
  <c r="AB119" i="9" s="1"/>
  <c r="AD119" i="9" s="1"/>
  <c r="AB119" i="10" s="1"/>
  <c r="AD119" i="10" s="1"/>
  <c r="AB119" i="11" s="1"/>
  <c r="AD119" i="11" s="1"/>
  <c r="AB119" i="12" s="1"/>
  <c r="AD119" i="12" s="1"/>
  <c r="AB119" i="13" s="1"/>
  <c r="AD119" i="13" s="1"/>
  <c r="AB119" i="14" s="1"/>
  <c r="AD119" i="14" s="1"/>
  <c r="AB119" i="15" s="1"/>
  <c r="AD119" i="15" s="1"/>
  <c r="AB119" i="16" s="1"/>
  <c r="AD119" i="16" s="1"/>
  <c r="AD120" i="5"/>
  <c r="AB120" i="6" s="1"/>
  <c r="AD120" i="6" s="1"/>
  <c r="AB120" i="7" s="1"/>
  <c r="AD120" i="7" s="1"/>
  <c r="AB120" i="8" s="1"/>
  <c r="AD120" i="8" s="1"/>
  <c r="AB120" i="9" s="1"/>
  <c r="AD120" i="9" s="1"/>
  <c r="AB120" i="10" s="1"/>
  <c r="AD120" i="10" s="1"/>
  <c r="AB120" i="11" s="1"/>
  <c r="AD120" i="11" s="1"/>
  <c r="AB120" i="12" s="1"/>
  <c r="AD120" i="12" s="1"/>
  <c r="AB120" i="13" s="1"/>
  <c r="AD120" i="13" s="1"/>
  <c r="AB120" i="14" s="1"/>
  <c r="AD120" i="14" s="1"/>
  <c r="AB120" i="15" s="1"/>
  <c r="AD120" i="15" s="1"/>
  <c r="AB120" i="16" s="1"/>
  <c r="AD120" i="16" s="1"/>
  <c r="AD121" i="5"/>
  <c r="AB121" i="6" s="1"/>
  <c r="AD121" i="6" s="1"/>
  <c r="AB121" i="7" s="1"/>
  <c r="AD121" i="7" s="1"/>
  <c r="AB121" i="8" s="1"/>
  <c r="AD121" i="8" s="1"/>
  <c r="AB121" i="9" s="1"/>
  <c r="AD121" i="9" s="1"/>
  <c r="AB121" i="10" s="1"/>
  <c r="AD121" i="10" s="1"/>
  <c r="AB121" i="11" s="1"/>
  <c r="AD121" i="11" s="1"/>
  <c r="AB121" i="12" s="1"/>
  <c r="AD121" i="12" s="1"/>
  <c r="AD124" i="5"/>
  <c r="AB124" i="6" s="1"/>
  <c r="AD124" i="6" s="1"/>
  <c r="AB124" i="7" s="1"/>
  <c r="AD124" i="7" s="1"/>
  <c r="AD125" i="5"/>
  <c r="AB125" i="6" s="1"/>
  <c r="AD125" i="6" s="1"/>
  <c r="AB125" i="7" s="1"/>
  <c r="AD125" i="7" s="1"/>
  <c r="AB125" i="8" s="1"/>
  <c r="AD125" i="8" s="1"/>
  <c r="AB125" i="9" s="1"/>
  <c r="AD125" i="9" s="1"/>
  <c r="AB125" i="10" s="1"/>
  <c r="AD125" i="10" s="1"/>
  <c r="AB125" i="11" s="1"/>
  <c r="AD125" i="11" s="1"/>
  <c r="AB125" i="12" s="1"/>
  <c r="AD125" i="12" s="1"/>
  <c r="AB125" i="13" s="1"/>
  <c r="AD125" i="13" s="1"/>
  <c r="AB125" i="14" s="1"/>
  <c r="AD125" i="14" s="1"/>
  <c r="AB125" i="15" s="1"/>
  <c r="AD125" i="15" s="1"/>
  <c r="AD126" i="5"/>
  <c r="AB126" i="6" s="1"/>
  <c r="AD126" i="6" s="1"/>
  <c r="AB126" i="7" s="1"/>
  <c r="AD126" i="7" s="1"/>
  <c r="AB126" i="8" s="1"/>
  <c r="AD126" i="8" s="1"/>
  <c r="AB126" i="9" s="1"/>
  <c r="AD126" i="9" s="1"/>
  <c r="AB126" i="10" s="1"/>
  <c r="AD126" i="10" s="1"/>
  <c r="AB126" i="11" s="1"/>
  <c r="AD126" i="11" s="1"/>
  <c r="AB126" i="12" s="1"/>
  <c r="AD126" i="12" s="1"/>
  <c r="AB126" i="13" s="1"/>
  <c r="AD126" i="13" s="1"/>
  <c r="AB126" i="14" s="1"/>
  <c r="AD126" i="14" s="1"/>
  <c r="AB126" i="15" s="1"/>
  <c r="AD126" i="15" s="1"/>
  <c r="AD127" i="5"/>
  <c r="AB127" i="6" s="1"/>
  <c r="AD127" i="6" s="1"/>
  <c r="AB127" i="7" s="1"/>
  <c r="AD127" i="7" s="1"/>
  <c r="AB127" i="8" s="1"/>
  <c r="AD127" i="8" s="1"/>
  <c r="AD128" i="5"/>
  <c r="AB128" i="6" s="1"/>
  <c r="AD128" i="6" s="1"/>
  <c r="AB128" i="7" s="1"/>
  <c r="AD128" i="7" s="1"/>
  <c r="AB128" i="8" s="1"/>
  <c r="AD128" i="8" s="1"/>
  <c r="AB128" i="9" s="1"/>
  <c r="AD128" i="9" s="1"/>
  <c r="AB128" i="10" s="1"/>
  <c r="AD128" i="10" s="1"/>
  <c r="AB128" i="11" s="1"/>
  <c r="AD128" i="11" s="1"/>
  <c r="AB128" i="12" s="1"/>
  <c r="AD128" i="12" s="1"/>
  <c r="AB128" i="13" s="1"/>
  <c r="AD128" i="13" s="1"/>
  <c r="AB128" i="14" s="1"/>
  <c r="AD128" i="14" s="1"/>
  <c r="AB128" i="15" s="1"/>
  <c r="AD128" i="15" s="1"/>
  <c r="AB128" i="16" s="1"/>
  <c r="AD128" i="16" s="1"/>
  <c r="AD129" i="5"/>
  <c r="AB129" i="6" s="1"/>
  <c r="AD129" i="6" s="1"/>
  <c r="AB129" i="7" s="1"/>
  <c r="AD129" i="7" s="1"/>
  <c r="AB129" i="8" s="1"/>
  <c r="AD129" i="8" s="1"/>
  <c r="AB129" i="9" s="1"/>
  <c r="AD129" i="9" s="1"/>
  <c r="AB129" i="10" s="1"/>
  <c r="AD129" i="10" s="1"/>
  <c r="AB129" i="11" s="1"/>
  <c r="AD129" i="11" s="1"/>
  <c r="AB129" i="12" s="1"/>
  <c r="AD129" i="12" s="1"/>
  <c r="AB129" i="13" s="1"/>
  <c r="AD129" i="13" s="1"/>
  <c r="AB129" i="14" s="1"/>
  <c r="AD129" i="14" s="1"/>
  <c r="AB129" i="15" s="1"/>
  <c r="AD129" i="15" s="1"/>
  <c r="AD130" i="5"/>
  <c r="AB130" i="6" s="1"/>
  <c r="AD130" i="6" s="1"/>
  <c r="AB130" i="7" s="1"/>
  <c r="AD130" i="7" s="1"/>
  <c r="AB130" i="8" s="1"/>
  <c r="AD130" i="8" s="1"/>
  <c r="AB130" i="9" s="1"/>
  <c r="AD130" i="9" s="1"/>
  <c r="AB130" i="10" s="1"/>
  <c r="AD130" i="10" s="1"/>
  <c r="AB130" i="11" s="1"/>
  <c r="AD130" i="11" s="1"/>
  <c r="AB130" i="12" s="1"/>
  <c r="AD130" i="12" s="1"/>
  <c r="AB130" i="13" s="1"/>
  <c r="AD130" i="13" s="1"/>
  <c r="AD131" i="5"/>
  <c r="AB131" i="6" s="1"/>
  <c r="AD131" i="6" s="1"/>
  <c r="AB131" i="7" s="1"/>
  <c r="AD131" i="7" s="1"/>
  <c r="AB131" i="8" s="1"/>
  <c r="AD131" i="8" s="1"/>
  <c r="AB131" i="9" s="1"/>
  <c r="AD131" i="9" s="1"/>
  <c r="AB131" i="10" s="1"/>
  <c r="AD131" i="10" s="1"/>
  <c r="AB131" i="11" s="1"/>
  <c r="AD131" i="11" s="1"/>
  <c r="AB131" i="12" s="1"/>
  <c r="AD131" i="12" s="1"/>
  <c r="AD132" i="5"/>
  <c r="AB132" i="6" s="1"/>
  <c r="AD132" i="6" s="1"/>
  <c r="AB132" i="7" s="1"/>
  <c r="AD132" i="7" s="1"/>
  <c r="AB132" i="8" s="1"/>
  <c r="AD132" i="8" s="1"/>
  <c r="AB132" i="9" s="1"/>
  <c r="AD132" i="9" s="1"/>
  <c r="AB132" i="10" s="1"/>
  <c r="AD132" i="10" s="1"/>
  <c r="AB132" i="11" s="1"/>
  <c r="AD132" i="11" s="1"/>
  <c r="AB132" i="12" s="1"/>
  <c r="AD132" i="12" s="1"/>
  <c r="AB132" i="13" s="1"/>
  <c r="AD132" i="13" s="1"/>
  <c r="AB132" i="14" s="1"/>
  <c r="AD132" i="14" s="1"/>
  <c r="AB132" i="15" s="1"/>
  <c r="AD132" i="15" s="1"/>
  <c r="AB132" i="16" s="1"/>
  <c r="AD132" i="16" s="1"/>
  <c r="AD133" i="5"/>
  <c r="AB133" i="6" s="1"/>
  <c r="AD133" i="6" s="1"/>
  <c r="AB133" i="7" s="1"/>
  <c r="AD133" i="7" s="1"/>
  <c r="AB133" i="8" s="1"/>
  <c r="AD133" i="8" s="1"/>
  <c r="AB133" i="9" s="1"/>
  <c r="AD133" i="9" s="1"/>
  <c r="AB133" i="10" s="1"/>
  <c r="AD133" i="10" s="1"/>
  <c r="AB133" i="11" s="1"/>
  <c r="AD133" i="11" s="1"/>
  <c r="AB133" i="12" s="1"/>
  <c r="AD133" i="12" s="1"/>
  <c r="AB133" i="13" s="1"/>
  <c r="AD133" i="13" s="1"/>
  <c r="AB133" i="14" s="1"/>
  <c r="AD133" i="14" s="1"/>
  <c r="AB133" i="15" s="1"/>
  <c r="AD133" i="15" s="1"/>
  <c r="AB133" i="16" s="1"/>
  <c r="AD133" i="16" s="1"/>
  <c r="AD134" i="5"/>
  <c r="AB134" i="6" s="1"/>
  <c r="AD134" i="6" s="1"/>
  <c r="AB134" i="7" s="1"/>
  <c r="AD134" i="7" s="1"/>
  <c r="AB134" i="8" s="1"/>
  <c r="AD134" i="8" s="1"/>
  <c r="AB134" i="9" s="1"/>
  <c r="AD134" i="9" s="1"/>
  <c r="AB134" i="10" s="1"/>
  <c r="AD134" i="10" s="1"/>
  <c r="AB134" i="11" s="1"/>
  <c r="AD134" i="11" s="1"/>
  <c r="AB134" i="12" s="1"/>
  <c r="AD134" i="12" s="1"/>
  <c r="AB134" i="13" s="1"/>
  <c r="AD134" i="13" s="1"/>
  <c r="AB134" i="14" s="1"/>
  <c r="AD134" i="14" s="1"/>
  <c r="AB134" i="15" s="1"/>
  <c r="AD134" i="15" s="1"/>
  <c r="AB134" i="16" s="1"/>
  <c r="AD134" i="16" s="1"/>
  <c r="AD135" i="5"/>
  <c r="AB135" i="6" s="1"/>
  <c r="AD135" i="6" s="1"/>
  <c r="AB135" i="7" s="1"/>
  <c r="AD135" i="7" s="1"/>
  <c r="AB135" i="8" s="1"/>
  <c r="AD135" i="8" s="1"/>
  <c r="AB135" i="9" s="1"/>
  <c r="AD135" i="9" s="1"/>
  <c r="AB135" i="10" s="1"/>
  <c r="AD135" i="10" s="1"/>
  <c r="AB135" i="11" s="1"/>
  <c r="AD135" i="11" s="1"/>
  <c r="AB135" i="12" s="1"/>
  <c r="AD135" i="12" s="1"/>
  <c r="AB135" i="13" s="1"/>
  <c r="AD135" i="13" s="1"/>
  <c r="AB135" i="14" s="1"/>
  <c r="AD135" i="14" s="1"/>
  <c r="AB135" i="15" s="1"/>
  <c r="AD135" i="15" s="1"/>
  <c r="AB135" i="16" s="1"/>
  <c r="AD135" i="16" s="1"/>
  <c r="AD136" i="5"/>
  <c r="AB136" i="6" s="1"/>
  <c r="AD136" i="6" s="1"/>
  <c r="AB136" i="7" s="1"/>
  <c r="AD136" i="7" s="1"/>
  <c r="AB136" i="8" s="1"/>
  <c r="AD136" i="8" s="1"/>
  <c r="AB136" i="9" s="1"/>
  <c r="AD136" i="9" s="1"/>
  <c r="AB136" i="10" s="1"/>
  <c r="AD136" i="10" s="1"/>
  <c r="AB136" i="11" s="1"/>
  <c r="AD136" i="11" s="1"/>
  <c r="AB136" i="12" s="1"/>
  <c r="AD136" i="12" s="1"/>
  <c r="AB136" i="13" s="1"/>
  <c r="AD136" i="13" s="1"/>
  <c r="AB136" i="14" s="1"/>
  <c r="AD136" i="14" s="1"/>
  <c r="AB136" i="15" s="1"/>
  <c r="AD136" i="15" s="1"/>
  <c r="AB136" i="16" s="1"/>
  <c r="AD136" i="16" s="1"/>
  <c r="AD137" i="5"/>
  <c r="AB137" i="6" s="1"/>
  <c r="AD137" i="6" s="1"/>
  <c r="AB137" i="7" s="1"/>
  <c r="AD137" i="7" s="1"/>
  <c r="AB137" i="8" s="1"/>
  <c r="AD137" i="8" s="1"/>
  <c r="AB137" i="9" s="1"/>
  <c r="AD137" i="9" s="1"/>
  <c r="AB137" i="10" s="1"/>
  <c r="AD137" i="10" s="1"/>
  <c r="AB137" i="11" s="1"/>
  <c r="AD137" i="11" s="1"/>
  <c r="AB137" i="12" s="1"/>
  <c r="AD137" i="12" s="1"/>
  <c r="AB137" i="13" s="1"/>
  <c r="AD137" i="13" s="1"/>
  <c r="AB137" i="14" s="1"/>
  <c r="AD137" i="14" s="1"/>
  <c r="AB137" i="15" s="1"/>
  <c r="AD137" i="15" s="1"/>
  <c r="AD138" i="5"/>
  <c r="AB138" i="6" s="1"/>
  <c r="AD138" i="6" s="1"/>
  <c r="AB138" i="7" s="1"/>
  <c r="AD138" i="7" s="1"/>
  <c r="AB138" i="8" s="1"/>
  <c r="AD138" i="8" s="1"/>
  <c r="AB138" i="9" s="1"/>
  <c r="AD138" i="9" s="1"/>
  <c r="AB138" i="10" s="1"/>
  <c r="AD138" i="10" s="1"/>
  <c r="AB138" i="11" s="1"/>
  <c r="AD138" i="11" s="1"/>
  <c r="AB138" i="12" s="1"/>
  <c r="AD138" i="12" s="1"/>
  <c r="AB138" i="13" s="1"/>
  <c r="AD138" i="13" s="1"/>
  <c r="AB138" i="14" s="1"/>
  <c r="AD138" i="14" s="1"/>
  <c r="AB138" i="15" s="1"/>
  <c r="AD138" i="15" s="1"/>
  <c r="AB138" i="16" s="1"/>
  <c r="AD138" i="16" s="1"/>
  <c r="AD139" i="5"/>
  <c r="AB139" i="6" s="1"/>
  <c r="AD139" i="6" s="1"/>
  <c r="AB139" i="7" s="1"/>
  <c r="AD139" i="7" s="1"/>
  <c r="AB139" i="8" s="1"/>
  <c r="AD139" i="8" s="1"/>
  <c r="AB139" i="9" s="1"/>
  <c r="AD139" i="9" s="1"/>
  <c r="AB139" i="10" s="1"/>
  <c r="AD139" i="10" s="1"/>
  <c r="AB139" i="11" s="1"/>
  <c r="AD139" i="11" s="1"/>
  <c r="AB139" i="12" s="1"/>
  <c r="AD139" i="12" s="1"/>
  <c r="AB139" i="13" s="1"/>
  <c r="AD139" i="13" s="1"/>
  <c r="AB139" i="14" s="1"/>
  <c r="AD139" i="14" s="1"/>
  <c r="AB139" i="15" s="1"/>
  <c r="AD139" i="15" s="1"/>
  <c r="AB139" i="16" s="1"/>
  <c r="AD139" i="16" s="1"/>
  <c r="AD142" i="5"/>
  <c r="AB142" i="6" s="1"/>
  <c r="AD142" i="6" s="1"/>
  <c r="AD143" i="5"/>
  <c r="AB143" i="6" s="1"/>
  <c r="AD143" i="6" s="1"/>
  <c r="AB143" i="7" s="1"/>
  <c r="AD143" i="7" s="1"/>
  <c r="AB143" i="8" s="1"/>
  <c r="AD143" i="8" s="1"/>
  <c r="AB143" i="9" s="1"/>
  <c r="AD143" i="9" s="1"/>
  <c r="AB143" i="10" s="1"/>
  <c r="AD148" i="5"/>
  <c r="AB148" i="6" s="1"/>
  <c r="AD148" i="6" s="1"/>
  <c r="AB148" i="7" s="1"/>
  <c r="AD148" i="7" s="1"/>
  <c r="AB148" i="8" s="1"/>
  <c r="AD148" i="8" s="1"/>
  <c r="AB148" i="9" s="1"/>
  <c r="AD148" i="9" s="1"/>
  <c r="AB148" i="10" s="1"/>
  <c r="AD148" i="10" s="1"/>
  <c r="AB148" i="11" s="1"/>
  <c r="AD148" i="11" s="1"/>
  <c r="AB148" i="12" s="1"/>
  <c r="AD148" i="12" s="1"/>
  <c r="AB148" i="13" s="1"/>
  <c r="AD148" i="13" s="1"/>
  <c r="AB148" i="14" s="1"/>
  <c r="AD148" i="14" s="1"/>
  <c r="AB148" i="15" s="1"/>
  <c r="AD148" i="15" s="1"/>
  <c r="AB148" i="16" s="1"/>
  <c r="AD148" i="16" s="1"/>
  <c r="AD150" i="5"/>
  <c r="AB150" i="6" s="1"/>
  <c r="AD150" i="6" s="1"/>
  <c r="AB150" i="7" s="1"/>
  <c r="AD150" i="7" s="1"/>
  <c r="AB150" i="8" s="1"/>
  <c r="AD151" i="5"/>
  <c r="AB151" i="6" s="1"/>
  <c r="AD152" i="5"/>
  <c r="AB152" i="6" s="1"/>
  <c r="AD152" i="6" s="1"/>
  <c r="AB152" i="7" s="1"/>
  <c r="AD152" i="7" s="1"/>
  <c r="AB152" i="8" s="1"/>
  <c r="AD152" i="8" s="1"/>
  <c r="AB152" i="9" s="1"/>
  <c r="AD152" i="9" s="1"/>
  <c r="AB152" i="10" s="1"/>
  <c r="AD152" i="10" s="1"/>
  <c r="AB152" i="11" s="1"/>
  <c r="AD152" i="11" s="1"/>
  <c r="AB152" i="12" s="1"/>
  <c r="AD152" i="12" s="1"/>
  <c r="AB152" i="13" s="1"/>
  <c r="AD152" i="13" s="1"/>
  <c r="AB152" i="14" s="1"/>
  <c r="AD152" i="14" s="1"/>
  <c r="AB152" i="15" s="1"/>
  <c r="AD152" i="15" s="1"/>
  <c r="AB152" i="16" s="1"/>
  <c r="AD152" i="16" s="1"/>
  <c r="AD153" i="5"/>
  <c r="AB153" i="6" s="1"/>
  <c r="AD153" i="6" s="1"/>
  <c r="AB153" i="7" s="1"/>
  <c r="AD153" i="7" s="1"/>
  <c r="AB153" i="8" s="1"/>
  <c r="AD153" i="8" s="1"/>
  <c r="AB153" i="9" s="1"/>
  <c r="AD153" i="9" s="1"/>
  <c r="AB153" i="10" s="1"/>
  <c r="AD153" i="10" s="1"/>
  <c r="AB153" i="11" s="1"/>
  <c r="AD153" i="11" s="1"/>
  <c r="AB153" i="12" s="1"/>
  <c r="AD153" i="12" s="1"/>
  <c r="AB153" i="13" s="1"/>
  <c r="AD153" i="13" s="1"/>
  <c r="AB153" i="14" s="1"/>
  <c r="AD153" i="14" s="1"/>
  <c r="AB153" i="15" s="1"/>
  <c r="AD153" i="15" s="1"/>
  <c r="AB153" i="16" s="1"/>
  <c r="AD153" i="16" s="1"/>
  <c r="AD156" i="5"/>
  <c r="AB156" i="6" s="1"/>
  <c r="AD156" i="6" s="1"/>
  <c r="AB156" i="7" s="1"/>
  <c r="AD156" i="7" s="1"/>
  <c r="AB156" i="8" s="1"/>
  <c r="AD156" i="8" s="1"/>
  <c r="AB156" i="9" s="1"/>
  <c r="AD156" i="9" s="1"/>
  <c r="AB156" i="10" s="1"/>
  <c r="AD156" i="10" s="1"/>
  <c r="AB156" i="11" s="1"/>
  <c r="AD156" i="11" s="1"/>
  <c r="AB156" i="12" s="1"/>
  <c r="AD156" i="12" s="1"/>
  <c r="AB156" i="13" s="1"/>
  <c r="AD156" i="13" s="1"/>
  <c r="AB156" i="14" s="1"/>
  <c r="AD156" i="14" s="1"/>
  <c r="AB156" i="15" s="1"/>
  <c r="AD156" i="15" s="1"/>
  <c r="AB156" i="16" s="1"/>
  <c r="AD156" i="16" s="1"/>
  <c r="O10" i="18" s="1"/>
  <c r="AD158" i="5"/>
  <c r="AB158" i="6" s="1"/>
  <c r="AD158" i="6" s="1"/>
  <c r="AB158" i="7" s="1"/>
  <c r="AD158" i="7" s="1"/>
  <c r="AB158" i="8" s="1"/>
  <c r="AD158" i="8" s="1"/>
  <c r="AB158" i="9" s="1"/>
  <c r="AD158" i="9" s="1"/>
  <c r="AB158" i="10" s="1"/>
  <c r="AD158" i="10" s="1"/>
  <c r="AB158" i="11" s="1"/>
  <c r="AD158" i="11" s="1"/>
  <c r="AB158" i="12" s="1"/>
  <c r="AD158" i="12" s="1"/>
  <c r="AB158" i="13" s="1"/>
  <c r="AD158" i="13" s="1"/>
  <c r="AB158" i="14" s="1"/>
  <c r="AD158" i="14" s="1"/>
  <c r="AB158" i="15" s="1"/>
  <c r="AD158" i="15" s="1"/>
  <c r="AD159" i="5"/>
  <c r="AB159" i="6" s="1"/>
  <c r="AD159" i="6" s="1"/>
  <c r="AB159" i="7" s="1"/>
  <c r="AD159" i="7" s="1"/>
  <c r="AB159" i="8" s="1"/>
  <c r="AD159" i="8" s="1"/>
  <c r="AB159" i="9" s="1"/>
  <c r="AD159" i="9" s="1"/>
  <c r="AB159" i="10" s="1"/>
  <c r="AD159" i="10" s="1"/>
  <c r="AB159" i="11" s="1"/>
  <c r="AD159" i="11" s="1"/>
  <c r="AB159" i="12" s="1"/>
  <c r="AD159" i="12" s="1"/>
  <c r="AB159" i="13" s="1"/>
  <c r="AD159" i="13" s="1"/>
  <c r="AB159" i="14" s="1"/>
  <c r="AD159" i="14" s="1"/>
  <c r="AB159" i="15" s="1"/>
  <c r="AD159" i="15" s="1"/>
  <c r="AB159" i="16" s="1"/>
  <c r="AD159" i="16" s="1"/>
  <c r="AD160" i="5"/>
  <c r="AB160" i="6" s="1"/>
  <c r="AD160" i="6" s="1"/>
  <c r="AB160" i="7" s="1"/>
  <c r="AD160" i="7" s="1"/>
  <c r="AB160" i="8" s="1"/>
  <c r="AD160" i="8" s="1"/>
  <c r="AB160" i="9" s="1"/>
  <c r="AD160" i="9" s="1"/>
  <c r="AB160" i="10" s="1"/>
  <c r="AD160" i="10" s="1"/>
  <c r="AB160" i="11" s="1"/>
  <c r="AD160" i="11" s="1"/>
  <c r="AB160" i="12" s="1"/>
  <c r="AD160" i="12" s="1"/>
  <c r="AB160" i="13" s="1"/>
  <c r="AD160" i="13" s="1"/>
  <c r="AB160" i="14" s="1"/>
  <c r="AD160" i="14" s="1"/>
  <c r="AB160" i="15" s="1"/>
  <c r="AD160" i="15" s="1"/>
  <c r="AB160" i="16" s="1"/>
  <c r="AD160" i="16" s="1"/>
  <c r="AD161" i="5"/>
  <c r="AB161" i="6" s="1"/>
  <c r="AD161" i="6" s="1"/>
  <c r="AB161" i="7" s="1"/>
  <c r="AD161" i="7" s="1"/>
  <c r="AB161" i="8" s="1"/>
  <c r="AD161" i="8" s="1"/>
  <c r="AB161" i="9" s="1"/>
  <c r="AD161" i="9" s="1"/>
  <c r="AB161" i="10" s="1"/>
  <c r="AD161" i="10" s="1"/>
  <c r="AB161" i="11" s="1"/>
  <c r="AD161" i="11" s="1"/>
  <c r="AB161" i="12" s="1"/>
  <c r="AD161" i="12" s="1"/>
  <c r="AB161" i="13" s="1"/>
  <c r="AD161" i="13" s="1"/>
  <c r="AB161" i="14" s="1"/>
  <c r="AD161" i="14" s="1"/>
  <c r="AB161" i="15" s="1"/>
  <c r="AD161" i="15" s="1"/>
  <c r="AD162" i="5"/>
  <c r="AB162" i="6" s="1"/>
  <c r="AD162" i="6" s="1"/>
  <c r="AB162" i="7" s="1"/>
  <c r="AD162" i="7" s="1"/>
  <c r="AB162" i="8" s="1"/>
  <c r="AD162" i="8" s="1"/>
  <c r="AB162" i="9" s="1"/>
  <c r="AD162" i="9" s="1"/>
  <c r="AB162" i="10" s="1"/>
  <c r="AD162" i="10" s="1"/>
  <c r="AB162" i="11" s="1"/>
  <c r="AD162" i="11" s="1"/>
  <c r="AB162" i="12" s="1"/>
  <c r="AD162" i="12" s="1"/>
  <c r="AB162" i="13" s="1"/>
  <c r="AD162" i="13" s="1"/>
  <c r="AB162" i="14" s="1"/>
  <c r="AD162" i="14" s="1"/>
  <c r="AB162" i="15" s="1"/>
  <c r="AD162" i="15" s="1"/>
  <c r="AB162" i="16" s="1"/>
  <c r="AD162" i="16" s="1"/>
  <c r="AD163" i="5"/>
  <c r="AB163" i="6" s="1"/>
  <c r="AD163" i="6" s="1"/>
  <c r="AB163" i="7" s="1"/>
  <c r="AD163" i="7" s="1"/>
  <c r="AB163" i="8" s="1"/>
  <c r="AD163" i="8" s="1"/>
  <c r="AB163" i="9" s="1"/>
  <c r="AD163" i="9" s="1"/>
  <c r="AB163" i="10" s="1"/>
  <c r="AD163" i="10" s="1"/>
  <c r="AB163" i="11" s="1"/>
  <c r="AD163" i="11" s="1"/>
  <c r="AB163" i="12" s="1"/>
  <c r="AD163" i="12" s="1"/>
  <c r="AB163" i="13" s="1"/>
  <c r="AD163" i="13" s="1"/>
  <c r="AB163" i="14" s="1"/>
  <c r="AD163" i="14" s="1"/>
  <c r="AB163" i="15" s="1"/>
  <c r="AD163" i="15" s="1"/>
  <c r="AB163" i="16" s="1"/>
  <c r="AD163" i="16" s="1"/>
  <c r="AD164" i="5"/>
  <c r="AB164" i="6" s="1"/>
  <c r="AD164" i="6" s="1"/>
  <c r="AB164" i="7" s="1"/>
  <c r="AD164" i="7" s="1"/>
  <c r="AB164" i="8" s="1"/>
  <c r="AD164" i="8" s="1"/>
  <c r="AB164" i="9" s="1"/>
  <c r="AD164" i="9" s="1"/>
  <c r="AB164" i="10" s="1"/>
  <c r="AD164" i="10" s="1"/>
  <c r="AB164" i="11" s="1"/>
  <c r="AD164" i="11" s="1"/>
  <c r="AB164" i="12" s="1"/>
  <c r="AD164" i="12" s="1"/>
  <c r="AB164" i="13" s="1"/>
  <c r="AD164" i="13" s="1"/>
  <c r="AB164" i="14" s="1"/>
  <c r="AD164" i="14" s="1"/>
  <c r="AB164" i="15" s="1"/>
  <c r="AD164" i="15" s="1"/>
  <c r="AB164" i="16" s="1"/>
  <c r="AD164" i="16" s="1"/>
  <c r="AD165" i="5"/>
  <c r="AB165" i="6" s="1"/>
  <c r="AD165" i="6" s="1"/>
  <c r="AB165" i="7" s="1"/>
  <c r="AD165" i="7" s="1"/>
  <c r="AB165" i="8" s="1"/>
  <c r="AD165" i="8" s="1"/>
  <c r="AB165" i="9" s="1"/>
  <c r="AD165" i="9" s="1"/>
  <c r="AB165" i="10" s="1"/>
  <c r="AD165" i="10" s="1"/>
  <c r="AB165" i="11" s="1"/>
  <c r="AD165" i="11" s="1"/>
  <c r="AB165" i="12" s="1"/>
  <c r="AD165" i="12" s="1"/>
  <c r="AB165" i="13" s="1"/>
  <c r="AD165" i="13" s="1"/>
  <c r="AB165" i="14" s="1"/>
  <c r="AD165" i="14" s="1"/>
  <c r="AB165" i="15" s="1"/>
  <c r="AD165" i="15" s="1"/>
  <c r="AD166" i="5"/>
  <c r="AB166" i="6" s="1"/>
  <c r="AD166" i="6" s="1"/>
  <c r="AB166" i="7" s="1"/>
  <c r="AD166" i="7" s="1"/>
  <c r="AB166" i="8" s="1"/>
  <c r="AD166" i="8" s="1"/>
  <c r="AB166" i="9" s="1"/>
  <c r="AD166" i="9" s="1"/>
  <c r="AB166" i="10" s="1"/>
  <c r="AD166" i="10" s="1"/>
  <c r="AB166" i="11" s="1"/>
  <c r="AD166" i="11" s="1"/>
  <c r="AB166" i="12" s="1"/>
  <c r="AD166" i="12" s="1"/>
  <c r="AB166" i="13" s="1"/>
  <c r="AD166" i="13" s="1"/>
  <c r="AB166" i="14" s="1"/>
  <c r="AD166" i="14" s="1"/>
  <c r="AB166" i="15" s="1"/>
  <c r="AD166" i="15" s="1"/>
  <c r="AB166" i="16" s="1"/>
  <c r="AD166" i="16" s="1"/>
  <c r="AD167" i="5"/>
  <c r="AB167" i="6" s="1"/>
  <c r="AD168" i="5"/>
  <c r="AB168" i="6" s="1"/>
  <c r="AD168" i="6" s="1"/>
  <c r="AB168" i="7" s="1"/>
  <c r="AD168" i="7" s="1"/>
  <c r="AB168" i="8" s="1"/>
  <c r="AD168" i="8" s="1"/>
  <c r="AB168" i="9" s="1"/>
  <c r="AD168" i="9" s="1"/>
  <c r="AB168" i="10" s="1"/>
  <c r="AD168" i="10" s="1"/>
  <c r="AB168" i="11" s="1"/>
  <c r="AD168" i="11" s="1"/>
  <c r="AB168" i="12" s="1"/>
  <c r="AD168" i="12" s="1"/>
  <c r="AB168" i="13" s="1"/>
  <c r="AD168" i="13" s="1"/>
  <c r="AB168" i="14" s="1"/>
  <c r="AD173" i="5"/>
  <c r="AB173" i="6" s="1"/>
  <c r="AD173" i="6" s="1"/>
  <c r="AB173" i="7" s="1"/>
  <c r="AD173" i="7" s="1"/>
  <c r="AB173" i="8" s="1"/>
  <c r="AD173" i="8" s="1"/>
  <c r="AB173" i="9" s="1"/>
  <c r="AD173" i="9" s="1"/>
  <c r="AB173" i="10" s="1"/>
  <c r="AD174" i="5"/>
  <c r="AB174" i="6" s="1"/>
  <c r="AD174" i="6" s="1"/>
  <c r="AB174" i="7" s="1"/>
  <c r="AD177" i="5"/>
  <c r="AB177" i="6" s="1"/>
  <c r="AD177" i="6" s="1"/>
  <c r="AB177" i="7" s="1"/>
  <c r="AD177" i="7" s="1"/>
  <c r="AB177" i="8" s="1"/>
  <c r="AD177" i="8" s="1"/>
  <c r="AB177" i="9" s="1"/>
  <c r="AD177" i="9" s="1"/>
  <c r="AB177" i="10" s="1"/>
  <c r="AD177" i="10" s="1"/>
  <c r="AB177" i="11" s="1"/>
  <c r="AD177" i="11" s="1"/>
  <c r="AB177" i="12" s="1"/>
  <c r="AD177" i="12" s="1"/>
  <c r="AD178" i="5"/>
  <c r="AB178" i="6" s="1"/>
  <c r="AD178" i="6" s="1"/>
  <c r="AB178" i="7" s="1"/>
  <c r="AD178" i="7" s="1"/>
  <c r="AB178" i="8" s="1"/>
  <c r="AD178" i="8" s="1"/>
  <c r="AB178" i="9" s="1"/>
  <c r="AD178" i="9" s="1"/>
  <c r="AB178" i="10" s="1"/>
  <c r="AD178" i="10" s="1"/>
  <c r="AB178" i="11" s="1"/>
  <c r="AD178" i="11" s="1"/>
  <c r="AB178" i="12" s="1"/>
  <c r="AD178" i="12" s="1"/>
  <c r="AB178" i="13" s="1"/>
  <c r="AD178" i="13" s="1"/>
  <c r="AB178" i="14" s="1"/>
  <c r="AD178" i="14" s="1"/>
  <c r="AB178" i="15" s="1"/>
  <c r="AD178" i="15" s="1"/>
  <c r="AB178" i="16" s="1"/>
  <c r="AD178" i="16" s="1"/>
  <c r="AD179" i="5"/>
  <c r="AB179" i="6" s="1"/>
  <c r="AD179" i="6" s="1"/>
  <c r="AB179" i="7" s="1"/>
  <c r="AD179" i="7" s="1"/>
  <c r="AB179" i="8" s="1"/>
  <c r="AD179" i="8" s="1"/>
  <c r="AB179" i="9" s="1"/>
  <c r="AD179" i="9" s="1"/>
  <c r="AB179" i="10" s="1"/>
  <c r="AD179" i="10" s="1"/>
  <c r="AB179" i="11" s="1"/>
  <c r="AD179" i="11" s="1"/>
  <c r="AB179" i="12" s="1"/>
  <c r="AD179" i="12" s="1"/>
  <c r="AB179" i="13" s="1"/>
  <c r="AD179" i="13" s="1"/>
  <c r="AB179" i="14" s="1"/>
  <c r="AD179" i="14" s="1"/>
  <c r="AB179" i="15" s="1"/>
  <c r="AD179" i="15" s="1"/>
  <c r="AD180" i="5"/>
  <c r="AB180" i="6" s="1"/>
  <c r="AD181" i="5"/>
  <c r="AB181" i="6" s="1"/>
  <c r="AD181" i="6" s="1"/>
  <c r="AB181" i="7" s="1"/>
  <c r="AD181" i="7" s="1"/>
  <c r="AB181" i="8" s="1"/>
  <c r="AD181" i="8" s="1"/>
  <c r="AB181" i="9" s="1"/>
  <c r="AD181" i="9" s="1"/>
  <c r="AB181" i="10" s="1"/>
  <c r="AD181" i="10" s="1"/>
  <c r="AD182" i="5"/>
  <c r="AB182" i="6" s="1"/>
  <c r="AD182" i="6" s="1"/>
  <c r="AB182" i="7" s="1"/>
  <c r="AD182" i="7" s="1"/>
  <c r="AB182" i="8" s="1"/>
  <c r="AD182" i="8" s="1"/>
  <c r="AB182" i="9" s="1"/>
  <c r="AD182" i="9" s="1"/>
  <c r="AB182" i="10" s="1"/>
  <c r="AD182" i="10" s="1"/>
  <c r="AB182" i="11" s="1"/>
  <c r="AD182" i="11" s="1"/>
  <c r="AB182" i="12" s="1"/>
  <c r="AD182" i="12" s="1"/>
  <c r="AB182" i="13" s="1"/>
  <c r="AD182" i="13" s="1"/>
  <c r="AB182" i="14" s="1"/>
  <c r="AD182" i="14" s="1"/>
  <c r="AB182" i="15" s="1"/>
  <c r="AD182" i="15" s="1"/>
  <c r="AD183" i="5"/>
  <c r="AB183" i="6" s="1"/>
  <c r="AD183" i="6" s="1"/>
  <c r="AB183" i="7" s="1"/>
  <c r="AD183" i="7" s="1"/>
  <c r="AB183" i="8" s="1"/>
  <c r="AD183" i="8" s="1"/>
  <c r="AB183" i="9" s="1"/>
  <c r="AD183" i="9" s="1"/>
  <c r="AB183" i="10" s="1"/>
  <c r="AD183" i="10" s="1"/>
  <c r="AB183" i="11" s="1"/>
  <c r="AD183" i="11" s="1"/>
  <c r="AB183" i="12" s="1"/>
  <c r="AD183" i="12" s="1"/>
  <c r="AB183" i="13" s="1"/>
  <c r="AD183" i="13" s="1"/>
  <c r="AB183" i="14" s="1"/>
  <c r="AD183" i="14" s="1"/>
  <c r="AB183" i="15" s="1"/>
  <c r="AD183" i="15" s="1"/>
  <c r="AB183" i="16" s="1"/>
  <c r="AD183" i="16" s="1"/>
  <c r="AD186" i="5"/>
  <c r="AB186" i="6" s="1"/>
  <c r="AD186" i="6" s="1"/>
  <c r="AB186" i="7" s="1"/>
  <c r="AD186" i="7" s="1"/>
  <c r="AB186" i="8" s="1"/>
  <c r="AD186" i="8" s="1"/>
  <c r="AB186" i="9" s="1"/>
  <c r="AD186" i="9" s="1"/>
  <c r="AB186" i="10" s="1"/>
  <c r="AD186" i="10" s="1"/>
  <c r="AB186" i="11" s="1"/>
  <c r="AD186" i="11" s="1"/>
  <c r="AB186" i="12" s="1"/>
  <c r="AD186" i="12" s="1"/>
  <c r="AB186" i="13" s="1"/>
  <c r="AD186" i="13" s="1"/>
  <c r="AB186" i="14" s="1"/>
  <c r="AD186" i="14" s="1"/>
  <c r="AB186" i="15" s="1"/>
  <c r="AD186" i="15" s="1"/>
  <c r="AB186" i="16" s="1"/>
  <c r="AD188" i="5"/>
  <c r="AB188" i="6" s="1"/>
  <c r="AD188" i="6" s="1"/>
  <c r="AB188" i="7" s="1"/>
  <c r="AD188" i="7" s="1"/>
  <c r="AB188" i="8" s="1"/>
  <c r="AD188" i="8" s="1"/>
  <c r="AD189" i="5"/>
  <c r="AB189" i="6" s="1"/>
  <c r="AD189" i="6" s="1"/>
  <c r="AB189" i="7" s="1"/>
  <c r="AD189" i="7" s="1"/>
  <c r="AB189" i="8" s="1"/>
  <c r="AD189" i="8" s="1"/>
  <c r="AB189" i="9" s="1"/>
  <c r="AD189" i="9" s="1"/>
  <c r="AB189" i="10" s="1"/>
  <c r="AD189" i="10" s="1"/>
  <c r="AB189" i="11" s="1"/>
  <c r="AD189" i="11" s="1"/>
  <c r="AB189" i="12" s="1"/>
  <c r="AD189" i="12" s="1"/>
  <c r="AB189" i="13" s="1"/>
  <c r="AD189" i="13" s="1"/>
  <c r="AB189" i="14" s="1"/>
  <c r="AD189" i="14" s="1"/>
  <c r="AB189" i="15" s="1"/>
  <c r="AD189" i="15" s="1"/>
  <c r="AB189" i="16" s="1"/>
  <c r="AD189" i="16" s="1"/>
  <c r="AD190" i="5"/>
  <c r="AB190" i="6" s="1"/>
  <c r="AD190" i="6" s="1"/>
  <c r="AB190" i="7" s="1"/>
  <c r="AD190" i="7" s="1"/>
  <c r="AB190" i="8" s="1"/>
  <c r="AD190" i="8" s="1"/>
  <c r="AB190" i="9" s="1"/>
  <c r="AD190" i="9" s="1"/>
  <c r="AB190" i="10" s="1"/>
  <c r="AD190" i="10" s="1"/>
  <c r="AB190" i="11" s="1"/>
  <c r="AD190" i="11" s="1"/>
  <c r="AB190" i="12" s="1"/>
  <c r="AD190" i="12" s="1"/>
  <c r="AB190" i="13" s="1"/>
  <c r="AD190" i="13" s="1"/>
  <c r="AB190" i="14" s="1"/>
  <c r="AD190" i="14" s="1"/>
  <c r="AB190" i="15" s="1"/>
  <c r="AD190" i="15" s="1"/>
  <c r="AB190" i="16" s="1"/>
  <c r="AD190" i="16" s="1"/>
  <c r="AD191" i="5"/>
  <c r="AB191" i="6" s="1"/>
  <c r="AD191" i="6" s="1"/>
  <c r="AB191" i="7" s="1"/>
  <c r="AD191" i="7" s="1"/>
  <c r="AB191" i="8" s="1"/>
  <c r="AD191" i="8" s="1"/>
  <c r="AB191" i="9" s="1"/>
  <c r="AD191" i="9" s="1"/>
  <c r="AB191" i="10" s="1"/>
  <c r="AD191" i="10" s="1"/>
  <c r="AB191" i="11" s="1"/>
  <c r="AD191" i="11" s="1"/>
  <c r="AB191" i="12" s="1"/>
  <c r="AD191" i="12" s="1"/>
  <c r="AB191" i="13" s="1"/>
  <c r="AD191" i="13" s="1"/>
  <c r="AB191" i="14" s="1"/>
  <c r="AD191" i="14" s="1"/>
  <c r="AB191" i="15" s="1"/>
  <c r="AD191" i="15" s="1"/>
  <c r="AB191" i="16" s="1"/>
  <c r="AD191" i="16" s="1"/>
  <c r="AD198" i="5"/>
  <c r="AB198" i="6" s="1"/>
  <c r="AD198" i="6" s="1"/>
  <c r="AB198" i="7" s="1"/>
  <c r="AD198" i="7" s="1"/>
  <c r="AB198" i="8" s="1"/>
  <c r="AD199" i="5"/>
  <c r="AB199" i="6" s="1"/>
  <c r="AD199" i="6" s="1"/>
  <c r="AB199" i="7" s="1"/>
  <c r="AD199" i="7" s="1"/>
  <c r="AB199" i="8" s="1"/>
  <c r="AD199" i="8" s="1"/>
  <c r="AB199" i="9" s="1"/>
  <c r="AD199" i="9" s="1"/>
  <c r="AB199" i="10" s="1"/>
  <c r="AD199" i="10" s="1"/>
  <c r="AB199" i="11" s="1"/>
  <c r="AD199" i="11" s="1"/>
  <c r="AB199" i="12" s="1"/>
  <c r="AD199" i="12" s="1"/>
  <c r="AB199" i="13" s="1"/>
  <c r="AD199" i="13" s="1"/>
  <c r="AB199" i="14" s="1"/>
  <c r="AD199" i="14" s="1"/>
  <c r="AB199" i="15" s="1"/>
  <c r="AD199" i="15" s="1"/>
  <c r="AB199" i="16" s="1"/>
  <c r="AD199" i="16" s="1"/>
  <c r="AD200" i="5"/>
  <c r="AB200" i="6" s="1"/>
  <c r="AD200" i="6" s="1"/>
  <c r="AB200" i="7" s="1"/>
  <c r="AD200" i="7" s="1"/>
  <c r="AB200" i="8" s="1"/>
  <c r="AD200" i="8" s="1"/>
  <c r="AB200" i="9" s="1"/>
  <c r="AD200" i="9" s="1"/>
  <c r="AB200" i="10" s="1"/>
  <c r="AD200" i="10" s="1"/>
  <c r="AB200" i="11" s="1"/>
  <c r="AD200" i="11" s="1"/>
  <c r="AB200" i="12" s="1"/>
  <c r="AD200" i="12" s="1"/>
  <c r="AB200" i="13" s="1"/>
  <c r="AD200" i="13" s="1"/>
  <c r="AB200" i="14" s="1"/>
  <c r="AD200" i="14" s="1"/>
  <c r="AB200" i="15" s="1"/>
  <c r="AD200" i="15" s="1"/>
  <c r="AB200" i="16" s="1"/>
  <c r="AD200" i="16" s="1"/>
  <c r="AD201" i="5"/>
  <c r="AB201" i="6" s="1"/>
  <c r="AD201" i="6" s="1"/>
  <c r="AB201" i="7" s="1"/>
  <c r="AD201" i="7" s="1"/>
  <c r="AB201" i="8" s="1"/>
  <c r="AD201" i="8" s="1"/>
  <c r="AB201" i="9" s="1"/>
  <c r="AD201" i="9" s="1"/>
  <c r="AB201" i="10" s="1"/>
  <c r="AD201" i="10" s="1"/>
  <c r="AB201" i="11" s="1"/>
  <c r="AD201" i="11" s="1"/>
  <c r="AB201" i="12" s="1"/>
  <c r="AD201" i="12" s="1"/>
  <c r="AB201" i="13" s="1"/>
  <c r="AD201" i="13" s="1"/>
  <c r="AB201" i="14" s="1"/>
  <c r="AD201" i="14" s="1"/>
  <c r="AB201" i="15" s="1"/>
  <c r="AD201" i="15" s="1"/>
  <c r="AB201" i="16" s="1"/>
  <c r="AD201" i="16" s="1"/>
  <c r="AD202" i="5"/>
  <c r="AB202" i="6" s="1"/>
  <c r="AD202" i="6" s="1"/>
  <c r="AB202" i="7" s="1"/>
  <c r="AD202" i="7" s="1"/>
  <c r="AB202" i="8" s="1"/>
  <c r="AD202" i="8" s="1"/>
  <c r="AB202" i="9" s="1"/>
  <c r="AD202" i="9" s="1"/>
  <c r="AB202" i="10" s="1"/>
  <c r="AD202" i="10" s="1"/>
  <c r="AB202" i="11" s="1"/>
  <c r="AD202" i="11" s="1"/>
  <c r="AB202" i="12" s="1"/>
  <c r="AD202" i="12" s="1"/>
  <c r="AB202" i="13" s="1"/>
  <c r="AD202" i="13" s="1"/>
  <c r="AB202" i="14" s="1"/>
  <c r="AD202" i="14" s="1"/>
  <c r="AB202" i="15" s="1"/>
  <c r="AD202" i="15" s="1"/>
  <c r="AD203" i="5"/>
  <c r="AB203" i="6" s="1"/>
  <c r="AD203" i="6" s="1"/>
  <c r="AB203" i="7" s="1"/>
  <c r="AD203" i="7" s="1"/>
  <c r="AB203" i="8" s="1"/>
  <c r="AD203" i="8" s="1"/>
  <c r="AB203" i="9" s="1"/>
  <c r="AD203" i="9" s="1"/>
  <c r="AB203" i="10" s="1"/>
  <c r="AD203" i="10" s="1"/>
  <c r="AB203" i="11" s="1"/>
  <c r="AD203" i="11" s="1"/>
  <c r="AB203" i="12" s="1"/>
  <c r="AD203" i="12" s="1"/>
  <c r="AB203" i="13" s="1"/>
  <c r="AD203" i="13" s="1"/>
  <c r="AB203" i="14" s="1"/>
  <c r="AD203" i="14" s="1"/>
  <c r="AB203" i="15" s="1"/>
  <c r="AD203" i="15" s="1"/>
  <c r="AD204" i="5"/>
  <c r="AB204" i="6" s="1"/>
  <c r="AD204" i="6" s="1"/>
  <c r="AB204" i="7" s="1"/>
  <c r="AD204" i="7" s="1"/>
  <c r="AB204" i="8" s="1"/>
  <c r="AD204" i="8" s="1"/>
  <c r="AB204" i="9" s="1"/>
  <c r="AD204" i="9" s="1"/>
  <c r="AB204" i="10" s="1"/>
  <c r="AD204" i="10" s="1"/>
  <c r="AB204" i="11" s="1"/>
  <c r="AD204" i="11" s="1"/>
  <c r="AB204" i="12" s="1"/>
  <c r="AD204" i="12" s="1"/>
  <c r="AB204" i="13" s="1"/>
  <c r="AD204" i="13" s="1"/>
  <c r="AB204" i="14" s="1"/>
  <c r="AD204" i="14" s="1"/>
  <c r="AB204" i="15" s="1"/>
  <c r="AD204" i="15" s="1"/>
  <c r="AB204" i="16" s="1"/>
  <c r="AD204" i="16" s="1"/>
  <c r="AD206" i="5"/>
  <c r="AB206" i="6" s="1"/>
  <c r="AD206" i="6" s="1"/>
  <c r="AD207" i="5"/>
  <c r="AB207" i="6" s="1"/>
  <c r="AD207" i="6" s="1"/>
  <c r="AB207" i="7" s="1"/>
  <c r="AD207" i="7" s="1"/>
  <c r="AB207" i="8" s="1"/>
  <c r="AD207" i="8" s="1"/>
  <c r="AB207" i="9" s="1"/>
  <c r="AD207" i="9" s="1"/>
  <c r="AB207" i="10" s="1"/>
  <c r="AD207" i="10" s="1"/>
  <c r="AB207" i="11" s="1"/>
  <c r="AD207" i="11" s="1"/>
  <c r="AB207" i="12" s="1"/>
  <c r="AD207" i="12" s="1"/>
  <c r="AB207" i="13" s="1"/>
  <c r="AD207" i="13" s="1"/>
  <c r="AB207" i="14" s="1"/>
  <c r="AD207" i="14" s="1"/>
  <c r="AB207" i="15" s="1"/>
  <c r="AD207" i="15" s="1"/>
  <c r="AD212" i="5"/>
  <c r="AB212" i="6" s="1"/>
  <c r="AD212" i="6" s="1"/>
  <c r="AB212" i="7" s="1"/>
  <c r="AD212" i="7" s="1"/>
  <c r="AB212" i="8" s="1"/>
  <c r="AD212" i="8" s="1"/>
  <c r="AB212" i="9" s="1"/>
  <c r="AD212" i="9" s="1"/>
  <c r="AB212" i="10" s="1"/>
  <c r="AD212" i="10" s="1"/>
  <c r="AB212" i="11" s="1"/>
  <c r="AD212" i="11" s="1"/>
  <c r="AB212" i="12" s="1"/>
  <c r="AD212" i="12" s="1"/>
  <c r="AB212" i="13" s="1"/>
  <c r="AD212" i="13" s="1"/>
  <c r="AB212" i="14" s="1"/>
  <c r="AD213" i="5"/>
  <c r="AB213" i="6" s="1"/>
  <c r="AD213" i="6" s="1"/>
  <c r="AB213" i="7" s="1"/>
  <c r="AD213" i="7" s="1"/>
  <c r="AB213" i="8" s="1"/>
  <c r="AD213" i="8" s="1"/>
  <c r="AB213" i="9" s="1"/>
  <c r="AD213" i="9" s="1"/>
  <c r="AB213" i="10" s="1"/>
  <c r="AD213" i="10" s="1"/>
  <c r="AB213" i="11" s="1"/>
  <c r="AD213" i="11" s="1"/>
  <c r="AB213" i="12" s="1"/>
  <c r="AD213" i="12" s="1"/>
  <c r="AB213" i="13" s="1"/>
  <c r="AD213" i="13" s="1"/>
  <c r="AB213" i="14" s="1"/>
  <c r="AD213" i="14" s="1"/>
  <c r="AB213" i="15" s="1"/>
  <c r="AD213" i="15" s="1"/>
  <c r="AB213" i="16" s="1"/>
  <c r="AD213" i="16" s="1"/>
  <c r="AD214" i="5"/>
  <c r="AB214" i="6" s="1"/>
  <c r="AD214" i="6" s="1"/>
  <c r="AB214" i="7" s="1"/>
  <c r="AD214" i="7" s="1"/>
  <c r="AB214" i="8" s="1"/>
  <c r="AD214" i="8" s="1"/>
  <c r="AB214" i="9" s="1"/>
  <c r="AD214" i="9" s="1"/>
  <c r="AB214" i="10" s="1"/>
  <c r="AD214" i="10" s="1"/>
  <c r="AB214" i="11" s="1"/>
  <c r="AD214" i="11" s="1"/>
  <c r="AB214" i="12" s="1"/>
  <c r="AD214" i="12" s="1"/>
  <c r="AB214" i="13" s="1"/>
  <c r="AD214" i="13" s="1"/>
  <c r="AB214" i="14" s="1"/>
  <c r="AD215" i="5"/>
  <c r="AB215" i="6" s="1"/>
  <c r="AD215" i="6" s="1"/>
  <c r="AB215" i="7" s="1"/>
  <c r="AD215" i="7" s="1"/>
  <c r="AB215" i="8" s="1"/>
  <c r="AD215" i="8" s="1"/>
  <c r="AD216" i="5"/>
  <c r="AB216" i="6" s="1"/>
  <c r="AD216" i="6" s="1"/>
  <c r="AB216" i="7" s="1"/>
  <c r="AD217" i="5"/>
  <c r="AB217" i="6" s="1"/>
  <c r="AD217" i="6" s="1"/>
  <c r="AB217" i="7" s="1"/>
  <c r="AD217" i="7" s="1"/>
  <c r="AB217" i="8" s="1"/>
  <c r="AD217" i="8" s="1"/>
  <c r="AB217" i="9" s="1"/>
  <c r="AD217" i="9" s="1"/>
  <c r="AB217" i="10" s="1"/>
  <c r="AD217" i="10" s="1"/>
  <c r="AB217" i="11" s="1"/>
  <c r="AD217" i="11" s="1"/>
  <c r="AB217" i="12" s="1"/>
  <c r="AD217" i="12" s="1"/>
  <c r="AB217" i="13" s="1"/>
  <c r="AD217" i="13" s="1"/>
  <c r="AB217" i="14" s="1"/>
  <c r="AD217" i="14" s="1"/>
  <c r="AD218" i="5"/>
  <c r="AB218" i="6" s="1"/>
  <c r="AD218" i="6" s="1"/>
  <c r="AB218" i="7" s="1"/>
  <c r="AD218" i="7" s="1"/>
  <c r="AB218" i="8" s="1"/>
  <c r="AD218" i="8" s="1"/>
  <c r="AB218" i="9" s="1"/>
  <c r="AD218" i="9" s="1"/>
  <c r="AB218" i="10" s="1"/>
  <c r="AD218" i="10" s="1"/>
  <c r="AB218" i="11" s="1"/>
  <c r="AD218" i="11" s="1"/>
  <c r="AB218" i="12" s="1"/>
  <c r="AD218" i="12" s="1"/>
  <c r="AB218" i="13" s="1"/>
  <c r="AD218" i="13" s="1"/>
  <c r="AB218" i="14" s="1"/>
  <c r="AD218" i="14" s="1"/>
  <c r="AB218" i="15" s="1"/>
  <c r="AD218" i="15" s="1"/>
  <c r="AB218" i="16" s="1"/>
  <c r="AD218" i="16" s="1"/>
  <c r="AD223" i="5"/>
  <c r="AB223" i="6" s="1"/>
  <c r="AD223" i="6" s="1"/>
  <c r="AB223" i="7" s="1"/>
  <c r="AD223" i="7" s="1"/>
  <c r="AB223" i="8" s="1"/>
  <c r="AD224" i="5"/>
  <c r="AB224" i="6" s="1"/>
  <c r="AD224" i="6" s="1"/>
  <c r="AB224" i="7" s="1"/>
  <c r="AD224" i="7" s="1"/>
  <c r="AB224" i="8" s="1"/>
  <c r="AD224" i="8" s="1"/>
  <c r="AB224" i="9" s="1"/>
  <c r="AD224" i="9" s="1"/>
  <c r="AB224" i="10" s="1"/>
  <c r="AD224" i="10" s="1"/>
  <c r="AB224" i="11" s="1"/>
  <c r="AD224" i="11" s="1"/>
  <c r="AB224" i="12" s="1"/>
  <c r="AD224" i="12" s="1"/>
  <c r="AB224" i="13" s="1"/>
  <c r="AD224" i="13" s="1"/>
  <c r="AB224" i="14" s="1"/>
  <c r="AD224" i="14" s="1"/>
  <c r="AB224" i="15" s="1"/>
  <c r="AD224" i="15" s="1"/>
  <c r="AB224" i="16" s="1"/>
  <c r="AD224" i="16" s="1"/>
  <c r="AD225" i="5"/>
  <c r="AB225" i="6" s="1"/>
  <c r="AD225" i="6" s="1"/>
  <c r="AB225" i="7" s="1"/>
  <c r="AD225" i="7" s="1"/>
  <c r="AB225" i="8" s="1"/>
  <c r="AD225" i="8" s="1"/>
  <c r="AB225" i="9" s="1"/>
  <c r="AD225" i="9" s="1"/>
  <c r="AB225" i="10" s="1"/>
  <c r="AD225" i="10" s="1"/>
  <c r="AB225" i="11" s="1"/>
  <c r="AD225" i="11" s="1"/>
  <c r="AB225" i="12" s="1"/>
  <c r="AD225" i="12" s="1"/>
  <c r="AB225" i="13" s="1"/>
  <c r="AD225" i="13" s="1"/>
  <c r="AB225" i="14" s="1"/>
  <c r="AD225" i="14" s="1"/>
  <c r="AB225" i="15" s="1"/>
  <c r="AD225" i="15" s="1"/>
  <c r="AB225" i="16" s="1"/>
  <c r="AD225" i="16" s="1"/>
  <c r="AD228" i="5"/>
  <c r="AB228" i="6" s="1"/>
  <c r="AD228" i="6" s="1"/>
  <c r="AB228" i="7" s="1"/>
  <c r="AD228" i="7" s="1"/>
  <c r="AD229" i="5"/>
  <c r="AB229" i="6" s="1"/>
  <c r="AD229" i="6" s="1"/>
  <c r="AB229" i="7" s="1"/>
  <c r="AD229" i="7" s="1"/>
  <c r="AB229" i="8" s="1"/>
  <c r="AD229" i="8" s="1"/>
  <c r="AD230" i="5"/>
  <c r="AB230" i="6" s="1"/>
  <c r="AD230" i="6" s="1"/>
  <c r="AB230" i="7" s="1"/>
  <c r="AD230" i="7" s="1"/>
  <c r="AB230" i="8" s="1"/>
  <c r="AD230" i="8" s="1"/>
  <c r="AB230" i="9" s="1"/>
  <c r="AD230" i="9" s="1"/>
  <c r="AB230" i="10" s="1"/>
  <c r="AD230" i="10" s="1"/>
  <c r="AB230" i="11" s="1"/>
  <c r="AD230" i="11" s="1"/>
  <c r="AB230" i="12" s="1"/>
  <c r="AD230" i="12" s="1"/>
  <c r="AB230" i="13" s="1"/>
  <c r="AD230" i="13" s="1"/>
  <c r="AB230" i="14" s="1"/>
  <c r="AD230" i="14" s="1"/>
  <c r="AB230" i="15" s="1"/>
  <c r="AD230" i="15" s="1"/>
  <c r="AD236" i="5"/>
  <c r="AB236" i="6" s="1"/>
  <c r="AD236" i="6" s="1"/>
  <c r="AB236" i="7" s="1"/>
  <c r="AD236" i="7" s="1"/>
  <c r="AB236" i="8" s="1"/>
  <c r="AD236" i="8" s="1"/>
  <c r="AB236" i="9" s="1"/>
  <c r="AD236" i="9" s="1"/>
  <c r="AB236" i="10" s="1"/>
  <c r="AD236" i="10" s="1"/>
  <c r="AB236" i="11" s="1"/>
  <c r="AD236" i="11" s="1"/>
  <c r="AB236" i="12" s="1"/>
  <c r="AD236" i="12" s="1"/>
  <c r="AB236" i="13" s="1"/>
  <c r="AD236" i="13" s="1"/>
  <c r="AD237" i="5"/>
  <c r="AB237" i="6" s="1"/>
  <c r="AD237" i="6" s="1"/>
  <c r="AB237" i="7" s="1"/>
  <c r="AD237" i="7" s="1"/>
  <c r="AB237" i="8" s="1"/>
  <c r="AD237" i="8" s="1"/>
  <c r="AB237" i="9" s="1"/>
  <c r="AD237" i="9" s="1"/>
  <c r="AB237" i="10" s="1"/>
  <c r="AD237" i="10" s="1"/>
  <c r="AB237" i="11" s="1"/>
  <c r="AD237" i="11" s="1"/>
  <c r="AB237" i="12" s="1"/>
  <c r="AD237" i="12" s="1"/>
  <c r="AB237" i="13" s="1"/>
  <c r="AD237" i="13" s="1"/>
  <c r="AB237" i="14" s="1"/>
  <c r="AD237" i="14" s="1"/>
  <c r="AB237" i="15" s="1"/>
  <c r="AD237" i="15" s="1"/>
  <c r="AB237" i="16" s="1"/>
  <c r="AD237" i="16" s="1"/>
  <c r="AD238" i="5"/>
  <c r="AB238" i="6" s="1"/>
  <c r="AD238" i="6" s="1"/>
  <c r="AB238" i="7" s="1"/>
  <c r="AD238" i="7" s="1"/>
  <c r="AB238" i="8" s="1"/>
  <c r="AD239" i="5"/>
  <c r="AB239" i="6" s="1"/>
  <c r="AD239" i="6" s="1"/>
  <c r="AB239" i="7" s="1"/>
  <c r="AD239" i="7" s="1"/>
  <c r="AB239" i="8" s="1"/>
  <c r="AD239" i="8" s="1"/>
  <c r="AB239" i="9" s="1"/>
  <c r="AD239" i="9" s="1"/>
  <c r="AB239" i="10" s="1"/>
  <c r="AD239" i="10" s="1"/>
  <c r="AB239" i="11" s="1"/>
  <c r="AD239" i="11" s="1"/>
  <c r="AB239" i="12" s="1"/>
  <c r="AD239" i="12" s="1"/>
  <c r="AB239" i="13" s="1"/>
  <c r="AD239" i="13" s="1"/>
  <c r="AB239" i="14" s="1"/>
  <c r="AD239" i="14" s="1"/>
  <c r="AB239" i="15" s="1"/>
  <c r="AD239" i="15" s="1"/>
  <c r="AB239" i="16" s="1"/>
  <c r="AD239" i="16" s="1"/>
  <c r="AD240" i="5"/>
  <c r="AB240" i="6" s="1"/>
  <c r="AD240" i="6" s="1"/>
  <c r="AB240" i="7" s="1"/>
  <c r="AD240" i="7" s="1"/>
  <c r="AB240" i="8" s="1"/>
  <c r="AD240" i="8" s="1"/>
  <c r="AB240" i="9" s="1"/>
  <c r="AD240" i="9" s="1"/>
  <c r="AB240" i="10" s="1"/>
  <c r="AD240" i="10" s="1"/>
  <c r="AB240" i="11" s="1"/>
  <c r="AD240" i="11" s="1"/>
  <c r="AB240" i="12" s="1"/>
  <c r="AD240" i="12" s="1"/>
  <c r="AB240" i="13" s="1"/>
  <c r="AD240" i="13" s="1"/>
  <c r="AB240" i="14" s="1"/>
  <c r="AD240" i="14" s="1"/>
  <c r="AB240" i="15" s="1"/>
  <c r="AD240" i="15" s="1"/>
  <c r="AD241" i="5"/>
  <c r="AB241" i="6" s="1"/>
  <c r="AD241" i="6" s="1"/>
  <c r="AB241" i="7" s="1"/>
  <c r="AD241" i="7" s="1"/>
  <c r="AB241" i="8" s="1"/>
  <c r="AD241" i="8" s="1"/>
  <c r="AB241" i="9" s="1"/>
  <c r="AD241" i="9" s="1"/>
  <c r="AB241" i="10" s="1"/>
  <c r="AD241" i="10" s="1"/>
  <c r="AB241" i="11" s="1"/>
  <c r="AD241" i="11" s="1"/>
  <c r="AB241" i="12" s="1"/>
  <c r="AD241" i="12" s="1"/>
  <c r="AB241" i="13" s="1"/>
  <c r="AD241" i="13" s="1"/>
  <c r="AB241" i="14" s="1"/>
  <c r="AD241" i="14" s="1"/>
  <c r="AB241" i="15" s="1"/>
  <c r="AD241" i="15" s="1"/>
  <c r="AB241" i="16" s="1"/>
  <c r="AD241" i="16" s="1"/>
  <c r="AD244" i="5"/>
  <c r="AD245" i="5"/>
  <c r="AB245" i="6" s="1"/>
  <c r="AD245" i="6" s="1"/>
  <c r="AB245" i="7" s="1"/>
  <c r="AD245" i="7" s="1"/>
  <c r="AB245" i="8" s="1"/>
  <c r="AD245" i="8" s="1"/>
  <c r="AB245" i="9" s="1"/>
  <c r="AD245" i="9" s="1"/>
  <c r="AB245" i="10" s="1"/>
  <c r="AD245" i="10" s="1"/>
  <c r="AB245" i="11" s="1"/>
  <c r="AD245" i="11" s="1"/>
  <c r="AB245" i="12" s="1"/>
  <c r="AD245" i="12" s="1"/>
  <c r="AB245" i="13" s="1"/>
  <c r="AD245" i="13" s="1"/>
  <c r="AB245" i="14" s="1"/>
  <c r="AD245" i="14" s="1"/>
  <c r="AB245" i="15" s="1"/>
  <c r="AD245" i="15" s="1"/>
  <c r="AB245" i="16" s="1"/>
  <c r="AD245" i="16" s="1"/>
  <c r="AD246" i="5"/>
  <c r="AB246" i="6" s="1"/>
  <c r="AD246" i="6" s="1"/>
  <c r="AB246" i="7" s="1"/>
  <c r="AD246" i="7" s="1"/>
  <c r="AB246" i="8" s="1"/>
  <c r="AD246" i="8" s="1"/>
  <c r="AB246" i="9" s="1"/>
  <c r="AD246" i="9" s="1"/>
  <c r="AB246" i="10" s="1"/>
  <c r="AD246" i="10" s="1"/>
  <c r="AB246" i="11" s="1"/>
  <c r="AD246" i="11" s="1"/>
  <c r="AB246" i="12" s="1"/>
  <c r="AD246" i="12" s="1"/>
  <c r="AB246" i="13" s="1"/>
  <c r="AD246" i="13" s="1"/>
  <c r="AB246" i="14" s="1"/>
  <c r="AD246" i="14" s="1"/>
  <c r="AB246" i="15" s="1"/>
  <c r="AD246" i="15" s="1"/>
  <c r="AD247" i="5"/>
  <c r="AB247" i="6" s="1"/>
  <c r="AD247" i="6" s="1"/>
  <c r="AB247" i="7" s="1"/>
  <c r="AD247" i="7" s="1"/>
  <c r="AB247" i="8" s="1"/>
  <c r="AD247" i="8" s="1"/>
  <c r="AB247" i="9" s="1"/>
  <c r="AD247" i="9" s="1"/>
  <c r="AB247" i="10" s="1"/>
  <c r="AD247" i="10" s="1"/>
  <c r="AB247" i="11" s="1"/>
  <c r="AD247" i="11" s="1"/>
  <c r="AB247" i="12" s="1"/>
  <c r="AD247" i="12" s="1"/>
  <c r="AB247" i="13" s="1"/>
  <c r="AD247" i="13" s="1"/>
  <c r="AB247" i="14" s="1"/>
  <c r="AD247" i="14" s="1"/>
  <c r="AB247" i="15" s="1"/>
  <c r="AD247" i="15" s="1"/>
  <c r="AB247" i="16" s="1"/>
  <c r="AD247" i="16" s="1"/>
  <c r="AD248" i="5"/>
  <c r="AB248" i="6" s="1"/>
  <c r="AD248" i="6" s="1"/>
  <c r="AB248" i="7" s="1"/>
  <c r="AD248" i="7" s="1"/>
  <c r="AB248" i="8" s="1"/>
  <c r="AD248" i="8" s="1"/>
  <c r="AB248" i="9" s="1"/>
  <c r="AD248" i="9" s="1"/>
  <c r="AB248" i="10" s="1"/>
  <c r="AD248" i="10" s="1"/>
  <c r="AB248" i="11" s="1"/>
  <c r="AD248" i="11" s="1"/>
  <c r="AB248" i="12" s="1"/>
  <c r="AD248" i="12" s="1"/>
  <c r="AB248" i="13" s="1"/>
  <c r="AD248" i="13" s="1"/>
  <c r="AB248" i="14" s="1"/>
  <c r="AD248" i="14" s="1"/>
  <c r="AB248" i="15" s="1"/>
  <c r="AD248" i="15" s="1"/>
  <c r="AB248" i="16" s="1"/>
  <c r="AD248" i="16" s="1"/>
  <c r="AD249" i="5"/>
  <c r="AB249" i="6" s="1"/>
  <c r="AD249" i="6" s="1"/>
  <c r="AB249" i="7" s="1"/>
  <c r="AD249" i="7" s="1"/>
  <c r="AB249" i="8" s="1"/>
  <c r="AD249" i="8" s="1"/>
  <c r="AB249" i="9" s="1"/>
  <c r="AD249" i="9" s="1"/>
  <c r="AB249" i="10" s="1"/>
  <c r="AD249" i="10" s="1"/>
  <c r="AB249" i="11" s="1"/>
  <c r="AD249" i="11" s="1"/>
  <c r="AB249" i="12" s="1"/>
  <c r="AD249" i="12" s="1"/>
  <c r="AB249" i="13" s="1"/>
  <c r="AD249" i="13" s="1"/>
  <c r="AB249" i="14" s="1"/>
  <c r="AD249" i="14" s="1"/>
  <c r="AB249" i="15" s="1"/>
  <c r="AD249" i="15" s="1"/>
  <c r="AD250" i="5"/>
  <c r="AB250" i="6" s="1"/>
  <c r="AD250" i="6" s="1"/>
  <c r="AB250" i="7" s="1"/>
  <c r="AD250" i="7" s="1"/>
  <c r="AB250" i="8" s="1"/>
  <c r="AD250" i="8" s="1"/>
  <c r="AB250" i="9" s="1"/>
  <c r="AD250" i="9" s="1"/>
  <c r="AB250" i="10" s="1"/>
  <c r="AD250" i="10" s="1"/>
  <c r="AB250" i="11" s="1"/>
  <c r="AD250" i="11" s="1"/>
  <c r="AB250" i="12" s="1"/>
  <c r="AD250" i="12" s="1"/>
  <c r="AB250" i="13" s="1"/>
  <c r="AD250" i="13" s="1"/>
  <c r="AB250" i="14" s="1"/>
  <c r="AD250" i="14" s="1"/>
  <c r="AB250" i="15" s="1"/>
  <c r="AD250" i="15" s="1"/>
  <c r="AB250" i="16" s="1"/>
  <c r="AD250" i="16" s="1"/>
  <c r="AD251" i="5"/>
  <c r="AB251" i="6" s="1"/>
  <c r="AD251" i="6" s="1"/>
  <c r="AB251" i="7" s="1"/>
  <c r="AD251" i="7" s="1"/>
  <c r="AB251" i="8" s="1"/>
  <c r="AD251" i="8" s="1"/>
  <c r="AB251" i="9" s="1"/>
  <c r="AD251" i="9" s="1"/>
  <c r="AB251" i="10" s="1"/>
  <c r="AD251" i="10" s="1"/>
  <c r="AB251" i="11" s="1"/>
  <c r="AD251" i="11" s="1"/>
  <c r="AB251" i="12" s="1"/>
  <c r="AD251" i="12" s="1"/>
  <c r="AB251" i="13" s="1"/>
  <c r="AD252" i="5"/>
  <c r="AB252" i="6" s="1"/>
  <c r="AD252" i="6" s="1"/>
  <c r="AB252" i="7" s="1"/>
  <c r="AD252" i="7" s="1"/>
  <c r="AB252" i="8" s="1"/>
  <c r="AD252" i="8" s="1"/>
  <c r="AB252" i="9" s="1"/>
  <c r="AD252" i="9" s="1"/>
  <c r="AB252" i="10" s="1"/>
  <c r="AD252" i="10" s="1"/>
  <c r="AB252" i="11" s="1"/>
  <c r="AD252" i="11" s="1"/>
  <c r="AB252" i="12" s="1"/>
  <c r="AD252" i="12" s="1"/>
  <c r="AB252" i="13" s="1"/>
  <c r="AD252" i="13" s="1"/>
  <c r="AB252" i="14" s="1"/>
  <c r="AD252" i="14" s="1"/>
  <c r="AB252" i="15" s="1"/>
  <c r="AD252" i="15" s="1"/>
  <c r="AB252" i="16" s="1"/>
  <c r="AD252" i="16" s="1"/>
  <c r="AD253" i="5"/>
  <c r="AB253" i="6" s="1"/>
  <c r="AD253" i="6" s="1"/>
  <c r="AB253" i="7" s="1"/>
  <c r="AD253" i="7" s="1"/>
  <c r="AB253" i="8" s="1"/>
  <c r="AD253" i="8" s="1"/>
  <c r="AB253" i="9" s="1"/>
  <c r="AD253" i="9" s="1"/>
  <c r="AB253" i="10" s="1"/>
  <c r="AD253" i="10" s="1"/>
  <c r="AB253" i="11" s="1"/>
  <c r="AD253" i="11" s="1"/>
  <c r="AB253" i="12" s="1"/>
  <c r="AD253" i="12" s="1"/>
  <c r="AB253" i="13" s="1"/>
  <c r="AD253" i="13" s="1"/>
  <c r="AB253" i="14" s="1"/>
  <c r="AD253" i="14" s="1"/>
  <c r="AD254" i="5"/>
  <c r="AB254" i="6" s="1"/>
  <c r="AD254" i="6" s="1"/>
  <c r="AB254" i="7" s="1"/>
  <c r="AD254" i="7" s="1"/>
  <c r="AB254" i="8" s="1"/>
  <c r="AD254" i="8" s="1"/>
  <c r="AB254" i="9" s="1"/>
  <c r="AD254" i="9" s="1"/>
  <c r="AB254" i="10" s="1"/>
  <c r="AD254" i="10" s="1"/>
  <c r="AB254" i="11" s="1"/>
  <c r="AD254" i="11" s="1"/>
  <c r="AB254" i="12" s="1"/>
  <c r="AD254" i="12" s="1"/>
  <c r="AB254" i="13" s="1"/>
  <c r="AD254" i="13" s="1"/>
  <c r="AB254" i="14" s="1"/>
  <c r="AD254" i="14" s="1"/>
  <c r="AB254" i="15" s="1"/>
  <c r="AD254" i="15" s="1"/>
  <c r="AD255" i="5"/>
  <c r="AB255" i="6" s="1"/>
  <c r="AD255" i="6" s="1"/>
  <c r="AB255" i="7" s="1"/>
  <c r="AD255" i="7" s="1"/>
  <c r="AB255" i="8" s="1"/>
  <c r="AD255" i="8" s="1"/>
  <c r="AB255" i="9" s="1"/>
  <c r="AD255" i="9" s="1"/>
  <c r="AB255" i="10" s="1"/>
  <c r="AD255" i="10" s="1"/>
  <c r="AB255" i="11" s="1"/>
  <c r="AD255" i="11" s="1"/>
  <c r="AB255" i="12" s="1"/>
  <c r="AD255" i="12" s="1"/>
  <c r="AB255" i="13" s="1"/>
  <c r="AD255" i="13" s="1"/>
  <c r="AB255" i="14" s="1"/>
  <c r="AD255" i="14" s="1"/>
  <c r="AB255" i="15" s="1"/>
  <c r="AD255" i="15" s="1"/>
  <c r="AB255" i="16" s="1"/>
  <c r="AD255" i="16" s="1"/>
  <c r="AD256" i="5"/>
  <c r="AB256" i="6" s="1"/>
  <c r="AD256" i="6" s="1"/>
  <c r="AB256" i="7" s="1"/>
  <c r="AD256" i="7" s="1"/>
  <c r="AB256" i="8" s="1"/>
  <c r="AD256" i="8" s="1"/>
  <c r="AB256" i="9" s="1"/>
  <c r="AD256" i="9" s="1"/>
  <c r="AB256" i="10" s="1"/>
  <c r="AD256" i="10" s="1"/>
  <c r="AB256" i="11" s="1"/>
  <c r="AD256" i="11" s="1"/>
  <c r="AB256" i="12" s="1"/>
  <c r="AD256" i="12" s="1"/>
  <c r="AB256" i="13" s="1"/>
  <c r="AD256" i="13" s="1"/>
  <c r="AB256" i="14" s="1"/>
  <c r="AD256" i="14" s="1"/>
  <c r="AB256" i="15" s="1"/>
  <c r="AD256" i="15" s="1"/>
  <c r="AD18" i="16"/>
  <c r="AD19" i="16"/>
  <c r="AG17" i="5"/>
  <c r="AE17" i="6" s="1"/>
  <c r="AG17" i="6" s="1"/>
  <c r="AE17" i="7" s="1"/>
  <c r="AG17" i="7" s="1"/>
  <c r="AE17" i="8" s="1"/>
  <c r="AG17" i="8" s="1"/>
  <c r="AE17" i="9" s="1"/>
  <c r="AG17" i="9" s="1"/>
  <c r="AE17" i="10" s="1"/>
  <c r="AG17" i="10" s="1"/>
  <c r="AE17" i="11" s="1"/>
  <c r="AG17" i="11" s="1"/>
  <c r="AE17" i="12" s="1"/>
  <c r="AG17" i="12" s="1"/>
  <c r="AE17" i="13" s="1"/>
  <c r="AG17" i="13" s="1"/>
  <c r="AG18" i="5"/>
  <c r="AE18" i="6" s="1"/>
  <c r="AG18" i="6" s="1"/>
  <c r="AE18" i="7" s="1"/>
  <c r="AG18" i="7" s="1"/>
  <c r="AE18" i="8" s="1"/>
  <c r="AG18" i="8" s="1"/>
  <c r="AE18" i="9" s="1"/>
  <c r="AG18" i="9" s="1"/>
  <c r="AE18" i="10" s="1"/>
  <c r="AG18" i="10" s="1"/>
  <c r="AE18" i="11" s="1"/>
  <c r="AG18" i="11" s="1"/>
  <c r="AE18" i="12" s="1"/>
  <c r="AG18" i="12" s="1"/>
  <c r="AE18" i="13" s="1"/>
  <c r="AG18" i="13" s="1"/>
  <c r="AE18" i="14" s="1"/>
  <c r="AG18" i="14" s="1"/>
  <c r="AG19" i="5"/>
  <c r="AE19" i="6" s="1"/>
  <c r="AG19" i="6" s="1"/>
  <c r="AE19" i="7" s="1"/>
  <c r="AG19" i="7" s="1"/>
  <c r="AE19" i="8" s="1"/>
  <c r="AG19" i="8" s="1"/>
  <c r="AE19" i="9" s="1"/>
  <c r="AG19" i="9" s="1"/>
  <c r="AE19" i="10" s="1"/>
  <c r="AG19" i="10" s="1"/>
  <c r="AE19" i="11" s="1"/>
  <c r="AG19" i="11" s="1"/>
  <c r="AE19" i="12" s="1"/>
  <c r="AG19" i="12" s="1"/>
  <c r="AE19" i="13" s="1"/>
  <c r="AG19" i="13" s="1"/>
  <c r="AG21" i="5"/>
  <c r="AE21" i="6" s="1"/>
  <c r="AG21" i="6" s="1"/>
  <c r="AE21" i="7" s="1"/>
  <c r="AG21" i="7" s="1"/>
  <c r="AE21" i="8" s="1"/>
  <c r="AG21" i="8" s="1"/>
  <c r="AE21" i="9" s="1"/>
  <c r="AG21" i="9" s="1"/>
  <c r="AE21" i="10" s="1"/>
  <c r="AG21" i="10" s="1"/>
  <c r="AE21" i="11" s="1"/>
  <c r="AG21" i="11" s="1"/>
  <c r="AE21" i="12" s="1"/>
  <c r="AG21" i="12" s="1"/>
  <c r="AE21" i="13" s="1"/>
  <c r="AG22" i="5"/>
  <c r="AE22" i="6" s="1"/>
  <c r="AG22" i="6" s="1"/>
  <c r="AE22" i="7" s="1"/>
  <c r="AG22" i="7" s="1"/>
  <c r="AE22" i="8" s="1"/>
  <c r="AG22" i="8" s="1"/>
  <c r="AE22" i="9" s="1"/>
  <c r="AG22" i="9" s="1"/>
  <c r="AG23" i="5"/>
  <c r="AE23" i="6" s="1"/>
  <c r="AG24" i="5"/>
  <c r="AE24" i="6" s="1"/>
  <c r="AG24" i="6" s="1"/>
  <c r="AE24" i="7" s="1"/>
  <c r="AG24" i="7" s="1"/>
  <c r="AE24" i="8" s="1"/>
  <c r="AG24" i="8" s="1"/>
  <c r="AE24" i="9" s="1"/>
  <c r="AG24" i="9" s="1"/>
  <c r="AE24" i="10" s="1"/>
  <c r="AG24" i="10" s="1"/>
  <c r="AE24" i="11" s="1"/>
  <c r="AG24" i="11" s="1"/>
  <c r="AE24" i="12" s="1"/>
  <c r="AG24" i="12" s="1"/>
  <c r="AE24" i="13" s="1"/>
  <c r="AG24" i="13" s="1"/>
  <c r="AG25" i="5"/>
  <c r="AE25" i="6" s="1"/>
  <c r="AG25" i="6" s="1"/>
  <c r="AE25" i="7" s="1"/>
  <c r="AG25" i="7" s="1"/>
  <c r="AE25" i="8" s="1"/>
  <c r="AG25" i="8" s="1"/>
  <c r="AE25" i="9" s="1"/>
  <c r="AG25" i="9" s="1"/>
  <c r="AE25" i="10" s="1"/>
  <c r="AG25" i="10" s="1"/>
  <c r="AE25" i="11" s="1"/>
  <c r="AG25" i="11" s="1"/>
  <c r="AE25" i="12" s="1"/>
  <c r="AG25" i="12" s="1"/>
  <c r="AE25" i="13" s="1"/>
  <c r="AG25" i="13" s="1"/>
  <c r="AG26" i="5"/>
  <c r="AE26" i="6" s="1"/>
  <c r="AG26" i="6" s="1"/>
  <c r="AE26" i="7" s="1"/>
  <c r="AG26" i="7" s="1"/>
  <c r="AE26" i="8" s="1"/>
  <c r="AG26" i="8" s="1"/>
  <c r="AG27" i="5"/>
  <c r="AE27" i="6" s="1"/>
  <c r="AG27" i="6" s="1"/>
  <c r="AE27" i="7" s="1"/>
  <c r="AG27" i="7" s="1"/>
  <c r="AE27" i="8" s="1"/>
  <c r="AG27" i="8" s="1"/>
  <c r="AE27" i="9" s="1"/>
  <c r="AG27" i="9" s="1"/>
  <c r="AE27" i="10" s="1"/>
  <c r="AG27" i="10" s="1"/>
  <c r="AE27" i="11" s="1"/>
  <c r="AG27" i="11" s="1"/>
  <c r="AE27" i="12" s="1"/>
  <c r="AG27" i="12" s="1"/>
  <c r="AE27" i="13" s="1"/>
  <c r="AG27" i="13" s="1"/>
  <c r="AE27" i="14" s="1"/>
  <c r="AG27" i="14" s="1"/>
  <c r="AG28" i="5"/>
  <c r="AE28" i="6" s="1"/>
  <c r="AG28" i="6" s="1"/>
  <c r="AE28" i="7" s="1"/>
  <c r="AG28" i="7" s="1"/>
  <c r="AE28" i="8" s="1"/>
  <c r="AG28" i="8" s="1"/>
  <c r="AE28" i="9" s="1"/>
  <c r="AG28" i="9" s="1"/>
  <c r="AE28" i="10" s="1"/>
  <c r="AG28" i="10" s="1"/>
  <c r="AE28" i="11" s="1"/>
  <c r="AG28" i="11" s="1"/>
  <c r="AE28" i="12" s="1"/>
  <c r="AG28" i="12" s="1"/>
  <c r="AE28" i="13" s="1"/>
  <c r="AG28" i="13" s="1"/>
  <c r="AG29" i="5"/>
  <c r="AE29" i="6" s="1"/>
  <c r="AG29" i="6" s="1"/>
  <c r="AE29" i="7" s="1"/>
  <c r="AG29" i="7" s="1"/>
  <c r="AE29" i="8" s="1"/>
  <c r="AG29" i="8" s="1"/>
  <c r="AE29" i="9" s="1"/>
  <c r="AG29" i="9" s="1"/>
  <c r="AE29" i="10" s="1"/>
  <c r="AG29" i="10" s="1"/>
  <c r="AE29" i="11" s="1"/>
  <c r="AG29" i="11" s="1"/>
  <c r="AE29" i="12" s="1"/>
  <c r="AG29" i="12" s="1"/>
  <c r="AE29" i="13" s="1"/>
  <c r="AG29" i="13" s="1"/>
  <c r="AG30" i="5"/>
  <c r="AE30" i="6" s="1"/>
  <c r="AG30" i="6" s="1"/>
  <c r="AE30" i="7" s="1"/>
  <c r="AG30" i="7" s="1"/>
  <c r="AE30" i="8" s="1"/>
  <c r="AG30" i="8" s="1"/>
  <c r="AG31" i="5"/>
  <c r="AE31" i="6" s="1"/>
  <c r="AG31" i="6" s="1"/>
  <c r="AE31" i="7" s="1"/>
  <c r="AG31" i="7" s="1"/>
  <c r="AE31" i="8" s="1"/>
  <c r="AG31" i="8" s="1"/>
  <c r="AE31" i="9" s="1"/>
  <c r="AG31" i="9" s="1"/>
  <c r="AE31" i="10" s="1"/>
  <c r="AG31" i="10" s="1"/>
  <c r="AE31" i="11" s="1"/>
  <c r="AG31" i="11" s="1"/>
  <c r="AE31" i="12" s="1"/>
  <c r="AG31" i="12" s="1"/>
  <c r="AE31" i="13" s="1"/>
  <c r="AG31" i="13" s="1"/>
  <c r="AG32" i="5"/>
  <c r="AE32" i="6" s="1"/>
  <c r="AG32" i="6" s="1"/>
  <c r="AE32" i="7" s="1"/>
  <c r="AG32" i="7" s="1"/>
  <c r="AE32" i="8" s="1"/>
  <c r="AG32" i="8" s="1"/>
  <c r="AE32" i="9" s="1"/>
  <c r="AG32" i="9" s="1"/>
  <c r="AE32" i="10" s="1"/>
  <c r="AG32" i="10" s="1"/>
  <c r="AE32" i="11" s="1"/>
  <c r="AG32" i="11" s="1"/>
  <c r="AE32" i="12" s="1"/>
  <c r="AG32" i="12" s="1"/>
  <c r="AE32" i="13" s="1"/>
  <c r="AG32" i="13" s="1"/>
  <c r="AG33" i="5"/>
  <c r="AE33" i="6" s="1"/>
  <c r="AG33" i="6" s="1"/>
  <c r="AE33" i="7" s="1"/>
  <c r="AG33" i="7" s="1"/>
  <c r="AE33" i="8" s="1"/>
  <c r="AG33" i="8" s="1"/>
  <c r="AE33" i="9" s="1"/>
  <c r="AG33" i="9" s="1"/>
  <c r="AE33" i="10" s="1"/>
  <c r="AG33" i="10" s="1"/>
  <c r="AE33" i="11" s="1"/>
  <c r="AG33" i="11" s="1"/>
  <c r="AE33" i="12" s="1"/>
  <c r="AG33" i="12" s="1"/>
  <c r="AE33" i="13" s="1"/>
  <c r="AG33" i="13" s="1"/>
  <c r="AE33" i="14" s="1"/>
  <c r="AG33" i="14" s="1"/>
  <c r="AG36" i="5"/>
  <c r="AE36" i="6" s="1"/>
  <c r="AG36" i="6" s="1"/>
  <c r="AE36" i="7" s="1"/>
  <c r="AG36" i="7" s="1"/>
  <c r="AE36" i="8" s="1"/>
  <c r="AG36" i="8" s="1"/>
  <c r="AG37" i="5"/>
  <c r="AE37" i="6" s="1"/>
  <c r="AG37" i="6" s="1"/>
  <c r="AE37" i="7" s="1"/>
  <c r="AG37" i="7" s="1"/>
  <c r="AE37" i="8" s="1"/>
  <c r="AG37" i="8" s="1"/>
  <c r="AE37" i="9" s="1"/>
  <c r="AG37" i="9" s="1"/>
  <c r="AE37" i="10" s="1"/>
  <c r="AG37" i="10" s="1"/>
  <c r="AE37" i="11" s="1"/>
  <c r="AG37" i="11" s="1"/>
  <c r="AE37" i="12" s="1"/>
  <c r="AG37" i="12" s="1"/>
  <c r="AE37" i="13" s="1"/>
  <c r="AG37" i="13" s="1"/>
  <c r="AE37" i="14" s="1"/>
  <c r="AG37" i="14" s="1"/>
  <c r="AE37" i="15" s="1"/>
  <c r="AG37" i="15" s="1"/>
  <c r="AG38" i="5"/>
  <c r="AE38" i="6" s="1"/>
  <c r="AG38" i="6" s="1"/>
  <c r="AE38" i="7" s="1"/>
  <c r="AG38" i="7" s="1"/>
  <c r="AE38" i="8" s="1"/>
  <c r="AG38" i="8" s="1"/>
  <c r="AE38" i="9" s="1"/>
  <c r="AG38" i="9" s="1"/>
  <c r="AE38" i="10" s="1"/>
  <c r="AG38" i="10" s="1"/>
  <c r="AE38" i="11" s="1"/>
  <c r="AG38" i="11" s="1"/>
  <c r="AE38" i="12" s="1"/>
  <c r="AG38" i="12" s="1"/>
  <c r="AE38" i="13" s="1"/>
  <c r="AG38" i="13" s="1"/>
  <c r="AE38" i="14" s="1"/>
  <c r="AG38" i="14" s="1"/>
  <c r="AG39" i="5"/>
  <c r="AE39" i="6" s="1"/>
  <c r="AG39" i="6" s="1"/>
  <c r="AE39" i="7" s="1"/>
  <c r="AG39" i="7" s="1"/>
  <c r="AE39" i="8" s="1"/>
  <c r="AG39" i="8" s="1"/>
  <c r="AE39" i="9" s="1"/>
  <c r="AG39" i="9" s="1"/>
  <c r="AE39" i="10" s="1"/>
  <c r="AG39" i="10" s="1"/>
  <c r="AE39" i="11" s="1"/>
  <c r="AG39" i="11" s="1"/>
  <c r="AE39" i="12" s="1"/>
  <c r="AG39" i="12" s="1"/>
  <c r="AE39" i="13" s="1"/>
  <c r="AG39" i="13" s="1"/>
  <c r="AE39" i="14" s="1"/>
  <c r="AG39" i="14" s="1"/>
  <c r="AG40" i="5"/>
  <c r="AE40" i="6" s="1"/>
  <c r="AG40" i="6" s="1"/>
  <c r="AE40" i="7" s="1"/>
  <c r="AG40" i="7" s="1"/>
  <c r="AE40" i="8" s="1"/>
  <c r="AG40" i="8" s="1"/>
  <c r="AE40" i="9" s="1"/>
  <c r="AG40" i="9" s="1"/>
  <c r="AE40" i="10" s="1"/>
  <c r="AG40" i="10" s="1"/>
  <c r="AG41" i="5"/>
  <c r="AE41" i="6" s="1"/>
  <c r="AG41" i="6" s="1"/>
  <c r="AE41" i="7" s="1"/>
  <c r="AG41" i="7" s="1"/>
  <c r="AE41" i="8" s="1"/>
  <c r="AG41" i="8" s="1"/>
  <c r="AE41" i="9" s="1"/>
  <c r="AG41" i="9" s="1"/>
  <c r="AE41" i="10" s="1"/>
  <c r="AG41" i="10" s="1"/>
  <c r="AE41" i="11" s="1"/>
  <c r="AG41" i="11" s="1"/>
  <c r="AE41" i="12" s="1"/>
  <c r="AG41" i="12" s="1"/>
  <c r="AE41" i="13" s="1"/>
  <c r="AG41" i="13" s="1"/>
  <c r="AE41" i="14" s="1"/>
  <c r="AG41" i="14" s="1"/>
  <c r="AG45" i="5"/>
  <c r="AE45" i="6" s="1"/>
  <c r="AG45" i="6" s="1"/>
  <c r="AE45" i="7" s="1"/>
  <c r="AG45" i="7" s="1"/>
  <c r="AE45" i="8" s="1"/>
  <c r="AG45" i="8" s="1"/>
  <c r="AE45" i="9" s="1"/>
  <c r="AG45" i="9" s="1"/>
  <c r="AE45" i="10" s="1"/>
  <c r="AG45" i="10" s="1"/>
  <c r="AE45" i="11" s="1"/>
  <c r="AG45" i="11" s="1"/>
  <c r="AE45" i="12" s="1"/>
  <c r="AG45" i="12" s="1"/>
  <c r="AE45" i="13" s="1"/>
  <c r="AG46" i="5"/>
  <c r="AE46" i="6" s="1"/>
  <c r="AG46" i="6" s="1"/>
  <c r="AE46" i="7" s="1"/>
  <c r="AG46" i="7" s="1"/>
  <c r="AE46" i="8" s="1"/>
  <c r="AG46" i="8" s="1"/>
  <c r="AE46" i="9" s="1"/>
  <c r="AG46" i="9" s="1"/>
  <c r="AE46" i="10" s="1"/>
  <c r="AG46" i="10" s="1"/>
  <c r="AE46" i="11" s="1"/>
  <c r="AG46" i="11" s="1"/>
  <c r="AE46" i="12" s="1"/>
  <c r="AG46" i="12" s="1"/>
  <c r="AE46" i="13" s="1"/>
  <c r="AG46" i="13" s="1"/>
  <c r="AE46" i="14" s="1"/>
  <c r="AG46" i="14" s="1"/>
  <c r="AE46" i="15" s="1"/>
  <c r="AG46" i="15" s="1"/>
  <c r="AG47" i="5"/>
  <c r="AE47" i="6" s="1"/>
  <c r="AG47" i="6" s="1"/>
  <c r="AE47" i="7" s="1"/>
  <c r="AG47" i="7" s="1"/>
  <c r="AE47" i="8" s="1"/>
  <c r="AG48" i="5"/>
  <c r="AE48" i="6" s="1"/>
  <c r="AG48" i="6" s="1"/>
  <c r="AE48" i="7" s="1"/>
  <c r="AG48" i="7" s="1"/>
  <c r="AE48" i="8" s="1"/>
  <c r="AG48" i="8" s="1"/>
  <c r="AE48" i="9" s="1"/>
  <c r="AG48" i="9" s="1"/>
  <c r="AE48" i="10" s="1"/>
  <c r="AG48" i="10" s="1"/>
  <c r="AE48" i="11" s="1"/>
  <c r="AG48" i="11" s="1"/>
  <c r="AE48" i="12" s="1"/>
  <c r="AG48" i="12" s="1"/>
  <c r="AE48" i="13" s="1"/>
  <c r="AG48" i="13" s="1"/>
  <c r="AG50" i="5"/>
  <c r="AE50" i="6" s="1"/>
  <c r="AG50" i="6" s="1"/>
  <c r="AE50" i="7" s="1"/>
  <c r="AG50" i="7" s="1"/>
  <c r="AE50" i="8" s="1"/>
  <c r="AG50" i="8" s="1"/>
  <c r="AE50" i="9" s="1"/>
  <c r="AG50" i="9" s="1"/>
  <c r="AE50" i="10" s="1"/>
  <c r="AG50" i="10" s="1"/>
  <c r="AE50" i="11" s="1"/>
  <c r="AG50" i="11" s="1"/>
  <c r="AE50" i="12" s="1"/>
  <c r="AG50" i="12" s="1"/>
  <c r="AE50" i="13" s="1"/>
  <c r="AG51" i="5"/>
  <c r="AE51" i="6" s="1"/>
  <c r="AG51" i="6" s="1"/>
  <c r="AE51" i="7" s="1"/>
  <c r="AG51" i="7" s="1"/>
  <c r="AE51" i="8" s="1"/>
  <c r="AG51" i="8" s="1"/>
  <c r="AE51" i="9" s="1"/>
  <c r="AG51" i="9" s="1"/>
  <c r="AE51" i="10" s="1"/>
  <c r="AG51" i="10" s="1"/>
  <c r="AE51" i="11" s="1"/>
  <c r="AG51" i="11" s="1"/>
  <c r="AE51" i="12" s="1"/>
  <c r="AG51" i="12" s="1"/>
  <c r="AE51" i="13" s="1"/>
  <c r="AG51" i="13" s="1"/>
  <c r="AG52" i="5"/>
  <c r="AE52" i="6" s="1"/>
  <c r="AG53" i="5"/>
  <c r="AE53" i="6" s="1"/>
  <c r="AG53" i="6" s="1"/>
  <c r="AE53" i="7" s="1"/>
  <c r="AG53" i="7" s="1"/>
  <c r="AE53" i="8" s="1"/>
  <c r="AG53" i="8" s="1"/>
  <c r="AG54" i="5"/>
  <c r="AE54" i="6" s="1"/>
  <c r="AG54" i="6" s="1"/>
  <c r="AE54" i="7" s="1"/>
  <c r="AG54" i="7" s="1"/>
  <c r="AE54" i="8" s="1"/>
  <c r="AG54" i="8" s="1"/>
  <c r="AE54" i="9" s="1"/>
  <c r="AG54" i="9" s="1"/>
  <c r="AE54" i="10" s="1"/>
  <c r="AG54" i="10" s="1"/>
  <c r="AE54" i="11" s="1"/>
  <c r="AG54" i="11" s="1"/>
  <c r="AE54" i="12" s="1"/>
  <c r="AG54" i="12" s="1"/>
  <c r="AE54" i="13" s="1"/>
  <c r="AG54" i="13" s="1"/>
  <c r="AG55" i="5"/>
  <c r="AE55" i="6" s="1"/>
  <c r="AG55" i="6" s="1"/>
  <c r="AE55" i="7" s="1"/>
  <c r="AG55" i="7" s="1"/>
  <c r="AE55" i="8" s="1"/>
  <c r="AG55" i="8" s="1"/>
  <c r="AE55" i="9" s="1"/>
  <c r="AG55" i="9" s="1"/>
  <c r="AE55" i="10" s="1"/>
  <c r="AG55" i="10" s="1"/>
  <c r="AE55" i="11" s="1"/>
  <c r="AG55" i="11" s="1"/>
  <c r="AE55" i="12" s="1"/>
  <c r="AG55" i="12" s="1"/>
  <c r="AE55" i="13" s="1"/>
  <c r="AG55" i="13" s="1"/>
  <c r="AE55" i="14" s="1"/>
  <c r="AG55" i="14" s="1"/>
  <c r="AE55" i="15" s="1"/>
  <c r="AG55" i="15" s="1"/>
  <c r="AE55" i="16" s="1"/>
  <c r="AG55" i="16" s="1"/>
  <c r="AG59" i="5"/>
  <c r="AE59" i="6" s="1"/>
  <c r="AG59" i="6" s="1"/>
  <c r="AE59" i="7" s="1"/>
  <c r="AG59" i="7" s="1"/>
  <c r="AE59" i="8" s="1"/>
  <c r="AG60" i="5"/>
  <c r="AE60" i="6" s="1"/>
  <c r="AG60" i="6" s="1"/>
  <c r="AE60" i="7" s="1"/>
  <c r="AG60" i="7" s="1"/>
  <c r="AE60" i="8" s="1"/>
  <c r="AG60" i="8" s="1"/>
  <c r="AE60" i="9" s="1"/>
  <c r="AG60" i="9" s="1"/>
  <c r="AE60" i="10" s="1"/>
  <c r="AG60" i="10" s="1"/>
  <c r="AE60" i="11" s="1"/>
  <c r="AG60" i="11" s="1"/>
  <c r="AE60" i="12" s="1"/>
  <c r="AG60" i="12" s="1"/>
  <c r="AE60" i="13" s="1"/>
  <c r="AG60" i="13" s="1"/>
  <c r="AG61" i="5"/>
  <c r="AE61" i="6" s="1"/>
  <c r="AG61" i="6" s="1"/>
  <c r="AE61" i="7" s="1"/>
  <c r="AG61" i="7" s="1"/>
  <c r="AE61" i="8" s="1"/>
  <c r="AG61" i="8" s="1"/>
  <c r="AE61" i="9" s="1"/>
  <c r="AG61" i="9" s="1"/>
  <c r="AE61" i="10" s="1"/>
  <c r="AG61" i="10" s="1"/>
  <c r="AE61" i="11" s="1"/>
  <c r="AG61" i="11" s="1"/>
  <c r="AE61" i="12" s="1"/>
  <c r="AG61" i="12" s="1"/>
  <c r="AE61" i="13" s="1"/>
  <c r="AG61" i="13" s="1"/>
  <c r="AE61" i="14" s="1"/>
  <c r="AG61" i="14" s="1"/>
  <c r="AG66" i="5"/>
  <c r="AE66" i="6" s="1"/>
  <c r="AG66" i="6" s="1"/>
  <c r="AE66" i="7" s="1"/>
  <c r="AG66" i="7" s="1"/>
  <c r="AE66" i="8" s="1"/>
  <c r="AG66" i="8" s="1"/>
  <c r="AE66" i="9" s="1"/>
  <c r="AG66" i="9" s="1"/>
  <c r="AE66" i="10" s="1"/>
  <c r="AG66" i="10" s="1"/>
  <c r="AE66" i="11" s="1"/>
  <c r="AG66" i="11" s="1"/>
  <c r="AE66" i="12" s="1"/>
  <c r="AG66" i="12" s="1"/>
  <c r="AE66" i="13" s="1"/>
  <c r="AG66" i="13" s="1"/>
  <c r="AE66" i="14" s="1"/>
  <c r="AG66" i="14" s="1"/>
  <c r="AG67" i="5"/>
  <c r="AE67" i="6" s="1"/>
  <c r="AG67" i="6" s="1"/>
  <c r="AE67" i="7" s="1"/>
  <c r="AG67" i="7" s="1"/>
  <c r="AE67" i="8" s="1"/>
  <c r="AG67" i="8" s="1"/>
  <c r="AG68" i="5"/>
  <c r="AE68" i="6" s="1"/>
  <c r="AG68" i="6" s="1"/>
  <c r="AE68" i="7" s="1"/>
  <c r="AG68" i="7" s="1"/>
  <c r="AE68" i="8" s="1"/>
  <c r="AG68" i="8" s="1"/>
  <c r="AE68" i="9" s="1"/>
  <c r="AG68" i="9" s="1"/>
  <c r="AE68" i="10" s="1"/>
  <c r="AG68" i="10" s="1"/>
  <c r="AE68" i="11" s="1"/>
  <c r="AG68" i="11" s="1"/>
  <c r="AE68" i="12" s="1"/>
  <c r="AG68" i="12" s="1"/>
  <c r="AE68" i="13" s="1"/>
  <c r="AG68" i="13" s="1"/>
  <c r="AE68" i="14" s="1"/>
  <c r="AG68" i="14" s="1"/>
  <c r="AG70" i="5"/>
  <c r="AE70" i="6" s="1"/>
  <c r="AG71" i="5"/>
  <c r="AE71" i="6" s="1"/>
  <c r="AG71" i="6" s="1"/>
  <c r="AE71" i="7" s="1"/>
  <c r="AG71" i="7" s="1"/>
  <c r="AE71" i="8" s="1"/>
  <c r="AG71" i="8" s="1"/>
  <c r="AE71" i="9" s="1"/>
  <c r="AG71" i="9" s="1"/>
  <c r="AE71" i="10" s="1"/>
  <c r="AG71" i="10" s="1"/>
  <c r="AE71" i="11" s="1"/>
  <c r="AG71" i="11" s="1"/>
  <c r="AE71" i="12" s="1"/>
  <c r="AG71" i="12" s="1"/>
  <c r="AE71" i="13" s="1"/>
  <c r="AG71" i="13" s="1"/>
  <c r="AE71" i="14" s="1"/>
  <c r="AG71" i="14" s="1"/>
  <c r="AG72" i="5"/>
  <c r="AE72" i="6" s="1"/>
  <c r="AG72" i="6" s="1"/>
  <c r="AE72" i="7" s="1"/>
  <c r="AG72" i="7" s="1"/>
  <c r="AE72" i="8" s="1"/>
  <c r="AG72" i="8" s="1"/>
  <c r="AE72" i="9" s="1"/>
  <c r="AG72" i="9" s="1"/>
  <c r="AE72" i="10" s="1"/>
  <c r="AG72" i="10" s="1"/>
  <c r="AE72" i="11" s="1"/>
  <c r="AG72" i="11" s="1"/>
  <c r="AE72" i="12" s="1"/>
  <c r="AG72" i="12" s="1"/>
  <c r="AE72" i="13" s="1"/>
  <c r="AG72" i="13" s="1"/>
  <c r="AE72" i="14" s="1"/>
  <c r="AG72" i="14" s="1"/>
  <c r="AE72" i="15" s="1"/>
  <c r="AG72" i="15" s="1"/>
  <c r="AG73" i="5"/>
  <c r="AE73" i="6" s="1"/>
  <c r="AG73" i="6" s="1"/>
  <c r="AE73" i="7" s="1"/>
  <c r="AG73" i="7" s="1"/>
  <c r="AE73" i="8" s="1"/>
  <c r="AG73" i="8" s="1"/>
  <c r="AE73" i="9" s="1"/>
  <c r="AG73" i="9" s="1"/>
  <c r="AE73" i="10" s="1"/>
  <c r="AG73" i="10" s="1"/>
  <c r="AE73" i="11" s="1"/>
  <c r="AG73" i="11" s="1"/>
  <c r="AE73" i="12" s="1"/>
  <c r="AG73" i="12" s="1"/>
  <c r="AE73" i="13" s="1"/>
  <c r="AG73" i="13" s="1"/>
  <c r="AE73" i="14" s="1"/>
  <c r="AG73" i="14" s="1"/>
  <c r="AG74" i="5"/>
  <c r="AE74" i="6" s="1"/>
  <c r="AG74" i="6" s="1"/>
  <c r="AE74" i="7" s="1"/>
  <c r="AG74" i="7" s="1"/>
  <c r="AE74" i="8" s="1"/>
  <c r="AG74" i="8" s="1"/>
  <c r="AE74" i="9" s="1"/>
  <c r="AG74" i="9" s="1"/>
  <c r="AE74" i="10" s="1"/>
  <c r="AG74" i="10" s="1"/>
  <c r="AE74" i="11" s="1"/>
  <c r="AG74" i="11" s="1"/>
  <c r="AE74" i="12" s="1"/>
  <c r="AG74" i="12" s="1"/>
  <c r="AE74" i="13" s="1"/>
  <c r="AG74" i="13" s="1"/>
  <c r="AE74" i="14" s="1"/>
  <c r="AG74" i="14" s="1"/>
  <c r="AG75" i="5"/>
  <c r="AE75" i="6" s="1"/>
  <c r="AG75" i="6" s="1"/>
  <c r="AE75" i="7" s="1"/>
  <c r="AG75" i="7" s="1"/>
  <c r="AE75" i="8" s="1"/>
  <c r="AG75" i="8" s="1"/>
  <c r="AE75" i="9" s="1"/>
  <c r="AG75" i="9" s="1"/>
  <c r="AE75" i="10" s="1"/>
  <c r="AG75" i="10" s="1"/>
  <c r="AE75" i="11" s="1"/>
  <c r="AG75" i="11" s="1"/>
  <c r="AE75" i="12" s="1"/>
  <c r="AG75" i="12" s="1"/>
  <c r="AE75" i="13" s="1"/>
  <c r="AG75" i="13" s="1"/>
  <c r="AG76" i="5"/>
  <c r="AE76" i="6" s="1"/>
  <c r="AG76" i="6" s="1"/>
  <c r="AE76" i="7" s="1"/>
  <c r="AG76" i="7" s="1"/>
  <c r="AE76" i="8" s="1"/>
  <c r="AG76" i="8" s="1"/>
  <c r="AE76" i="9" s="1"/>
  <c r="AG76" i="9" s="1"/>
  <c r="AE76" i="10" s="1"/>
  <c r="AG76" i="10" s="1"/>
  <c r="AE76" i="11" s="1"/>
  <c r="AG76" i="11" s="1"/>
  <c r="AE76" i="12" s="1"/>
  <c r="AG76" i="12" s="1"/>
  <c r="AE76" i="13" s="1"/>
  <c r="AG76" i="13" s="1"/>
  <c r="AE76" i="14" s="1"/>
  <c r="AG76" i="14" s="1"/>
  <c r="AG77" i="5"/>
  <c r="AE77" i="6" s="1"/>
  <c r="AG77" i="6" s="1"/>
  <c r="AE77" i="7" s="1"/>
  <c r="AG77" i="7" s="1"/>
  <c r="AE77" i="8" s="1"/>
  <c r="AG77" i="8" s="1"/>
  <c r="AE77" i="9" s="1"/>
  <c r="AG77" i="9" s="1"/>
  <c r="AE77" i="10" s="1"/>
  <c r="AG77" i="10" s="1"/>
  <c r="AE77" i="11" s="1"/>
  <c r="AG77" i="11" s="1"/>
  <c r="AE77" i="12" s="1"/>
  <c r="AG77" i="12" s="1"/>
  <c r="AE77" i="13" s="1"/>
  <c r="AG77" i="13" s="1"/>
  <c r="AG78" i="5"/>
  <c r="AE78" i="6" s="1"/>
  <c r="AG78" i="6" s="1"/>
  <c r="AE78" i="7" s="1"/>
  <c r="AG78" i="7" s="1"/>
  <c r="AE78" i="8" s="1"/>
  <c r="AG78" i="8" s="1"/>
  <c r="AE78" i="9" s="1"/>
  <c r="AG78" i="9" s="1"/>
  <c r="AE78" i="10" s="1"/>
  <c r="AG78" i="10" s="1"/>
  <c r="AE78" i="11" s="1"/>
  <c r="AG78" i="11" s="1"/>
  <c r="AE78" i="12" s="1"/>
  <c r="AG78" i="12" s="1"/>
  <c r="AE78" i="13" s="1"/>
  <c r="AG78" i="13" s="1"/>
  <c r="AE78" i="14" s="1"/>
  <c r="AG78" i="14" s="1"/>
  <c r="AG79" i="5"/>
  <c r="AE79" i="6" s="1"/>
  <c r="AG79" i="6" s="1"/>
  <c r="AE79" i="7" s="1"/>
  <c r="AG79" i="7" s="1"/>
  <c r="AE79" i="8" s="1"/>
  <c r="AG79" i="8" s="1"/>
  <c r="AE79" i="9" s="1"/>
  <c r="AG79" i="9" s="1"/>
  <c r="AE79" i="10" s="1"/>
  <c r="AG79" i="10" s="1"/>
  <c r="AE79" i="11" s="1"/>
  <c r="AG79" i="11" s="1"/>
  <c r="AE79" i="12" s="1"/>
  <c r="AG79" i="12" s="1"/>
  <c r="AG80" i="5"/>
  <c r="AE80" i="6" s="1"/>
  <c r="AG80" i="6" s="1"/>
  <c r="AE80" i="7" s="1"/>
  <c r="AG81" i="5"/>
  <c r="AE81" i="6" s="1"/>
  <c r="AG81" i="6" s="1"/>
  <c r="AE81" i="7" s="1"/>
  <c r="AG81" i="7" s="1"/>
  <c r="AE81" i="8" s="1"/>
  <c r="AG81" i="8" s="1"/>
  <c r="AE81" i="9" s="1"/>
  <c r="AG81" i="9" s="1"/>
  <c r="AE81" i="10" s="1"/>
  <c r="AG81" i="10" s="1"/>
  <c r="AE81" i="11" s="1"/>
  <c r="AG81" i="11" s="1"/>
  <c r="AE81" i="12" s="1"/>
  <c r="AG81" i="12" s="1"/>
  <c r="AE81" i="13" s="1"/>
  <c r="AG81" i="13" s="1"/>
  <c r="AG84" i="5"/>
  <c r="AE84" i="6" s="1"/>
  <c r="AG84" i="6" s="1"/>
  <c r="AE84" i="7" s="1"/>
  <c r="AG84" i="7" s="1"/>
  <c r="AE84" i="8" s="1"/>
  <c r="AG84" i="8" s="1"/>
  <c r="AE84" i="9" s="1"/>
  <c r="AG84" i="9" s="1"/>
  <c r="AE84" i="10" s="1"/>
  <c r="AG84" i="10" s="1"/>
  <c r="AE84" i="11" s="1"/>
  <c r="AG84" i="11" s="1"/>
  <c r="AE84" i="12" s="1"/>
  <c r="AG84" i="12" s="1"/>
  <c r="AE84" i="13" s="1"/>
  <c r="AG85" i="5"/>
  <c r="AE85" i="6" s="1"/>
  <c r="AG85" i="6" s="1"/>
  <c r="AE85" i="7" s="1"/>
  <c r="AG85" i="7" s="1"/>
  <c r="AE85" i="8" s="1"/>
  <c r="AG85" i="8" s="1"/>
  <c r="AE85" i="9" s="1"/>
  <c r="AG85" i="9" s="1"/>
  <c r="AE85" i="10" s="1"/>
  <c r="AG85" i="10" s="1"/>
  <c r="AE85" i="11" s="1"/>
  <c r="AG85" i="11" s="1"/>
  <c r="AE85" i="12" s="1"/>
  <c r="AG85" i="12" s="1"/>
  <c r="AE85" i="13" s="1"/>
  <c r="AG85" i="13" s="1"/>
  <c r="AG86" i="5"/>
  <c r="AE86" i="6" s="1"/>
  <c r="AG86" i="6" s="1"/>
  <c r="AE86" i="7" s="1"/>
  <c r="AG86" i="7" s="1"/>
  <c r="AE86" i="8" s="1"/>
  <c r="AG87" i="5"/>
  <c r="AE87" i="6" s="1"/>
  <c r="AG88" i="5"/>
  <c r="AE88" i="6" s="1"/>
  <c r="AG88" i="6" s="1"/>
  <c r="AE88" i="7" s="1"/>
  <c r="AG88" i="7" s="1"/>
  <c r="AE88" i="8" s="1"/>
  <c r="AG88" i="8" s="1"/>
  <c r="AE88" i="9" s="1"/>
  <c r="AG88" i="9" s="1"/>
  <c r="AE88" i="10" s="1"/>
  <c r="AG88" i="10" s="1"/>
  <c r="AE88" i="11" s="1"/>
  <c r="AG88" i="11" s="1"/>
  <c r="AE88" i="12" s="1"/>
  <c r="AG88" i="12" s="1"/>
  <c r="AE88" i="13" s="1"/>
  <c r="AG88" i="13" s="1"/>
  <c r="AG92" i="5"/>
  <c r="AE92" i="6" s="1"/>
  <c r="AG92" i="6" s="1"/>
  <c r="AE92" i="7" s="1"/>
  <c r="AG92" i="7" s="1"/>
  <c r="AE92" i="8" s="1"/>
  <c r="AG92" i="8" s="1"/>
  <c r="AE92" i="9" s="1"/>
  <c r="AG92" i="9" s="1"/>
  <c r="AE92" i="10" s="1"/>
  <c r="AG92" i="10" s="1"/>
  <c r="AE92" i="11" s="1"/>
  <c r="AG92" i="11" s="1"/>
  <c r="AE92" i="12" s="1"/>
  <c r="AG92" i="12" s="1"/>
  <c r="AE92" i="13" s="1"/>
  <c r="AG92" i="13" s="1"/>
  <c r="AG93" i="5"/>
  <c r="AE93" i="6" s="1"/>
  <c r="AG93" i="6" s="1"/>
  <c r="AE93" i="7" s="1"/>
  <c r="AG93" i="7" s="1"/>
  <c r="AE93" i="8" s="1"/>
  <c r="AG93" i="8" s="1"/>
  <c r="AG94" i="5"/>
  <c r="AG95" i="5"/>
  <c r="AE95" i="6" s="1"/>
  <c r="AG95" i="6" s="1"/>
  <c r="AE95" i="7" s="1"/>
  <c r="AG95" i="7" s="1"/>
  <c r="AE95" i="8" s="1"/>
  <c r="AG95" i="8" s="1"/>
  <c r="AE95" i="9" s="1"/>
  <c r="AG95" i="9" s="1"/>
  <c r="AE95" i="10" s="1"/>
  <c r="AG95" i="10" s="1"/>
  <c r="AE95" i="11" s="1"/>
  <c r="AG95" i="11" s="1"/>
  <c r="AE95" i="12" s="1"/>
  <c r="AG95" i="12" s="1"/>
  <c r="AE95" i="13" s="1"/>
  <c r="AG95" i="13" s="1"/>
  <c r="AG97" i="5"/>
  <c r="AE97" i="6" s="1"/>
  <c r="AG97" i="6" s="1"/>
  <c r="AE97" i="7" s="1"/>
  <c r="AG97" i="7" s="1"/>
  <c r="AE97" i="8" s="1"/>
  <c r="AG97" i="8" s="1"/>
  <c r="AE97" i="9" s="1"/>
  <c r="AG97" i="9" s="1"/>
  <c r="AE97" i="10" s="1"/>
  <c r="AG97" i="10" s="1"/>
  <c r="AE97" i="11" s="1"/>
  <c r="AG97" i="11" s="1"/>
  <c r="AE97" i="12" s="1"/>
  <c r="AG97" i="12" s="1"/>
  <c r="AE97" i="13" s="1"/>
  <c r="AG97" i="13" s="1"/>
  <c r="AG98" i="5"/>
  <c r="AE98" i="6" s="1"/>
  <c r="AG98" i="6" s="1"/>
  <c r="AE98" i="7" s="1"/>
  <c r="AG98" i="7" s="1"/>
  <c r="AE98" i="8" s="1"/>
  <c r="AG99" i="5"/>
  <c r="AG100" i="5"/>
  <c r="AE100" i="6" s="1"/>
  <c r="AG100" i="6" s="1"/>
  <c r="AE100" i="7" s="1"/>
  <c r="AG100" i="7" s="1"/>
  <c r="AE100" i="8" s="1"/>
  <c r="AG100" i="8" s="1"/>
  <c r="AE100" i="9" s="1"/>
  <c r="AG100" i="9" s="1"/>
  <c r="AE100" i="10" s="1"/>
  <c r="AG100" i="10" s="1"/>
  <c r="AE100" i="11" s="1"/>
  <c r="AG100" i="11" s="1"/>
  <c r="AE100" i="12" s="1"/>
  <c r="AG100" i="12" s="1"/>
  <c r="AE100" i="13" s="1"/>
  <c r="AG100" i="13" s="1"/>
  <c r="AG101" i="5"/>
  <c r="AE101" i="6" s="1"/>
  <c r="AG101" i="6" s="1"/>
  <c r="AE101" i="7" s="1"/>
  <c r="AG101" i="7" s="1"/>
  <c r="AE101" i="8" s="1"/>
  <c r="AG101" i="8" s="1"/>
  <c r="AE101" i="9" s="1"/>
  <c r="AG101" i="9" s="1"/>
  <c r="AE101" i="10" s="1"/>
  <c r="AG101" i="10" s="1"/>
  <c r="AE101" i="11" s="1"/>
  <c r="AG101" i="11" s="1"/>
  <c r="AE101" i="12" s="1"/>
  <c r="AG101" i="12" s="1"/>
  <c r="AE101" i="13" s="1"/>
  <c r="AG101" i="13" s="1"/>
  <c r="AE101" i="14" s="1"/>
  <c r="AG101" i="14" s="1"/>
  <c r="AE101" i="15" s="1"/>
  <c r="AG101" i="15" s="1"/>
  <c r="AG102" i="5"/>
  <c r="AE102" i="6" s="1"/>
  <c r="AG102" i="6" s="1"/>
  <c r="AE102" i="7" s="1"/>
  <c r="AG102" i="7" s="1"/>
  <c r="AE102" i="8" s="1"/>
  <c r="AG102" i="8" s="1"/>
  <c r="AE102" i="9" s="1"/>
  <c r="AG102" i="9" s="1"/>
  <c r="AE102" i="10" s="1"/>
  <c r="AG102" i="10" s="1"/>
  <c r="AE102" i="11" s="1"/>
  <c r="AG102" i="11" s="1"/>
  <c r="AE102" i="12" s="1"/>
  <c r="AG102" i="12" s="1"/>
  <c r="AE102" i="13" s="1"/>
  <c r="AG102" i="13" s="1"/>
  <c r="AE102" i="14" s="1"/>
  <c r="AG102" i="14" s="1"/>
  <c r="AG106" i="5"/>
  <c r="AE106" i="6" s="1"/>
  <c r="AG107" i="5"/>
  <c r="AE107" i="6" s="1"/>
  <c r="AG107" i="6" s="1"/>
  <c r="AE107" i="7" s="1"/>
  <c r="AG107" i="7" s="1"/>
  <c r="AE107" i="8" s="1"/>
  <c r="AG107" i="8" s="1"/>
  <c r="AE107" i="9" s="1"/>
  <c r="AG107" i="9" s="1"/>
  <c r="AE107" i="10" s="1"/>
  <c r="AG107" i="10" s="1"/>
  <c r="AE107" i="11" s="1"/>
  <c r="AG107" i="11" s="1"/>
  <c r="AE107" i="12" s="1"/>
  <c r="AG107" i="12" s="1"/>
  <c r="AE107" i="13" s="1"/>
  <c r="AG107" i="13" s="1"/>
  <c r="AG108" i="5"/>
  <c r="AE108" i="6" s="1"/>
  <c r="AG108" i="6" s="1"/>
  <c r="AE108" i="7" s="1"/>
  <c r="AG108" i="7" s="1"/>
  <c r="AE108" i="8" s="1"/>
  <c r="AG108" i="8" s="1"/>
  <c r="AE108" i="9" s="1"/>
  <c r="AG108" i="9" s="1"/>
  <c r="AE108" i="10" s="1"/>
  <c r="AG108" i="10" s="1"/>
  <c r="AE108" i="11" s="1"/>
  <c r="AG108" i="11" s="1"/>
  <c r="AE108" i="12" s="1"/>
  <c r="AG108" i="12" s="1"/>
  <c r="AE108" i="13" s="1"/>
  <c r="AG108" i="13" s="1"/>
  <c r="AG115" i="5"/>
  <c r="AE115" i="6" s="1"/>
  <c r="AG115" i="6" s="1"/>
  <c r="AE115" i="7" s="1"/>
  <c r="AG115" i="7" s="1"/>
  <c r="AE115" i="8" s="1"/>
  <c r="AG116" i="5"/>
  <c r="AE116" i="6" s="1"/>
  <c r="AG117" i="5"/>
  <c r="AE117" i="6" s="1"/>
  <c r="AG117" i="6" s="1"/>
  <c r="AE117" i="7" s="1"/>
  <c r="AG117" i="7" s="1"/>
  <c r="AE117" i="8" s="1"/>
  <c r="AG117" i="8" s="1"/>
  <c r="AE117" i="9" s="1"/>
  <c r="AG117" i="9" s="1"/>
  <c r="AE117" i="10" s="1"/>
  <c r="AG117" i="10" s="1"/>
  <c r="AE117" i="11" s="1"/>
  <c r="AG117" i="11" s="1"/>
  <c r="AE117" i="12" s="1"/>
  <c r="AG117" i="12" s="1"/>
  <c r="AG118" i="5"/>
  <c r="AE118" i="6" s="1"/>
  <c r="AG118" i="6" s="1"/>
  <c r="AE118" i="7" s="1"/>
  <c r="AG118" i="7" s="1"/>
  <c r="AE118" i="8" s="1"/>
  <c r="AG118" i="8" s="1"/>
  <c r="AE118" i="9" s="1"/>
  <c r="AG118" i="9" s="1"/>
  <c r="AE118" i="10" s="1"/>
  <c r="AG118" i="10" s="1"/>
  <c r="AE118" i="11" s="1"/>
  <c r="AG118" i="11" s="1"/>
  <c r="AE118" i="12" s="1"/>
  <c r="AG118" i="12" s="1"/>
  <c r="AE118" i="13" s="1"/>
  <c r="AG118" i="13" s="1"/>
  <c r="AG119" i="5"/>
  <c r="AE119" i="6" s="1"/>
  <c r="AG119" i="6" s="1"/>
  <c r="AE119" i="7" s="1"/>
  <c r="AG119" i="7" s="1"/>
  <c r="AE119" i="8" s="1"/>
  <c r="AG119" i="8" s="1"/>
  <c r="AE119" i="9" s="1"/>
  <c r="AG119" i="9" s="1"/>
  <c r="AG120" i="5"/>
  <c r="AE120" i="6" s="1"/>
  <c r="AG120" i="6" s="1"/>
  <c r="AE120" i="7" s="1"/>
  <c r="AG120" i="7" s="1"/>
  <c r="AE120" i="8" s="1"/>
  <c r="AG120" i="8" s="1"/>
  <c r="AE120" i="9" s="1"/>
  <c r="AG120" i="9" s="1"/>
  <c r="AE120" i="10" s="1"/>
  <c r="AG120" i="10" s="1"/>
  <c r="AE120" i="11" s="1"/>
  <c r="AG120" i="11" s="1"/>
  <c r="AE120" i="12" s="1"/>
  <c r="AG120" i="12" s="1"/>
  <c r="AE120" i="13" s="1"/>
  <c r="AG120" i="13" s="1"/>
  <c r="AE120" i="14" s="1"/>
  <c r="AG120" i="14" s="1"/>
  <c r="AG121" i="5"/>
  <c r="AE121" i="6" s="1"/>
  <c r="AG121" i="6" s="1"/>
  <c r="AE121" i="7" s="1"/>
  <c r="AG121" i="7" s="1"/>
  <c r="AE121" i="8" s="1"/>
  <c r="AG121" i="8" s="1"/>
  <c r="AE121" i="9" s="1"/>
  <c r="AG121" i="9" s="1"/>
  <c r="AE121" i="10" s="1"/>
  <c r="AG121" i="10" s="1"/>
  <c r="AE121" i="11" s="1"/>
  <c r="AG121" i="11" s="1"/>
  <c r="AE121" i="12" s="1"/>
  <c r="AG121" i="12" s="1"/>
  <c r="AE121" i="13" s="1"/>
  <c r="AG121" i="13" s="1"/>
  <c r="AG124" i="5"/>
  <c r="AE124" i="6" s="1"/>
  <c r="AG124" i="6" s="1"/>
  <c r="AE124" i="7" s="1"/>
  <c r="AG125" i="5"/>
  <c r="AE125" i="6" s="1"/>
  <c r="AG125" i="6" s="1"/>
  <c r="AE125" i="7" s="1"/>
  <c r="AG125" i="7" s="1"/>
  <c r="AE125" i="8" s="1"/>
  <c r="AG125" i="8" s="1"/>
  <c r="AE125" i="9" s="1"/>
  <c r="AG125" i="9" s="1"/>
  <c r="AE125" i="10" s="1"/>
  <c r="AG125" i="10" s="1"/>
  <c r="AE125" i="11" s="1"/>
  <c r="AG125" i="11" s="1"/>
  <c r="AE125" i="12" s="1"/>
  <c r="AG125" i="12" s="1"/>
  <c r="AE125" i="13" s="1"/>
  <c r="AG125" i="13" s="1"/>
  <c r="AE125" i="14" s="1"/>
  <c r="AG125" i="14" s="1"/>
  <c r="AG126" i="5"/>
  <c r="AG127" i="5"/>
  <c r="AE127" i="6" s="1"/>
  <c r="AG127" i="6" s="1"/>
  <c r="AE127" i="7" s="1"/>
  <c r="AG127" i="7" s="1"/>
  <c r="AE127" i="8" s="1"/>
  <c r="AG127" i="8" s="1"/>
  <c r="AE127" i="9" s="1"/>
  <c r="AG127" i="9" s="1"/>
  <c r="AE127" i="10" s="1"/>
  <c r="AG127" i="10" s="1"/>
  <c r="AE127" i="11" s="1"/>
  <c r="AG128" i="5"/>
  <c r="AE128" i="6" s="1"/>
  <c r="AG128" i="6" s="1"/>
  <c r="AE128" i="7" s="1"/>
  <c r="AG128" i="7" s="1"/>
  <c r="AE128" i="8" s="1"/>
  <c r="AG128" i="8" s="1"/>
  <c r="AE128" i="9" s="1"/>
  <c r="AG128" i="9" s="1"/>
  <c r="AE128" i="10" s="1"/>
  <c r="AG128" i="10" s="1"/>
  <c r="AE128" i="11" s="1"/>
  <c r="AG128" i="11" s="1"/>
  <c r="AE128" i="12" s="1"/>
  <c r="AG128" i="12" s="1"/>
  <c r="AE128" i="13" s="1"/>
  <c r="AG128" i="13" s="1"/>
  <c r="AE128" i="14" s="1"/>
  <c r="AG128" i="14" s="1"/>
  <c r="AE128" i="15" s="1"/>
  <c r="AG128" i="15" s="1"/>
  <c r="AG129" i="5"/>
  <c r="AE129" i="6" s="1"/>
  <c r="AG129" i="6" s="1"/>
  <c r="AE129" i="7" s="1"/>
  <c r="AG129" i="7" s="1"/>
  <c r="AE129" i="8" s="1"/>
  <c r="AG129" i="8" s="1"/>
  <c r="AG130" i="5"/>
  <c r="AE130" i="6" s="1"/>
  <c r="AG130" i="6" s="1"/>
  <c r="AE130" i="7" s="1"/>
  <c r="AG130" i="7" s="1"/>
  <c r="AE130" i="8" s="1"/>
  <c r="AG130" i="8" s="1"/>
  <c r="AE130" i="9" s="1"/>
  <c r="AG130" i="9" s="1"/>
  <c r="AE130" i="10" s="1"/>
  <c r="AG130" i="10" s="1"/>
  <c r="AE130" i="11" s="1"/>
  <c r="AG130" i="11" s="1"/>
  <c r="AE130" i="12" s="1"/>
  <c r="AG130" i="12" s="1"/>
  <c r="AE130" i="13" s="1"/>
  <c r="AG130" i="13" s="1"/>
  <c r="AG131" i="5"/>
  <c r="AE131" i="6" s="1"/>
  <c r="AG131" i="6" s="1"/>
  <c r="AE131" i="7" s="1"/>
  <c r="AG131" i="7" s="1"/>
  <c r="AE131" i="8" s="1"/>
  <c r="AG131" i="8" s="1"/>
  <c r="AE131" i="9" s="1"/>
  <c r="AG131" i="9" s="1"/>
  <c r="AE131" i="10" s="1"/>
  <c r="AG131" i="10" s="1"/>
  <c r="AE131" i="11" s="1"/>
  <c r="AG131" i="11" s="1"/>
  <c r="AE131" i="12" s="1"/>
  <c r="AG131" i="12" s="1"/>
  <c r="AE131" i="13" s="1"/>
  <c r="AG132" i="5"/>
  <c r="AE132" i="6" s="1"/>
  <c r="AG132" i="6" s="1"/>
  <c r="AE132" i="7" s="1"/>
  <c r="AG132" i="7" s="1"/>
  <c r="AE132" i="8" s="1"/>
  <c r="AG132" i="8" s="1"/>
  <c r="AE132" i="9" s="1"/>
  <c r="AG132" i="9" s="1"/>
  <c r="AE132" i="10" s="1"/>
  <c r="AG132" i="10" s="1"/>
  <c r="AE132" i="11" s="1"/>
  <c r="AG132" i="11" s="1"/>
  <c r="AE132" i="12" s="1"/>
  <c r="AG132" i="12" s="1"/>
  <c r="AE132" i="13" s="1"/>
  <c r="AG132" i="13" s="1"/>
  <c r="AE132" i="14" s="1"/>
  <c r="AG132" i="14" s="1"/>
  <c r="AE132" i="15" s="1"/>
  <c r="AG132" i="15" s="1"/>
  <c r="AE132" i="16" s="1"/>
  <c r="AG132" i="16" s="1"/>
  <c r="AG133" i="5"/>
  <c r="AE133" i="6" s="1"/>
  <c r="AG133" i="6" s="1"/>
  <c r="AE133" i="7" s="1"/>
  <c r="AG133" i="7" s="1"/>
  <c r="AE133" i="8" s="1"/>
  <c r="AG133" i="8" s="1"/>
  <c r="AE133" i="9" s="1"/>
  <c r="AG133" i="9" s="1"/>
  <c r="AE133" i="10" s="1"/>
  <c r="AG133" i="10" s="1"/>
  <c r="AE133" i="11" s="1"/>
  <c r="AG133" i="11" s="1"/>
  <c r="AE133" i="12" s="1"/>
  <c r="AG133" i="12" s="1"/>
  <c r="AE133" i="13" s="1"/>
  <c r="AG133" i="13" s="1"/>
  <c r="AE133" i="14" s="1"/>
  <c r="AG133" i="14" s="1"/>
  <c r="AG134" i="5"/>
  <c r="AE134" i="6" s="1"/>
  <c r="AG134" i="6" s="1"/>
  <c r="AE134" i="7" s="1"/>
  <c r="AG134" i="7" s="1"/>
  <c r="AE134" i="8" s="1"/>
  <c r="AG134" i="8" s="1"/>
  <c r="AE134" i="9" s="1"/>
  <c r="AG134" i="9" s="1"/>
  <c r="AE134" i="10" s="1"/>
  <c r="AG134" i="10" s="1"/>
  <c r="AE134" i="11" s="1"/>
  <c r="AG134" i="11" s="1"/>
  <c r="AE134" i="12" s="1"/>
  <c r="AG134" i="12" s="1"/>
  <c r="AE134" i="13" s="1"/>
  <c r="AG134" i="13" s="1"/>
  <c r="AE134" i="14" s="1"/>
  <c r="AG134" i="14" s="1"/>
  <c r="AG135" i="5"/>
  <c r="AE135" i="6" s="1"/>
  <c r="AG135" i="6" s="1"/>
  <c r="AE135" i="7" s="1"/>
  <c r="AG135" i="7" s="1"/>
  <c r="AE135" i="8" s="1"/>
  <c r="AG135" i="8" s="1"/>
  <c r="AE135" i="9" s="1"/>
  <c r="AG135" i="9" s="1"/>
  <c r="AE135" i="10" s="1"/>
  <c r="AG135" i="10" s="1"/>
  <c r="AE135" i="11" s="1"/>
  <c r="AG135" i="11" s="1"/>
  <c r="AE135" i="12" s="1"/>
  <c r="AG135" i="12" s="1"/>
  <c r="AE135" i="13" s="1"/>
  <c r="AG135" i="13" s="1"/>
  <c r="AG136" i="5"/>
  <c r="AE136" i="6" s="1"/>
  <c r="AG136" i="6" s="1"/>
  <c r="AE136" i="7" s="1"/>
  <c r="AG136" i="7" s="1"/>
  <c r="AE136" i="8" s="1"/>
  <c r="AG136" i="8" s="1"/>
  <c r="AE136" i="9" s="1"/>
  <c r="AG136" i="9" s="1"/>
  <c r="AE136" i="10" s="1"/>
  <c r="AG136" i="10" s="1"/>
  <c r="AE136" i="11" s="1"/>
  <c r="AG136" i="11" s="1"/>
  <c r="AE136" i="12" s="1"/>
  <c r="AG136" i="12" s="1"/>
  <c r="AE136" i="13" s="1"/>
  <c r="AG136" i="13" s="1"/>
  <c r="AG137" i="5"/>
  <c r="AE137" i="6" s="1"/>
  <c r="AG137" i="6" s="1"/>
  <c r="AE137" i="7" s="1"/>
  <c r="AG137" i="7" s="1"/>
  <c r="AE137" i="8" s="1"/>
  <c r="AG137" i="8" s="1"/>
  <c r="AE137" i="9" s="1"/>
  <c r="AG137" i="9" s="1"/>
  <c r="AE137" i="10" s="1"/>
  <c r="AG137" i="10" s="1"/>
  <c r="AE137" i="11" s="1"/>
  <c r="AG137" i="11" s="1"/>
  <c r="AG138" i="5"/>
  <c r="AE138" i="6" s="1"/>
  <c r="AG138" i="6" s="1"/>
  <c r="AE138" i="7" s="1"/>
  <c r="AG138" i="7" s="1"/>
  <c r="AE138" i="8" s="1"/>
  <c r="AG138" i="8" s="1"/>
  <c r="AE138" i="9" s="1"/>
  <c r="AG138" i="9" s="1"/>
  <c r="AE138" i="10" s="1"/>
  <c r="AG138" i="10" s="1"/>
  <c r="AE138" i="11" s="1"/>
  <c r="AG138" i="11" s="1"/>
  <c r="AE138" i="12" s="1"/>
  <c r="AG138" i="12" s="1"/>
  <c r="AE138" i="13" s="1"/>
  <c r="AG138" i="13" s="1"/>
  <c r="AE138" i="14" s="1"/>
  <c r="AG138" i="14" s="1"/>
  <c r="AG139" i="5"/>
  <c r="AE139" i="6" s="1"/>
  <c r="AG139" i="6" s="1"/>
  <c r="AE139" i="7" s="1"/>
  <c r="AG139" i="7" s="1"/>
  <c r="AE139" i="8" s="1"/>
  <c r="AG139" i="8" s="1"/>
  <c r="AE139" i="9" s="1"/>
  <c r="AG139" i="9" s="1"/>
  <c r="AE139" i="10" s="1"/>
  <c r="AG139" i="10" s="1"/>
  <c r="AE139" i="11" s="1"/>
  <c r="AG139" i="11" s="1"/>
  <c r="AE139" i="12" s="1"/>
  <c r="AG139" i="12" s="1"/>
  <c r="AE139" i="13" s="1"/>
  <c r="AG139" i="13" s="1"/>
  <c r="AG142" i="5"/>
  <c r="AE142" i="6" s="1"/>
  <c r="AG142" i="6" s="1"/>
  <c r="AE142" i="7" s="1"/>
  <c r="AG142" i="7" s="1"/>
  <c r="AE142" i="8" s="1"/>
  <c r="AG142" i="8" s="1"/>
  <c r="AE142" i="9" s="1"/>
  <c r="AG142" i="9" s="1"/>
  <c r="AE142" i="10" s="1"/>
  <c r="AG142" i="10" s="1"/>
  <c r="AE142" i="11" s="1"/>
  <c r="AG142" i="11" s="1"/>
  <c r="AE142" i="12" s="1"/>
  <c r="AG142" i="12" s="1"/>
  <c r="AE142" i="13" s="1"/>
  <c r="AG142" i="13" s="1"/>
  <c r="AE142" i="14" s="1"/>
  <c r="AG142" i="14" s="1"/>
  <c r="AG143" i="5"/>
  <c r="AE143" i="6" s="1"/>
  <c r="AG143" i="6" s="1"/>
  <c r="AE143" i="7" s="1"/>
  <c r="AG148" i="5"/>
  <c r="AE148" i="6" s="1"/>
  <c r="AG148" i="6" s="1"/>
  <c r="AE148" i="7" s="1"/>
  <c r="AG148" i="7" s="1"/>
  <c r="AE148" i="8" s="1"/>
  <c r="AG148" i="8" s="1"/>
  <c r="AE148" i="9" s="1"/>
  <c r="AG148" i="9" s="1"/>
  <c r="AE148" i="10" s="1"/>
  <c r="AG148" i="10" s="1"/>
  <c r="AE148" i="11" s="1"/>
  <c r="AG148" i="11" s="1"/>
  <c r="AE148" i="12" s="1"/>
  <c r="AG148" i="12" s="1"/>
  <c r="AE148" i="13" s="1"/>
  <c r="AG148" i="13" s="1"/>
  <c r="AE148" i="14" s="1"/>
  <c r="AG148" i="14" s="1"/>
  <c r="AG150" i="5"/>
  <c r="AE150" i="6" s="1"/>
  <c r="AG150" i="6" s="1"/>
  <c r="AE150" i="7" s="1"/>
  <c r="AG150" i="7" s="1"/>
  <c r="AE150" i="8" s="1"/>
  <c r="AG150" i="8" s="1"/>
  <c r="AE150" i="9" s="1"/>
  <c r="AG150" i="9" s="1"/>
  <c r="AE150" i="10" s="1"/>
  <c r="AG150" i="10" s="1"/>
  <c r="AE150" i="11" s="1"/>
  <c r="AG150" i="11" s="1"/>
  <c r="AE150" i="12" s="1"/>
  <c r="AG150" i="12" s="1"/>
  <c r="AE150" i="13" s="1"/>
  <c r="AG150" i="13" s="1"/>
  <c r="AE150" i="14" s="1"/>
  <c r="AG151" i="5"/>
  <c r="AE151" i="6" s="1"/>
  <c r="AG151" i="6" s="1"/>
  <c r="AE151" i="7" s="1"/>
  <c r="AG151" i="7" s="1"/>
  <c r="AE151" i="8" s="1"/>
  <c r="AG151" i="8" s="1"/>
  <c r="AE151" i="9" s="1"/>
  <c r="AG151" i="9" s="1"/>
  <c r="AE151" i="10" s="1"/>
  <c r="AG151" i="10" s="1"/>
  <c r="AE151" i="11" s="1"/>
  <c r="AG151" i="11" s="1"/>
  <c r="AE151" i="12" s="1"/>
  <c r="AG151" i="12" s="1"/>
  <c r="AE151" i="13" s="1"/>
  <c r="AG151" i="13" s="1"/>
  <c r="AG152" i="5"/>
  <c r="AE152" i="6" s="1"/>
  <c r="AG152" i="6" s="1"/>
  <c r="AE152" i="7" s="1"/>
  <c r="AG152" i="7" s="1"/>
  <c r="AE152" i="8" s="1"/>
  <c r="AG153" i="5"/>
  <c r="AE153" i="6" s="1"/>
  <c r="AG153" i="6" s="1"/>
  <c r="AE153" i="7" s="1"/>
  <c r="AG153" i="7" s="1"/>
  <c r="AE153" i="8" s="1"/>
  <c r="AG153" i="8" s="1"/>
  <c r="AE153" i="9" s="1"/>
  <c r="AG153" i="9" s="1"/>
  <c r="AE153" i="10" s="1"/>
  <c r="AG153" i="10" s="1"/>
  <c r="AE153" i="11" s="1"/>
  <c r="AG153" i="11" s="1"/>
  <c r="AE153" i="12" s="1"/>
  <c r="AG153" i="12" s="1"/>
  <c r="AE153" i="13" s="1"/>
  <c r="AG153" i="13" s="1"/>
  <c r="AE153" i="14" s="1"/>
  <c r="AG153" i="14" s="1"/>
  <c r="AE153" i="15" s="1"/>
  <c r="AG153" i="15" s="1"/>
  <c r="AG156" i="5"/>
  <c r="AE156" i="6" s="1"/>
  <c r="AG156" i="6" s="1"/>
  <c r="AE156" i="7" s="1"/>
  <c r="AG156" i="7" s="1"/>
  <c r="AE156" i="8" s="1"/>
  <c r="AG156" i="8" s="1"/>
  <c r="AE156" i="9" s="1"/>
  <c r="AG156" i="9" s="1"/>
  <c r="AE156" i="10" s="1"/>
  <c r="AG156" i="10" s="1"/>
  <c r="AE156" i="11" s="1"/>
  <c r="AG156" i="11" s="1"/>
  <c r="AE156" i="12" s="1"/>
  <c r="AG156" i="12" s="1"/>
  <c r="AE156" i="13" s="1"/>
  <c r="AG156" i="13" s="1"/>
  <c r="AG158" i="5"/>
  <c r="AE158" i="6" s="1"/>
  <c r="AG158" i="6" s="1"/>
  <c r="AE158" i="7" s="1"/>
  <c r="AG158" i="7" s="1"/>
  <c r="AE158" i="8" s="1"/>
  <c r="AG158" i="8" s="1"/>
  <c r="AE158" i="9" s="1"/>
  <c r="AG158" i="9" s="1"/>
  <c r="AE158" i="10" s="1"/>
  <c r="AG158" i="10" s="1"/>
  <c r="AE158" i="11" s="1"/>
  <c r="AG159" i="5"/>
  <c r="AE159" i="6" s="1"/>
  <c r="AG159" i="6" s="1"/>
  <c r="AE159" i="7" s="1"/>
  <c r="AG159" i="7" s="1"/>
  <c r="AE159" i="8" s="1"/>
  <c r="AG159" i="8" s="1"/>
  <c r="AE159" i="9" s="1"/>
  <c r="AG159" i="9" s="1"/>
  <c r="AE159" i="10" s="1"/>
  <c r="AG159" i="10" s="1"/>
  <c r="AE159" i="11" s="1"/>
  <c r="AG159" i="11" s="1"/>
  <c r="AE159" i="12" s="1"/>
  <c r="AG159" i="12" s="1"/>
  <c r="AE159" i="13" s="1"/>
  <c r="AG159" i="13" s="1"/>
  <c r="AE159" i="14" s="1"/>
  <c r="AG159" i="14" s="1"/>
  <c r="AG160" i="5"/>
  <c r="AE160" i="6" s="1"/>
  <c r="AG161" i="5"/>
  <c r="AE161" i="6" s="1"/>
  <c r="AG161" i="6" s="1"/>
  <c r="AE161" i="7" s="1"/>
  <c r="AG162" i="5"/>
  <c r="AE162" i="6" s="1"/>
  <c r="AG162" i="6" s="1"/>
  <c r="AE162" i="7" s="1"/>
  <c r="AG162" i="7" s="1"/>
  <c r="AG163" i="5"/>
  <c r="AE163" i="6" s="1"/>
  <c r="AG163" i="6" s="1"/>
  <c r="AE163" i="7" s="1"/>
  <c r="AG163" i="7" s="1"/>
  <c r="AE163" i="8" s="1"/>
  <c r="AG163" i="8" s="1"/>
  <c r="AE163" i="9" s="1"/>
  <c r="AG163" i="9" s="1"/>
  <c r="AE163" i="10" s="1"/>
  <c r="AG163" i="10" s="1"/>
  <c r="AE163" i="11" s="1"/>
  <c r="AG163" i="11" s="1"/>
  <c r="AE163" i="12" s="1"/>
  <c r="AG163" i="12" s="1"/>
  <c r="AE163" i="13" s="1"/>
  <c r="AG163" i="13" s="1"/>
  <c r="AE163" i="14" s="1"/>
  <c r="AG163" i="14" s="1"/>
  <c r="AE163" i="15" s="1"/>
  <c r="AG163" i="15" s="1"/>
  <c r="AG164" i="5"/>
  <c r="AE164" i="6" s="1"/>
  <c r="AG164" i="6" s="1"/>
  <c r="AG165" i="5"/>
  <c r="AE165" i="6" s="1"/>
  <c r="AG165" i="6" s="1"/>
  <c r="AE165" i="7" s="1"/>
  <c r="AG165" i="7" s="1"/>
  <c r="AE165" i="8" s="1"/>
  <c r="AG165" i="8" s="1"/>
  <c r="AE165" i="9" s="1"/>
  <c r="AG165" i="9" s="1"/>
  <c r="AE165" i="10" s="1"/>
  <c r="AG165" i="10" s="1"/>
  <c r="AE165" i="11" s="1"/>
  <c r="AG165" i="11" s="1"/>
  <c r="AE165" i="12" s="1"/>
  <c r="AG166" i="5"/>
  <c r="AE166" i="6" s="1"/>
  <c r="AG166" i="6" s="1"/>
  <c r="AE166" i="7" s="1"/>
  <c r="AG166" i="7" s="1"/>
  <c r="AE166" i="8" s="1"/>
  <c r="AG166" i="8" s="1"/>
  <c r="AE166" i="9" s="1"/>
  <c r="AG166" i="9" s="1"/>
  <c r="AE166" i="10" s="1"/>
  <c r="AG166" i="10" s="1"/>
  <c r="AE166" i="11" s="1"/>
  <c r="AG166" i="11" s="1"/>
  <c r="AE166" i="12" s="1"/>
  <c r="AG166" i="12" s="1"/>
  <c r="AE166" i="13" s="1"/>
  <c r="AG166" i="13" s="1"/>
  <c r="AE166" i="14" s="1"/>
  <c r="AG166" i="14" s="1"/>
  <c r="AG167" i="5"/>
  <c r="AE167" i="6" s="1"/>
  <c r="AG167" i="6" s="1"/>
  <c r="AE167" i="7" s="1"/>
  <c r="AG167" i="7" s="1"/>
  <c r="AE167" i="8" s="1"/>
  <c r="AG167" i="8" s="1"/>
  <c r="AE167" i="9" s="1"/>
  <c r="AG167" i="9" s="1"/>
  <c r="AE167" i="10" s="1"/>
  <c r="AG167" i="10" s="1"/>
  <c r="AE167" i="11" s="1"/>
  <c r="AG167" i="11" s="1"/>
  <c r="AE167" i="12" s="1"/>
  <c r="AG167" i="12" s="1"/>
  <c r="AE167" i="13" s="1"/>
  <c r="AG167" i="13" s="1"/>
  <c r="AE167" i="14" s="1"/>
  <c r="AG167" i="14" s="1"/>
  <c r="AG168" i="5"/>
  <c r="AE168" i="6" s="1"/>
  <c r="AG168" i="6" s="1"/>
  <c r="AE168" i="7" s="1"/>
  <c r="AG168" i="7" s="1"/>
  <c r="AE168" i="8" s="1"/>
  <c r="AG168" i="8" s="1"/>
  <c r="AE168" i="9" s="1"/>
  <c r="AG168" i="9" s="1"/>
  <c r="AE168" i="10" s="1"/>
  <c r="AG168" i="10" s="1"/>
  <c r="AE168" i="11" s="1"/>
  <c r="AG168" i="11" s="1"/>
  <c r="AE168" i="12" s="1"/>
  <c r="AG168" i="12" s="1"/>
  <c r="AE168" i="13" s="1"/>
  <c r="AG168" i="13" s="1"/>
  <c r="AE168" i="14" s="1"/>
  <c r="AG168" i="14" s="1"/>
  <c r="AE168" i="15" s="1"/>
  <c r="AG173" i="5"/>
  <c r="AE173" i="6" s="1"/>
  <c r="AG173" i="6" s="1"/>
  <c r="AE173" i="7" s="1"/>
  <c r="AG174" i="5"/>
  <c r="AE174" i="6" s="1"/>
  <c r="AG174" i="6" s="1"/>
  <c r="AE174" i="7" s="1"/>
  <c r="AG174" i="7" s="1"/>
  <c r="AE174" i="8" s="1"/>
  <c r="AG174" i="8" s="1"/>
  <c r="AE174" i="9" s="1"/>
  <c r="AG174" i="9" s="1"/>
  <c r="AE174" i="10" s="1"/>
  <c r="AG177" i="5"/>
  <c r="AE177" i="6" s="1"/>
  <c r="AG177" i="6" s="1"/>
  <c r="AE177" i="7" s="1"/>
  <c r="AG177" i="7" s="1"/>
  <c r="AE177" i="8" s="1"/>
  <c r="AG177" i="8" s="1"/>
  <c r="AE177" i="9" s="1"/>
  <c r="AG177" i="9" s="1"/>
  <c r="AE177" i="10" s="1"/>
  <c r="AG177" i="10" s="1"/>
  <c r="AE177" i="11" s="1"/>
  <c r="AG177" i="11" s="1"/>
  <c r="AE177" i="12" s="1"/>
  <c r="AG177" i="12" s="1"/>
  <c r="AE177" i="13" s="1"/>
  <c r="AG177" i="13" s="1"/>
  <c r="AG178" i="5"/>
  <c r="AG179" i="5"/>
  <c r="AE179" i="6" s="1"/>
  <c r="AG179" i="6" s="1"/>
  <c r="AE179" i="7" s="1"/>
  <c r="AG179" i="7" s="1"/>
  <c r="AE179" i="8" s="1"/>
  <c r="AG179" i="8" s="1"/>
  <c r="AE179" i="9" s="1"/>
  <c r="AG179" i="9" s="1"/>
  <c r="AE179" i="10" s="1"/>
  <c r="AG179" i="10" s="1"/>
  <c r="AE179" i="11" s="1"/>
  <c r="AG179" i="11" s="1"/>
  <c r="AG180" i="5"/>
  <c r="AE180" i="6" s="1"/>
  <c r="AG180" i="6" s="1"/>
  <c r="AE180" i="7" s="1"/>
  <c r="AG180" i="7" s="1"/>
  <c r="AE180" i="8" s="1"/>
  <c r="AG180" i="8" s="1"/>
  <c r="AE180" i="9" s="1"/>
  <c r="AG180" i="9" s="1"/>
  <c r="AE180" i="10" s="1"/>
  <c r="AG180" i="10" s="1"/>
  <c r="AG181" i="5"/>
  <c r="AE181" i="6" s="1"/>
  <c r="AG181" i="6" s="1"/>
  <c r="AE181" i="7" s="1"/>
  <c r="AG182" i="5"/>
  <c r="AE182" i="6" s="1"/>
  <c r="AG182" i="6" s="1"/>
  <c r="AE182" i="7" s="1"/>
  <c r="AG182" i="7" s="1"/>
  <c r="AG183" i="5"/>
  <c r="AE183" i="6" s="1"/>
  <c r="AG183" i="6" s="1"/>
  <c r="AE183" i="7" s="1"/>
  <c r="AG183" i="7" s="1"/>
  <c r="AG186" i="5"/>
  <c r="AE186" i="6" s="1"/>
  <c r="AG186" i="6" s="1"/>
  <c r="AE186" i="7" s="1"/>
  <c r="AG188" i="5"/>
  <c r="AE188" i="6" s="1"/>
  <c r="AG188" i="6" s="1"/>
  <c r="AE188" i="7" s="1"/>
  <c r="AG188" i="7" s="1"/>
  <c r="AG189" i="5"/>
  <c r="AE189" i="6" s="1"/>
  <c r="AG190" i="5"/>
  <c r="AE190" i="6" s="1"/>
  <c r="AG190" i="6" s="1"/>
  <c r="AE190" i="7" s="1"/>
  <c r="AG190" i="7" s="1"/>
  <c r="AG191" i="5"/>
  <c r="AE191" i="6" s="1"/>
  <c r="AG191" i="6" s="1"/>
  <c r="AE191" i="7" s="1"/>
  <c r="AG191" i="7" s="1"/>
  <c r="AG198" i="5"/>
  <c r="AE198" i="6" s="1"/>
  <c r="AG198" i="6" s="1"/>
  <c r="AE198" i="7" s="1"/>
  <c r="AG199" i="5"/>
  <c r="AE199" i="6" s="1"/>
  <c r="AG199" i="6" s="1"/>
  <c r="AE199" i="7" s="1"/>
  <c r="AG199" i="7" s="1"/>
  <c r="AG200" i="5"/>
  <c r="AE200" i="6" s="1"/>
  <c r="AG200" i="6" s="1"/>
  <c r="AE200" i="7" s="1"/>
  <c r="AG200" i="7" s="1"/>
  <c r="AG201" i="5"/>
  <c r="AE201" i="6" s="1"/>
  <c r="AG201" i="6" s="1"/>
  <c r="AE201" i="7" s="1"/>
  <c r="AG201" i="7" s="1"/>
  <c r="AG202" i="5"/>
  <c r="AE202" i="6" s="1"/>
  <c r="AG203" i="5"/>
  <c r="AE203" i="6" s="1"/>
  <c r="AG203" i="6" s="1"/>
  <c r="AE203" i="7" s="1"/>
  <c r="AG203" i="7" s="1"/>
  <c r="AG204" i="5"/>
  <c r="AE204" i="6" s="1"/>
  <c r="AG204" i="6" s="1"/>
  <c r="AE204" i="7" s="1"/>
  <c r="AG204" i="7" s="1"/>
  <c r="AG206" i="5"/>
  <c r="AE206" i="6" s="1"/>
  <c r="AG206" i="6" s="1"/>
  <c r="AE206" i="7" s="1"/>
  <c r="AG207" i="5"/>
  <c r="AE207" i="6" s="1"/>
  <c r="AG207" i="6" s="1"/>
  <c r="AG212" i="5"/>
  <c r="AG213" i="5"/>
  <c r="AE213" i="6" s="1"/>
  <c r="AG213" i="6" s="1"/>
  <c r="AE213" i="7" s="1"/>
  <c r="AG213" i="7" s="1"/>
  <c r="AG214" i="5"/>
  <c r="AE214" i="6" s="1"/>
  <c r="AG214" i="6" s="1"/>
  <c r="AE214" i="7" s="1"/>
  <c r="AG214" i="7" s="1"/>
  <c r="AG215" i="5"/>
  <c r="AE215" i="6" s="1"/>
  <c r="AG215" i="6" s="1"/>
  <c r="AE215" i="7" s="1"/>
  <c r="AG215" i="7" s="1"/>
  <c r="AG216" i="5"/>
  <c r="AE216" i="6" s="1"/>
  <c r="AG216" i="6" s="1"/>
  <c r="AE216" i="7" s="1"/>
  <c r="AG216" i="7" s="1"/>
  <c r="AG217" i="5"/>
  <c r="AE217" i="6" s="1"/>
  <c r="AG217" i="6" s="1"/>
  <c r="AG218" i="5"/>
  <c r="AE218" i="6" s="1"/>
  <c r="AG218" i="6" s="1"/>
  <c r="AE218" i="7" s="1"/>
  <c r="AG218" i="7" s="1"/>
  <c r="AE218" i="8" s="1"/>
  <c r="AG218" i="8" s="1"/>
  <c r="AE218" i="9" s="1"/>
  <c r="AG218" i="9" s="1"/>
  <c r="AE218" i="10" s="1"/>
  <c r="AG218" i="10" s="1"/>
  <c r="AG223" i="5"/>
  <c r="AE223" i="6" s="1"/>
  <c r="AG223" i="6" s="1"/>
  <c r="AE223" i="7" s="1"/>
  <c r="AG223" i="7" s="1"/>
  <c r="AG224" i="5"/>
  <c r="AE224" i="6" s="1"/>
  <c r="AG224" i="6" s="1"/>
  <c r="AG225" i="5"/>
  <c r="AE225" i="6" s="1"/>
  <c r="AG225" i="6" s="1"/>
  <c r="AE225" i="7" s="1"/>
  <c r="AG225" i="7" s="1"/>
  <c r="AG228" i="5"/>
  <c r="AE228" i="6" s="1"/>
  <c r="AG228" i="6" s="1"/>
  <c r="AE228" i="7" s="1"/>
  <c r="AG228" i="7" s="1"/>
  <c r="AG229" i="5"/>
  <c r="AE229" i="6" s="1"/>
  <c r="AG229" i="6" s="1"/>
  <c r="AE229" i="7" s="1"/>
  <c r="AG230" i="5"/>
  <c r="AE230" i="6" s="1"/>
  <c r="AG230" i="6" s="1"/>
  <c r="AE230" i="7" s="1"/>
  <c r="AG230" i="7" s="1"/>
  <c r="AE230" i="8" s="1"/>
  <c r="AG230" i="8" s="1"/>
  <c r="AE230" i="9" s="1"/>
  <c r="AG230" i="9" s="1"/>
  <c r="AE230" i="10" s="1"/>
  <c r="AG230" i="10" s="1"/>
  <c r="AG236" i="5"/>
  <c r="AE236" i="6" s="1"/>
  <c r="AG236" i="6" s="1"/>
  <c r="AE236" i="7" s="1"/>
  <c r="AG236" i="7" s="1"/>
  <c r="AG237" i="5"/>
  <c r="AE237" i="6" s="1"/>
  <c r="AG237" i="6" s="1"/>
  <c r="AE237" i="7" s="1"/>
  <c r="AG238" i="5"/>
  <c r="AE238" i="6" s="1"/>
  <c r="AG238" i="6" s="1"/>
  <c r="AE238" i="7" s="1"/>
  <c r="AG238" i="7" s="1"/>
  <c r="AG239" i="5"/>
  <c r="AG240" i="5"/>
  <c r="AE240" i="6" s="1"/>
  <c r="AG240" i="6" s="1"/>
  <c r="AE240" i="7" s="1"/>
  <c r="AG240" i="7" s="1"/>
  <c r="AG241" i="5"/>
  <c r="AE241" i="6" s="1"/>
  <c r="AG244" i="5"/>
  <c r="AG245" i="5"/>
  <c r="AE245" i="6" s="1"/>
  <c r="AG245" i="6" s="1"/>
  <c r="AE245" i="7" s="1"/>
  <c r="AG245" i="7" s="1"/>
  <c r="AE245" i="8" s="1"/>
  <c r="AG245" i="8" s="1"/>
  <c r="AE245" i="9" s="1"/>
  <c r="AG245" i="9" s="1"/>
  <c r="AE245" i="10" s="1"/>
  <c r="AG245" i="10" s="1"/>
  <c r="AG246" i="5"/>
  <c r="AE246" i="6" s="1"/>
  <c r="AG246" i="6" s="1"/>
  <c r="AE246" i="7" s="1"/>
  <c r="AG246" i="7" s="1"/>
  <c r="AG247" i="5"/>
  <c r="AE247" i="6" s="1"/>
  <c r="AG247" i="6" s="1"/>
  <c r="AE247" i="7" s="1"/>
  <c r="AG247" i="7" s="1"/>
  <c r="AE247" i="8" s="1"/>
  <c r="AG247" i="8" s="1"/>
  <c r="AE247" i="9" s="1"/>
  <c r="AG247" i="9" s="1"/>
  <c r="AE247" i="10" s="1"/>
  <c r="AG247" i="10" s="1"/>
  <c r="AG248" i="5"/>
  <c r="AE248" i="6" s="1"/>
  <c r="AG248" i="6" s="1"/>
  <c r="AE248" i="7" s="1"/>
  <c r="AG248" i="7" s="1"/>
  <c r="AG249" i="5"/>
  <c r="AE249" i="6" s="1"/>
  <c r="AG249" i="6" s="1"/>
  <c r="AE249" i="7" s="1"/>
  <c r="AG249" i="7" s="1"/>
  <c r="AE249" i="8" s="1"/>
  <c r="AG249" i="8" s="1"/>
  <c r="AE249" i="9" s="1"/>
  <c r="AG249" i="9" s="1"/>
  <c r="AE249" i="10" s="1"/>
  <c r="AG249" i="10" s="1"/>
  <c r="AG250" i="5"/>
  <c r="AE250" i="6" s="1"/>
  <c r="AG250" i="6" s="1"/>
  <c r="AE250" i="7" s="1"/>
  <c r="AG250" i="7" s="1"/>
  <c r="AG251" i="5"/>
  <c r="AE251" i="6" s="1"/>
  <c r="AG251" i="6" s="1"/>
  <c r="AE251" i="7" s="1"/>
  <c r="AG251" i="7" s="1"/>
  <c r="AG252" i="5"/>
  <c r="AE252" i="6" s="1"/>
  <c r="AG252" i="6" s="1"/>
  <c r="AE252" i="7" s="1"/>
  <c r="AG252" i="7" s="1"/>
  <c r="AG253" i="5"/>
  <c r="AE253" i="6" s="1"/>
  <c r="AG253" i="6" s="1"/>
  <c r="AE253" i="7" s="1"/>
  <c r="AG253" i="7" s="1"/>
  <c r="AG254" i="5"/>
  <c r="AE254" i="6" s="1"/>
  <c r="AG254" i="6" s="1"/>
  <c r="AE254" i="7" s="1"/>
  <c r="AG254" i="7" s="1"/>
  <c r="AG255" i="5"/>
  <c r="AE255" i="6" s="1"/>
  <c r="AG255" i="6" s="1"/>
  <c r="AE255" i="7" s="1"/>
  <c r="AG255" i="7" s="1"/>
  <c r="AG256" i="5"/>
  <c r="AE256" i="6" s="1"/>
  <c r="AG256" i="6" s="1"/>
  <c r="AE256" i="7" s="1"/>
  <c r="AG256" i="7" s="1"/>
  <c r="C22" i="16"/>
  <c r="C29" i="16"/>
  <c r="C35" i="16"/>
  <c r="C45" i="16"/>
  <c r="C51" i="16"/>
  <c r="C57" i="16"/>
  <c r="C63" i="16"/>
  <c r="C69" i="16"/>
  <c r="C75" i="16"/>
  <c r="C81" i="16"/>
  <c r="U58" i="16"/>
  <c r="U57" i="16" s="1"/>
  <c r="U141" i="16"/>
  <c r="U149" i="16"/>
  <c r="U172" i="16"/>
  <c r="U17" i="15"/>
  <c r="U18" i="15"/>
  <c r="U19" i="15"/>
  <c r="X19" i="15" s="1"/>
  <c r="U21" i="15"/>
  <c r="U22" i="15"/>
  <c r="U23" i="15"/>
  <c r="U24" i="15"/>
  <c r="X24" i="15" s="1"/>
  <c r="U25" i="15"/>
  <c r="U26" i="15"/>
  <c r="U27" i="15"/>
  <c r="U28" i="15"/>
  <c r="X28" i="15" s="1"/>
  <c r="U29" i="15"/>
  <c r="X29" i="15" s="1"/>
  <c r="U30" i="15"/>
  <c r="U31" i="15"/>
  <c r="U32" i="15"/>
  <c r="X32" i="15" s="1"/>
  <c r="U33" i="15"/>
  <c r="U36" i="15"/>
  <c r="U37" i="15"/>
  <c r="U38" i="15"/>
  <c r="X38" i="15" s="1"/>
  <c r="U39" i="15"/>
  <c r="U40" i="15"/>
  <c r="U41" i="15"/>
  <c r="U45" i="15"/>
  <c r="X45" i="15" s="1"/>
  <c r="U46" i="15"/>
  <c r="U47" i="15"/>
  <c r="U48" i="15"/>
  <c r="U50" i="15"/>
  <c r="U51" i="15"/>
  <c r="U52" i="15"/>
  <c r="U53" i="15"/>
  <c r="U54" i="15"/>
  <c r="X54" i="15" s="1"/>
  <c r="U55" i="15"/>
  <c r="U59" i="15"/>
  <c r="U60" i="15"/>
  <c r="U61" i="15"/>
  <c r="U66" i="15"/>
  <c r="U67" i="15"/>
  <c r="U68" i="15"/>
  <c r="U70" i="15"/>
  <c r="X70" i="15" s="1"/>
  <c r="U71" i="15"/>
  <c r="U72" i="15"/>
  <c r="U73" i="15"/>
  <c r="U74" i="15"/>
  <c r="U75" i="15"/>
  <c r="U76" i="15"/>
  <c r="U77" i="15"/>
  <c r="U78" i="15"/>
  <c r="X78" i="15" s="1"/>
  <c r="U79" i="15"/>
  <c r="U80" i="15"/>
  <c r="U81" i="15"/>
  <c r="U84" i="15"/>
  <c r="X84" i="15" s="1"/>
  <c r="U85" i="15"/>
  <c r="U86" i="15"/>
  <c r="U87" i="15"/>
  <c r="U88" i="15"/>
  <c r="U92" i="15"/>
  <c r="U93" i="15"/>
  <c r="U94" i="15"/>
  <c r="U95" i="15"/>
  <c r="X95" i="15" s="1"/>
  <c r="U97" i="15"/>
  <c r="U98" i="15"/>
  <c r="U99" i="15"/>
  <c r="U100" i="15"/>
  <c r="X100" i="15" s="1"/>
  <c r="U101" i="15"/>
  <c r="U102" i="15"/>
  <c r="U106" i="15"/>
  <c r="U107" i="15"/>
  <c r="X107" i="15" s="1"/>
  <c r="U108" i="15"/>
  <c r="U115" i="15"/>
  <c r="U116" i="15"/>
  <c r="U117" i="15"/>
  <c r="X117" i="15" s="1"/>
  <c r="U118" i="15"/>
  <c r="U119" i="15"/>
  <c r="U120" i="15"/>
  <c r="U121" i="15"/>
  <c r="X121" i="15" s="1"/>
  <c r="U124" i="15"/>
  <c r="U125" i="15"/>
  <c r="U126" i="15"/>
  <c r="U127" i="15"/>
  <c r="U128" i="15"/>
  <c r="U129" i="15"/>
  <c r="U130" i="15"/>
  <c r="U131" i="15"/>
  <c r="U132" i="15"/>
  <c r="U133" i="15"/>
  <c r="U134" i="15"/>
  <c r="U135" i="15"/>
  <c r="U136" i="15"/>
  <c r="U137" i="15"/>
  <c r="U138" i="15"/>
  <c r="U139" i="15"/>
  <c r="X139" i="15" s="1"/>
  <c r="U142" i="15"/>
  <c r="U143" i="15"/>
  <c r="U148" i="15"/>
  <c r="U150" i="15"/>
  <c r="U151" i="15"/>
  <c r="U152" i="15"/>
  <c r="U153" i="15"/>
  <c r="U156" i="15"/>
  <c r="X156" i="15" s="1"/>
  <c r="U158" i="15"/>
  <c r="U159" i="15"/>
  <c r="U160" i="15"/>
  <c r="U161" i="15"/>
  <c r="X161" i="15" s="1"/>
  <c r="U162" i="15"/>
  <c r="U163" i="15"/>
  <c r="U164" i="15"/>
  <c r="U165" i="15"/>
  <c r="X165" i="15" s="1"/>
  <c r="U166" i="15"/>
  <c r="U167" i="15"/>
  <c r="U168" i="15"/>
  <c r="U173" i="15"/>
  <c r="X173" i="15" s="1"/>
  <c r="U174" i="15"/>
  <c r="U177" i="15"/>
  <c r="U178" i="15"/>
  <c r="U179" i="15"/>
  <c r="U180" i="15"/>
  <c r="U181" i="15"/>
  <c r="U182" i="15"/>
  <c r="U183" i="15"/>
  <c r="U186" i="15"/>
  <c r="U188" i="15"/>
  <c r="U189" i="15"/>
  <c r="U190" i="15"/>
  <c r="U191" i="15"/>
  <c r="U198" i="15"/>
  <c r="U199" i="15"/>
  <c r="U200" i="15"/>
  <c r="U201" i="15"/>
  <c r="U202" i="15"/>
  <c r="U203" i="15"/>
  <c r="U204" i="15"/>
  <c r="X204" i="15" s="1"/>
  <c r="U206" i="15"/>
  <c r="U207" i="15"/>
  <c r="U212" i="15"/>
  <c r="U213" i="15"/>
  <c r="U214" i="15"/>
  <c r="U215" i="15"/>
  <c r="U216" i="15"/>
  <c r="U217" i="15"/>
  <c r="X217" i="15" s="1"/>
  <c r="U218" i="15"/>
  <c r="U223" i="15"/>
  <c r="U224" i="15"/>
  <c r="U225" i="15"/>
  <c r="U228" i="15"/>
  <c r="U229" i="15"/>
  <c r="U230" i="15"/>
  <c r="U236" i="15"/>
  <c r="X236" i="15" s="1"/>
  <c r="U237" i="15"/>
  <c r="U238" i="15"/>
  <c r="U239" i="15"/>
  <c r="U240" i="15"/>
  <c r="X240" i="15" s="1"/>
  <c r="U241" i="15"/>
  <c r="U244" i="15"/>
  <c r="U245" i="15"/>
  <c r="U246" i="15"/>
  <c r="X246" i="15" s="1"/>
  <c r="U247" i="15"/>
  <c r="U248" i="15"/>
  <c r="U249" i="15"/>
  <c r="U250" i="15"/>
  <c r="X250" i="15" s="1"/>
  <c r="U251" i="15"/>
  <c r="U252" i="15"/>
  <c r="U253" i="15"/>
  <c r="U254" i="15"/>
  <c r="X254" i="15" s="1"/>
  <c r="U255" i="15"/>
  <c r="U256" i="15"/>
  <c r="C12" i="15"/>
  <c r="C13" i="15"/>
  <c r="C14" i="15"/>
  <c r="C15" i="15"/>
  <c r="C23" i="15"/>
  <c r="C24" i="15"/>
  <c r="C26" i="15"/>
  <c r="C27" i="15"/>
  <c r="C30" i="15"/>
  <c r="C31" i="15"/>
  <c r="C33" i="15"/>
  <c r="C34" i="15"/>
  <c r="C36" i="15"/>
  <c r="C37" i="15"/>
  <c r="C41" i="15"/>
  <c r="C43" i="15"/>
  <c r="C44" i="15"/>
  <c r="C46" i="15"/>
  <c r="C47" i="15"/>
  <c r="C49" i="15"/>
  <c r="C50" i="15"/>
  <c r="C52" i="15"/>
  <c r="C53" i="15"/>
  <c r="C55" i="15"/>
  <c r="C56" i="15"/>
  <c r="C58" i="15"/>
  <c r="C59" i="15"/>
  <c r="C61" i="15"/>
  <c r="C62" i="15"/>
  <c r="C64" i="15"/>
  <c r="C65" i="15"/>
  <c r="C67" i="15"/>
  <c r="C68" i="15"/>
  <c r="C70" i="15"/>
  <c r="C71" i="15"/>
  <c r="C73" i="15"/>
  <c r="C74" i="15"/>
  <c r="C76" i="15"/>
  <c r="C77" i="15"/>
  <c r="C79" i="15"/>
  <c r="C80" i="15"/>
  <c r="C82" i="15"/>
  <c r="C83" i="15"/>
  <c r="H78" i="15"/>
  <c r="C81" i="5"/>
  <c r="C81" i="15" s="1"/>
  <c r="C12" i="14"/>
  <c r="C13" i="14"/>
  <c r="C14" i="14"/>
  <c r="C15" i="14"/>
  <c r="C23" i="14"/>
  <c r="C24" i="14"/>
  <c r="C26" i="14"/>
  <c r="C27" i="14"/>
  <c r="C30" i="14"/>
  <c r="C31" i="14"/>
  <c r="C33" i="14"/>
  <c r="C34" i="14"/>
  <c r="C36" i="14"/>
  <c r="C37" i="14"/>
  <c r="C43" i="14"/>
  <c r="C44" i="14"/>
  <c r="C46" i="14"/>
  <c r="C47" i="14"/>
  <c r="C49" i="14"/>
  <c r="C50" i="14"/>
  <c r="C52" i="14"/>
  <c r="C53" i="14"/>
  <c r="C55" i="14"/>
  <c r="C56" i="14"/>
  <c r="C58" i="14"/>
  <c r="C59" i="14"/>
  <c r="C61" i="14"/>
  <c r="C62" i="14"/>
  <c r="C64" i="14"/>
  <c r="C65" i="14"/>
  <c r="C67" i="14"/>
  <c r="C68" i="14"/>
  <c r="C70" i="14"/>
  <c r="C71" i="14"/>
  <c r="C73" i="14"/>
  <c r="C74" i="14"/>
  <c r="C76" i="14"/>
  <c r="C77" i="14"/>
  <c r="C79" i="14"/>
  <c r="C80" i="14"/>
  <c r="C82" i="14"/>
  <c r="C83" i="14"/>
  <c r="U17" i="14"/>
  <c r="U18" i="14"/>
  <c r="U19" i="14"/>
  <c r="X19" i="14" s="1"/>
  <c r="U21" i="14"/>
  <c r="U22" i="14"/>
  <c r="U23" i="14"/>
  <c r="U24" i="14"/>
  <c r="X24" i="14" s="1"/>
  <c r="U25" i="14"/>
  <c r="U26" i="14"/>
  <c r="U27" i="14"/>
  <c r="U28" i="14"/>
  <c r="X28" i="14" s="1"/>
  <c r="U29" i="14"/>
  <c r="U30" i="14"/>
  <c r="U31" i="14"/>
  <c r="U32" i="14"/>
  <c r="X32" i="14" s="1"/>
  <c r="U33" i="14"/>
  <c r="U36" i="14"/>
  <c r="U37" i="14"/>
  <c r="U38" i="14"/>
  <c r="X38" i="14" s="1"/>
  <c r="U39" i="14"/>
  <c r="U40" i="14"/>
  <c r="U41" i="14"/>
  <c r="U45" i="14"/>
  <c r="X45" i="14" s="1"/>
  <c r="U46" i="14"/>
  <c r="U47" i="14"/>
  <c r="U48" i="14"/>
  <c r="U50" i="14"/>
  <c r="U51" i="14"/>
  <c r="U52" i="14"/>
  <c r="U53" i="14"/>
  <c r="U54" i="14"/>
  <c r="X54" i="14" s="1"/>
  <c r="U55" i="14"/>
  <c r="U59" i="14"/>
  <c r="U60" i="14"/>
  <c r="U61" i="14"/>
  <c r="X61" i="14" s="1"/>
  <c r="U66" i="14"/>
  <c r="U67" i="14"/>
  <c r="U68" i="14"/>
  <c r="U70" i="14"/>
  <c r="X70" i="14" s="1"/>
  <c r="U71" i="14"/>
  <c r="U72" i="14"/>
  <c r="U73" i="14"/>
  <c r="U74" i="14"/>
  <c r="U75" i="14"/>
  <c r="U76" i="14"/>
  <c r="U77" i="14"/>
  <c r="U78" i="14"/>
  <c r="X78" i="14" s="1"/>
  <c r="U79" i="14"/>
  <c r="U80" i="14"/>
  <c r="U81" i="14"/>
  <c r="U84" i="14"/>
  <c r="X84" i="14" s="1"/>
  <c r="U85" i="14"/>
  <c r="U86" i="14"/>
  <c r="U87" i="14"/>
  <c r="U88" i="14"/>
  <c r="U92" i="14"/>
  <c r="U93" i="14"/>
  <c r="U94" i="14"/>
  <c r="U95" i="14"/>
  <c r="X95" i="14" s="1"/>
  <c r="U97" i="14"/>
  <c r="U98" i="14"/>
  <c r="U99" i="14"/>
  <c r="U100" i="14"/>
  <c r="X100" i="14" s="1"/>
  <c r="U101" i="14"/>
  <c r="U102" i="14"/>
  <c r="U106" i="14"/>
  <c r="U107" i="14"/>
  <c r="X107" i="14" s="1"/>
  <c r="U108" i="14"/>
  <c r="U115" i="14"/>
  <c r="U116" i="14"/>
  <c r="U117" i="14"/>
  <c r="X117" i="14" s="1"/>
  <c r="U118" i="14"/>
  <c r="U119" i="14"/>
  <c r="U120" i="14"/>
  <c r="U121" i="14"/>
  <c r="X121" i="14" s="1"/>
  <c r="U124" i="14"/>
  <c r="U125" i="14"/>
  <c r="U126" i="14"/>
  <c r="U127" i="14"/>
  <c r="X127" i="14" s="1"/>
  <c r="U128" i="14"/>
  <c r="U129" i="14"/>
  <c r="U130" i="14"/>
  <c r="U131" i="14"/>
  <c r="X131" i="14" s="1"/>
  <c r="U132" i="14"/>
  <c r="U133" i="14"/>
  <c r="U134" i="14"/>
  <c r="U135" i="14"/>
  <c r="U136" i="14"/>
  <c r="U137" i="14"/>
  <c r="U138" i="14"/>
  <c r="U139" i="14"/>
  <c r="X139" i="14" s="1"/>
  <c r="U142" i="14"/>
  <c r="U143" i="14"/>
  <c r="U148" i="14"/>
  <c r="U150" i="14"/>
  <c r="U151" i="14"/>
  <c r="U152" i="14"/>
  <c r="U153" i="14"/>
  <c r="U156" i="14"/>
  <c r="X156" i="14" s="1"/>
  <c r="U158" i="14"/>
  <c r="U159" i="14"/>
  <c r="U160" i="14"/>
  <c r="U161" i="14"/>
  <c r="X161" i="14" s="1"/>
  <c r="U162" i="14"/>
  <c r="U163" i="14"/>
  <c r="U164" i="14"/>
  <c r="U165" i="14"/>
  <c r="X165" i="14" s="1"/>
  <c r="U166" i="14"/>
  <c r="U167" i="14"/>
  <c r="U168" i="14"/>
  <c r="U173" i="14"/>
  <c r="X173" i="14" s="1"/>
  <c r="U174" i="14"/>
  <c r="U177" i="14"/>
  <c r="U178" i="14"/>
  <c r="U179" i="14"/>
  <c r="U180" i="14"/>
  <c r="U181" i="14"/>
  <c r="U182" i="14"/>
  <c r="U183" i="14"/>
  <c r="U186" i="14"/>
  <c r="U188" i="14"/>
  <c r="U189" i="14"/>
  <c r="U190" i="14"/>
  <c r="U191" i="14"/>
  <c r="U198" i="14"/>
  <c r="U199" i="14"/>
  <c r="U200" i="14"/>
  <c r="U201" i="14"/>
  <c r="U202" i="14"/>
  <c r="U203" i="14"/>
  <c r="U204" i="14"/>
  <c r="X204" i="14" s="1"/>
  <c r="U206" i="14"/>
  <c r="U207" i="14"/>
  <c r="U212" i="14"/>
  <c r="U213" i="14"/>
  <c r="U214" i="14"/>
  <c r="U215" i="14"/>
  <c r="U216" i="14"/>
  <c r="U217" i="14"/>
  <c r="X217" i="14" s="1"/>
  <c r="U218" i="14"/>
  <c r="U223" i="14"/>
  <c r="U224" i="14"/>
  <c r="U225" i="14"/>
  <c r="U228" i="14"/>
  <c r="U229" i="14"/>
  <c r="U230" i="14"/>
  <c r="U236" i="14"/>
  <c r="X236" i="14" s="1"/>
  <c r="U237" i="14"/>
  <c r="U238" i="14"/>
  <c r="U239" i="14"/>
  <c r="U240" i="14"/>
  <c r="X240" i="14" s="1"/>
  <c r="U241" i="14"/>
  <c r="U244" i="14"/>
  <c r="U245" i="14"/>
  <c r="U246" i="14"/>
  <c r="X246" i="14" s="1"/>
  <c r="U247" i="14"/>
  <c r="U248" i="14"/>
  <c r="U249" i="14"/>
  <c r="U250" i="14"/>
  <c r="X250" i="14" s="1"/>
  <c r="U251" i="14"/>
  <c r="U252" i="14"/>
  <c r="U253" i="14"/>
  <c r="U254" i="14"/>
  <c r="X254" i="14" s="1"/>
  <c r="U255" i="14"/>
  <c r="U256" i="14"/>
  <c r="H78" i="14"/>
  <c r="C12" i="13"/>
  <c r="C13" i="13"/>
  <c r="C14" i="13"/>
  <c r="C15" i="13"/>
  <c r="C23" i="13"/>
  <c r="C24" i="13"/>
  <c r="C26" i="13"/>
  <c r="C27" i="13"/>
  <c r="C30" i="13"/>
  <c r="C31" i="13"/>
  <c r="C33" i="13"/>
  <c r="C34" i="13"/>
  <c r="C36" i="13"/>
  <c r="C37" i="13"/>
  <c r="C43" i="13"/>
  <c r="C44" i="13"/>
  <c r="C46" i="13"/>
  <c r="C47" i="13"/>
  <c r="C49" i="13"/>
  <c r="C50" i="13"/>
  <c r="C52" i="13"/>
  <c r="C53" i="13"/>
  <c r="C55" i="13"/>
  <c r="C56" i="13"/>
  <c r="C58" i="13"/>
  <c r="C59" i="13"/>
  <c r="C61" i="13"/>
  <c r="C62" i="13"/>
  <c r="C64" i="13"/>
  <c r="C65" i="13"/>
  <c r="C67" i="13"/>
  <c r="C68" i="13"/>
  <c r="C70" i="13"/>
  <c r="C71" i="13"/>
  <c r="C73" i="13"/>
  <c r="C74" i="13"/>
  <c r="C76" i="13"/>
  <c r="C77" i="13"/>
  <c r="C79" i="13"/>
  <c r="C80" i="13"/>
  <c r="C82" i="13"/>
  <c r="C83" i="13"/>
  <c r="U17" i="13"/>
  <c r="U18" i="13"/>
  <c r="U19" i="13"/>
  <c r="X19" i="13" s="1"/>
  <c r="U21" i="13"/>
  <c r="U22" i="13"/>
  <c r="U23" i="13"/>
  <c r="U24" i="13"/>
  <c r="X24" i="13" s="1"/>
  <c r="U25" i="13"/>
  <c r="U26" i="13"/>
  <c r="U27" i="13"/>
  <c r="U28" i="13"/>
  <c r="X28" i="13" s="1"/>
  <c r="U29" i="13"/>
  <c r="U30" i="13"/>
  <c r="U31" i="13"/>
  <c r="U32" i="13"/>
  <c r="X32" i="13" s="1"/>
  <c r="U33" i="13"/>
  <c r="U36" i="13"/>
  <c r="U37" i="13"/>
  <c r="U38" i="13"/>
  <c r="X38" i="13" s="1"/>
  <c r="U39" i="13"/>
  <c r="U40" i="13"/>
  <c r="U41" i="13"/>
  <c r="U45" i="13"/>
  <c r="X45" i="13" s="1"/>
  <c r="U46" i="13"/>
  <c r="U47" i="13"/>
  <c r="U48" i="13"/>
  <c r="U50" i="13"/>
  <c r="U51" i="13"/>
  <c r="U52" i="13"/>
  <c r="U53" i="13"/>
  <c r="U54" i="13"/>
  <c r="X54" i="13" s="1"/>
  <c r="U55" i="13"/>
  <c r="U59" i="13"/>
  <c r="U60" i="13"/>
  <c r="U61" i="13"/>
  <c r="X61" i="13" s="1"/>
  <c r="U66" i="13"/>
  <c r="U67" i="13"/>
  <c r="U68" i="13"/>
  <c r="U70" i="13"/>
  <c r="X70" i="13" s="1"/>
  <c r="U71" i="13"/>
  <c r="U72" i="13"/>
  <c r="U73" i="13"/>
  <c r="U74" i="13"/>
  <c r="U75" i="13"/>
  <c r="U76" i="13"/>
  <c r="U77" i="13"/>
  <c r="U78" i="13"/>
  <c r="X78" i="13" s="1"/>
  <c r="U79" i="13"/>
  <c r="U80" i="13"/>
  <c r="U81" i="13"/>
  <c r="U84" i="13"/>
  <c r="X84" i="13" s="1"/>
  <c r="U85" i="13"/>
  <c r="U86" i="13"/>
  <c r="U87" i="13"/>
  <c r="U88" i="13"/>
  <c r="U92" i="13"/>
  <c r="U93" i="13"/>
  <c r="U94" i="13"/>
  <c r="U95" i="13"/>
  <c r="X95" i="13" s="1"/>
  <c r="U97" i="13"/>
  <c r="U98" i="13"/>
  <c r="U99" i="13"/>
  <c r="U100" i="13"/>
  <c r="X100" i="13" s="1"/>
  <c r="U101" i="13"/>
  <c r="U102" i="13"/>
  <c r="U106" i="13"/>
  <c r="U107" i="13"/>
  <c r="X107" i="13" s="1"/>
  <c r="U108" i="13"/>
  <c r="U115" i="13"/>
  <c r="U116" i="13"/>
  <c r="U117" i="13"/>
  <c r="X117" i="13" s="1"/>
  <c r="U118" i="13"/>
  <c r="U119" i="13"/>
  <c r="U120" i="13"/>
  <c r="U121" i="13"/>
  <c r="X121" i="13" s="1"/>
  <c r="U124" i="13"/>
  <c r="U125" i="13"/>
  <c r="U126" i="13"/>
  <c r="U127" i="13"/>
  <c r="X127" i="13" s="1"/>
  <c r="U128" i="13"/>
  <c r="U129" i="13"/>
  <c r="U130" i="13"/>
  <c r="U131" i="13"/>
  <c r="X131" i="13" s="1"/>
  <c r="U132" i="13"/>
  <c r="U133" i="13"/>
  <c r="U134" i="13"/>
  <c r="U135" i="13"/>
  <c r="U136" i="13"/>
  <c r="U137" i="13"/>
  <c r="U138" i="13"/>
  <c r="U139" i="13"/>
  <c r="X139" i="13" s="1"/>
  <c r="U142" i="13"/>
  <c r="U141" i="13" s="1"/>
  <c r="U143" i="13"/>
  <c r="U148" i="13"/>
  <c r="U150" i="13"/>
  <c r="U151" i="13"/>
  <c r="U152" i="13"/>
  <c r="U153" i="13"/>
  <c r="U156" i="13"/>
  <c r="X156" i="13" s="1"/>
  <c r="U158" i="13"/>
  <c r="U159" i="13"/>
  <c r="U160" i="13"/>
  <c r="U161" i="13"/>
  <c r="X161" i="13" s="1"/>
  <c r="U162" i="13"/>
  <c r="U163" i="13"/>
  <c r="U164" i="13"/>
  <c r="U165" i="13"/>
  <c r="X165" i="13" s="1"/>
  <c r="U166" i="13"/>
  <c r="U167" i="13"/>
  <c r="U168" i="13"/>
  <c r="U173" i="13"/>
  <c r="X173" i="13" s="1"/>
  <c r="U174" i="13"/>
  <c r="U177" i="13"/>
  <c r="U178" i="13"/>
  <c r="U179" i="13"/>
  <c r="U180" i="13"/>
  <c r="U181" i="13"/>
  <c r="U182" i="13"/>
  <c r="U183" i="13"/>
  <c r="X183" i="13" s="1"/>
  <c r="U186" i="13"/>
  <c r="U188" i="13"/>
  <c r="U189" i="13"/>
  <c r="U190" i="13"/>
  <c r="U191" i="13"/>
  <c r="U198" i="13"/>
  <c r="U199" i="13"/>
  <c r="U200" i="13"/>
  <c r="U201" i="13"/>
  <c r="U202" i="13"/>
  <c r="U203" i="13"/>
  <c r="U204" i="13"/>
  <c r="X204" i="13" s="1"/>
  <c r="U206" i="13"/>
  <c r="U207" i="13"/>
  <c r="U212" i="13"/>
  <c r="U213" i="13"/>
  <c r="U214" i="13"/>
  <c r="U215" i="13"/>
  <c r="U216" i="13"/>
  <c r="U217" i="13"/>
  <c r="X217" i="13" s="1"/>
  <c r="U218" i="13"/>
  <c r="U223" i="13"/>
  <c r="U224" i="13"/>
  <c r="U225" i="13"/>
  <c r="U228" i="13"/>
  <c r="U229" i="13"/>
  <c r="U230" i="13"/>
  <c r="U236" i="13"/>
  <c r="X236" i="13" s="1"/>
  <c r="U237" i="13"/>
  <c r="U238" i="13"/>
  <c r="U239" i="13"/>
  <c r="U240" i="13"/>
  <c r="X240" i="13" s="1"/>
  <c r="U241" i="13"/>
  <c r="U244" i="13"/>
  <c r="U245" i="13"/>
  <c r="U246" i="13"/>
  <c r="X246" i="13" s="1"/>
  <c r="U247" i="13"/>
  <c r="U248" i="13"/>
  <c r="U249" i="13"/>
  <c r="U250" i="13"/>
  <c r="X250" i="13" s="1"/>
  <c r="U251" i="13"/>
  <c r="U252" i="13"/>
  <c r="U253" i="13"/>
  <c r="U254" i="13"/>
  <c r="X254" i="13" s="1"/>
  <c r="U255" i="13"/>
  <c r="U256" i="13"/>
  <c r="Y205" i="13"/>
  <c r="H78" i="13"/>
  <c r="C12" i="12"/>
  <c r="C13" i="12"/>
  <c r="C14" i="12"/>
  <c r="C15" i="12"/>
  <c r="C23" i="12"/>
  <c r="C24" i="12"/>
  <c r="C26" i="12"/>
  <c r="C27" i="12"/>
  <c r="C30" i="12"/>
  <c r="C29" i="12" s="1"/>
  <c r="C31" i="12"/>
  <c r="C33" i="12"/>
  <c r="C34" i="12"/>
  <c r="C36" i="12"/>
  <c r="C37" i="12"/>
  <c r="C43" i="12"/>
  <c r="C44" i="12"/>
  <c r="C46" i="12"/>
  <c r="C47" i="12"/>
  <c r="C49" i="12"/>
  <c r="C50" i="12"/>
  <c r="C52" i="12"/>
  <c r="C53" i="12"/>
  <c r="C55" i="12"/>
  <c r="C56" i="12"/>
  <c r="C58" i="12"/>
  <c r="C59" i="12"/>
  <c r="C61" i="12"/>
  <c r="C62" i="12"/>
  <c r="C64" i="12"/>
  <c r="C65" i="12"/>
  <c r="C67" i="12"/>
  <c r="C68" i="12"/>
  <c r="C70" i="12"/>
  <c r="C71" i="12"/>
  <c r="C73" i="12"/>
  <c r="C74" i="12"/>
  <c r="C76" i="12"/>
  <c r="C77" i="12"/>
  <c r="C79" i="12"/>
  <c r="C80" i="12"/>
  <c r="C82" i="12"/>
  <c r="C83" i="12"/>
  <c r="U17" i="12"/>
  <c r="U18" i="12"/>
  <c r="U19" i="12"/>
  <c r="X19" i="12" s="1"/>
  <c r="U21" i="12"/>
  <c r="U22" i="12"/>
  <c r="U23" i="12"/>
  <c r="U24" i="12"/>
  <c r="X24" i="12" s="1"/>
  <c r="U25" i="12"/>
  <c r="U26" i="12"/>
  <c r="U27" i="12"/>
  <c r="U28" i="12"/>
  <c r="X28" i="12" s="1"/>
  <c r="U29" i="12"/>
  <c r="U30" i="12"/>
  <c r="U31" i="12"/>
  <c r="U32" i="12"/>
  <c r="X32" i="12" s="1"/>
  <c r="U33" i="12"/>
  <c r="U36" i="12"/>
  <c r="U37" i="12"/>
  <c r="U38" i="12"/>
  <c r="X38" i="12" s="1"/>
  <c r="U39" i="12"/>
  <c r="U40" i="12"/>
  <c r="U41" i="12"/>
  <c r="U45" i="12"/>
  <c r="X45" i="12" s="1"/>
  <c r="U46" i="12"/>
  <c r="U47" i="12"/>
  <c r="U48" i="12"/>
  <c r="U50" i="12"/>
  <c r="U51" i="12"/>
  <c r="U52" i="12"/>
  <c r="U53" i="12"/>
  <c r="U54" i="12"/>
  <c r="X54" i="12" s="1"/>
  <c r="U55" i="12"/>
  <c r="U59" i="12"/>
  <c r="U60" i="12"/>
  <c r="U61" i="12"/>
  <c r="X61" i="12" s="1"/>
  <c r="U66" i="12"/>
  <c r="U67" i="12"/>
  <c r="U68" i="12"/>
  <c r="U70" i="12"/>
  <c r="X70" i="12" s="1"/>
  <c r="AI70" i="12" s="1"/>
  <c r="U71" i="12"/>
  <c r="U72" i="12"/>
  <c r="U73" i="12"/>
  <c r="U74" i="12"/>
  <c r="U75" i="12"/>
  <c r="U76" i="12"/>
  <c r="U77" i="12"/>
  <c r="U78" i="12"/>
  <c r="X78" i="12" s="1"/>
  <c r="U79" i="12"/>
  <c r="U80" i="12"/>
  <c r="U81" i="12"/>
  <c r="U84" i="12"/>
  <c r="X84" i="12" s="1"/>
  <c r="AJ84" i="12" s="1"/>
  <c r="U85" i="12"/>
  <c r="U86" i="12"/>
  <c r="U87" i="12"/>
  <c r="U88" i="12"/>
  <c r="X88" i="12" s="1"/>
  <c r="AJ88" i="12" s="1"/>
  <c r="U92" i="12"/>
  <c r="U93" i="12"/>
  <c r="U94" i="12"/>
  <c r="U95" i="12"/>
  <c r="X95" i="12" s="1"/>
  <c r="U97" i="12"/>
  <c r="U98" i="12"/>
  <c r="U99" i="12"/>
  <c r="U100" i="12"/>
  <c r="X100" i="12" s="1"/>
  <c r="U101" i="12"/>
  <c r="U102" i="12"/>
  <c r="U106" i="12"/>
  <c r="U107" i="12"/>
  <c r="X107" i="12" s="1"/>
  <c r="AJ107" i="12" s="1"/>
  <c r="U108" i="12"/>
  <c r="U115" i="12"/>
  <c r="U116" i="12"/>
  <c r="U117" i="12"/>
  <c r="X117" i="12" s="1"/>
  <c r="U118" i="12"/>
  <c r="U119" i="12"/>
  <c r="U120" i="12"/>
  <c r="U121" i="12"/>
  <c r="X121" i="12" s="1"/>
  <c r="AJ121" i="12" s="1"/>
  <c r="U124" i="12"/>
  <c r="U125" i="12"/>
  <c r="U126" i="12"/>
  <c r="U127" i="12"/>
  <c r="X127" i="12" s="1"/>
  <c r="U128" i="12"/>
  <c r="U129" i="12"/>
  <c r="U130" i="12"/>
  <c r="U131" i="12"/>
  <c r="X131" i="12" s="1"/>
  <c r="AJ131" i="12" s="1"/>
  <c r="U132" i="12"/>
  <c r="U133" i="12"/>
  <c r="U134" i="12"/>
  <c r="U135" i="12"/>
  <c r="U136" i="12"/>
  <c r="U137" i="12"/>
  <c r="U138" i="12"/>
  <c r="U139" i="12"/>
  <c r="X139" i="12" s="1"/>
  <c r="U142" i="12"/>
  <c r="U143" i="12"/>
  <c r="U148" i="12"/>
  <c r="U150" i="12"/>
  <c r="U151" i="12"/>
  <c r="U152" i="12"/>
  <c r="U153" i="12"/>
  <c r="X153" i="12" s="1"/>
  <c r="AH153" i="12" s="1"/>
  <c r="U156" i="12"/>
  <c r="X156" i="12" s="1"/>
  <c r="U158" i="12"/>
  <c r="U159" i="12"/>
  <c r="U160" i="12"/>
  <c r="U161" i="12"/>
  <c r="X161" i="12" s="1"/>
  <c r="U162" i="12"/>
  <c r="U163" i="12"/>
  <c r="U164" i="12"/>
  <c r="U165" i="12"/>
  <c r="X165" i="12" s="1"/>
  <c r="U166" i="12"/>
  <c r="U167" i="12"/>
  <c r="U168" i="12"/>
  <c r="U173" i="12"/>
  <c r="X173" i="12" s="1"/>
  <c r="U174" i="12"/>
  <c r="U177" i="12"/>
  <c r="U178" i="12"/>
  <c r="U179" i="12"/>
  <c r="U180" i="12"/>
  <c r="U181" i="12"/>
  <c r="U182" i="12"/>
  <c r="U183" i="12"/>
  <c r="X183" i="12" s="1"/>
  <c r="U186" i="12"/>
  <c r="U188" i="12"/>
  <c r="U189" i="12"/>
  <c r="U190" i="12"/>
  <c r="X190" i="12" s="1"/>
  <c r="U191" i="12"/>
  <c r="U198" i="12"/>
  <c r="U199" i="12"/>
  <c r="U200" i="12"/>
  <c r="U201" i="12"/>
  <c r="U202" i="12"/>
  <c r="U203" i="12"/>
  <c r="U204" i="12"/>
  <c r="X204" i="12" s="1"/>
  <c r="U206" i="12"/>
  <c r="U207" i="12"/>
  <c r="U212" i="12"/>
  <c r="U213" i="12"/>
  <c r="U214" i="12"/>
  <c r="U215" i="12"/>
  <c r="U216" i="12"/>
  <c r="U217" i="12"/>
  <c r="X217" i="12" s="1"/>
  <c r="U218" i="12"/>
  <c r="U223" i="12"/>
  <c r="U224" i="12"/>
  <c r="U225" i="12"/>
  <c r="U228" i="12"/>
  <c r="U229" i="12"/>
  <c r="U230" i="12"/>
  <c r="U236" i="12"/>
  <c r="U237" i="12"/>
  <c r="U238" i="12"/>
  <c r="U239" i="12"/>
  <c r="U240" i="12"/>
  <c r="X240" i="12" s="1"/>
  <c r="U241" i="12"/>
  <c r="U244" i="12"/>
  <c r="U245" i="12"/>
  <c r="U246" i="12"/>
  <c r="X246" i="12" s="1"/>
  <c r="U247" i="12"/>
  <c r="U248" i="12"/>
  <c r="U249" i="12"/>
  <c r="U250" i="12"/>
  <c r="X250" i="12" s="1"/>
  <c r="U251" i="12"/>
  <c r="U252" i="12"/>
  <c r="U253" i="12"/>
  <c r="U254" i="12"/>
  <c r="X254" i="12" s="1"/>
  <c r="U255" i="12"/>
  <c r="U256" i="12"/>
  <c r="H78" i="12"/>
  <c r="W105" i="11"/>
  <c r="W104" i="11" s="1"/>
  <c r="W172" i="11"/>
  <c r="W205" i="11"/>
  <c r="C12" i="11"/>
  <c r="C13" i="11"/>
  <c r="C14" i="11"/>
  <c r="C15" i="11"/>
  <c r="C23" i="11"/>
  <c r="C24" i="11"/>
  <c r="C26" i="11"/>
  <c r="C27" i="11"/>
  <c r="C30" i="11"/>
  <c r="C31" i="11"/>
  <c r="C33" i="11"/>
  <c r="C34" i="11"/>
  <c r="C36" i="11"/>
  <c r="C37" i="11"/>
  <c r="C43" i="11"/>
  <c r="C44" i="11"/>
  <c r="C46" i="11"/>
  <c r="C47" i="11"/>
  <c r="C49" i="11"/>
  <c r="C50" i="11"/>
  <c r="C52" i="11"/>
  <c r="C53" i="11"/>
  <c r="C55" i="11"/>
  <c r="C56" i="11"/>
  <c r="C58" i="11"/>
  <c r="C59" i="11"/>
  <c r="C61" i="11"/>
  <c r="C62" i="11"/>
  <c r="C64" i="11"/>
  <c r="C65" i="11"/>
  <c r="C67" i="11"/>
  <c r="C68" i="11"/>
  <c r="C70" i="11"/>
  <c r="C71" i="11"/>
  <c r="C73" i="11"/>
  <c r="C74" i="11"/>
  <c r="C76" i="11"/>
  <c r="C77" i="11"/>
  <c r="C79" i="11"/>
  <c r="C80" i="11"/>
  <c r="C82" i="11"/>
  <c r="C83" i="11"/>
  <c r="U17" i="11"/>
  <c r="U18" i="11"/>
  <c r="U19" i="11"/>
  <c r="X19" i="11" s="1"/>
  <c r="U21" i="11"/>
  <c r="U22" i="11"/>
  <c r="U23" i="11"/>
  <c r="U24" i="11"/>
  <c r="X24" i="11" s="1"/>
  <c r="U25" i="11"/>
  <c r="U26" i="11"/>
  <c r="U27" i="11"/>
  <c r="U28" i="11"/>
  <c r="X28" i="11" s="1"/>
  <c r="U29" i="11"/>
  <c r="U30" i="11"/>
  <c r="U31" i="11"/>
  <c r="X31" i="11" s="1"/>
  <c r="U32" i="11"/>
  <c r="X32" i="11" s="1"/>
  <c r="U33" i="11"/>
  <c r="U36" i="11"/>
  <c r="U37" i="11"/>
  <c r="X37" i="11" s="1"/>
  <c r="U38" i="11"/>
  <c r="X38" i="11" s="1"/>
  <c r="U39" i="11"/>
  <c r="U40" i="11"/>
  <c r="U41" i="11"/>
  <c r="X41" i="11" s="1"/>
  <c r="U45" i="11"/>
  <c r="X45" i="11" s="1"/>
  <c r="U46" i="11"/>
  <c r="U47" i="11"/>
  <c r="U48" i="11"/>
  <c r="X48" i="11" s="1"/>
  <c r="U50" i="11"/>
  <c r="U51" i="11"/>
  <c r="U52" i="11"/>
  <c r="U53" i="11"/>
  <c r="X53" i="11" s="1"/>
  <c r="U54" i="11"/>
  <c r="X54" i="11" s="1"/>
  <c r="U55" i="11"/>
  <c r="U59" i="11"/>
  <c r="U60" i="11"/>
  <c r="X60" i="11" s="1"/>
  <c r="U61" i="11"/>
  <c r="X61" i="11" s="1"/>
  <c r="U66" i="11"/>
  <c r="U67" i="11"/>
  <c r="U68" i="11"/>
  <c r="X68" i="11" s="1"/>
  <c r="U70" i="11"/>
  <c r="X70" i="11" s="1"/>
  <c r="U71" i="11"/>
  <c r="U72" i="11"/>
  <c r="U73" i="11"/>
  <c r="U74" i="11"/>
  <c r="U75" i="11"/>
  <c r="U76" i="11"/>
  <c r="U77" i="11"/>
  <c r="U78" i="11"/>
  <c r="X78" i="11" s="1"/>
  <c r="U79" i="11"/>
  <c r="U80" i="11"/>
  <c r="U81" i="11"/>
  <c r="U84" i="11"/>
  <c r="X84" i="11" s="1"/>
  <c r="U85" i="11"/>
  <c r="U86" i="11"/>
  <c r="U87" i="11"/>
  <c r="U88" i="11"/>
  <c r="U92" i="11"/>
  <c r="U93" i="11"/>
  <c r="U94" i="11"/>
  <c r="U95" i="11"/>
  <c r="X95" i="11" s="1"/>
  <c r="U97" i="11"/>
  <c r="U98" i="11"/>
  <c r="U99" i="11"/>
  <c r="U100" i="11"/>
  <c r="X100" i="11" s="1"/>
  <c r="U101" i="11"/>
  <c r="U102" i="11"/>
  <c r="U106" i="11"/>
  <c r="U107" i="11"/>
  <c r="X107" i="11" s="1"/>
  <c r="U108" i="11"/>
  <c r="U115" i="11"/>
  <c r="U116" i="11"/>
  <c r="U117" i="11"/>
  <c r="X117" i="11" s="1"/>
  <c r="U118" i="11"/>
  <c r="U119" i="11"/>
  <c r="U120" i="11"/>
  <c r="U121" i="11"/>
  <c r="X121" i="11" s="1"/>
  <c r="U124" i="11"/>
  <c r="U125" i="11"/>
  <c r="U126" i="11"/>
  <c r="U127" i="11"/>
  <c r="X127" i="11" s="1"/>
  <c r="U128" i="11"/>
  <c r="U129" i="11"/>
  <c r="U130" i="11"/>
  <c r="U131" i="11"/>
  <c r="X131" i="11" s="1"/>
  <c r="AH131" i="11" s="1"/>
  <c r="U132" i="11"/>
  <c r="U133" i="11"/>
  <c r="U134" i="11"/>
  <c r="U135" i="11"/>
  <c r="U136" i="11"/>
  <c r="U137" i="11"/>
  <c r="U138" i="11"/>
  <c r="U139" i="11"/>
  <c r="X139" i="11" s="1"/>
  <c r="U142" i="11"/>
  <c r="U143" i="11"/>
  <c r="U148" i="11"/>
  <c r="U150" i="11"/>
  <c r="U151" i="11"/>
  <c r="U152" i="11"/>
  <c r="U153" i="11"/>
  <c r="U156" i="11"/>
  <c r="X156" i="11" s="1"/>
  <c r="U158" i="11"/>
  <c r="U159" i="11"/>
  <c r="U160" i="11"/>
  <c r="U161" i="11"/>
  <c r="X161" i="11" s="1"/>
  <c r="U162" i="11"/>
  <c r="U163" i="11"/>
  <c r="U164" i="11"/>
  <c r="U165" i="11"/>
  <c r="X165" i="11" s="1"/>
  <c r="U166" i="11"/>
  <c r="U167" i="11"/>
  <c r="U168" i="11"/>
  <c r="U173" i="11"/>
  <c r="X173" i="11" s="1"/>
  <c r="U174" i="11"/>
  <c r="U177" i="11"/>
  <c r="U178" i="11"/>
  <c r="U179" i="11"/>
  <c r="U180" i="11"/>
  <c r="U181" i="11"/>
  <c r="U182" i="11"/>
  <c r="U183" i="11"/>
  <c r="X183" i="11" s="1"/>
  <c r="U186" i="11"/>
  <c r="U188" i="11"/>
  <c r="U189" i="11"/>
  <c r="U190" i="11"/>
  <c r="X190" i="11" s="1"/>
  <c r="U191" i="11"/>
  <c r="U198" i="11"/>
  <c r="U199" i="11"/>
  <c r="U200" i="11"/>
  <c r="U201" i="11"/>
  <c r="U202" i="11"/>
  <c r="U203" i="11"/>
  <c r="U204" i="11"/>
  <c r="X204" i="11" s="1"/>
  <c r="U206" i="11"/>
  <c r="U207" i="11"/>
  <c r="U212" i="11"/>
  <c r="U213" i="11"/>
  <c r="U214" i="11"/>
  <c r="U215" i="11"/>
  <c r="U216" i="11"/>
  <c r="U217" i="11"/>
  <c r="X217" i="11" s="1"/>
  <c r="U218" i="11"/>
  <c r="U223" i="11"/>
  <c r="U224" i="11"/>
  <c r="X224" i="11" s="1"/>
  <c r="U225" i="11"/>
  <c r="U228" i="11"/>
  <c r="U229" i="11"/>
  <c r="U230" i="11"/>
  <c r="X230" i="11" s="1"/>
  <c r="U236" i="11"/>
  <c r="X236" i="11" s="1"/>
  <c r="U237" i="11"/>
  <c r="U238" i="11"/>
  <c r="U239" i="11"/>
  <c r="X239" i="11" s="1"/>
  <c r="AH239" i="11" s="1"/>
  <c r="U240" i="11"/>
  <c r="X240" i="11" s="1"/>
  <c r="U241" i="11"/>
  <c r="U244" i="11"/>
  <c r="U245" i="11"/>
  <c r="U246" i="11"/>
  <c r="X246" i="11" s="1"/>
  <c r="U247" i="11"/>
  <c r="U248" i="11"/>
  <c r="U249" i="11"/>
  <c r="X249" i="11" s="1"/>
  <c r="U250" i="11"/>
  <c r="X250" i="11" s="1"/>
  <c r="U251" i="11"/>
  <c r="U252" i="11"/>
  <c r="U253" i="11"/>
  <c r="X253" i="11" s="1"/>
  <c r="U254" i="11"/>
  <c r="X254" i="11" s="1"/>
  <c r="U255" i="11"/>
  <c r="U256" i="11"/>
  <c r="G32" i="11"/>
  <c r="G57" i="11"/>
  <c r="G63" i="11"/>
  <c r="G81" i="11"/>
  <c r="H78" i="11"/>
  <c r="I57" i="11"/>
  <c r="I63" i="11"/>
  <c r="I81" i="11"/>
  <c r="V105" i="10"/>
  <c r="E29" i="10"/>
  <c r="W105" i="10"/>
  <c r="W104" i="10" s="1"/>
  <c r="W172" i="10"/>
  <c r="W205" i="10"/>
  <c r="C12" i="10"/>
  <c r="C13" i="10"/>
  <c r="C14" i="10"/>
  <c r="C15" i="10"/>
  <c r="C23" i="10"/>
  <c r="C24" i="10"/>
  <c r="C26" i="10"/>
  <c r="C27" i="10"/>
  <c r="C30" i="10"/>
  <c r="C31" i="10"/>
  <c r="C33" i="10"/>
  <c r="C34" i="10"/>
  <c r="C36" i="10"/>
  <c r="C37" i="10"/>
  <c r="C43" i="10"/>
  <c r="C44" i="10"/>
  <c r="C46" i="10"/>
  <c r="C47" i="10"/>
  <c r="C49" i="10"/>
  <c r="C50" i="10"/>
  <c r="C52" i="10"/>
  <c r="C53" i="10"/>
  <c r="C55" i="10"/>
  <c r="C56" i="10"/>
  <c r="C58" i="10"/>
  <c r="C59" i="10"/>
  <c r="C61" i="10"/>
  <c r="C62" i="10"/>
  <c r="F62" i="10" s="1"/>
  <c r="C64" i="10"/>
  <c r="C65" i="10"/>
  <c r="C67" i="10"/>
  <c r="C68" i="10"/>
  <c r="C70" i="10"/>
  <c r="C71" i="10"/>
  <c r="C73" i="10"/>
  <c r="C74" i="10"/>
  <c r="F74" i="10" s="1"/>
  <c r="C76" i="10"/>
  <c r="C77" i="10"/>
  <c r="C79" i="10"/>
  <c r="C80" i="10"/>
  <c r="C82" i="10"/>
  <c r="C83" i="10"/>
  <c r="U17" i="10"/>
  <c r="U18" i="10"/>
  <c r="X18" i="10" s="1"/>
  <c r="U19" i="10"/>
  <c r="U21" i="10"/>
  <c r="U22" i="10"/>
  <c r="U23" i="10"/>
  <c r="X23" i="10" s="1"/>
  <c r="U24" i="10"/>
  <c r="U25" i="10"/>
  <c r="U26" i="10"/>
  <c r="U27" i="10"/>
  <c r="X27" i="10" s="1"/>
  <c r="U28" i="10"/>
  <c r="U29" i="10"/>
  <c r="U30" i="10"/>
  <c r="U31" i="10"/>
  <c r="X31" i="10" s="1"/>
  <c r="U32" i="10"/>
  <c r="U33" i="10"/>
  <c r="U36" i="10"/>
  <c r="U37" i="10"/>
  <c r="X37" i="10" s="1"/>
  <c r="U38" i="10"/>
  <c r="U39" i="10"/>
  <c r="U40" i="10"/>
  <c r="U41" i="10"/>
  <c r="X41" i="10" s="1"/>
  <c r="U45" i="10"/>
  <c r="U46" i="10"/>
  <c r="U47" i="10"/>
  <c r="U48" i="10"/>
  <c r="X48" i="10" s="1"/>
  <c r="U50" i="10"/>
  <c r="U51" i="10"/>
  <c r="U52" i="10"/>
  <c r="U53" i="10"/>
  <c r="X53" i="10" s="1"/>
  <c r="U54" i="10"/>
  <c r="U55" i="10"/>
  <c r="U59" i="10"/>
  <c r="U60" i="10"/>
  <c r="X60" i="10" s="1"/>
  <c r="U61" i="10"/>
  <c r="U66" i="10"/>
  <c r="U67" i="10"/>
  <c r="U68" i="10"/>
  <c r="X68" i="10" s="1"/>
  <c r="U70" i="10"/>
  <c r="U71" i="10"/>
  <c r="U72" i="10"/>
  <c r="U73" i="10"/>
  <c r="U74" i="10"/>
  <c r="U75" i="10"/>
  <c r="U76" i="10"/>
  <c r="U77" i="10"/>
  <c r="X77" i="10" s="1"/>
  <c r="U78" i="10"/>
  <c r="U79" i="10"/>
  <c r="U80" i="10"/>
  <c r="U81" i="10"/>
  <c r="X81" i="10" s="1"/>
  <c r="U84" i="10"/>
  <c r="U85" i="10"/>
  <c r="U86" i="10"/>
  <c r="U87" i="10"/>
  <c r="X87" i="10" s="1"/>
  <c r="U88" i="10"/>
  <c r="U92" i="10"/>
  <c r="U93" i="10"/>
  <c r="U94" i="10"/>
  <c r="X94" i="10" s="1"/>
  <c r="U95" i="10"/>
  <c r="U97" i="10"/>
  <c r="U98" i="10"/>
  <c r="U99" i="10"/>
  <c r="X99" i="10" s="1"/>
  <c r="U100" i="10"/>
  <c r="U101" i="10"/>
  <c r="U102" i="10"/>
  <c r="U106" i="10"/>
  <c r="X106" i="10" s="1"/>
  <c r="AH106" i="10" s="1"/>
  <c r="U107" i="10"/>
  <c r="U108" i="10"/>
  <c r="U115" i="10"/>
  <c r="U116" i="10"/>
  <c r="X116" i="10" s="1"/>
  <c r="U117" i="10"/>
  <c r="U118" i="10"/>
  <c r="U119" i="10"/>
  <c r="U120" i="10"/>
  <c r="X120" i="10" s="1"/>
  <c r="U121" i="10"/>
  <c r="U124" i="10"/>
  <c r="U125" i="10"/>
  <c r="U126" i="10"/>
  <c r="X126" i="10" s="1"/>
  <c r="U127" i="10"/>
  <c r="U128" i="10"/>
  <c r="U129" i="10"/>
  <c r="U130" i="10"/>
  <c r="X130" i="10" s="1"/>
  <c r="U131" i="10"/>
  <c r="U132" i="10"/>
  <c r="U133" i="10"/>
  <c r="U134" i="10"/>
  <c r="U135" i="10"/>
  <c r="U136" i="10"/>
  <c r="U137" i="10"/>
  <c r="U138" i="10"/>
  <c r="X138" i="10" s="1"/>
  <c r="AI138" i="10" s="1"/>
  <c r="U139" i="10"/>
  <c r="U142" i="10"/>
  <c r="U143" i="10"/>
  <c r="U148" i="10"/>
  <c r="X148" i="10" s="1"/>
  <c r="U150" i="10"/>
  <c r="U151" i="10"/>
  <c r="U152" i="10"/>
  <c r="U153" i="10"/>
  <c r="X153" i="10" s="1"/>
  <c r="U156" i="10"/>
  <c r="U158" i="10"/>
  <c r="U159" i="10"/>
  <c r="U160" i="10"/>
  <c r="X160" i="10" s="1"/>
  <c r="U161" i="10"/>
  <c r="U162" i="10"/>
  <c r="U163" i="10"/>
  <c r="U164" i="10"/>
  <c r="X164" i="10" s="1"/>
  <c r="U165" i="10"/>
  <c r="U166" i="10"/>
  <c r="U167" i="10"/>
  <c r="U168" i="10"/>
  <c r="X168" i="10" s="1"/>
  <c r="AH168" i="10" s="1"/>
  <c r="U173" i="10"/>
  <c r="U174" i="10"/>
  <c r="U177" i="10"/>
  <c r="U178" i="10"/>
  <c r="U179" i="10"/>
  <c r="U180" i="10"/>
  <c r="U181" i="10"/>
  <c r="U182" i="10"/>
  <c r="X182" i="10" s="1"/>
  <c r="U183" i="10"/>
  <c r="U186" i="10"/>
  <c r="U188" i="10"/>
  <c r="U189" i="10"/>
  <c r="U190" i="10"/>
  <c r="U191" i="10"/>
  <c r="U198" i="10"/>
  <c r="U199" i="10"/>
  <c r="X199" i="10" s="1"/>
  <c r="U200" i="10"/>
  <c r="U201" i="10"/>
  <c r="U202" i="10"/>
  <c r="U203" i="10"/>
  <c r="X203" i="10" s="1"/>
  <c r="U204" i="10"/>
  <c r="U206" i="10"/>
  <c r="U207" i="10"/>
  <c r="U212" i="10"/>
  <c r="X212" i="10" s="1"/>
  <c r="U213" i="10"/>
  <c r="U214" i="10"/>
  <c r="U215" i="10"/>
  <c r="U216" i="10"/>
  <c r="X216" i="10" s="1"/>
  <c r="U217" i="10"/>
  <c r="U218" i="10"/>
  <c r="U223" i="10"/>
  <c r="U224" i="10"/>
  <c r="X224" i="10" s="1"/>
  <c r="U225" i="10"/>
  <c r="U228" i="10"/>
  <c r="U229" i="10"/>
  <c r="U230" i="10"/>
  <c r="X230" i="10" s="1"/>
  <c r="U236" i="10"/>
  <c r="U237" i="10"/>
  <c r="U238" i="10"/>
  <c r="U239" i="10"/>
  <c r="X239" i="10" s="1"/>
  <c r="U240" i="10"/>
  <c r="U241" i="10"/>
  <c r="U244" i="10"/>
  <c r="U245" i="10"/>
  <c r="U246" i="10"/>
  <c r="U247" i="10"/>
  <c r="U248" i="10"/>
  <c r="U249" i="10"/>
  <c r="X249" i="10" s="1"/>
  <c r="AH249" i="10" s="1"/>
  <c r="U250" i="10"/>
  <c r="U251" i="10"/>
  <c r="U252" i="10"/>
  <c r="U253" i="10"/>
  <c r="X253" i="10" s="1"/>
  <c r="U254" i="10"/>
  <c r="U255" i="10"/>
  <c r="U256" i="10"/>
  <c r="G32" i="10"/>
  <c r="G57" i="10"/>
  <c r="G63" i="10"/>
  <c r="G81" i="10"/>
  <c r="H78" i="10"/>
  <c r="I32" i="10"/>
  <c r="I81" i="10"/>
  <c r="V105" i="7"/>
  <c r="E29" i="7"/>
  <c r="E35" i="7"/>
  <c r="W105" i="7"/>
  <c r="W104" i="7" s="1"/>
  <c r="W172" i="7"/>
  <c r="W205" i="7"/>
  <c r="C12" i="7"/>
  <c r="C13" i="7"/>
  <c r="C14" i="7"/>
  <c r="C15" i="7"/>
  <c r="C23" i="7"/>
  <c r="C24" i="7"/>
  <c r="C26" i="7"/>
  <c r="C27" i="7"/>
  <c r="C30" i="7"/>
  <c r="C31" i="7"/>
  <c r="C33" i="7"/>
  <c r="C34" i="7"/>
  <c r="C36" i="7"/>
  <c r="C37" i="7"/>
  <c r="C41" i="7"/>
  <c r="C43" i="7"/>
  <c r="C44" i="7"/>
  <c r="C46" i="7"/>
  <c r="C47" i="7"/>
  <c r="C49" i="7"/>
  <c r="C50" i="7"/>
  <c r="C52" i="7"/>
  <c r="C53" i="7"/>
  <c r="C55" i="7"/>
  <c r="C56" i="7"/>
  <c r="C58" i="7"/>
  <c r="F58" i="7" s="1"/>
  <c r="C59" i="7"/>
  <c r="C61" i="7"/>
  <c r="C62" i="7"/>
  <c r="F62" i="7" s="1"/>
  <c r="C64" i="7"/>
  <c r="C65" i="7"/>
  <c r="C67" i="7"/>
  <c r="C68" i="7"/>
  <c r="C70" i="7"/>
  <c r="F70" i="7" s="1"/>
  <c r="C71" i="7"/>
  <c r="C73" i="7"/>
  <c r="C74" i="7"/>
  <c r="F74" i="7" s="1"/>
  <c r="C76" i="7"/>
  <c r="C77" i="7"/>
  <c r="C79" i="7"/>
  <c r="C80" i="7"/>
  <c r="C82" i="7"/>
  <c r="F82" i="7" s="1"/>
  <c r="C83" i="7"/>
  <c r="U17" i="7"/>
  <c r="U18" i="7"/>
  <c r="X18" i="7" s="1"/>
  <c r="AJ18" i="7" s="1"/>
  <c r="U19" i="7"/>
  <c r="X19" i="7" s="1"/>
  <c r="U21" i="7"/>
  <c r="U22" i="7"/>
  <c r="U23" i="7"/>
  <c r="X23" i="7" s="1"/>
  <c r="AI23" i="7" s="1"/>
  <c r="U24" i="7"/>
  <c r="U25" i="7"/>
  <c r="U26" i="7"/>
  <c r="U27" i="7"/>
  <c r="X27" i="7" s="1"/>
  <c r="AI27" i="7" s="1"/>
  <c r="U28" i="7"/>
  <c r="X28" i="7" s="1"/>
  <c r="U29" i="7"/>
  <c r="U30" i="7"/>
  <c r="U31" i="7"/>
  <c r="X31" i="7" s="1"/>
  <c r="U32" i="7"/>
  <c r="X32" i="7" s="1"/>
  <c r="U33" i="7"/>
  <c r="U36" i="7"/>
  <c r="U37" i="7"/>
  <c r="X37" i="7" s="1"/>
  <c r="U38" i="7"/>
  <c r="X38" i="7" s="1"/>
  <c r="U39" i="7"/>
  <c r="U40" i="7"/>
  <c r="U41" i="7"/>
  <c r="X41" i="7" s="1"/>
  <c r="U45" i="7"/>
  <c r="U46" i="7"/>
  <c r="U47" i="7"/>
  <c r="U48" i="7"/>
  <c r="X48" i="7" s="1"/>
  <c r="U50" i="7"/>
  <c r="U51" i="7"/>
  <c r="U52" i="7"/>
  <c r="U53" i="7"/>
  <c r="X53" i="7" s="1"/>
  <c r="U54" i="7"/>
  <c r="X54" i="7" s="1"/>
  <c r="U55" i="7"/>
  <c r="U59" i="7"/>
  <c r="U60" i="7"/>
  <c r="X60" i="7" s="1"/>
  <c r="U61" i="7"/>
  <c r="X61" i="7" s="1"/>
  <c r="U66" i="7"/>
  <c r="U67" i="7"/>
  <c r="U68" i="7"/>
  <c r="X68" i="7" s="1"/>
  <c r="U70" i="7"/>
  <c r="U71" i="7"/>
  <c r="U72" i="7"/>
  <c r="U73" i="7"/>
  <c r="U74" i="7"/>
  <c r="U75" i="7"/>
  <c r="U76" i="7"/>
  <c r="U77" i="7"/>
  <c r="X77" i="7" s="1"/>
  <c r="U78" i="7"/>
  <c r="X78" i="7" s="1"/>
  <c r="U79" i="7"/>
  <c r="U80" i="7"/>
  <c r="U81" i="7"/>
  <c r="X81" i="7" s="1"/>
  <c r="U84" i="7"/>
  <c r="X84" i="7" s="1"/>
  <c r="AH84" i="7" s="1"/>
  <c r="U85" i="7"/>
  <c r="U86" i="7"/>
  <c r="U87" i="7"/>
  <c r="X87" i="7" s="1"/>
  <c r="U88" i="7"/>
  <c r="X88" i="7" s="1"/>
  <c r="U92" i="7"/>
  <c r="U93" i="7"/>
  <c r="U94" i="7"/>
  <c r="X94" i="7" s="1"/>
  <c r="U95" i="7"/>
  <c r="X95" i="7" s="1"/>
  <c r="U97" i="7"/>
  <c r="U98" i="7"/>
  <c r="U99" i="7"/>
  <c r="X99" i="7" s="1"/>
  <c r="U100" i="7"/>
  <c r="X100" i="7" s="1"/>
  <c r="U101" i="7"/>
  <c r="U102" i="7"/>
  <c r="U106" i="7"/>
  <c r="X106" i="7" s="1"/>
  <c r="U107" i="7"/>
  <c r="X107" i="7" s="1"/>
  <c r="U108" i="7"/>
  <c r="U115" i="7"/>
  <c r="U116" i="7"/>
  <c r="X116" i="7" s="1"/>
  <c r="U117" i="7"/>
  <c r="X117" i="7" s="1"/>
  <c r="U118" i="7"/>
  <c r="U119" i="7"/>
  <c r="U120" i="7"/>
  <c r="X120" i="7" s="1"/>
  <c r="U121" i="7"/>
  <c r="X121" i="7" s="1"/>
  <c r="U124" i="7"/>
  <c r="U125" i="7"/>
  <c r="U126" i="7"/>
  <c r="X126" i="7" s="1"/>
  <c r="U127" i="7"/>
  <c r="X127" i="7" s="1"/>
  <c r="U128" i="7"/>
  <c r="U129" i="7"/>
  <c r="U130" i="7"/>
  <c r="X130" i="7" s="1"/>
  <c r="U131" i="7"/>
  <c r="X131" i="7" s="1"/>
  <c r="U132" i="7"/>
  <c r="U133" i="7"/>
  <c r="U134" i="7"/>
  <c r="X134" i="7" s="1"/>
  <c r="U135" i="7"/>
  <c r="U136" i="7"/>
  <c r="U137" i="7"/>
  <c r="U138" i="7"/>
  <c r="X138" i="7" s="1"/>
  <c r="U139" i="7"/>
  <c r="X139" i="7" s="1"/>
  <c r="U142" i="7"/>
  <c r="U143" i="7"/>
  <c r="U148" i="7"/>
  <c r="X148" i="7" s="1"/>
  <c r="U150" i="7"/>
  <c r="X150" i="7" s="1"/>
  <c r="U151" i="7"/>
  <c r="U152" i="7"/>
  <c r="U153" i="7"/>
  <c r="X153" i="7" s="1"/>
  <c r="AJ153" i="7" s="1"/>
  <c r="U156" i="7"/>
  <c r="X156" i="7" s="1"/>
  <c r="BN18" i="7" s="1"/>
  <c r="U158" i="7"/>
  <c r="U159" i="7"/>
  <c r="U160" i="7"/>
  <c r="X160" i="7" s="1"/>
  <c r="U161" i="7"/>
  <c r="X161" i="7" s="1"/>
  <c r="U162" i="7"/>
  <c r="U163" i="7"/>
  <c r="U164" i="7"/>
  <c r="X164" i="7" s="1"/>
  <c r="U165" i="7"/>
  <c r="X165" i="7" s="1"/>
  <c r="U166" i="7"/>
  <c r="U167" i="7"/>
  <c r="U168" i="7"/>
  <c r="X168" i="7" s="1"/>
  <c r="U173" i="7"/>
  <c r="X173" i="7" s="1"/>
  <c r="U174" i="7"/>
  <c r="U177" i="7"/>
  <c r="U178" i="7"/>
  <c r="U179" i="7"/>
  <c r="U180" i="7"/>
  <c r="U181" i="7"/>
  <c r="U182" i="7"/>
  <c r="X182" i="7" s="1"/>
  <c r="U183" i="7"/>
  <c r="X183" i="7" s="1"/>
  <c r="U186" i="7"/>
  <c r="U188" i="7"/>
  <c r="U189" i="7"/>
  <c r="U190" i="7"/>
  <c r="X190" i="7" s="1"/>
  <c r="U191" i="7"/>
  <c r="U198" i="7"/>
  <c r="U199" i="7"/>
  <c r="X199" i="7" s="1"/>
  <c r="U200" i="7"/>
  <c r="X200" i="7" s="1"/>
  <c r="U201" i="7"/>
  <c r="U202" i="7"/>
  <c r="U203" i="7"/>
  <c r="X203" i="7" s="1"/>
  <c r="U204" i="7"/>
  <c r="X204" i="7" s="1"/>
  <c r="U206" i="7"/>
  <c r="U207" i="7"/>
  <c r="U212" i="7"/>
  <c r="X212" i="7" s="1"/>
  <c r="U213" i="7"/>
  <c r="U214" i="7"/>
  <c r="U215" i="7"/>
  <c r="U216" i="7"/>
  <c r="X216" i="7" s="1"/>
  <c r="AH216" i="7" s="1"/>
  <c r="U217" i="7"/>
  <c r="X217" i="7" s="1"/>
  <c r="U218" i="7"/>
  <c r="U223" i="7"/>
  <c r="U224" i="7"/>
  <c r="X224" i="7" s="1"/>
  <c r="U225" i="7"/>
  <c r="X225" i="7" s="1"/>
  <c r="U228" i="7"/>
  <c r="U229" i="7"/>
  <c r="U230" i="7"/>
  <c r="X230" i="7" s="1"/>
  <c r="U236" i="7"/>
  <c r="U237" i="7"/>
  <c r="U238" i="7"/>
  <c r="U239" i="7"/>
  <c r="X239" i="7" s="1"/>
  <c r="U240" i="7"/>
  <c r="X240" i="7" s="1"/>
  <c r="U241" i="7"/>
  <c r="U244" i="7"/>
  <c r="U245" i="7"/>
  <c r="U246" i="7"/>
  <c r="X246" i="7" s="1"/>
  <c r="U247" i="7"/>
  <c r="U248" i="7"/>
  <c r="U249" i="7"/>
  <c r="X249" i="7" s="1"/>
  <c r="U250" i="7"/>
  <c r="X250" i="7" s="1"/>
  <c r="U251" i="7"/>
  <c r="U252" i="7"/>
  <c r="U253" i="7"/>
  <c r="X253" i="7" s="1"/>
  <c r="U254" i="7"/>
  <c r="X254" i="7" s="1"/>
  <c r="U255" i="7"/>
  <c r="U256" i="7"/>
  <c r="G32" i="7"/>
  <c r="G45" i="7"/>
  <c r="G51" i="7"/>
  <c r="G57" i="7"/>
  <c r="G63" i="7"/>
  <c r="G69" i="7"/>
  <c r="G81" i="7"/>
  <c r="Y105" i="7"/>
  <c r="Y104" i="7" s="1"/>
  <c r="Y172" i="7"/>
  <c r="Y205" i="7"/>
  <c r="H10" i="7"/>
  <c r="H22" i="7"/>
  <c r="H25" i="7"/>
  <c r="H29" i="7"/>
  <c r="H32" i="7"/>
  <c r="H35" i="7"/>
  <c r="H42" i="7"/>
  <c r="H45" i="7"/>
  <c r="H48" i="7"/>
  <c r="H51" i="7"/>
  <c r="H54" i="7"/>
  <c r="H57" i="7"/>
  <c r="H60" i="7"/>
  <c r="H63" i="7"/>
  <c r="H66" i="7"/>
  <c r="H69" i="7"/>
  <c r="H72" i="7"/>
  <c r="H75" i="7"/>
  <c r="H78" i="7"/>
  <c r="H81" i="7"/>
  <c r="Z20" i="7"/>
  <c r="Z16" i="7" s="1"/>
  <c r="Z35" i="7"/>
  <c r="Z44" i="7"/>
  <c r="Z49" i="7"/>
  <c r="Z58" i="7"/>
  <c r="Z57" i="7" s="1"/>
  <c r="Z69" i="7"/>
  <c r="Z65" i="7" s="1"/>
  <c r="Z83" i="7"/>
  <c r="Z91" i="7"/>
  <c r="Z96" i="7"/>
  <c r="Z105" i="7"/>
  <c r="Z104" i="7" s="1"/>
  <c r="Z114" i="7"/>
  <c r="Z123" i="7"/>
  <c r="Z141" i="7"/>
  <c r="Z149" i="7"/>
  <c r="Z147" i="7" s="1"/>
  <c r="Z157" i="7"/>
  <c r="Z155" i="7" s="1"/>
  <c r="Z172" i="7"/>
  <c r="Z176" i="7"/>
  <c r="Z187" i="7"/>
  <c r="Z185" i="7" s="1"/>
  <c r="Z197" i="7"/>
  <c r="Z205" i="7"/>
  <c r="Z211" i="7"/>
  <c r="Z210" i="7" s="1"/>
  <c r="Z209" i="7" s="1"/>
  <c r="Z222" i="7"/>
  <c r="Z227" i="7"/>
  <c r="Z235" i="7"/>
  <c r="Z234" i="7" s="1"/>
  <c r="Z243" i="7"/>
  <c r="I32" i="7"/>
  <c r="I57" i="7"/>
  <c r="I63" i="7"/>
  <c r="I69" i="7"/>
  <c r="I81" i="7"/>
  <c r="AA105" i="7"/>
  <c r="AA104" i="7" s="1"/>
  <c r="AA172" i="7"/>
  <c r="AA205" i="7"/>
  <c r="J29" i="7"/>
  <c r="J35" i="7"/>
  <c r="J45" i="7"/>
  <c r="J51" i="7"/>
  <c r="J57" i="7"/>
  <c r="J69" i="7"/>
  <c r="J81" i="7"/>
  <c r="K22" i="7"/>
  <c r="K25" i="7"/>
  <c r="K29" i="7"/>
  <c r="K32" i="7"/>
  <c r="K35" i="7"/>
  <c r="K42" i="7"/>
  <c r="K45" i="7"/>
  <c r="K48" i="7"/>
  <c r="K51" i="7"/>
  <c r="K54" i="7"/>
  <c r="K57" i="7"/>
  <c r="K60" i="7"/>
  <c r="K63" i="7"/>
  <c r="K66" i="7"/>
  <c r="K69" i="7"/>
  <c r="K72" i="7"/>
  <c r="K75" i="7"/>
  <c r="K78" i="7"/>
  <c r="K81" i="7"/>
  <c r="H22" i="20"/>
  <c r="AC20" i="7"/>
  <c r="AC16" i="7" s="1"/>
  <c r="AC35" i="7"/>
  <c r="AC44" i="7"/>
  <c r="AC49" i="7"/>
  <c r="AC58" i="7"/>
  <c r="AC57" i="7" s="1"/>
  <c r="AC69" i="7"/>
  <c r="AC65" i="7" s="1"/>
  <c r="AC83" i="7"/>
  <c r="AC91" i="7"/>
  <c r="AC96" i="7"/>
  <c r="AC105" i="7"/>
  <c r="AC104" i="7" s="1"/>
  <c r="AC114" i="7"/>
  <c r="AC123" i="7"/>
  <c r="AC141" i="7"/>
  <c r="AC149" i="7"/>
  <c r="AC147" i="7" s="1"/>
  <c r="AC157" i="7"/>
  <c r="AC155" i="7" s="1"/>
  <c r="AC172" i="7"/>
  <c r="AC176" i="7"/>
  <c r="AC187" i="7"/>
  <c r="AC185" i="7" s="1"/>
  <c r="AC197" i="7"/>
  <c r="AC205" i="7"/>
  <c r="AC211" i="7"/>
  <c r="AC210" i="7" s="1"/>
  <c r="AC209" i="7" s="1"/>
  <c r="AC222" i="7"/>
  <c r="AC227" i="7"/>
  <c r="AC235" i="7"/>
  <c r="AC234" i="7" s="1"/>
  <c r="AC243" i="7"/>
  <c r="L29" i="7"/>
  <c r="L35" i="7"/>
  <c r="AD187" i="7"/>
  <c r="AF20" i="7"/>
  <c r="AF16" i="7" s="1"/>
  <c r="AF35" i="7"/>
  <c r="AF44" i="7"/>
  <c r="AF49" i="7"/>
  <c r="AF58" i="7"/>
  <c r="AF57" i="7" s="1"/>
  <c r="AF69" i="7"/>
  <c r="AF65" i="7" s="1"/>
  <c r="AF83" i="7"/>
  <c r="AF91" i="7"/>
  <c r="AF96" i="7"/>
  <c r="AF105" i="7"/>
  <c r="AF104" i="7" s="1"/>
  <c r="AF114" i="7"/>
  <c r="AF123" i="7"/>
  <c r="AF141" i="7"/>
  <c r="BQ20" i="7" s="1"/>
  <c r="H43" i="20" s="1"/>
  <c r="AF149" i="7"/>
  <c r="AF147" i="7" s="1"/>
  <c r="AF157" i="7"/>
  <c r="AF155" i="7" s="1"/>
  <c r="AF172" i="7"/>
  <c r="AF176" i="7"/>
  <c r="AF187" i="7"/>
  <c r="AF185" i="7" s="1"/>
  <c r="AF197" i="7"/>
  <c r="AF205" i="7"/>
  <c r="AF211" i="7"/>
  <c r="AF210" i="7" s="1"/>
  <c r="AF209" i="7" s="1"/>
  <c r="BQ27" i="7" s="1"/>
  <c r="H50" i="20" s="1"/>
  <c r="AF222" i="7"/>
  <c r="AF227" i="7"/>
  <c r="AF235" i="7"/>
  <c r="AF234" i="7" s="1"/>
  <c r="AF243" i="7"/>
  <c r="P10" i="7"/>
  <c r="P22" i="7"/>
  <c r="P25" i="7"/>
  <c r="P29" i="7"/>
  <c r="P32" i="7"/>
  <c r="P35" i="7"/>
  <c r="P42" i="7"/>
  <c r="P45" i="7"/>
  <c r="P48" i="7"/>
  <c r="P51" i="7"/>
  <c r="P54" i="7"/>
  <c r="P57" i="7"/>
  <c r="P60" i="7"/>
  <c r="P63" i="7"/>
  <c r="P66" i="7"/>
  <c r="P69" i="7"/>
  <c r="P72" i="7"/>
  <c r="P75" i="7"/>
  <c r="P78" i="7"/>
  <c r="P81" i="7"/>
  <c r="Q10" i="7"/>
  <c r="Q22" i="7"/>
  <c r="Q25" i="7"/>
  <c r="Q29" i="7"/>
  <c r="Q32" i="7"/>
  <c r="Q35" i="7"/>
  <c r="Q42" i="7"/>
  <c r="Q45" i="7"/>
  <c r="Q48" i="7"/>
  <c r="Q51" i="7"/>
  <c r="Q54" i="7"/>
  <c r="Q57" i="7"/>
  <c r="Q60" i="7"/>
  <c r="Q63" i="7"/>
  <c r="Q66" i="7"/>
  <c r="Q69" i="7"/>
  <c r="Q72" i="7"/>
  <c r="Q75" i="7"/>
  <c r="Q78" i="7"/>
  <c r="Q81" i="7"/>
  <c r="C81" i="7"/>
  <c r="V105" i="9"/>
  <c r="E29" i="9"/>
  <c r="W105" i="9"/>
  <c r="W104" i="9" s="1"/>
  <c r="W172" i="9"/>
  <c r="W205" i="9"/>
  <c r="C12" i="9"/>
  <c r="C13" i="9"/>
  <c r="C14" i="9"/>
  <c r="C15" i="9"/>
  <c r="C23" i="9"/>
  <c r="C24" i="9"/>
  <c r="C26" i="9"/>
  <c r="C27" i="9"/>
  <c r="C30" i="9"/>
  <c r="C31" i="9"/>
  <c r="C33" i="9"/>
  <c r="C34" i="9"/>
  <c r="C36" i="9"/>
  <c r="C37" i="9"/>
  <c r="C43" i="9"/>
  <c r="C44" i="9"/>
  <c r="F44" i="9" s="1"/>
  <c r="C46" i="9"/>
  <c r="C47" i="9"/>
  <c r="C49" i="9"/>
  <c r="C50" i="9"/>
  <c r="F50" i="9" s="1"/>
  <c r="C52" i="9"/>
  <c r="C53" i="9"/>
  <c r="C55" i="9"/>
  <c r="C56" i="9"/>
  <c r="C58" i="9"/>
  <c r="C59" i="9"/>
  <c r="C61" i="9"/>
  <c r="C62" i="9"/>
  <c r="F62" i="9" s="1"/>
  <c r="C64" i="9"/>
  <c r="C65" i="9"/>
  <c r="C67" i="9"/>
  <c r="C68" i="9"/>
  <c r="C70" i="9"/>
  <c r="C71" i="9"/>
  <c r="C73" i="9"/>
  <c r="C74" i="9"/>
  <c r="F74" i="9" s="1"/>
  <c r="C76" i="9"/>
  <c r="C77" i="9"/>
  <c r="C79" i="9"/>
  <c r="C80" i="9"/>
  <c r="C82" i="9"/>
  <c r="C83" i="9"/>
  <c r="U17" i="9"/>
  <c r="U18" i="9"/>
  <c r="X18" i="9" s="1"/>
  <c r="U19" i="9"/>
  <c r="X19" i="9" s="1"/>
  <c r="U21" i="9"/>
  <c r="U22" i="9"/>
  <c r="U23" i="9"/>
  <c r="X23" i="9" s="1"/>
  <c r="U24" i="9"/>
  <c r="U25" i="9"/>
  <c r="U26" i="9"/>
  <c r="U27" i="9"/>
  <c r="X27" i="9" s="1"/>
  <c r="U28" i="9"/>
  <c r="X28" i="9" s="1"/>
  <c r="U29" i="9"/>
  <c r="U30" i="9"/>
  <c r="U31" i="9"/>
  <c r="X31" i="9" s="1"/>
  <c r="U32" i="9"/>
  <c r="X32" i="9" s="1"/>
  <c r="U33" i="9"/>
  <c r="U36" i="9"/>
  <c r="U37" i="9"/>
  <c r="X37" i="9" s="1"/>
  <c r="U38" i="9"/>
  <c r="U39" i="9"/>
  <c r="U40" i="9"/>
  <c r="U41" i="9"/>
  <c r="X41" i="9" s="1"/>
  <c r="U45" i="9"/>
  <c r="X45" i="9" s="1"/>
  <c r="AH45" i="9" s="1"/>
  <c r="U46" i="9"/>
  <c r="U47" i="9"/>
  <c r="U48" i="9"/>
  <c r="X48" i="9" s="1"/>
  <c r="U50" i="9"/>
  <c r="U51" i="9"/>
  <c r="U52" i="9"/>
  <c r="U53" i="9"/>
  <c r="X53" i="9" s="1"/>
  <c r="U54" i="9"/>
  <c r="X54" i="9" s="1"/>
  <c r="U55" i="9"/>
  <c r="U59" i="9"/>
  <c r="U60" i="9"/>
  <c r="X60" i="9" s="1"/>
  <c r="U61" i="9"/>
  <c r="X61" i="9" s="1"/>
  <c r="U66" i="9"/>
  <c r="U67" i="9"/>
  <c r="U68" i="9"/>
  <c r="X68" i="9" s="1"/>
  <c r="U70" i="9"/>
  <c r="U71" i="9"/>
  <c r="U72" i="9"/>
  <c r="U73" i="9"/>
  <c r="U74" i="9"/>
  <c r="U75" i="9"/>
  <c r="U76" i="9"/>
  <c r="U77" i="9"/>
  <c r="X77" i="9" s="1"/>
  <c r="U78" i="9"/>
  <c r="X78" i="9" s="1"/>
  <c r="U79" i="9"/>
  <c r="U80" i="9"/>
  <c r="U81" i="9"/>
  <c r="X81" i="9" s="1"/>
  <c r="U84" i="9"/>
  <c r="U85" i="9"/>
  <c r="U86" i="9"/>
  <c r="U87" i="9"/>
  <c r="X87" i="9" s="1"/>
  <c r="U88" i="9"/>
  <c r="X88" i="9" s="1"/>
  <c r="U92" i="9"/>
  <c r="U93" i="9"/>
  <c r="U94" i="9"/>
  <c r="X94" i="9" s="1"/>
  <c r="AH94" i="9" s="1"/>
  <c r="U95" i="9"/>
  <c r="U97" i="9"/>
  <c r="U98" i="9"/>
  <c r="U99" i="9"/>
  <c r="X99" i="9" s="1"/>
  <c r="U100" i="9"/>
  <c r="X100" i="9" s="1"/>
  <c r="U101" i="9"/>
  <c r="U102" i="9"/>
  <c r="U106" i="9"/>
  <c r="X106" i="9" s="1"/>
  <c r="AH106" i="9" s="1"/>
  <c r="U107" i="9"/>
  <c r="U108" i="9"/>
  <c r="U115" i="9"/>
  <c r="U116" i="9"/>
  <c r="X116" i="9" s="1"/>
  <c r="U117" i="9"/>
  <c r="U118" i="9"/>
  <c r="U119" i="9"/>
  <c r="U120" i="9"/>
  <c r="X120" i="9" s="1"/>
  <c r="U121" i="9"/>
  <c r="X121" i="9" s="1"/>
  <c r="AH121" i="9" s="1"/>
  <c r="U124" i="9"/>
  <c r="U125" i="9"/>
  <c r="U126" i="9"/>
  <c r="X126" i="9" s="1"/>
  <c r="U127" i="9"/>
  <c r="U128" i="9"/>
  <c r="U129" i="9"/>
  <c r="U130" i="9"/>
  <c r="X130" i="9" s="1"/>
  <c r="AH130" i="9" s="1"/>
  <c r="U131" i="9"/>
  <c r="X131" i="9" s="1"/>
  <c r="U132" i="9"/>
  <c r="U133" i="9"/>
  <c r="U134" i="9"/>
  <c r="X134" i="9" s="1"/>
  <c r="AI134" i="9" s="1"/>
  <c r="U135" i="9"/>
  <c r="U136" i="9"/>
  <c r="U137" i="9"/>
  <c r="U138" i="9"/>
  <c r="X138" i="9" s="1"/>
  <c r="U139" i="9"/>
  <c r="X139" i="9" s="1"/>
  <c r="U142" i="9"/>
  <c r="U143" i="9"/>
  <c r="U148" i="9"/>
  <c r="X148" i="9" s="1"/>
  <c r="U150" i="9"/>
  <c r="U151" i="9"/>
  <c r="U152" i="9"/>
  <c r="U153" i="9"/>
  <c r="X153" i="9" s="1"/>
  <c r="U156" i="9"/>
  <c r="X156" i="9" s="1"/>
  <c r="U158" i="9"/>
  <c r="U159" i="9"/>
  <c r="U160" i="9"/>
  <c r="U161" i="9"/>
  <c r="X161" i="9" s="1"/>
  <c r="U162" i="9"/>
  <c r="U163" i="9"/>
  <c r="U164" i="9"/>
  <c r="X164" i="9" s="1"/>
  <c r="U165" i="9"/>
  <c r="X165" i="9" s="1"/>
  <c r="U166" i="9"/>
  <c r="U167" i="9"/>
  <c r="U168" i="9"/>
  <c r="X168" i="9" s="1"/>
  <c r="U173" i="9"/>
  <c r="X173" i="9" s="1"/>
  <c r="U174" i="9"/>
  <c r="U177" i="9"/>
  <c r="U178" i="9"/>
  <c r="U179" i="9"/>
  <c r="U180" i="9"/>
  <c r="U181" i="9"/>
  <c r="U182" i="9"/>
  <c r="X182" i="9" s="1"/>
  <c r="U183" i="9"/>
  <c r="X183" i="9" s="1"/>
  <c r="AH183" i="9" s="1"/>
  <c r="U186" i="9"/>
  <c r="U188" i="9"/>
  <c r="U189" i="9"/>
  <c r="U190" i="9"/>
  <c r="X190" i="9" s="1"/>
  <c r="U191" i="9"/>
  <c r="U198" i="9"/>
  <c r="U199" i="9"/>
  <c r="X199" i="9" s="1"/>
  <c r="U200" i="9"/>
  <c r="X200" i="9" s="1"/>
  <c r="U201" i="9"/>
  <c r="U202" i="9"/>
  <c r="U203" i="9"/>
  <c r="X203" i="9" s="1"/>
  <c r="U204" i="9"/>
  <c r="X204" i="9" s="1"/>
  <c r="U206" i="9"/>
  <c r="U207" i="9"/>
  <c r="U212" i="9"/>
  <c r="U213" i="9"/>
  <c r="X213" i="9" s="1"/>
  <c r="AH213" i="9" s="1"/>
  <c r="U214" i="9"/>
  <c r="U215" i="9"/>
  <c r="U216" i="9"/>
  <c r="X216" i="9" s="1"/>
  <c r="AH216" i="9" s="1"/>
  <c r="U217" i="9"/>
  <c r="X217" i="9" s="1"/>
  <c r="U218" i="9"/>
  <c r="U223" i="9"/>
  <c r="U224" i="9"/>
  <c r="X224" i="9" s="1"/>
  <c r="U225" i="9"/>
  <c r="X225" i="9" s="1"/>
  <c r="U228" i="9"/>
  <c r="U229" i="9"/>
  <c r="U230" i="9"/>
  <c r="X230" i="9" s="1"/>
  <c r="U236" i="9"/>
  <c r="X236" i="9" s="1"/>
  <c r="AH236" i="9" s="1"/>
  <c r="U237" i="9"/>
  <c r="U238" i="9"/>
  <c r="U239" i="9"/>
  <c r="X239" i="9" s="1"/>
  <c r="U240" i="9"/>
  <c r="X240" i="9" s="1"/>
  <c r="AH240" i="9" s="1"/>
  <c r="U241" i="9"/>
  <c r="U244" i="9"/>
  <c r="U245" i="9"/>
  <c r="U246" i="9"/>
  <c r="X246" i="9" s="1"/>
  <c r="U247" i="9"/>
  <c r="U248" i="9"/>
  <c r="U249" i="9"/>
  <c r="X249" i="9" s="1"/>
  <c r="U250" i="9"/>
  <c r="X250" i="9" s="1"/>
  <c r="U251" i="9"/>
  <c r="U252" i="9"/>
  <c r="U253" i="9"/>
  <c r="X253" i="9" s="1"/>
  <c r="U254" i="9"/>
  <c r="X254" i="9" s="1"/>
  <c r="U255" i="9"/>
  <c r="U256" i="9"/>
  <c r="G32" i="9"/>
  <c r="G57" i="9"/>
  <c r="G81" i="9"/>
  <c r="Y105" i="9"/>
  <c r="Y104" i="9" s="1"/>
  <c r="Y172" i="9"/>
  <c r="Y205" i="9"/>
  <c r="H78" i="9"/>
  <c r="I32" i="9"/>
  <c r="I57" i="9"/>
  <c r="I63" i="9"/>
  <c r="I81" i="9"/>
  <c r="AA172" i="9"/>
  <c r="AA205" i="9"/>
  <c r="C81" i="9"/>
  <c r="V105" i="8"/>
  <c r="E29" i="8"/>
  <c r="E35" i="8"/>
  <c r="W105" i="8"/>
  <c r="W104" i="8" s="1"/>
  <c r="W172" i="8"/>
  <c r="W205" i="8"/>
  <c r="C12" i="8"/>
  <c r="C13" i="8"/>
  <c r="C14" i="8"/>
  <c r="C15" i="8"/>
  <c r="C23" i="8"/>
  <c r="C24" i="8"/>
  <c r="C26" i="8"/>
  <c r="C27" i="8"/>
  <c r="C30" i="8"/>
  <c r="C31" i="8"/>
  <c r="C33" i="8"/>
  <c r="C34" i="8"/>
  <c r="C36" i="8"/>
  <c r="C37" i="8"/>
  <c r="C41" i="8"/>
  <c r="C43" i="8"/>
  <c r="C44" i="8"/>
  <c r="F44" i="8" s="1"/>
  <c r="C46" i="8"/>
  <c r="C47" i="8"/>
  <c r="C49" i="8"/>
  <c r="C50" i="8"/>
  <c r="F50" i="8" s="1"/>
  <c r="C52" i="8"/>
  <c r="C53" i="8"/>
  <c r="C55" i="8"/>
  <c r="C56" i="8"/>
  <c r="C58" i="8"/>
  <c r="F58" i="8" s="1"/>
  <c r="C59" i="8"/>
  <c r="C61" i="8"/>
  <c r="C62" i="8"/>
  <c r="F62" i="8" s="1"/>
  <c r="C64" i="8"/>
  <c r="C65" i="8"/>
  <c r="C67" i="8"/>
  <c r="C68" i="8"/>
  <c r="C70" i="8"/>
  <c r="F70" i="8" s="1"/>
  <c r="C71" i="8"/>
  <c r="C73" i="8"/>
  <c r="C74" i="8"/>
  <c r="F74" i="8" s="1"/>
  <c r="C76" i="8"/>
  <c r="C77" i="8"/>
  <c r="C79" i="8"/>
  <c r="C80" i="8"/>
  <c r="C82" i="8"/>
  <c r="F82" i="8" s="1"/>
  <c r="C83" i="8"/>
  <c r="U17" i="8"/>
  <c r="U18" i="8"/>
  <c r="X18" i="8" s="1"/>
  <c r="U19" i="8"/>
  <c r="X19" i="8" s="1"/>
  <c r="U21" i="8"/>
  <c r="U22" i="8"/>
  <c r="U23" i="8"/>
  <c r="X23" i="8" s="1"/>
  <c r="U24" i="8"/>
  <c r="X24" i="8" s="1"/>
  <c r="U25" i="8"/>
  <c r="U26" i="8"/>
  <c r="U27" i="8"/>
  <c r="X27" i="8" s="1"/>
  <c r="U28" i="8"/>
  <c r="X28" i="8" s="1"/>
  <c r="AI28" i="8" s="1"/>
  <c r="U29" i="8"/>
  <c r="U30" i="8"/>
  <c r="U31" i="8"/>
  <c r="X31" i="8" s="1"/>
  <c r="U32" i="8"/>
  <c r="X32" i="8" s="1"/>
  <c r="U33" i="8"/>
  <c r="U36" i="8"/>
  <c r="U37" i="8"/>
  <c r="X37" i="8" s="1"/>
  <c r="U38" i="8"/>
  <c r="X38" i="8" s="1"/>
  <c r="U39" i="8"/>
  <c r="U40" i="8"/>
  <c r="U41" i="8"/>
  <c r="X41" i="8" s="1"/>
  <c r="AI41" i="8" s="1"/>
  <c r="U45" i="8"/>
  <c r="X45" i="8" s="1"/>
  <c r="AH45" i="8" s="1"/>
  <c r="U46" i="8"/>
  <c r="U47" i="8"/>
  <c r="U48" i="8"/>
  <c r="X48" i="8" s="1"/>
  <c r="U50" i="8"/>
  <c r="X50" i="8" s="1"/>
  <c r="U51" i="8"/>
  <c r="U52" i="8"/>
  <c r="U53" i="8"/>
  <c r="X53" i="8" s="1"/>
  <c r="U54" i="8"/>
  <c r="X54" i="8" s="1"/>
  <c r="U55" i="8"/>
  <c r="U59" i="8"/>
  <c r="U60" i="8"/>
  <c r="X60" i="8" s="1"/>
  <c r="AI60" i="8" s="1"/>
  <c r="U61" i="8"/>
  <c r="X61" i="8" s="1"/>
  <c r="AI61" i="8" s="1"/>
  <c r="U66" i="8"/>
  <c r="U67" i="8"/>
  <c r="U68" i="8"/>
  <c r="X68" i="8" s="1"/>
  <c r="U70" i="8"/>
  <c r="X70" i="8" s="1"/>
  <c r="AI70" i="8" s="1"/>
  <c r="U71" i="8"/>
  <c r="U72" i="8"/>
  <c r="U73" i="8"/>
  <c r="U74" i="8"/>
  <c r="U75" i="8"/>
  <c r="U76" i="8"/>
  <c r="U77" i="8"/>
  <c r="X77" i="8" s="1"/>
  <c r="U78" i="8"/>
  <c r="X78" i="8" s="1"/>
  <c r="U79" i="8"/>
  <c r="U80" i="8"/>
  <c r="U81" i="8"/>
  <c r="X81" i="8" s="1"/>
  <c r="U84" i="8"/>
  <c r="X84" i="8" s="1"/>
  <c r="U85" i="8"/>
  <c r="U86" i="8"/>
  <c r="U87" i="8"/>
  <c r="X87" i="8" s="1"/>
  <c r="U88" i="8"/>
  <c r="X88" i="8" s="1"/>
  <c r="U92" i="8"/>
  <c r="U93" i="8"/>
  <c r="U94" i="8"/>
  <c r="X94" i="8" s="1"/>
  <c r="U95" i="8"/>
  <c r="X95" i="8" s="1"/>
  <c r="U97" i="8"/>
  <c r="U98" i="8"/>
  <c r="U99" i="8"/>
  <c r="X99" i="8" s="1"/>
  <c r="U100" i="8"/>
  <c r="X100" i="8" s="1"/>
  <c r="AH100" i="8" s="1"/>
  <c r="U101" i="8"/>
  <c r="U102" i="8"/>
  <c r="U106" i="8"/>
  <c r="X106" i="8" s="1"/>
  <c r="U107" i="8"/>
  <c r="X107" i="8" s="1"/>
  <c r="U108" i="8"/>
  <c r="U115" i="8"/>
  <c r="U116" i="8"/>
  <c r="X116" i="8" s="1"/>
  <c r="U117" i="8"/>
  <c r="X117" i="8" s="1"/>
  <c r="U118" i="8"/>
  <c r="U119" i="8"/>
  <c r="U120" i="8"/>
  <c r="X120" i="8" s="1"/>
  <c r="U121" i="8"/>
  <c r="X121" i="8" s="1"/>
  <c r="U124" i="8"/>
  <c r="U125" i="8"/>
  <c r="U126" i="8"/>
  <c r="X126" i="8" s="1"/>
  <c r="AH126" i="8" s="1"/>
  <c r="U127" i="8"/>
  <c r="X127" i="8" s="1"/>
  <c r="U128" i="8"/>
  <c r="U129" i="8"/>
  <c r="U130" i="8"/>
  <c r="X130" i="8" s="1"/>
  <c r="U131" i="8"/>
  <c r="X131" i="8" s="1"/>
  <c r="U132" i="8"/>
  <c r="U133" i="8"/>
  <c r="U134" i="8"/>
  <c r="X134" i="8" s="1"/>
  <c r="U135" i="8"/>
  <c r="U136" i="8"/>
  <c r="U137" i="8"/>
  <c r="U138" i="8"/>
  <c r="X138" i="8" s="1"/>
  <c r="U139" i="8"/>
  <c r="X139" i="8" s="1"/>
  <c r="U142" i="8"/>
  <c r="U143" i="8"/>
  <c r="U148" i="8"/>
  <c r="X148" i="8" s="1"/>
  <c r="U150" i="8"/>
  <c r="X150" i="8" s="1"/>
  <c r="U151" i="8"/>
  <c r="U152" i="8"/>
  <c r="U153" i="8"/>
  <c r="X153" i="8" s="1"/>
  <c r="AI153" i="8" s="1"/>
  <c r="U156" i="8"/>
  <c r="X156" i="8" s="1"/>
  <c r="U158" i="8"/>
  <c r="U159" i="8"/>
  <c r="U160" i="8"/>
  <c r="X160" i="8" s="1"/>
  <c r="U161" i="8"/>
  <c r="X161" i="8" s="1"/>
  <c r="U162" i="8"/>
  <c r="U163" i="8"/>
  <c r="U164" i="8"/>
  <c r="X164" i="8" s="1"/>
  <c r="U165" i="8"/>
  <c r="X165" i="8" s="1"/>
  <c r="U166" i="8"/>
  <c r="U167" i="8"/>
  <c r="U168" i="8"/>
  <c r="X168" i="8" s="1"/>
  <c r="AH168" i="8" s="1"/>
  <c r="U173" i="8"/>
  <c r="X173" i="8" s="1"/>
  <c r="U174" i="8"/>
  <c r="U177" i="8"/>
  <c r="U178" i="8"/>
  <c r="U179" i="8"/>
  <c r="U180" i="8"/>
  <c r="U181" i="8"/>
  <c r="U182" i="8"/>
  <c r="X182" i="8" s="1"/>
  <c r="U183" i="8"/>
  <c r="X183" i="8" s="1"/>
  <c r="AH183" i="8" s="1"/>
  <c r="U186" i="8"/>
  <c r="U188" i="8"/>
  <c r="U189" i="8"/>
  <c r="X189" i="8" s="1"/>
  <c r="U190" i="8"/>
  <c r="X190" i="8" s="1"/>
  <c r="U191" i="8"/>
  <c r="U198" i="8"/>
  <c r="U199" i="8"/>
  <c r="X199" i="8" s="1"/>
  <c r="U200" i="8"/>
  <c r="X200" i="8" s="1"/>
  <c r="AH200" i="8" s="1"/>
  <c r="U201" i="8"/>
  <c r="U202" i="8"/>
  <c r="U203" i="8"/>
  <c r="X203" i="8" s="1"/>
  <c r="U204" i="8"/>
  <c r="X204" i="8" s="1"/>
  <c r="U206" i="8"/>
  <c r="U205" i="8" s="1"/>
  <c r="U207" i="8"/>
  <c r="U212" i="8"/>
  <c r="X212" i="8" s="1"/>
  <c r="U213" i="8"/>
  <c r="X213" i="8" s="1"/>
  <c r="AH213" i="8" s="1"/>
  <c r="U214" i="8"/>
  <c r="U215" i="8"/>
  <c r="U216" i="8"/>
  <c r="X216" i="8" s="1"/>
  <c r="AH216" i="8" s="1"/>
  <c r="U217" i="8"/>
  <c r="X217" i="8" s="1"/>
  <c r="AH217" i="8" s="1"/>
  <c r="U218" i="8"/>
  <c r="U223" i="8"/>
  <c r="U224" i="8"/>
  <c r="X224" i="8" s="1"/>
  <c r="U225" i="8"/>
  <c r="X225" i="8" s="1"/>
  <c r="U228" i="8"/>
  <c r="U229" i="8"/>
  <c r="U230" i="8"/>
  <c r="X230" i="8" s="1"/>
  <c r="U236" i="8"/>
  <c r="X236" i="8" s="1"/>
  <c r="AI236" i="8" s="1"/>
  <c r="U237" i="8"/>
  <c r="U238" i="8"/>
  <c r="U239" i="8"/>
  <c r="X239" i="8" s="1"/>
  <c r="U240" i="8"/>
  <c r="X240" i="8" s="1"/>
  <c r="AH240" i="8" s="1"/>
  <c r="U241" i="8"/>
  <c r="U244" i="8"/>
  <c r="U245" i="8"/>
  <c r="U246" i="8"/>
  <c r="X246" i="8" s="1"/>
  <c r="U247" i="8"/>
  <c r="U248" i="8"/>
  <c r="U249" i="8"/>
  <c r="X249" i="8" s="1"/>
  <c r="U250" i="8"/>
  <c r="X250" i="8" s="1"/>
  <c r="U251" i="8"/>
  <c r="U252" i="8"/>
  <c r="U253" i="8"/>
  <c r="X253" i="8" s="1"/>
  <c r="U254" i="8"/>
  <c r="X254" i="8" s="1"/>
  <c r="U255" i="8"/>
  <c r="U256" i="8"/>
  <c r="G32" i="8"/>
  <c r="G57" i="8"/>
  <c r="G63" i="8"/>
  <c r="G69" i="8"/>
  <c r="G75" i="8"/>
  <c r="G81" i="8"/>
  <c r="Y105" i="8"/>
  <c r="Y104" i="8" s="1"/>
  <c r="Y172" i="8"/>
  <c r="Y205" i="8"/>
  <c r="I32" i="8"/>
  <c r="I57" i="8"/>
  <c r="I75" i="8"/>
  <c r="I81" i="8"/>
  <c r="AA105" i="8"/>
  <c r="AA104" i="8" s="1"/>
  <c r="AA172" i="8"/>
  <c r="AA205" i="8"/>
  <c r="AB58" i="8"/>
  <c r="AB57" i="8" s="1"/>
  <c r="AD58" i="8"/>
  <c r="AD57" i="8" s="1"/>
  <c r="AI19" i="8"/>
  <c r="V105" i="6"/>
  <c r="V172" i="6"/>
  <c r="E22" i="6"/>
  <c r="E29" i="6"/>
  <c r="E35" i="6"/>
  <c r="W105" i="6"/>
  <c r="W104" i="6" s="1"/>
  <c r="W172" i="6"/>
  <c r="W205" i="6"/>
  <c r="W211" i="6"/>
  <c r="W210" i="6" s="1"/>
  <c r="W209" i="6" s="1"/>
  <c r="C12" i="6"/>
  <c r="C13" i="6"/>
  <c r="F13" i="6" s="1"/>
  <c r="C14" i="6"/>
  <c r="C15" i="6"/>
  <c r="C23" i="6"/>
  <c r="C24" i="6"/>
  <c r="F24" i="6" s="1"/>
  <c r="C26" i="6"/>
  <c r="C27" i="6"/>
  <c r="C30" i="6"/>
  <c r="C31" i="6"/>
  <c r="F31" i="6" s="1"/>
  <c r="C33" i="6"/>
  <c r="C34" i="6"/>
  <c r="C36" i="6"/>
  <c r="C37" i="6"/>
  <c r="F37" i="6" s="1"/>
  <c r="C41" i="6"/>
  <c r="C43" i="6"/>
  <c r="C44" i="6"/>
  <c r="F44" i="6" s="1"/>
  <c r="C46" i="6"/>
  <c r="C47" i="6"/>
  <c r="C49" i="6"/>
  <c r="C50" i="6"/>
  <c r="F50" i="6" s="1"/>
  <c r="C52" i="6"/>
  <c r="C53" i="6"/>
  <c r="C55" i="6"/>
  <c r="C56" i="6"/>
  <c r="F56" i="6" s="1"/>
  <c r="C58" i="6"/>
  <c r="F58" i="6" s="1"/>
  <c r="C59" i="6"/>
  <c r="C61" i="6"/>
  <c r="C62" i="6"/>
  <c r="F62" i="6" s="1"/>
  <c r="C64" i="6"/>
  <c r="C65" i="6"/>
  <c r="C67" i="6"/>
  <c r="C68" i="6"/>
  <c r="F68" i="6" s="1"/>
  <c r="C70" i="6"/>
  <c r="C71" i="6"/>
  <c r="C73" i="6"/>
  <c r="C74" i="6"/>
  <c r="F74" i="6" s="1"/>
  <c r="C76" i="6"/>
  <c r="C77" i="6"/>
  <c r="C79" i="6"/>
  <c r="C80" i="6"/>
  <c r="C82" i="6"/>
  <c r="F82" i="6" s="1"/>
  <c r="C83" i="6"/>
  <c r="U17" i="6"/>
  <c r="U18" i="6"/>
  <c r="X18" i="6" s="1"/>
  <c r="U19" i="6"/>
  <c r="X19" i="6" s="1"/>
  <c r="AI19" i="6" s="1"/>
  <c r="U21" i="6"/>
  <c r="U22" i="6"/>
  <c r="U23" i="6"/>
  <c r="X23" i="6" s="1"/>
  <c r="U24" i="6"/>
  <c r="X24" i="6" s="1"/>
  <c r="U25" i="6"/>
  <c r="U26" i="6"/>
  <c r="U27" i="6"/>
  <c r="X27" i="6" s="1"/>
  <c r="U28" i="6"/>
  <c r="X28" i="6" s="1"/>
  <c r="U29" i="6"/>
  <c r="U30" i="6"/>
  <c r="U31" i="6"/>
  <c r="X31" i="6" s="1"/>
  <c r="U32" i="6"/>
  <c r="X32" i="6" s="1"/>
  <c r="U33" i="6"/>
  <c r="U36" i="6"/>
  <c r="U37" i="6"/>
  <c r="X37" i="6" s="1"/>
  <c r="U38" i="6"/>
  <c r="X38" i="6" s="1"/>
  <c r="U39" i="6"/>
  <c r="U40" i="6"/>
  <c r="U41" i="6"/>
  <c r="X41" i="6" s="1"/>
  <c r="U45" i="6"/>
  <c r="X45" i="6" s="1"/>
  <c r="AH45" i="6" s="1"/>
  <c r="U46" i="6"/>
  <c r="U47" i="6"/>
  <c r="U48" i="6"/>
  <c r="X48" i="6" s="1"/>
  <c r="U50" i="6"/>
  <c r="X50" i="6" s="1"/>
  <c r="U51" i="6"/>
  <c r="U52" i="6"/>
  <c r="U53" i="6"/>
  <c r="X53" i="6" s="1"/>
  <c r="U54" i="6"/>
  <c r="X54" i="6" s="1"/>
  <c r="U55" i="6"/>
  <c r="U59" i="6"/>
  <c r="U60" i="6"/>
  <c r="X60" i="6" s="1"/>
  <c r="U61" i="6"/>
  <c r="X61" i="6" s="1"/>
  <c r="U66" i="6"/>
  <c r="U67" i="6"/>
  <c r="U68" i="6"/>
  <c r="X68" i="6" s="1"/>
  <c r="U70" i="6"/>
  <c r="X70" i="6" s="1"/>
  <c r="U71" i="6"/>
  <c r="U72" i="6"/>
  <c r="U73" i="6"/>
  <c r="X73" i="6" s="1"/>
  <c r="U74" i="6"/>
  <c r="X74" i="6" s="1"/>
  <c r="U75" i="6"/>
  <c r="U76" i="6"/>
  <c r="U77" i="6"/>
  <c r="X77" i="6" s="1"/>
  <c r="U78" i="6"/>
  <c r="X78" i="6" s="1"/>
  <c r="U79" i="6"/>
  <c r="U80" i="6"/>
  <c r="U81" i="6"/>
  <c r="X81" i="6" s="1"/>
  <c r="AI81" i="6" s="1"/>
  <c r="U84" i="6"/>
  <c r="X84" i="6" s="1"/>
  <c r="U85" i="6"/>
  <c r="U86" i="6"/>
  <c r="U87" i="6"/>
  <c r="X87" i="6" s="1"/>
  <c r="U88" i="6"/>
  <c r="X88" i="6" s="1"/>
  <c r="U92" i="6"/>
  <c r="U93" i="6"/>
  <c r="U94" i="6"/>
  <c r="X94" i="6" s="1"/>
  <c r="U95" i="6"/>
  <c r="X95" i="6" s="1"/>
  <c r="U97" i="6"/>
  <c r="U98" i="6"/>
  <c r="U99" i="6"/>
  <c r="X99" i="6" s="1"/>
  <c r="U100" i="6"/>
  <c r="X100" i="6" s="1"/>
  <c r="U101" i="6"/>
  <c r="U102" i="6"/>
  <c r="U106" i="6"/>
  <c r="X106" i="6" s="1"/>
  <c r="U107" i="6"/>
  <c r="X107" i="6" s="1"/>
  <c r="U108" i="6"/>
  <c r="U115" i="6"/>
  <c r="U116" i="6"/>
  <c r="X116" i="6" s="1"/>
  <c r="U117" i="6"/>
  <c r="X117" i="6" s="1"/>
  <c r="U118" i="6"/>
  <c r="U119" i="6"/>
  <c r="U120" i="6"/>
  <c r="X120" i="6" s="1"/>
  <c r="U121" i="6"/>
  <c r="X121" i="6" s="1"/>
  <c r="U124" i="6"/>
  <c r="U125" i="6"/>
  <c r="U126" i="6"/>
  <c r="X126" i="6" s="1"/>
  <c r="U127" i="6"/>
  <c r="X127" i="6" s="1"/>
  <c r="U128" i="6"/>
  <c r="U129" i="6"/>
  <c r="U130" i="6"/>
  <c r="X130" i="6" s="1"/>
  <c r="U131" i="6"/>
  <c r="X131" i="6" s="1"/>
  <c r="U132" i="6"/>
  <c r="U133" i="6"/>
  <c r="U134" i="6"/>
  <c r="X134" i="6" s="1"/>
  <c r="U135" i="6"/>
  <c r="X135" i="6" s="1"/>
  <c r="U136" i="6"/>
  <c r="U137" i="6"/>
  <c r="U138" i="6"/>
  <c r="X138" i="6" s="1"/>
  <c r="U139" i="6"/>
  <c r="X139" i="6" s="1"/>
  <c r="U142" i="6"/>
  <c r="U143" i="6"/>
  <c r="U148" i="6"/>
  <c r="X148" i="6" s="1"/>
  <c r="U150" i="6"/>
  <c r="X150" i="6" s="1"/>
  <c r="U151" i="6"/>
  <c r="U152" i="6"/>
  <c r="U153" i="6"/>
  <c r="X153" i="6" s="1"/>
  <c r="U156" i="6"/>
  <c r="X156" i="6" s="1"/>
  <c r="U158" i="6"/>
  <c r="U159" i="6"/>
  <c r="U160" i="6"/>
  <c r="X160" i="6" s="1"/>
  <c r="U161" i="6"/>
  <c r="X161" i="6" s="1"/>
  <c r="U162" i="6"/>
  <c r="U163" i="6"/>
  <c r="U164" i="6"/>
  <c r="X164" i="6" s="1"/>
  <c r="AI164" i="6" s="1"/>
  <c r="U165" i="6"/>
  <c r="X165" i="6" s="1"/>
  <c r="U166" i="6"/>
  <c r="U167" i="6"/>
  <c r="U168" i="6"/>
  <c r="X168" i="6" s="1"/>
  <c r="AH168" i="6" s="1"/>
  <c r="U173" i="6"/>
  <c r="X173" i="6" s="1"/>
  <c r="U174" i="6"/>
  <c r="U177" i="6"/>
  <c r="U178" i="6"/>
  <c r="X178" i="6" s="1"/>
  <c r="U179" i="6"/>
  <c r="X179" i="6" s="1"/>
  <c r="U180" i="6"/>
  <c r="U181" i="6"/>
  <c r="U182" i="6"/>
  <c r="X182" i="6" s="1"/>
  <c r="U183" i="6"/>
  <c r="X183" i="6" s="1"/>
  <c r="U186" i="6"/>
  <c r="U188" i="6"/>
  <c r="U189" i="6"/>
  <c r="X189" i="6" s="1"/>
  <c r="U190" i="6"/>
  <c r="X190" i="6" s="1"/>
  <c r="U191" i="6"/>
  <c r="U198" i="6"/>
  <c r="U199" i="6"/>
  <c r="X199" i="6" s="1"/>
  <c r="U200" i="6"/>
  <c r="X200" i="6" s="1"/>
  <c r="U201" i="6"/>
  <c r="U202" i="6"/>
  <c r="U203" i="6"/>
  <c r="X203" i="6" s="1"/>
  <c r="U204" i="6"/>
  <c r="X204" i="6" s="1"/>
  <c r="U206" i="6"/>
  <c r="U207" i="6"/>
  <c r="U212" i="6"/>
  <c r="X212" i="6" s="1"/>
  <c r="U213" i="6"/>
  <c r="X213" i="6" s="1"/>
  <c r="U214" i="6"/>
  <c r="U215" i="6"/>
  <c r="U216" i="6"/>
  <c r="X216" i="6" s="1"/>
  <c r="U217" i="6"/>
  <c r="X217" i="6" s="1"/>
  <c r="U218" i="6"/>
  <c r="U223" i="6"/>
  <c r="U224" i="6"/>
  <c r="X224" i="6" s="1"/>
  <c r="U225" i="6"/>
  <c r="X225" i="6" s="1"/>
  <c r="U228" i="6"/>
  <c r="U229" i="6"/>
  <c r="U230" i="6"/>
  <c r="X230" i="6" s="1"/>
  <c r="U236" i="6"/>
  <c r="X236" i="6" s="1"/>
  <c r="U237" i="6"/>
  <c r="U238" i="6"/>
  <c r="U239" i="6"/>
  <c r="X239" i="6" s="1"/>
  <c r="U240" i="6"/>
  <c r="X240" i="6" s="1"/>
  <c r="U241" i="6"/>
  <c r="U244" i="6"/>
  <c r="U245" i="6"/>
  <c r="X245" i="6" s="1"/>
  <c r="U246" i="6"/>
  <c r="X246" i="6" s="1"/>
  <c r="U247" i="6"/>
  <c r="U248" i="6"/>
  <c r="U249" i="6"/>
  <c r="X249" i="6" s="1"/>
  <c r="U250" i="6"/>
  <c r="X250" i="6" s="1"/>
  <c r="U251" i="6"/>
  <c r="U252" i="6"/>
  <c r="U253" i="6"/>
  <c r="X253" i="6" s="1"/>
  <c r="U254" i="6"/>
  <c r="X254" i="6" s="1"/>
  <c r="U255" i="6"/>
  <c r="U256" i="6"/>
  <c r="G32" i="6"/>
  <c r="G45" i="6"/>
  <c r="G51" i="6"/>
  <c r="G57" i="6"/>
  <c r="G60" i="6"/>
  <c r="G63" i="6"/>
  <c r="G69" i="6"/>
  <c r="G81" i="6"/>
  <c r="Y96" i="6"/>
  <c r="Y105" i="6"/>
  <c r="Y104" i="6" s="1"/>
  <c r="Y172" i="6"/>
  <c r="Y205" i="6"/>
  <c r="Y211" i="6"/>
  <c r="Y210" i="6" s="1"/>
  <c r="Y209" i="6" s="1"/>
  <c r="H10" i="6"/>
  <c r="H22" i="6"/>
  <c r="H25" i="6"/>
  <c r="H29" i="6"/>
  <c r="H32" i="6"/>
  <c r="H35" i="6"/>
  <c r="H42" i="6"/>
  <c r="H45" i="6"/>
  <c r="H48" i="6"/>
  <c r="H51" i="6"/>
  <c r="H54" i="6"/>
  <c r="H57" i="6"/>
  <c r="H60" i="6"/>
  <c r="H63" i="6"/>
  <c r="H66" i="6"/>
  <c r="H69" i="6"/>
  <c r="H72" i="6"/>
  <c r="H75" i="6"/>
  <c r="H78" i="6"/>
  <c r="H81" i="6"/>
  <c r="Z20" i="6"/>
  <c r="Z16" i="6" s="1"/>
  <c r="Z35" i="6"/>
  <c r="Z44" i="6"/>
  <c r="Z49" i="6"/>
  <c r="Z58" i="6"/>
  <c r="Z57" i="6" s="1"/>
  <c r="Z69" i="6"/>
  <c r="Z65" i="6" s="1"/>
  <c r="Z83" i="6"/>
  <c r="Z91" i="6"/>
  <c r="Z96" i="6"/>
  <c r="Z105" i="6"/>
  <c r="Z104" i="6" s="1"/>
  <c r="Z114" i="6"/>
  <c r="Z123" i="6"/>
  <c r="Z141" i="6"/>
  <c r="Z149" i="6"/>
  <c r="Z147" i="6" s="1"/>
  <c r="Z157" i="6"/>
  <c r="Z155" i="6" s="1"/>
  <c r="Z172" i="6"/>
  <c r="Z176" i="6"/>
  <c r="Z187" i="6"/>
  <c r="Z185" i="6" s="1"/>
  <c r="Z197" i="6"/>
  <c r="Z205" i="6"/>
  <c r="Z211" i="6"/>
  <c r="Z210" i="6" s="1"/>
  <c r="Z209" i="6" s="1"/>
  <c r="Z222" i="6"/>
  <c r="Z227" i="6"/>
  <c r="Z235" i="6"/>
  <c r="Z234" i="6" s="1"/>
  <c r="Z243" i="6"/>
  <c r="I32" i="6"/>
  <c r="I45" i="6"/>
  <c r="I51" i="6"/>
  <c r="I57" i="6"/>
  <c r="I63" i="6"/>
  <c r="I69" i="6"/>
  <c r="I75" i="6"/>
  <c r="I81" i="6"/>
  <c r="AA105" i="6"/>
  <c r="AA104" i="6" s="1"/>
  <c r="AA172" i="6"/>
  <c r="AA205" i="6"/>
  <c r="J22" i="6"/>
  <c r="J29" i="6"/>
  <c r="J35" i="6"/>
  <c r="J45" i="6"/>
  <c r="J51" i="6"/>
  <c r="J57" i="6"/>
  <c r="J63" i="6"/>
  <c r="J69" i="6"/>
  <c r="J75" i="6"/>
  <c r="J81" i="6"/>
  <c r="AB58" i="6"/>
  <c r="AB57" i="6" s="1"/>
  <c r="AB105" i="6"/>
  <c r="AB123" i="6"/>
  <c r="K10" i="6"/>
  <c r="BE7" i="6" s="1"/>
  <c r="K22" i="6"/>
  <c r="K25" i="6"/>
  <c r="K29" i="6"/>
  <c r="K32" i="6"/>
  <c r="K35" i="6"/>
  <c r="K42" i="6"/>
  <c r="K45" i="6"/>
  <c r="K48" i="6"/>
  <c r="K51" i="6"/>
  <c r="K54" i="6"/>
  <c r="K57" i="6"/>
  <c r="K60" i="6"/>
  <c r="K63" i="6"/>
  <c r="K66" i="6"/>
  <c r="K69" i="6"/>
  <c r="K72" i="6"/>
  <c r="K75" i="6"/>
  <c r="K78" i="6"/>
  <c r="K81" i="6"/>
  <c r="AC20" i="6"/>
  <c r="AC16" i="6" s="1"/>
  <c r="AC35" i="6"/>
  <c r="AC44" i="6"/>
  <c r="AC49" i="6"/>
  <c r="AC58" i="6"/>
  <c r="AC57" i="6" s="1"/>
  <c r="AC69" i="6"/>
  <c r="AC65" i="6" s="1"/>
  <c r="AC83" i="6"/>
  <c r="AC91" i="6"/>
  <c r="AC96" i="6"/>
  <c r="AC105" i="6"/>
  <c r="AC104" i="6" s="1"/>
  <c r="AC114" i="6"/>
  <c r="AC123" i="6"/>
  <c r="AC141" i="6"/>
  <c r="AC149" i="6"/>
  <c r="AC147" i="6" s="1"/>
  <c r="AC157" i="6"/>
  <c r="AC155" i="6" s="1"/>
  <c r="AC172" i="6"/>
  <c r="AC176" i="6"/>
  <c r="AC187" i="6"/>
  <c r="AC185" i="6" s="1"/>
  <c r="AC197" i="6"/>
  <c r="AC205" i="6"/>
  <c r="AC211" i="6"/>
  <c r="AC210" i="6" s="1"/>
  <c r="AC209" i="6" s="1"/>
  <c r="AC222" i="6"/>
  <c r="AC227" i="6"/>
  <c r="AC235" i="6"/>
  <c r="AC243" i="6"/>
  <c r="L22" i="6"/>
  <c r="L29" i="6"/>
  <c r="L35" i="6"/>
  <c r="L45" i="6"/>
  <c r="L51" i="6"/>
  <c r="L57" i="6"/>
  <c r="L63" i="6"/>
  <c r="L69" i="6"/>
  <c r="L75" i="6"/>
  <c r="L81" i="6"/>
  <c r="AD58" i="6"/>
  <c r="AD57" i="6" s="1"/>
  <c r="AD105" i="6"/>
  <c r="AD187" i="6"/>
  <c r="AD222" i="6"/>
  <c r="AE172" i="6"/>
  <c r="AF20" i="6"/>
  <c r="AF16" i="6" s="1"/>
  <c r="AF35" i="6"/>
  <c r="AF44" i="6"/>
  <c r="AF49" i="6"/>
  <c r="AF58" i="6"/>
  <c r="AF57" i="6" s="1"/>
  <c r="AF69" i="6"/>
  <c r="AF65" i="6" s="1"/>
  <c r="AF83" i="6"/>
  <c r="AF91" i="6"/>
  <c r="AF96" i="6"/>
  <c r="AF105" i="6"/>
  <c r="AF104" i="6" s="1"/>
  <c r="AF114" i="6"/>
  <c r="AF123" i="6"/>
  <c r="AF141" i="6"/>
  <c r="AF149" i="6"/>
  <c r="AF147" i="6" s="1"/>
  <c r="AF157" i="6"/>
  <c r="AF155" i="6" s="1"/>
  <c r="AF172" i="6"/>
  <c r="AF176" i="6"/>
  <c r="AF187" i="6"/>
  <c r="AF185" i="6" s="1"/>
  <c r="AF197" i="6"/>
  <c r="AF205" i="6"/>
  <c r="AF211" i="6"/>
  <c r="AF210" i="6" s="1"/>
  <c r="AF209" i="6" s="1"/>
  <c r="AF222" i="6"/>
  <c r="AF227" i="6"/>
  <c r="AF235" i="6"/>
  <c r="AF234" i="6" s="1"/>
  <c r="AF243" i="6"/>
  <c r="AG172" i="6"/>
  <c r="P10" i="6"/>
  <c r="P22" i="6"/>
  <c r="P25" i="6"/>
  <c r="P29" i="6"/>
  <c r="P32" i="6"/>
  <c r="P35" i="6"/>
  <c r="P42" i="6"/>
  <c r="P45" i="6"/>
  <c r="P48" i="6"/>
  <c r="P51" i="6"/>
  <c r="P54" i="6"/>
  <c r="P57" i="6"/>
  <c r="P60" i="6"/>
  <c r="P63" i="6"/>
  <c r="P66" i="6"/>
  <c r="P69" i="6"/>
  <c r="P72" i="6"/>
  <c r="P75" i="6"/>
  <c r="P78" i="6"/>
  <c r="P81" i="6"/>
  <c r="Q10" i="6"/>
  <c r="Q22" i="6"/>
  <c r="Q25" i="6"/>
  <c r="Q29" i="6"/>
  <c r="Q32" i="6"/>
  <c r="Q35" i="6"/>
  <c r="Q42" i="6"/>
  <c r="Q45" i="6"/>
  <c r="Q48" i="6"/>
  <c r="Q51" i="6"/>
  <c r="Q54" i="6"/>
  <c r="Q57" i="6"/>
  <c r="Q60" i="6"/>
  <c r="Q63" i="6"/>
  <c r="Q66" i="6"/>
  <c r="Q69" i="6"/>
  <c r="Q72" i="6"/>
  <c r="Q75" i="6"/>
  <c r="Q78" i="6"/>
  <c r="Q81" i="6"/>
  <c r="C81" i="6"/>
  <c r="F24" i="5"/>
  <c r="N24" i="5" s="1"/>
  <c r="F31" i="5"/>
  <c r="N31" i="5" s="1"/>
  <c r="F34" i="5"/>
  <c r="F37" i="5"/>
  <c r="M37" i="5" s="1"/>
  <c r="F41" i="5"/>
  <c r="F43" i="5"/>
  <c r="M43" i="5" s="1"/>
  <c r="F44" i="5"/>
  <c r="F46" i="5"/>
  <c r="N46" i="5" s="1"/>
  <c r="F47" i="5"/>
  <c r="F49" i="5"/>
  <c r="N49" i="5" s="1"/>
  <c r="F50" i="5"/>
  <c r="F52" i="5"/>
  <c r="M52" i="5" s="1"/>
  <c r="F53" i="5"/>
  <c r="F55" i="5"/>
  <c r="N55" i="5" s="1"/>
  <c r="F56" i="5"/>
  <c r="F58" i="5"/>
  <c r="F59" i="5"/>
  <c r="F61" i="5"/>
  <c r="N61" i="5" s="1"/>
  <c r="F62" i="5"/>
  <c r="N62" i="5" s="1"/>
  <c r="F65" i="5"/>
  <c r="F67" i="5"/>
  <c r="F68" i="5"/>
  <c r="N68" i="5" s="1"/>
  <c r="F70" i="5"/>
  <c r="F71" i="5"/>
  <c r="F73" i="5"/>
  <c r="F74" i="5"/>
  <c r="N74" i="5" s="1"/>
  <c r="C78" i="5"/>
  <c r="D78" i="5"/>
  <c r="E78" i="5"/>
  <c r="F82" i="5"/>
  <c r="M82" i="5" s="1"/>
  <c r="F83" i="5"/>
  <c r="M83" i="5" s="1"/>
  <c r="F13" i="5"/>
  <c r="M13" i="5" s="1"/>
  <c r="F15" i="5"/>
  <c r="X17" i="5"/>
  <c r="X18" i="5"/>
  <c r="AI18" i="5" s="1"/>
  <c r="X19" i="5"/>
  <c r="AH19" i="5" s="1"/>
  <c r="X22" i="5"/>
  <c r="X23" i="5"/>
  <c r="AH23" i="5" s="1"/>
  <c r="X24" i="5"/>
  <c r="X26" i="5"/>
  <c r="X27" i="5"/>
  <c r="X28" i="5"/>
  <c r="X30" i="5"/>
  <c r="AH30" i="5" s="1"/>
  <c r="X31" i="5"/>
  <c r="AH31" i="5" s="1"/>
  <c r="X32" i="5"/>
  <c r="X37" i="5"/>
  <c r="X38" i="5"/>
  <c r="X40" i="5"/>
  <c r="AH40" i="5" s="1"/>
  <c r="X41" i="5"/>
  <c r="AH41" i="5" s="1"/>
  <c r="X45" i="5"/>
  <c r="X47" i="5"/>
  <c r="AH47" i="5" s="1"/>
  <c r="X48" i="5"/>
  <c r="AI48" i="5" s="1"/>
  <c r="X50" i="5"/>
  <c r="X52" i="5"/>
  <c r="X53" i="5"/>
  <c r="AI53" i="5" s="1"/>
  <c r="X54" i="5"/>
  <c r="X55" i="5"/>
  <c r="AJ55" i="5" s="1"/>
  <c r="X59" i="5"/>
  <c r="X60" i="5"/>
  <c r="AH60" i="5" s="1"/>
  <c r="X61" i="5"/>
  <c r="X67" i="5"/>
  <c r="AH67" i="5" s="1"/>
  <c r="X68" i="5"/>
  <c r="AI68" i="5" s="1"/>
  <c r="X70" i="5"/>
  <c r="X72" i="5"/>
  <c r="AH72" i="5" s="1"/>
  <c r="X73" i="5"/>
  <c r="AH73" i="5" s="1"/>
  <c r="X74" i="5"/>
  <c r="X76" i="5"/>
  <c r="AH76" i="5" s="1"/>
  <c r="X77" i="5"/>
  <c r="AH77" i="5" s="1"/>
  <c r="X78" i="5"/>
  <c r="X80" i="5"/>
  <c r="AH80" i="5" s="1"/>
  <c r="X81" i="5"/>
  <c r="AI81" i="5" s="1"/>
  <c r="X84" i="5"/>
  <c r="X86" i="5"/>
  <c r="X87" i="5"/>
  <c r="X88" i="5"/>
  <c r="X93" i="5"/>
  <c r="AI93" i="5" s="1"/>
  <c r="X94" i="5"/>
  <c r="AH94" i="5" s="1"/>
  <c r="X95" i="5"/>
  <c r="X98" i="5"/>
  <c r="AH98" i="5" s="1"/>
  <c r="X99" i="5"/>
  <c r="AH99" i="5" s="1"/>
  <c r="X100" i="5"/>
  <c r="X102" i="5"/>
  <c r="AJ102" i="5" s="1"/>
  <c r="X106" i="5"/>
  <c r="AH106" i="5" s="1"/>
  <c r="X107" i="5"/>
  <c r="X115" i="5"/>
  <c r="AI115" i="5" s="1"/>
  <c r="X116" i="5"/>
  <c r="AI116" i="5" s="1"/>
  <c r="X117" i="5"/>
  <c r="X119" i="5"/>
  <c r="AH119" i="5" s="1"/>
  <c r="X120" i="5"/>
  <c r="AH120" i="5" s="1"/>
  <c r="X121" i="5"/>
  <c r="X125" i="5"/>
  <c r="AI125" i="5" s="1"/>
  <c r="X126" i="5"/>
  <c r="X127" i="5"/>
  <c r="X129" i="5"/>
  <c r="AI129" i="5" s="1"/>
  <c r="X130" i="5"/>
  <c r="AH130" i="5" s="1"/>
  <c r="X131" i="5"/>
  <c r="X133" i="5"/>
  <c r="AH133" i="5" s="1"/>
  <c r="X134" i="5"/>
  <c r="AH134" i="5" s="1"/>
  <c r="X135" i="5"/>
  <c r="X137" i="5"/>
  <c r="AH137" i="5" s="1"/>
  <c r="X138" i="5"/>
  <c r="AH138" i="5" s="1"/>
  <c r="X139" i="5"/>
  <c r="X143" i="5"/>
  <c r="AH143" i="5" s="1"/>
  <c r="X148" i="5"/>
  <c r="AI148" i="5" s="1"/>
  <c r="X150" i="5"/>
  <c r="X152" i="5"/>
  <c r="X153" i="5"/>
  <c r="AH153" i="5" s="1"/>
  <c r="X156" i="5"/>
  <c r="X159" i="5"/>
  <c r="X160" i="5"/>
  <c r="AI160" i="5" s="1"/>
  <c r="X161" i="5"/>
  <c r="X163" i="5"/>
  <c r="AI163" i="5" s="1"/>
  <c r="X164" i="5"/>
  <c r="AH164" i="5" s="1"/>
  <c r="X165" i="5"/>
  <c r="X167" i="5"/>
  <c r="AI167" i="5" s="1"/>
  <c r="X168" i="5"/>
  <c r="AI168" i="5" s="1"/>
  <c r="X173" i="5"/>
  <c r="X177" i="5"/>
  <c r="X178" i="5"/>
  <c r="AH178" i="5" s="1"/>
  <c r="X179" i="5"/>
  <c r="X181" i="5"/>
  <c r="AH181" i="5" s="1"/>
  <c r="X182" i="5"/>
  <c r="X183" i="5"/>
  <c r="X188" i="5"/>
  <c r="AH188" i="5" s="1"/>
  <c r="X189" i="5"/>
  <c r="AH189" i="5" s="1"/>
  <c r="X190" i="5"/>
  <c r="X198" i="5"/>
  <c r="AI198" i="5" s="1"/>
  <c r="X199" i="5"/>
  <c r="AI199" i="5" s="1"/>
  <c r="X200" i="5"/>
  <c r="X202" i="5"/>
  <c r="X203" i="5"/>
  <c r="AH203" i="5" s="1"/>
  <c r="X204" i="5"/>
  <c r="X212" i="5"/>
  <c r="X213" i="5"/>
  <c r="X215" i="5"/>
  <c r="AH215" i="5" s="1"/>
  <c r="X216" i="5"/>
  <c r="AH216" i="5" s="1"/>
  <c r="X217" i="5"/>
  <c r="X223" i="5"/>
  <c r="AI223" i="5" s="1"/>
  <c r="X224" i="5"/>
  <c r="AH224" i="5" s="1"/>
  <c r="X225" i="5"/>
  <c r="X229" i="5"/>
  <c r="X230" i="5"/>
  <c r="AH230" i="5" s="1"/>
  <c r="X236" i="5"/>
  <c r="X238" i="5"/>
  <c r="AH238" i="5" s="1"/>
  <c r="X239" i="5"/>
  <c r="AH239" i="5" s="1"/>
  <c r="X240" i="5"/>
  <c r="X244" i="5"/>
  <c r="X245" i="5"/>
  <c r="AH245" i="5" s="1"/>
  <c r="X246" i="5"/>
  <c r="X249" i="5"/>
  <c r="AI249" i="5" s="1"/>
  <c r="X250" i="5"/>
  <c r="X252" i="5"/>
  <c r="AH252" i="5" s="1"/>
  <c r="X253" i="5"/>
  <c r="AH253" i="5" s="1"/>
  <c r="X254" i="5"/>
  <c r="H10" i="5"/>
  <c r="H22" i="5"/>
  <c r="H25" i="5"/>
  <c r="H29" i="5"/>
  <c r="H32" i="5"/>
  <c r="H35" i="5"/>
  <c r="H42" i="5"/>
  <c r="H45" i="5"/>
  <c r="H48" i="5"/>
  <c r="H51" i="5"/>
  <c r="H54" i="5"/>
  <c r="H57" i="5"/>
  <c r="H60" i="5"/>
  <c r="H63" i="5"/>
  <c r="H66" i="5"/>
  <c r="H69" i="5"/>
  <c r="H72" i="5"/>
  <c r="H75" i="5"/>
  <c r="H78" i="5"/>
  <c r="H81" i="5"/>
  <c r="Z20" i="5"/>
  <c r="Z16" i="5" s="1"/>
  <c r="Z35" i="5"/>
  <c r="Z44" i="5"/>
  <c r="Z49" i="5"/>
  <c r="Z58" i="5"/>
  <c r="Z57" i="5" s="1"/>
  <c r="Z69" i="5"/>
  <c r="Z65" i="5" s="1"/>
  <c r="Z83" i="5"/>
  <c r="Z91" i="5"/>
  <c r="Z96" i="5"/>
  <c r="Z105" i="5"/>
  <c r="Z104" i="5" s="1"/>
  <c r="Z114" i="5"/>
  <c r="Z123" i="5"/>
  <c r="Z141" i="5"/>
  <c r="Z149" i="5"/>
  <c r="Z147" i="5" s="1"/>
  <c r="Z157" i="5"/>
  <c r="Z155" i="5" s="1"/>
  <c r="Z172" i="5"/>
  <c r="Z176" i="5"/>
  <c r="Z187" i="5"/>
  <c r="Z185" i="5" s="1"/>
  <c r="Z197" i="5"/>
  <c r="Z205" i="5"/>
  <c r="Z211" i="5"/>
  <c r="Z210" i="5" s="1"/>
  <c r="Z209" i="5" s="1"/>
  <c r="Z222" i="5"/>
  <c r="Z227" i="5"/>
  <c r="Z235" i="5"/>
  <c r="Z234" i="5" s="1"/>
  <c r="Z232" i="5" s="1"/>
  <c r="I22" i="5"/>
  <c r="AR7" i="5" s="1"/>
  <c r="I25" i="5"/>
  <c r="I29" i="5"/>
  <c r="I32" i="5"/>
  <c r="I42" i="5"/>
  <c r="I45" i="5"/>
  <c r="I48" i="5"/>
  <c r="I51" i="5"/>
  <c r="I54" i="5"/>
  <c r="I57" i="5"/>
  <c r="I60" i="5"/>
  <c r="I63" i="5"/>
  <c r="I66" i="5"/>
  <c r="I69" i="5"/>
  <c r="I72" i="5"/>
  <c r="I75" i="5"/>
  <c r="I81" i="5"/>
  <c r="AA44" i="5"/>
  <c r="AA49" i="5"/>
  <c r="AA69" i="5"/>
  <c r="AA65" i="5" s="1"/>
  <c r="AA83" i="5"/>
  <c r="AA91" i="5"/>
  <c r="AA96" i="5"/>
  <c r="AA105" i="5"/>
  <c r="AA104" i="5" s="1"/>
  <c r="AA149" i="5"/>
  <c r="AA147" i="5" s="1"/>
  <c r="AA172" i="5"/>
  <c r="AA176" i="5"/>
  <c r="AA187" i="5"/>
  <c r="AA185" i="5" s="1"/>
  <c r="AA205" i="5"/>
  <c r="AA211" i="5"/>
  <c r="AA210" i="5" s="1"/>
  <c r="AA209" i="5" s="1"/>
  <c r="AA227" i="5"/>
  <c r="AA235" i="5"/>
  <c r="AA234" i="5" s="1"/>
  <c r="K22" i="5"/>
  <c r="K25" i="5"/>
  <c r="K29" i="5"/>
  <c r="K32" i="5"/>
  <c r="K35" i="5"/>
  <c r="K42" i="5"/>
  <c r="K45" i="5"/>
  <c r="K48" i="5"/>
  <c r="K51" i="5"/>
  <c r="K54" i="5"/>
  <c r="K57" i="5"/>
  <c r="K60" i="5"/>
  <c r="K63" i="5"/>
  <c r="K66" i="5"/>
  <c r="K69" i="5"/>
  <c r="K72" i="5"/>
  <c r="K75" i="5"/>
  <c r="K78" i="5"/>
  <c r="K81" i="5"/>
  <c r="AC20" i="5"/>
  <c r="AC16" i="5" s="1"/>
  <c r="AC35" i="5"/>
  <c r="AC44" i="5"/>
  <c r="AC49" i="5"/>
  <c r="AC58" i="5"/>
  <c r="AC57" i="5" s="1"/>
  <c r="AC69" i="5"/>
  <c r="AC65" i="5" s="1"/>
  <c r="AC83" i="5"/>
  <c r="AC91" i="5"/>
  <c r="AC96" i="5"/>
  <c r="AC105" i="5"/>
  <c r="AC104" i="5" s="1"/>
  <c r="AC114" i="5"/>
  <c r="AC123" i="5"/>
  <c r="AC141" i="5"/>
  <c r="AC149" i="5"/>
  <c r="AC147" i="5" s="1"/>
  <c r="AC157" i="5"/>
  <c r="AC155" i="5" s="1"/>
  <c r="AC172" i="5"/>
  <c r="AC176" i="5"/>
  <c r="AC187" i="5"/>
  <c r="AC185" i="5" s="1"/>
  <c r="AC197" i="5"/>
  <c r="AC205" i="5"/>
  <c r="AC211" i="5"/>
  <c r="AC210" i="5" s="1"/>
  <c r="AC209" i="5" s="1"/>
  <c r="AC222" i="5"/>
  <c r="AC227" i="5"/>
  <c r="AC235" i="5"/>
  <c r="AC234" i="5" s="1"/>
  <c r="AC232" i="5" s="1"/>
  <c r="L22" i="5"/>
  <c r="AS7" i="5" s="1"/>
  <c r="L29" i="5"/>
  <c r="L32" i="5"/>
  <c r="L35" i="5"/>
  <c r="L42" i="5"/>
  <c r="L45" i="5"/>
  <c r="L48" i="5"/>
  <c r="L51" i="5"/>
  <c r="L54" i="5"/>
  <c r="L57" i="5"/>
  <c r="L60" i="5"/>
  <c r="L63" i="5"/>
  <c r="L66" i="5"/>
  <c r="L69" i="5"/>
  <c r="L75" i="5"/>
  <c r="L81" i="5"/>
  <c r="AD35" i="5"/>
  <c r="AD44" i="5"/>
  <c r="AD49" i="5"/>
  <c r="AD58" i="5"/>
  <c r="AD57" i="5" s="1"/>
  <c r="AD91" i="5"/>
  <c r="AD105" i="5"/>
  <c r="AD104" i="5" s="1"/>
  <c r="AD114" i="5"/>
  <c r="AD123" i="5"/>
  <c r="AD141" i="5"/>
  <c r="BP20" i="5" s="1"/>
  <c r="AD149" i="5"/>
  <c r="AD187" i="5"/>
  <c r="AD197" i="5"/>
  <c r="AD222" i="5"/>
  <c r="AD227" i="5"/>
  <c r="M31" i="5"/>
  <c r="M58" i="5"/>
  <c r="M61" i="5"/>
  <c r="M67" i="5"/>
  <c r="M73" i="5"/>
  <c r="N58" i="5"/>
  <c r="N67" i="5"/>
  <c r="N15" i="5"/>
  <c r="AF20" i="5"/>
  <c r="AF16" i="5" s="1"/>
  <c r="AF35" i="5"/>
  <c r="AF44" i="5"/>
  <c r="AF49" i="5"/>
  <c r="AF58" i="5"/>
  <c r="AF57" i="5" s="1"/>
  <c r="AF69" i="5"/>
  <c r="AF65" i="5" s="1"/>
  <c r="AF83" i="5"/>
  <c r="AF91" i="5"/>
  <c r="AF96" i="5"/>
  <c r="AF105" i="5"/>
  <c r="AF104" i="5" s="1"/>
  <c r="AF114" i="5"/>
  <c r="AF123" i="5"/>
  <c r="AF141" i="5"/>
  <c r="AF149" i="5"/>
  <c r="AF147" i="5" s="1"/>
  <c r="AF157" i="5"/>
  <c r="AF155" i="5" s="1"/>
  <c r="AF172" i="5"/>
  <c r="AF176" i="5"/>
  <c r="AF187" i="5"/>
  <c r="AF185" i="5" s="1"/>
  <c r="AF197" i="5"/>
  <c r="AF205" i="5"/>
  <c r="AF211" i="5"/>
  <c r="AF210" i="5" s="1"/>
  <c r="AF209" i="5" s="1"/>
  <c r="BQ27" i="5" s="1"/>
  <c r="F50" i="20" s="1"/>
  <c r="AF222" i="5"/>
  <c r="AF227" i="5"/>
  <c r="AF235" i="5"/>
  <c r="AF234" i="5" s="1"/>
  <c r="AF232" i="5" s="1"/>
  <c r="AG105" i="5"/>
  <c r="AG104" i="5" s="1"/>
  <c r="AG141" i="5"/>
  <c r="AG172" i="5"/>
  <c r="AG205" i="5"/>
  <c r="P10" i="5"/>
  <c r="P22" i="5"/>
  <c r="P25" i="5"/>
  <c r="P29" i="5"/>
  <c r="P32" i="5"/>
  <c r="P35" i="5"/>
  <c r="P42" i="5"/>
  <c r="P45" i="5"/>
  <c r="P48" i="5"/>
  <c r="P51" i="5"/>
  <c r="P54" i="5"/>
  <c r="P57" i="5"/>
  <c r="P60" i="5"/>
  <c r="P63" i="5"/>
  <c r="P66" i="5"/>
  <c r="P69" i="5"/>
  <c r="P72" i="5"/>
  <c r="P75" i="5"/>
  <c r="P78" i="5"/>
  <c r="P81" i="5"/>
  <c r="AH17" i="5"/>
  <c r="AH27" i="5"/>
  <c r="AH48" i="5"/>
  <c r="AH81" i="5"/>
  <c r="AH167" i="5"/>
  <c r="AH198" i="5"/>
  <c r="AH199" i="5"/>
  <c r="AH244" i="5"/>
  <c r="AH249" i="5"/>
  <c r="Q10" i="5"/>
  <c r="Q22" i="5"/>
  <c r="Q25" i="5"/>
  <c r="Q29" i="5"/>
  <c r="Q32" i="5"/>
  <c r="Q35" i="5"/>
  <c r="Q42" i="5"/>
  <c r="Q45" i="5"/>
  <c r="Q48" i="5"/>
  <c r="Q51" i="5"/>
  <c r="Q54" i="5"/>
  <c r="Q57" i="5"/>
  <c r="Q60" i="5"/>
  <c r="Q63" i="5"/>
  <c r="Q66" i="5"/>
  <c r="Q69" i="5"/>
  <c r="Q72" i="5"/>
  <c r="Q75" i="5"/>
  <c r="Q78" i="5"/>
  <c r="Q81" i="5"/>
  <c r="AI17" i="5"/>
  <c r="AI23" i="5"/>
  <c r="AI26" i="5"/>
  <c r="AI27" i="5"/>
  <c r="AI41" i="5"/>
  <c r="AI77" i="5"/>
  <c r="AI130" i="5"/>
  <c r="AI133" i="5"/>
  <c r="AI159" i="5"/>
  <c r="AI178" i="5"/>
  <c r="AI181" i="5"/>
  <c r="AI224" i="5"/>
  <c r="AI230" i="5"/>
  <c r="AI253" i="5"/>
  <c r="AJ238" i="5"/>
  <c r="AJ249" i="5"/>
  <c r="D10" i="5"/>
  <c r="D25" i="5"/>
  <c r="D29" i="5"/>
  <c r="D32" i="5"/>
  <c r="D42" i="5"/>
  <c r="D45" i="5"/>
  <c r="D48" i="5"/>
  <c r="D51" i="5"/>
  <c r="D54" i="5"/>
  <c r="D57" i="5"/>
  <c r="D60" i="5"/>
  <c r="D66" i="5"/>
  <c r="D69" i="5"/>
  <c r="D72" i="5"/>
  <c r="D81" i="5"/>
  <c r="V20" i="5"/>
  <c r="V16" i="5" s="1"/>
  <c r="V35" i="5"/>
  <c r="V49" i="5"/>
  <c r="V58" i="5"/>
  <c r="V57" i="5" s="1"/>
  <c r="V69" i="5"/>
  <c r="V65" i="5" s="1"/>
  <c r="V91" i="5"/>
  <c r="V96" i="5"/>
  <c r="V105" i="5"/>
  <c r="V104" i="5" s="1"/>
  <c r="V123" i="5"/>
  <c r="V157" i="5"/>
  <c r="V155" i="5" s="1"/>
  <c r="V172" i="5"/>
  <c r="V187" i="5"/>
  <c r="V197" i="5"/>
  <c r="V205" i="5"/>
  <c r="V222" i="5"/>
  <c r="V227" i="5"/>
  <c r="V235" i="5"/>
  <c r="V234" i="5" s="1"/>
  <c r="E22" i="5"/>
  <c r="E25" i="5"/>
  <c r="E29" i="5"/>
  <c r="E35" i="5"/>
  <c r="E42" i="5"/>
  <c r="E45" i="5"/>
  <c r="E48" i="5"/>
  <c r="E54" i="5"/>
  <c r="E57" i="5"/>
  <c r="E60" i="5"/>
  <c r="E66" i="5"/>
  <c r="E69" i="5"/>
  <c r="E72" i="5"/>
  <c r="E81" i="5"/>
  <c r="W20" i="5"/>
  <c r="W16" i="5" s="1"/>
  <c r="W49" i="5"/>
  <c r="W58" i="5"/>
  <c r="W57" i="5" s="1"/>
  <c r="W69" i="5"/>
  <c r="W65" i="5" s="1"/>
  <c r="W91" i="5"/>
  <c r="W96" i="5"/>
  <c r="W105" i="5"/>
  <c r="W104" i="5" s="1"/>
  <c r="W114" i="5"/>
  <c r="W123" i="5"/>
  <c r="W141" i="5"/>
  <c r="W149" i="5"/>
  <c r="W147" i="5" s="1"/>
  <c r="W157" i="5"/>
  <c r="W155" i="5" s="1"/>
  <c r="W172" i="5"/>
  <c r="W176" i="5"/>
  <c r="W187" i="5"/>
  <c r="W185" i="5" s="1"/>
  <c r="W197" i="5"/>
  <c r="W205" i="5"/>
  <c r="W211" i="5"/>
  <c r="W210" i="5" s="1"/>
  <c r="W209" i="5" s="1"/>
  <c r="W222" i="5"/>
  <c r="W227" i="5"/>
  <c r="C22" i="5"/>
  <c r="C25" i="5"/>
  <c r="C29" i="5"/>
  <c r="C32" i="5"/>
  <c r="C35" i="5"/>
  <c r="C42" i="5"/>
  <c r="C45" i="5"/>
  <c r="C48" i="5"/>
  <c r="C51" i="5"/>
  <c r="C54" i="5"/>
  <c r="C57" i="5"/>
  <c r="C60" i="5"/>
  <c r="C63" i="5"/>
  <c r="C66" i="5"/>
  <c r="C69" i="5"/>
  <c r="C72" i="5"/>
  <c r="C75" i="5"/>
  <c r="C10" i="5"/>
  <c r="U20" i="5"/>
  <c r="U16" i="5" s="1"/>
  <c r="U35" i="5"/>
  <c r="U44" i="5"/>
  <c r="U49" i="5"/>
  <c r="U58" i="5"/>
  <c r="U57" i="5" s="1"/>
  <c r="U69" i="5"/>
  <c r="U65" i="5" s="1"/>
  <c r="U83" i="5"/>
  <c r="U91" i="5"/>
  <c r="U96" i="5"/>
  <c r="U105" i="5"/>
  <c r="U104" i="5" s="1"/>
  <c r="U114" i="5"/>
  <c r="U123" i="5"/>
  <c r="U141" i="5"/>
  <c r="U149" i="5"/>
  <c r="U147" i="5" s="1"/>
  <c r="U157" i="5"/>
  <c r="U155" i="5" s="1"/>
  <c r="U176" i="5"/>
  <c r="U187" i="5"/>
  <c r="U185" i="5" s="1"/>
  <c r="U197" i="5"/>
  <c r="U205" i="5"/>
  <c r="U211" i="5"/>
  <c r="U210" i="5" s="1"/>
  <c r="U209" i="5" s="1"/>
  <c r="U222" i="5"/>
  <c r="U227" i="5"/>
  <c r="U235" i="5"/>
  <c r="U234" i="5" s="1"/>
  <c r="U243" i="5"/>
  <c r="BQ19" i="16"/>
  <c r="Q42" i="20" s="1"/>
  <c r="BQ18" i="16"/>
  <c r="Q41" i="20" s="1"/>
  <c r="BQ19" i="15"/>
  <c r="P42" i="20" s="1"/>
  <c r="BQ18" i="15"/>
  <c r="P41" i="20" s="1"/>
  <c r="BQ19" i="14"/>
  <c r="O42" i="20" s="1"/>
  <c r="BQ18" i="14"/>
  <c r="O41" i="20" s="1"/>
  <c r="BQ19" i="13"/>
  <c r="N42" i="20" s="1"/>
  <c r="BQ18" i="13"/>
  <c r="N41" i="20" s="1"/>
  <c r="BQ19" i="12"/>
  <c r="M42" i="20" s="1"/>
  <c r="BQ18" i="12"/>
  <c r="M41" i="20" s="1"/>
  <c r="BQ19" i="11"/>
  <c r="L42" i="20" s="1"/>
  <c r="BQ18" i="11"/>
  <c r="L41" i="20" s="1"/>
  <c r="BQ19" i="10"/>
  <c r="K42" i="20" s="1"/>
  <c r="BQ18" i="10"/>
  <c r="K41" i="20" s="1"/>
  <c r="BQ19" i="9"/>
  <c r="J42" i="20" s="1"/>
  <c r="BQ18" i="9"/>
  <c r="J41" i="20" s="1"/>
  <c r="BQ19" i="8"/>
  <c r="I42" i="20" s="1"/>
  <c r="BO19" i="8"/>
  <c r="BQ18" i="8"/>
  <c r="I41" i="20" s="1"/>
  <c r="BO18" i="8"/>
  <c r="BQ19" i="7"/>
  <c r="H42" i="20" s="1"/>
  <c r="BQ18" i="7"/>
  <c r="H41" i="20" s="1"/>
  <c r="BO18" i="7"/>
  <c r="BQ20" i="6"/>
  <c r="G43" i="20" s="1"/>
  <c r="BQ19" i="6"/>
  <c r="G42" i="20" s="1"/>
  <c r="BQ18" i="6"/>
  <c r="G41" i="20" s="1"/>
  <c r="BP18" i="6"/>
  <c r="BQ19" i="5"/>
  <c r="F42" i="20" s="1"/>
  <c r="BP19" i="5"/>
  <c r="BO19" i="5"/>
  <c r="B15" i="5"/>
  <c r="B15" i="6" s="1"/>
  <c r="B15" i="7" s="1"/>
  <c r="B15" i="8" s="1"/>
  <c r="B15" i="9" s="1"/>
  <c r="B15" i="10" s="1"/>
  <c r="B15" i="11" s="1"/>
  <c r="B15" i="12" s="1"/>
  <c r="B15" i="13" s="1"/>
  <c r="B15" i="14" s="1"/>
  <c r="B15" i="15" s="1"/>
  <c r="B15" i="16" s="1"/>
  <c r="Z123" i="16"/>
  <c r="Z157" i="16"/>
  <c r="Z155" i="16" s="1"/>
  <c r="AM157" i="16"/>
  <c r="AL157" i="16"/>
  <c r="AF157" i="16"/>
  <c r="AC157" i="16"/>
  <c r="AC155" i="16" s="1"/>
  <c r="AM157" i="15"/>
  <c r="AL157" i="15"/>
  <c r="AL155" i="15" s="1"/>
  <c r="AF157" i="15"/>
  <c r="AC157" i="15"/>
  <c r="Z157" i="15"/>
  <c r="Z155" i="15" s="1"/>
  <c r="T167" i="6"/>
  <c r="T167" i="7" s="1"/>
  <c r="T167" i="8" s="1"/>
  <c r="T167" i="9" s="1"/>
  <c r="T167" i="10" s="1"/>
  <c r="T167" i="11" s="1"/>
  <c r="T167" i="12" s="1"/>
  <c r="T167" i="13" s="1"/>
  <c r="T167" i="14" s="1"/>
  <c r="T167" i="15" s="1"/>
  <c r="T167" i="16" s="1"/>
  <c r="S167" i="6"/>
  <c r="S167" i="7" s="1"/>
  <c r="S167" i="8" s="1"/>
  <c r="S167" i="9" s="1"/>
  <c r="S167" i="10" s="1"/>
  <c r="S167" i="11" s="1"/>
  <c r="S167" i="12" s="1"/>
  <c r="S167" i="13" s="1"/>
  <c r="S167" i="14" s="1"/>
  <c r="S167" i="15" s="1"/>
  <c r="S167" i="16" s="1"/>
  <c r="Z123" i="15"/>
  <c r="Z123" i="14"/>
  <c r="Z157" i="14"/>
  <c r="Z155" i="14" s="1"/>
  <c r="AX12" i="14"/>
  <c r="AM157" i="14"/>
  <c r="AL157" i="14"/>
  <c r="AF157" i="14"/>
  <c r="AF155" i="14" s="1"/>
  <c r="AC157" i="14"/>
  <c r="AM157" i="13"/>
  <c r="AL157" i="13"/>
  <c r="AF157" i="13"/>
  <c r="AF155" i="13" s="1"/>
  <c r="AC157" i="13"/>
  <c r="Z157" i="13"/>
  <c r="Z155" i="13" s="1"/>
  <c r="AM157" i="12"/>
  <c r="AL157" i="12"/>
  <c r="AL155" i="12" s="1"/>
  <c r="AF157" i="12"/>
  <c r="AC157" i="12"/>
  <c r="Z157" i="12"/>
  <c r="Z155" i="12" s="1"/>
  <c r="Z123" i="13"/>
  <c r="AX12" i="13"/>
  <c r="Z123" i="12"/>
  <c r="AX12" i="12"/>
  <c r="AQ12" i="12"/>
  <c r="Z123" i="11"/>
  <c r="Z157" i="11"/>
  <c r="Z155" i="11" s="1"/>
  <c r="AM157" i="11"/>
  <c r="AL157" i="11"/>
  <c r="AF157" i="11"/>
  <c r="AC157" i="11"/>
  <c r="AM157" i="9"/>
  <c r="AL157" i="9"/>
  <c r="AF157" i="9"/>
  <c r="AF155" i="9" s="1"/>
  <c r="AC157" i="9"/>
  <c r="Z157" i="9"/>
  <c r="Z155" i="9" s="1"/>
  <c r="AM157" i="10"/>
  <c r="AL157" i="10"/>
  <c r="AF157" i="10"/>
  <c r="AF155" i="10" s="1"/>
  <c r="AC157" i="10"/>
  <c r="AC155" i="10" s="1"/>
  <c r="Z157" i="10"/>
  <c r="Z155" i="10" s="1"/>
  <c r="Z123" i="10"/>
  <c r="Z123" i="9"/>
  <c r="Z123" i="8"/>
  <c r="Z157" i="8"/>
  <c r="Z155" i="8" s="1"/>
  <c r="AX12" i="8"/>
  <c r="AQ12" i="8"/>
  <c r="AM157" i="8"/>
  <c r="AL157" i="8"/>
  <c r="AF157" i="8"/>
  <c r="AF155" i="8" s="1"/>
  <c r="AC157" i="8"/>
  <c r="AL157" i="7"/>
  <c r="AM157" i="7"/>
  <c r="AX12" i="6"/>
  <c r="AQ12" i="6"/>
  <c r="AX13" i="6"/>
  <c r="AL157" i="6"/>
  <c r="AM157" i="6"/>
  <c r="AM155" i="6" s="1"/>
  <c r="AM157" i="5"/>
  <c r="AL157" i="5"/>
  <c r="AL155" i="5" s="1"/>
  <c r="Y157" i="5"/>
  <c r="Y155" i="5" s="1"/>
  <c r="AB157" i="5"/>
  <c r="AE157" i="5"/>
  <c r="BQ11" i="5"/>
  <c r="F34" i="20" s="1"/>
  <c r="BQ11" i="6"/>
  <c r="G34" i="20" s="1"/>
  <c r="BQ11" i="7"/>
  <c r="H34" i="20" s="1"/>
  <c r="BQ11" i="8"/>
  <c r="I34" i="20" s="1"/>
  <c r="BQ11" i="9"/>
  <c r="J34" i="20" s="1"/>
  <c r="BQ11" i="10"/>
  <c r="K34" i="20" s="1"/>
  <c r="BQ11" i="11"/>
  <c r="L34" i="20" s="1"/>
  <c r="BQ11" i="12"/>
  <c r="M34" i="20" s="1"/>
  <c r="BQ11" i="13"/>
  <c r="N34" i="20" s="1"/>
  <c r="BQ11" i="14"/>
  <c r="O34" i="20" s="1"/>
  <c r="BQ11" i="15"/>
  <c r="P34" i="20" s="1"/>
  <c r="BQ11" i="16"/>
  <c r="BQ10" i="5"/>
  <c r="F33" i="20" s="1"/>
  <c r="BQ10" i="6"/>
  <c r="G33" i="20" s="1"/>
  <c r="BQ10" i="7"/>
  <c r="H33" i="20" s="1"/>
  <c r="AF20" i="8"/>
  <c r="AF16" i="8" s="1"/>
  <c r="AF69" i="8"/>
  <c r="AF65" i="8" s="1"/>
  <c r="BQ10" i="8"/>
  <c r="I33" i="20" s="1"/>
  <c r="AF20" i="9"/>
  <c r="AF16" i="9" s="1"/>
  <c r="BQ10" i="9"/>
  <c r="J33" i="20" s="1"/>
  <c r="AF69" i="9"/>
  <c r="AF65" i="9" s="1"/>
  <c r="AF20" i="10"/>
  <c r="AF16" i="10" s="1"/>
  <c r="BQ10" i="10"/>
  <c r="K33" i="20" s="1"/>
  <c r="AF69" i="10"/>
  <c r="AF65" i="10" s="1"/>
  <c r="AF20" i="11"/>
  <c r="AF16" i="11" s="1"/>
  <c r="BQ10" i="11"/>
  <c r="L33" i="20" s="1"/>
  <c r="AF69" i="11"/>
  <c r="AF65" i="11" s="1"/>
  <c r="AF20" i="12"/>
  <c r="AF16" i="12" s="1"/>
  <c r="BQ10" i="12"/>
  <c r="M33" i="20" s="1"/>
  <c r="AF69" i="12"/>
  <c r="AF65" i="12" s="1"/>
  <c r="AF20" i="13"/>
  <c r="AF16" i="13" s="1"/>
  <c r="BQ10" i="13"/>
  <c r="AF69" i="13"/>
  <c r="AF65" i="13" s="1"/>
  <c r="AF20" i="14"/>
  <c r="AF16" i="14" s="1"/>
  <c r="BQ10" i="14"/>
  <c r="O33" i="20" s="1"/>
  <c r="AF69" i="14"/>
  <c r="AF65" i="14" s="1"/>
  <c r="AF20" i="15"/>
  <c r="AF16" i="15" s="1"/>
  <c r="BQ10" i="15"/>
  <c r="P33" i="20" s="1"/>
  <c r="AF69" i="15"/>
  <c r="AF65" i="15" s="1"/>
  <c r="AF20" i="16"/>
  <c r="AF16" i="16" s="1"/>
  <c r="BQ10" i="16"/>
  <c r="Q33" i="20" s="1"/>
  <c r="AF69" i="16"/>
  <c r="AF65" i="16" s="1"/>
  <c r="AF44" i="8"/>
  <c r="AF49" i="8"/>
  <c r="AF58" i="8"/>
  <c r="AF57" i="8" s="1"/>
  <c r="AF91" i="8"/>
  <c r="AF96" i="8"/>
  <c r="AF105" i="8"/>
  <c r="AF104" i="8" s="1"/>
  <c r="AF44" i="9"/>
  <c r="AF49" i="9"/>
  <c r="AF58" i="9"/>
  <c r="AF57" i="9" s="1"/>
  <c r="AF91" i="9"/>
  <c r="AF96" i="9"/>
  <c r="AF105" i="9"/>
  <c r="AF104" i="9" s="1"/>
  <c r="AF44" i="10"/>
  <c r="AF49" i="10"/>
  <c r="AF58" i="10"/>
  <c r="AF57" i="10" s="1"/>
  <c r="AF91" i="10"/>
  <c r="AF96" i="10"/>
  <c r="AF105" i="10"/>
  <c r="AF104" i="10" s="1"/>
  <c r="AF44" i="11"/>
  <c r="AF49" i="11"/>
  <c r="AF58" i="11"/>
  <c r="AF57" i="11" s="1"/>
  <c r="AF91" i="11"/>
  <c r="AF96" i="11"/>
  <c r="AF105" i="11"/>
  <c r="AF104" i="11" s="1"/>
  <c r="AF44" i="12"/>
  <c r="AF49" i="12"/>
  <c r="AF58" i="12"/>
  <c r="AF57" i="12" s="1"/>
  <c r="AF91" i="12"/>
  <c r="AF96" i="12"/>
  <c r="AF105" i="12"/>
  <c r="AF104" i="12" s="1"/>
  <c r="AF44" i="13"/>
  <c r="AF49" i="13"/>
  <c r="AF58" i="13"/>
  <c r="AF57" i="13" s="1"/>
  <c r="AF91" i="13"/>
  <c r="AF96" i="13"/>
  <c r="AF105" i="13"/>
  <c r="AF104" i="13" s="1"/>
  <c r="AF44" i="14"/>
  <c r="AF49" i="14"/>
  <c r="AF58" i="14"/>
  <c r="AF57" i="14" s="1"/>
  <c r="AF91" i="14"/>
  <c r="AF96" i="14"/>
  <c r="AF105" i="14"/>
  <c r="AF104" i="14" s="1"/>
  <c r="AF44" i="15"/>
  <c r="AF49" i="15"/>
  <c r="AF58" i="15"/>
  <c r="AF57" i="15" s="1"/>
  <c r="AF91" i="15"/>
  <c r="AF96" i="15"/>
  <c r="AF105" i="15"/>
  <c r="AF104" i="15" s="1"/>
  <c r="AF44" i="16"/>
  <c r="AF49" i="16"/>
  <c r="AF58" i="16"/>
  <c r="AF57" i="16" s="1"/>
  <c r="AF91" i="16"/>
  <c r="AF96" i="16"/>
  <c r="AF105" i="16"/>
  <c r="AF104" i="16" s="1"/>
  <c r="Q22" i="16"/>
  <c r="Q25" i="16"/>
  <c r="Q29" i="16"/>
  <c r="Q32" i="16"/>
  <c r="Q35" i="16"/>
  <c r="Q42" i="16"/>
  <c r="Q45" i="16"/>
  <c r="Q48" i="16"/>
  <c r="Q51" i="16"/>
  <c r="Q54" i="16"/>
  <c r="Q57" i="16"/>
  <c r="Q60" i="16"/>
  <c r="Q63" i="16"/>
  <c r="Q66" i="16"/>
  <c r="Q69" i="16"/>
  <c r="Q72" i="16"/>
  <c r="Q75" i="16"/>
  <c r="Q78" i="16"/>
  <c r="Q81" i="16"/>
  <c r="P22" i="16"/>
  <c r="P25" i="16"/>
  <c r="P29" i="16"/>
  <c r="P32" i="16"/>
  <c r="P35" i="16"/>
  <c r="P42" i="16"/>
  <c r="P45" i="16"/>
  <c r="P48" i="16"/>
  <c r="P51" i="16"/>
  <c r="P54" i="16"/>
  <c r="P57" i="16"/>
  <c r="P60" i="16"/>
  <c r="P63" i="16"/>
  <c r="P66" i="16"/>
  <c r="P69" i="16"/>
  <c r="P72" i="16"/>
  <c r="P75" i="16"/>
  <c r="P78" i="16"/>
  <c r="P81" i="16"/>
  <c r="K78" i="16"/>
  <c r="K22" i="16"/>
  <c r="K25" i="16"/>
  <c r="K29" i="16"/>
  <c r="K32" i="16"/>
  <c r="K35" i="16"/>
  <c r="K42" i="16"/>
  <c r="K45" i="16"/>
  <c r="K48" i="16"/>
  <c r="K51" i="16"/>
  <c r="K54" i="16"/>
  <c r="K57" i="16"/>
  <c r="K60" i="16"/>
  <c r="K63" i="16"/>
  <c r="K66" i="16"/>
  <c r="K69" i="16"/>
  <c r="K72" i="16"/>
  <c r="K75" i="16"/>
  <c r="K81" i="16"/>
  <c r="H22" i="16"/>
  <c r="H25" i="16"/>
  <c r="H29" i="16"/>
  <c r="H32" i="16"/>
  <c r="H35" i="16"/>
  <c r="H42" i="16"/>
  <c r="H45" i="16"/>
  <c r="H48" i="16"/>
  <c r="H51" i="16"/>
  <c r="H54" i="16"/>
  <c r="H57" i="16"/>
  <c r="H60" i="16"/>
  <c r="H63" i="16"/>
  <c r="H66" i="16"/>
  <c r="H69" i="16"/>
  <c r="H72" i="16"/>
  <c r="H75" i="16"/>
  <c r="H81" i="16"/>
  <c r="Q22" i="15"/>
  <c r="Q25" i="15"/>
  <c r="Q29" i="15"/>
  <c r="Q32" i="15"/>
  <c r="Q35" i="15"/>
  <c r="Q42" i="15"/>
  <c r="Q45" i="15"/>
  <c r="Q48" i="15"/>
  <c r="Q51" i="15"/>
  <c r="Q54" i="15"/>
  <c r="Q57" i="15"/>
  <c r="Q60" i="15"/>
  <c r="Q63" i="15"/>
  <c r="Q66" i="15"/>
  <c r="Q69" i="15"/>
  <c r="Q72" i="15"/>
  <c r="Q75" i="15"/>
  <c r="Q78" i="15"/>
  <c r="Q81" i="15"/>
  <c r="P22" i="15"/>
  <c r="P25" i="15"/>
  <c r="P29" i="15"/>
  <c r="P32" i="15"/>
  <c r="P35" i="15"/>
  <c r="P42" i="15"/>
  <c r="P45" i="15"/>
  <c r="P48" i="15"/>
  <c r="P51" i="15"/>
  <c r="P54" i="15"/>
  <c r="P57" i="15"/>
  <c r="P60" i="15"/>
  <c r="P63" i="15"/>
  <c r="P66" i="15"/>
  <c r="P69" i="15"/>
  <c r="P72" i="15"/>
  <c r="P75" i="15"/>
  <c r="P78" i="15"/>
  <c r="P81" i="15"/>
  <c r="K78" i="15"/>
  <c r="K22" i="15"/>
  <c r="K25" i="15"/>
  <c r="K29" i="15"/>
  <c r="K32" i="15"/>
  <c r="K35" i="15"/>
  <c r="K42" i="15"/>
  <c r="K45" i="15"/>
  <c r="K48" i="15"/>
  <c r="K51" i="15"/>
  <c r="K54" i="15"/>
  <c r="K57" i="15"/>
  <c r="K60" i="15"/>
  <c r="K63" i="15"/>
  <c r="K66" i="15"/>
  <c r="K69" i="15"/>
  <c r="K72" i="15"/>
  <c r="K75" i="15"/>
  <c r="K81" i="15"/>
  <c r="H22" i="15"/>
  <c r="H25" i="15"/>
  <c r="H29" i="15"/>
  <c r="H32" i="15"/>
  <c r="H35" i="15"/>
  <c r="H42" i="15"/>
  <c r="H45" i="15"/>
  <c r="H48" i="15"/>
  <c r="H51" i="15"/>
  <c r="H54" i="15"/>
  <c r="H57" i="15"/>
  <c r="H60" i="15"/>
  <c r="H63" i="15"/>
  <c r="H66" i="15"/>
  <c r="H69" i="15"/>
  <c r="H72" i="15"/>
  <c r="H75" i="15"/>
  <c r="H81" i="15"/>
  <c r="Q22" i="14"/>
  <c r="Q25" i="14"/>
  <c r="Q29" i="14"/>
  <c r="Q32" i="14"/>
  <c r="Q35" i="14"/>
  <c r="Q42" i="14"/>
  <c r="Q45" i="14"/>
  <c r="Q48" i="14"/>
  <c r="Q51" i="14"/>
  <c r="Q54" i="14"/>
  <c r="Q57" i="14"/>
  <c r="Q60" i="14"/>
  <c r="Q63" i="14"/>
  <c r="Q66" i="14"/>
  <c r="Q69" i="14"/>
  <c r="Q72" i="14"/>
  <c r="Q75" i="14"/>
  <c r="Q78" i="14"/>
  <c r="Q81" i="14"/>
  <c r="P22" i="14"/>
  <c r="P25" i="14"/>
  <c r="P29" i="14"/>
  <c r="P32" i="14"/>
  <c r="P35" i="14"/>
  <c r="P42" i="14"/>
  <c r="P45" i="14"/>
  <c r="P48" i="14"/>
  <c r="P51" i="14"/>
  <c r="P54" i="14"/>
  <c r="P57" i="14"/>
  <c r="P60" i="14"/>
  <c r="P63" i="14"/>
  <c r="P66" i="14"/>
  <c r="P69" i="14"/>
  <c r="P72" i="14"/>
  <c r="P75" i="14"/>
  <c r="P78" i="14"/>
  <c r="P81" i="14"/>
  <c r="K78" i="14"/>
  <c r="K22" i="14"/>
  <c r="K25" i="14"/>
  <c r="K29" i="14"/>
  <c r="K32" i="14"/>
  <c r="K35" i="14"/>
  <c r="K42" i="14"/>
  <c r="K45" i="14"/>
  <c r="K48" i="14"/>
  <c r="K51" i="14"/>
  <c r="K54" i="14"/>
  <c r="K57" i="14"/>
  <c r="K60" i="14"/>
  <c r="K63" i="14"/>
  <c r="K66" i="14"/>
  <c r="K69" i="14"/>
  <c r="K72" i="14"/>
  <c r="K75" i="14"/>
  <c r="K81" i="14"/>
  <c r="H22" i="14"/>
  <c r="H25" i="14"/>
  <c r="H29" i="14"/>
  <c r="H32" i="14"/>
  <c r="H35" i="14"/>
  <c r="H42" i="14"/>
  <c r="H45" i="14"/>
  <c r="H48" i="14"/>
  <c r="H51" i="14"/>
  <c r="H54" i="14"/>
  <c r="H57" i="14"/>
  <c r="H60" i="14"/>
  <c r="H63" i="14"/>
  <c r="H66" i="14"/>
  <c r="H69" i="14"/>
  <c r="H72" i="14"/>
  <c r="H75" i="14"/>
  <c r="H81" i="14"/>
  <c r="Q22" i="13"/>
  <c r="Q25" i="13"/>
  <c r="Q29" i="13"/>
  <c r="Q32" i="13"/>
  <c r="Q35" i="13"/>
  <c r="Q42" i="13"/>
  <c r="Q45" i="13"/>
  <c r="Q48" i="13"/>
  <c r="Q51" i="13"/>
  <c r="Q54" i="13"/>
  <c r="Q57" i="13"/>
  <c r="Q60" i="13"/>
  <c r="Q63" i="13"/>
  <c r="Q66" i="13"/>
  <c r="Q69" i="13"/>
  <c r="Q72" i="13"/>
  <c r="Q75" i="13"/>
  <c r="Q78" i="13"/>
  <c r="Q81" i="13"/>
  <c r="P22" i="13"/>
  <c r="P25" i="13"/>
  <c r="P29" i="13"/>
  <c r="P32" i="13"/>
  <c r="P35" i="13"/>
  <c r="P42" i="13"/>
  <c r="P45" i="13"/>
  <c r="P48" i="13"/>
  <c r="P51" i="13"/>
  <c r="P54" i="13"/>
  <c r="P57" i="13"/>
  <c r="P60" i="13"/>
  <c r="P63" i="13"/>
  <c r="P66" i="13"/>
  <c r="P69" i="13"/>
  <c r="P72" i="13"/>
  <c r="P75" i="13"/>
  <c r="P78" i="13"/>
  <c r="P81" i="13"/>
  <c r="K78" i="13"/>
  <c r="K22" i="13"/>
  <c r="K25" i="13"/>
  <c r="K29" i="13"/>
  <c r="K32" i="13"/>
  <c r="K35" i="13"/>
  <c r="K42" i="13"/>
  <c r="K45" i="13"/>
  <c r="K48" i="13"/>
  <c r="K51" i="13"/>
  <c r="K54" i="13"/>
  <c r="K57" i="13"/>
  <c r="K60" i="13"/>
  <c r="K63" i="13"/>
  <c r="K66" i="13"/>
  <c r="K69" i="13"/>
  <c r="K72" i="13"/>
  <c r="K75" i="13"/>
  <c r="K81" i="13"/>
  <c r="N22" i="20"/>
  <c r="H22" i="13"/>
  <c r="H25" i="13"/>
  <c r="H29" i="13"/>
  <c r="H32" i="13"/>
  <c r="H35" i="13"/>
  <c r="H42" i="13"/>
  <c r="H45" i="13"/>
  <c r="H48" i="13"/>
  <c r="H51" i="13"/>
  <c r="H54" i="13"/>
  <c r="H57" i="13"/>
  <c r="H60" i="13"/>
  <c r="H63" i="13"/>
  <c r="H66" i="13"/>
  <c r="H69" i="13"/>
  <c r="H72" i="13"/>
  <c r="H75" i="13"/>
  <c r="H81" i="13"/>
  <c r="Q22" i="12"/>
  <c r="Q25" i="12"/>
  <c r="Q29" i="12"/>
  <c r="Q32" i="12"/>
  <c r="Q35" i="12"/>
  <c r="Q42" i="12"/>
  <c r="Q45" i="12"/>
  <c r="Q48" i="12"/>
  <c r="Q51" i="12"/>
  <c r="Q54" i="12"/>
  <c r="Q57" i="12"/>
  <c r="Q60" i="12"/>
  <c r="Q63" i="12"/>
  <c r="Q66" i="12"/>
  <c r="Q69" i="12"/>
  <c r="Q72" i="12"/>
  <c r="Q75" i="12"/>
  <c r="Q78" i="12"/>
  <c r="Q81" i="12"/>
  <c r="P22" i="12"/>
  <c r="P25" i="12"/>
  <c r="P29" i="12"/>
  <c r="P32" i="12"/>
  <c r="P35" i="12"/>
  <c r="P42" i="12"/>
  <c r="P45" i="12"/>
  <c r="P48" i="12"/>
  <c r="P51" i="12"/>
  <c r="P54" i="12"/>
  <c r="P57" i="12"/>
  <c r="P60" i="12"/>
  <c r="P63" i="12"/>
  <c r="P66" i="12"/>
  <c r="P69" i="12"/>
  <c r="P72" i="12"/>
  <c r="P75" i="12"/>
  <c r="P78" i="12"/>
  <c r="P81" i="12"/>
  <c r="K78" i="12"/>
  <c r="K22" i="12"/>
  <c r="K25" i="12"/>
  <c r="K29" i="12"/>
  <c r="K32" i="12"/>
  <c r="K35" i="12"/>
  <c r="K42" i="12"/>
  <c r="K45" i="12"/>
  <c r="K48" i="12"/>
  <c r="K51" i="12"/>
  <c r="K54" i="12"/>
  <c r="K57" i="12"/>
  <c r="K60" i="12"/>
  <c r="K63" i="12"/>
  <c r="K66" i="12"/>
  <c r="K69" i="12"/>
  <c r="K72" i="12"/>
  <c r="K75" i="12"/>
  <c r="K81" i="12"/>
  <c r="H22" i="12"/>
  <c r="H25" i="12"/>
  <c r="H29" i="12"/>
  <c r="H32" i="12"/>
  <c r="H35" i="12"/>
  <c r="H42" i="12"/>
  <c r="H45" i="12"/>
  <c r="H48" i="12"/>
  <c r="H51" i="12"/>
  <c r="H54" i="12"/>
  <c r="H57" i="12"/>
  <c r="H60" i="12"/>
  <c r="H63" i="12"/>
  <c r="H66" i="12"/>
  <c r="H69" i="12"/>
  <c r="H72" i="12"/>
  <c r="H75" i="12"/>
  <c r="H81" i="12"/>
  <c r="Q22" i="11"/>
  <c r="Q25" i="11"/>
  <c r="Q29" i="11"/>
  <c r="Q32" i="11"/>
  <c r="Q35" i="11"/>
  <c r="Q42" i="11"/>
  <c r="Q45" i="11"/>
  <c r="Q48" i="11"/>
  <c r="Q51" i="11"/>
  <c r="Q54" i="11"/>
  <c r="Q57" i="11"/>
  <c r="Q60" i="11"/>
  <c r="Q63" i="11"/>
  <c r="Q66" i="11"/>
  <c r="Q69" i="11"/>
  <c r="Q72" i="11"/>
  <c r="Q75" i="11"/>
  <c r="Q78" i="11"/>
  <c r="Q81" i="11"/>
  <c r="P22" i="11"/>
  <c r="P25" i="11"/>
  <c r="P29" i="11"/>
  <c r="P32" i="11"/>
  <c r="P35" i="11"/>
  <c r="P42" i="11"/>
  <c r="P45" i="11"/>
  <c r="P48" i="11"/>
  <c r="P51" i="11"/>
  <c r="P54" i="11"/>
  <c r="P57" i="11"/>
  <c r="P60" i="11"/>
  <c r="P63" i="11"/>
  <c r="P66" i="11"/>
  <c r="P69" i="11"/>
  <c r="P72" i="11"/>
  <c r="P75" i="11"/>
  <c r="P78" i="11"/>
  <c r="P81" i="11"/>
  <c r="K78" i="11"/>
  <c r="K22" i="11"/>
  <c r="K25" i="11"/>
  <c r="K29" i="11"/>
  <c r="K32" i="11"/>
  <c r="K35" i="11"/>
  <c r="K42" i="11"/>
  <c r="K45" i="11"/>
  <c r="K48" i="11"/>
  <c r="K51" i="11"/>
  <c r="K54" i="11"/>
  <c r="K57" i="11"/>
  <c r="K60" i="11"/>
  <c r="K63" i="11"/>
  <c r="K66" i="11"/>
  <c r="K69" i="11"/>
  <c r="K72" i="11"/>
  <c r="K75" i="11"/>
  <c r="K81" i="11"/>
  <c r="H22" i="11"/>
  <c r="H25" i="11"/>
  <c r="H29" i="11"/>
  <c r="H32" i="11"/>
  <c r="H35" i="11"/>
  <c r="H42" i="11"/>
  <c r="H45" i="11"/>
  <c r="H48" i="11"/>
  <c r="H51" i="11"/>
  <c r="H54" i="11"/>
  <c r="H57" i="11"/>
  <c r="H60" i="11"/>
  <c r="H63" i="11"/>
  <c r="H66" i="11"/>
  <c r="H69" i="11"/>
  <c r="H72" i="11"/>
  <c r="H75" i="11"/>
  <c r="H81" i="11"/>
  <c r="Q22" i="10"/>
  <c r="Q25" i="10"/>
  <c r="Q29" i="10"/>
  <c r="Q32" i="10"/>
  <c r="Q35" i="10"/>
  <c r="Q42" i="10"/>
  <c r="Q45" i="10"/>
  <c r="Q48" i="10"/>
  <c r="Q51" i="10"/>
  <c r="Q54" i="10"/>
  <c r="Q57" i="10"/>
  <c r="Q60" i="10"/>
  <c r="Q63" i="10"/>
  <c r="Q66" i="10"/>
  <c r="Q69" i="10"/>
  <c r="Q72" i="10"/>
  <c r="Q75" i="10"/>
  <c r="Q78" i="10"/>
  <c r="Q81" i="10"/>
  <c r="P22" i="10"/>
  <c r="P25" i="10"/>
  <c r="P29" i="10"/>
  <c r="P32" i="10"/>
  <c r="P35" i="10"/>
  <c r="P42" i="10"/>
  <c r="P45" i="10"/>
  <c r="P48" i="10"/>
  <c r="P51" i="10"/>
  <c r="P54" i="10"/>
  <c r="P57" i="10"/>
  <c r="P60" i="10"/>
  <c r="P63" i="10"/>
  <c r="P66" i="10"/>
  <c r="P69" i="10"/>
  <c r="P72" i="10"/>
  <c r="P75" i="10"/>
  <c r="P78" i="10"/>
  <c r="P81" i="10"/>
  <c r="K78" i="10"/>
  <c r="K22" i="10"/>
  <c r="K25" i="10"/>
  <c r="K29" i="10"/>
  <c r="K32" i="10"/>
  <c r="K35" i="10"/>
  <c r="K42" i="10"/>
  <c r="K45" i="10"/>
  <c r="K48" i="10"/>
  <c r="K51" i="10"/>
  <c r="K54" i="10"/>
  <c r="K57" i="10"/>
  <c r="K60" i="10"/>
  <c r="K63" i="10"/>
  <c r="K66" i="10"/>
  <c r="K69" i="10"/>
  <c r="K72" i="10"/>
  <c r="K75" i="10"/>
  <c r="K81" i="10"/>
  <c r="H22" i="10"/>
  <c r="H25" i="10"/>
  <c r="H29" i="10"/>
  <c r="H32" i="10"/>
  <c r="H35" i="10"/>
  <c r="H42" i="10"/>
  <c r="H45" i="10"/>
  <c r="H48" i="10"/>
  <c r="H51" i="10"/>
  <c r="H54" i="10"/>
  <c r="H57" i="10"/>
  <c r="H60" i="10"/>
  <c r="H63" i="10"/>
  <c r="H66" i="10"/>
  <c r="H69" i="10"/>
  <c r="H72" i="10"/>
  <c r="H75" i="10"/>
  <c r="H81" i="10"/>
  <c r="Q22" i="9"/>
  <c r="Q25" i="9"/>
  <c r="Q29" i="9"/>
  <c r="Q32" i="9"/>
  <c r="Q35" i="9"/>
  <c r="Q42" i="9"/>
  <c r="Q45" i="9"/>
  <c r="Q48" i="9"/>
  <c r="Q51" i="9"/>
  <c r="Q54" i="9"/>
  <c r="Q57" i="9"/>
  <c r="Q60" i="9"/>
  <c r="Q63" i="9"/>
  <c r="Q66" i="9"/>
  <c r="Q69" i="9"/>
  <c r="Q72" i="9"/>
  <c r="Q75" i="9"/>
  <c r="Q78" i="9"/>
  <c r="Q81" i="9"/>
  <c r="P22" i="9"/>
  <c r="P25" i="9"/>
  <c r="P29" i="9"/>
  <c r="P32" i="9"/>
  <c r="P35" i="9"/>
  <c r="P42" i="9"/>
  <c r="P45" i="9"/>
  <c r="P48" i="9"/>
  <c r="P51" i="9"/>
  <c r="P54" i="9"/>
  <c r="P57" i="9"/>
  <c r="P60" i="9"/>
  <c r="P63" i="9"/>
  <c r="P66" i="9"/>
  <c r="P69" i="9"/>
  <c r="P72" i="9"/>
  <c r="P75" i="9"/>
  <c r="P78" i="9"/>
  <c r="P81" i="9"/>
  <c r="K78" i="9"/>
  <c r="K22" i="9"/>
  <c r="K25" i="9"/>
  <c r="K29" i="9"/>
  <c r="K32" i="9"/>
  <c r="K35" i="9"/>
  <c r="K42" i="9"/>
  <c r="K45" i="9"/>
  <c r="K48" i="9"/>
  <c r="K51" i="9"/>
  <c r="K54" i="9"/>
  <c r="K57" i="9"/>
  <c r="K60" i="9"/>
  <c r="K63" i="9"/>
  <c r="K66" i="9"/>
  <c r="K69" i="9"/>
  <c r="K72" i="9"/>
  <c r="K75" i="9"/>
  <c r="K81" i="9"/>
  <c r="H22" i="9"/>
  <c r="H25" i="9"/>
  <c r="H29" i="9"/>
  <c r="H32" i="9"/>
  <c r="H35" i="9"/>
  <c r="H42" i="9"/>
  <c r="H45" i="9"/>
  <c r="H48" i="9"/>
  <c r="H51" i="9"/>
  <c r="H54" i="9"/>
  <c r="H57" i="9"/>
  <c r="H60" i="9"/>
  <c r="H63" i="9"/>
  <c r="H66" i="9"/>
  <c r="H69" i="9"/>
  <c r="H72" i="9"/>
  <c r="H75" i="9"/>
  <c r="H81" i="9"/>
  <c r="Q22" i="8"/>
  <c r="Q25" i="8"/>
  <c r="Q29" i="8"/>
  <c r="Q32" i="8"/>
  <c r="Q35" i="8"/>
  <c r="Q42" i="8"/>
  <c r="Q45" i="8"/>
  <c r="Q48" i="8"/>
  <c r="Q51" i="8"/>
  <c r="Q54" i="8"/>
  <c r="Q57" i="8"/>
  <c r="Q60" i="8"/>
  <c r="Q63" i="8"/>
  <c r="Q66" i="8"/>
  <c r="Q69" i="8"/>
  <c r="Q72" i="8"/>
  <c r="Q75" i="8"/>
  <c r="Q78" i="8"/>
  <c r="Q81" i="8"/>
  <c r="P22" i="8"/>
  <c r="P25" i="8"/>
  <c r="P29" i="8"/>
  <c r="P32" i="8"/>
  <c r="P35" i="8"/>
  <c r="P42" i="8"/>
  <c r="P45" i="8"/>
  <c r="P48" i="8"/>
  <c r="P51" i="8"/>
  <c r="P54" i="8"/>
  <c r="P57" i="8"/>
  <c r="P60" i="8"/>
  <c r="P63" i="8"/>
  <c r="P66" i="8"/>
  <c r="P69" i="8"/>
  <c r="P72" i="8"/>
  <c r="P75" i="8"/>
  <c r="P78" i="8"/>
  <c r="P81" i="8"/>
  <c r="K78" i="8"/>
  <c r="K22" i="8"/>
  <c r="K25" i="8"/>
  <c r="K29" i="8"/>
  <c r="K32" i="8"/>
  <c r="K35" i="8"/>
  <c r="K42" i="8"/>
  <c r="K45" i="8"/>
  <c r="K48" i="8"/>
  <c r="K51" i="8"/>
  <c r="K54" i="8"/>
  <c r="K57" i="8"/>
  <c r="K60" i="8"/>
  <c r="K63" i="8"/>
  <c r="K66" i="8"/>
  <c r="K69" i="8"/>
  <c r="K72" i="8"/>
  <c r="K75" i="8"/>
  <c r="K81" i="8"/>
  <c r="H22" i="8"/>
  <c r="Q10" i="16"/>
  <c r="P10" i="16"/>
  <c r="K10" i="16"/>
  <c r="BE7" i="16" s="1"/>
  <c r="H10" i="16"/>
  <c r="Q10" i="15"/>
  <c r="P10" i="15"/>
  <c r="K10" i="15"/>
  <c r="H10" i="15"/>
  <c r="Q10" i="14"/>
  <c r="P10" i="14"/>
  <c r="K10" i="14"/>
  <c r="BE7" i="14" s="1"/>
  <c r="H10" i="14"/>
  <c r="Q10" i="13"/>
  <c r="P10" i="13"/>
  <c r="K10" i="13"/>
  <c r="BE7" i="13" s="1"/>
  <c r="H10" i="13"/>
  <c r="Q10" i="12"/>
  <c r="P10" i="12"/>
  <c r="K10" i="12"/>
  <c r="BE7" i="12" s="1"/>
  <c r="H10" i="12"/>
  <c r="Q10" i="11"/>
  <c r="P10" i="11"/>
  <c r="K10" i="11"/>
  <c r="H10" i="11"/>
  <c r="Q10" i="10"/>
  <c r="P10" i="10"/>
  <c r="K10" i="10"/>
  <c r="BE7" i="10" s="1"/>
  <c r="H10" i="10"/>
  <c r="Q10" i="9"/>
  <c r="P10" i="9"/>
  <c r="K10" i="9"/>
  <c r="BE7" i="9" s="1"/>
  <c r="H10" i="9"/>
  <c r="Q10" i="8"/>
  <c r="P10" i="8"/>
  <c r="K10" i="8"/>
  <c r="BE7" i="8" s="1"/>
  <c r="H10" i="8"/>
  <c r="A8" i="6"/>
  <c r="B8" i="6"/>
  <c r="B8" i="7" s="1"/>
  <c r="B8" i="8" s="1"/>
  <c r="B8" i="9" s="1"/>
  <c r="B8" i="10" s="1"/>
  <c r="B8" i="11" s="1"/>
  <c r="B8" i="12" s="1"/>
  <c r="B8" i="13" s="1"/>
  <c r="B8" i="14" s="1"/>
  <c r="B8" i="15" s="1"/>
  <c r="B8" i="16" s="1"/>
  <c r="A17" i="6"/>
  <c r="A17" i="7" s="1"/>
  <c r="A17" i="8" s="1"/>
  <c r="A17" i="9" s="1"/>
  <c r="A17" i="10" s="1"/>
  <c r="A17" i="11" s="1"/>
  <c r="A17" i="12" s="1"/>
  <c r="A17" i="13" s="1"/>
  <c r="A17" i="14" s="1"/>
  <c r="A17" i="15" s="1"/>
  <c r="A17" i="16" s="1"/>
  <c r="B17" i="6"/>
  <c r="B17" i="7" s="1"/>
  <c r="B17" i="8" s="1"/>
  <c r="B17" i="9" s="1"/>
  <c r="B17" i="10" s="1"/>
  <c r="B17" i="11" s="1"/>
  <c r="B17" i="12" s="1"/>
  <c r="B17" i="13" s="1"/>
  <c r="B17" i="14" s="1"/>
  <c r="B17" i="15" s="1"/>
  <c r="B17" i="16" s="1"/>
  <c r="A8" i="7"/>
  <c r="A8" i="8" s="1"/>
  <c r="A8" i="9" s="1"/>
  <c r="A8" i="10" s="1"/>
  <c r="A8" i="11" s="1"/>
  <c r="A8" i="12" s="1"/>
  <c r="A8" i="13" s="1"/>
  <c r="A8" i="14" s="1"/>
  <c r="A8" i="15" s="1"/>
  <c r="A8" i="16" s="1"/>
  <c r="AM187" i="8"/>
  <c r="AL187" i="8"/>
  <c r="AL185" i="8" s="1"/>
  <c r="J81" i="5"/>
  <c r="G81" i="5"/>
  <c r="AM243" i="7"/>
  <c r="AM243" i="9"/>
  <c r="AM243" i="11"/>
  <c r="AM243" i="13"/>
  <c r="AM243" i="15"/>
  <c r="AM235" i="6"/>
  <c r="AM234" i="6" s="1"/>
  <c r="AM235" i="7"/>
  <c r="AM234" i="7" s="1"/>
  <c r="AM235" i="8"/>
  <c r="AM234" i="8" s="1"/>
  <c r="AM235" i="9"/>
  <c r="AM234" i="9" s="1"/>
  <c r="AM235" i="10"/>
  <c r="AM234" i="10" s="1"/>
  <c r="AM235" i="11"/>
  <c r="AM234" i="11" s="1"/>
  <c r="AM232" i="11" s="1"/>
  <c r="AM235" i="12"/>
  <c r="AM234" i="12" s="1"/>
  <c r="AM235" i="13"/>
  <c r="AM234" i="13" s="1"/>
  <c r="AM235" i="14"/>
  <c r="AM234" i="14" s="1"/>
  <c r="AM235" i="15"/>
  <c r="AM234" i="15" s="1"/>
  <c r="AM235" i="16"/>
  <c r="AM234" i="16" s="1"/>
  <c r="AM227" i="7"/>
  <c r="AM227" i="9"/>
  <c r="AM227" i="11"/>
  <c r="AM227" i="13"/>
  <c r="AM227" i="15"/>
  <c r="AM222" i="7"/>
  <c r="AM222" i="9"/>
  <c r="AM222" i="11"/>
  <c r="AM222" i="13"/>
  <c r="AM222" i="15"/>
  <c r="AM205" i="6"/>
  <c r="AM205" i="7"/>
  <c r="AM205" i="8"/>
  <c r="AM205" i="9"/>
  <c r="AM205" i="10"/>
  <c r="AM205" i="11"/>
  <c r="AM205" i="12"/>
  <c r="AM205" i="13"/>
  <c r="AM205" i="14"/>
  <c r="AM205" i="15"/>
  <c r="AM205" i="16"/>
  <c r="AM187" i="6"/>
  <c r="AM187" i="7"/>
  <c r="AM185" i="7" s="1"/>
  <c r="AM187" i="9"/>
  <c r="AM187" i="10"/>
  <c r="AM187" i="11"/>
  <c r="AM185" i="11" s="1"/>
  <c r="AM187" i="12"/>
  <c r="AM187" i="13"/>
  <c r="AM187" i="14"/>
  <c r="AM187" i="15"/>
  <c r="AM185" i="15" s="1"/>
  <c r="AM187" i="16"/>
  <c r="AM185" i="16" s="1"/>
  <c r="AM176" i="6"/>
  <c r="AM176" i="8"/>
  <c r="AM176" i="9"/>
  <c r="AM176" i="10"/>
  <c r="AM176" i="11"/>
  <c r="AM176" i="13"/>
  <c r="AM176" i="15"/>
  <c r="AM176" i="16"/>
  <c r="AM172" i="6"/>
  <c r="AM172" i="7"/>
  <c r="AM172" i="8"/>
  <c r="AM172" i="9"/>
  <c r="AM172" i="10"/>
  <c r="AM172" i="11"/>
  <c r="AM172" i="12"/>
  <c r="AM172" i="13"/>
  <c r="AM172" i="14"/>
  <c r="AM172" i="15"/>
  <c r="AM172" i="16"/>
  <c r="AM149" i="6"/>
  <c r="AM149" i="7"/>
  <c r="AM149" i="8"/>
  <c r="AM149" i="9"/>
  <c r="AM147" i="9" s="1"/>
  <c r="AM149" i="10"/>
  <c r="AM149" i="11"/>
  <c r="AM149" i="12"/>
  <c r="AM149" i="13"/>
  <c r="AM147" i="13" s="1"/>
  <c r="AM149" i="14"/>
  <c r="AM147" i="14" s="1"/>
  <c r="AM149" i="15"/>
  <c r="AM149" i="16"/>
  <c r="AM123" i="6"/>
  <c r="AM123" i="7"/>
  <c r="AM123" i="8"/>
  <c r="AM123" i="9"/>
  <c r="AM123" i="10"/>
  <c r="AM123" i="11"/>
  <c r="AM123" i="12"/>
  <c r="AM123" i="13"/>
  <c r="AM123" i="14"/>
  <c r="AM123" i="15"/>
  <c r="AM123" i="16"/>
  <c r="AM105" i="7"/>
  <c r="AM104" i="7" s="1"/>
  <c r="AM105" i="9"/>
  <c r="AM104" i="9" s="1"/>
  <c r="AM69" i="9"/>
  <c r="AM65" i="9" s="1"/>
  <c r="AM83" i="9"/>
  <c r="AM91" i="9"/>
  <c r="AM96" i="9"/>
  <c r="AM20" i="9"/>
  <c r="AM16" i="9" s="1"/>
  <c r="AM35" i="9"/>
  <c r="AM44" i="9"/>
  <c r="AM49" i="9"/>
  <c r="AM58" i="9"/>
  <c r="AM57" i="9" s="1"/>
  <c r="AM105" i="11"/>
  <c r="AM104" i="11" s="1"/>
  <c r="AM105" i="13"/>
  <c r="AM104" i="13" s="1"/>
  <c r="AM105" i="15"/>
  <c r="AM104" i="15" s="1"/>
  <c r="AM96" i="6"/>
  <c r="AM96" i="7"/>
  <c r="AM96" i="8"/>
  <c r="AM96" i="10"/>
  <c r="AM96" i="11"/>
  <c r="AM96" i="12"/>
  <c r="AM96" i="13"/>
  <c r="AM96" i="14"/>
  <c r="AM96" i="15"/>
  <c r="AM96" i="16"/>
  <c r="AM91" i="7"/>
  <c r="AM91" i="11"/>
  <c r="AM91" i="13"/>
  <c r="AM91" i="15"/>
  <c r="AM83" i="7"/>
  <c r="AM83" i="10"/>
  <c r="AM83" i="12"/>
  <c r="AM83" i="13"/>
  <c r="AM83" i="15"/>
  <c r="AM83" i="16"/>
  <c r="AM58" i="6"/>
  <c r="AM57" i="6" s="1"/>
  <c r="AM58" i="8"/>
  <c r="AM57" i="8" s="1"/>
  <c r="AM58" i="10"/>
  <c r="AM57" i="10" s="1"/>
  <c r="AM58" i="11"/>
  <c r="AM57" i="11" s="1"/>
  <c r="AM58" i="13"/>
  <c r="AM57" i="13" s="1"/>
  <c r="AM58" i="14"/>
  <c r="AM57" i="14" s="1"/>
  <c r="AM58" i="15"/>
  <c r="AM57" i="15" s="1"/>
  <c r="AM58" i="16"/>
  <c r="AM57" i="16" s="1"/>
  <c r="AM20" i="16"/>
  <c r="AM16" i="16" s="1"/>
  <c r="AM35" i="16"/>
  <c r="AM44" i="16"/>
  <c r="AM49" i="16"/>
  <c r="AM49" i="6"/>
  <c r="AM49" i="7"/>
  <c r="AM49" i="8"/>
  <c r="AM49" i="10"/>
  <c r="AM49" i="11"/>
  <c r="AM49" i="12"/>
  <c r="AM49" i="13"/>
  <c r="AM49" i="14"/>
  <c r="AM49" i="15"/>
  <c r="AM44" i="7"/>
  <c r="AM44" i="8"/>
  <c r="AM43" i="8" s="1"/>
  <c r="AM44" i="10"/>
  <c r="AM44" i="11"/>
  <c r="AM44" i="12"/>
  <c r="AM44" i="13"/>
  <c r="AM43" i="13" s="1"/>
  <c r="AM44" i="14"/>
  <c r="AM43" i="14" s="1"/>
  <c r="AM44" i="15"/>
  <c r="AM35" i="6"/>
  <c r="AM35" i="7"/>
  <c r="AM35" i="8"/>
  <c r="AM35" i="10"/>
  <c r="AM35" i="11"/>
  <c r="AM35" i="12"/>
  <c r="AM35" i="13"/>
  <c r="AM35" i="14"/>
  <c r="AM35" i="15"/>
  <c r="AM20" i="7"/>
  <c r="AM20" i="15"/>
  <c r="AL235" i="6"/>
  <c r="AL234" i="6" s="1"/>
  <c r="AL235" i="7"/>
  <c r="AL234" i="7" s="1"/>
  <c r="AL235" i="8"/>
  <c r="AL234" i="8" s="1"/>
  <c r="AL235" i="9"/>
  <c r="AL234" i="9" s="1"/>
  <c r="AL235" i="10"/>
  <c r="AL234" i="10" s="1"/>
  <c r="AL235" i="11"/>
  <c r="AL234" i="11" s="1"/>
  <c r="AL235" i="12"/>
  <c r="AL234" i="12" s="1"/>
  <c r="AL235" i="13"/>
  <c r="AL234" i="13" s="1"/>
  <c r="AL235" i="14"/>
  <c r="AL234" i="14" s="1"/>
  <c r="AL235" i="15"/>
  <c r="AL234" i="15" s="1"/>
  <c r="AL235" i="16"/>
  <c r="AL234" i="16" s="1"/>
  <c r="B14" i="5"/>
  <c r="B14" i="6" s="1"/>
  <c r="B14" i="7" s="1"/>
  <c r="B13" i="5"/>
  <c r="B13" i="6" s="1"/>
  <c r="B13" i="7" s="1"/>
  <c r="B13" i="8" s="1"/>
  <c r="B13" i="9" s="1"/>
  <c r="B13" i="10" s="1"/>
  <c r="B13" i="11" s="1"/>
  <c r="B13" i="12" s="1"/>
  <c r="B13" i="13" s="1"/>
  <c r="B13" i="14" s="1"/>
  <c r="B12" i="5"/>
  <c r="BQ31" i="8"/>
  <c r="I54" i="20" s="1"/>
  <c r="BQ31" i="9"/>
  <c r="AL187" i="6"/>
  <c r="AL185" i="6" s="1"/>
  <c r="AL187" i="7"/>
  <c r="AL187" i="9"/>
  <c r="AL185" i="9" s="1"/>
  <c r="AL187" i="10"/>
  <c r="AL187" i="11"/>
  <c r="AL185" i="11" s="1"/>
  <c r="AL187" i="12"/>
  <c r="AL187" i="13"/>
  <c r="AL185" i="13" s="1"/>
  <c r="AL187" i="14"/>
  <c r="AL187" i="15"/>
  <c r="AL187" i="16"/>
  <c r="AL187" i="5"/>
  <c r="T256" i="6"/>
  <c r="T256" i="7" s="1"/>
  <c r="T256" i="8" s="1"/>
  <c r="S256" i="6"/>
  <c r="S256" i="7" s="1"/>
  <c r="S256" i="8" s="1"/>
  <c r="T255" i="6"/>
  <c r="T255" i="7" s="1"/>
  <c r="T255" i="8" s="1"/>
  <c r="S255" i="6"/>
  <c r="S255" i="7" s="1"/>
  <c r="S255" i="8" s="1"/>
  <c r="T254" i="6"/>
  <c r="T254" i="7" s="1"/>
  <c r="T254" i="8" s="1"/>
  <c r="S254" i="6"/>
  <c r="S254" i="7" s="1"/>
  <c r="S254" i="8" s="1"/>
  <c r="T253" i="6"/>
  <c r="T253" i="7" s="1"/>
  <c r="T253" i="8" s="1"/>
  <c r="S253" i="6"/>
  <c r="S253" i="7" s="1"/>
  <c r="S253" i="8" s="1"/>
  <c r="T252" i="6"/>
  <c r="T252" i="7" s="1"/>
  <c r="T252" i="8" s="1"/>
  <c r="S252" i="6"/>
  <c r="S252" i="7" s="1"/>
  <c r="S252" i="8" s="1"/>
  <c r="T251" i="6"/>
  <c r="T251" i="7" s="1"/>
  <c r="T251" i="8" s="1"/>
  <c r="S251" i="6"/>
  <c r="S251" i="7" s="1"/>
  <c r="S251" i="8" s="1"/>
  <c r="T250" i="6"/>
  <c r="T250" i="7" s="1"/>
  <c r="T250" i="8" s="1"/>
  <c r="S250" i="6"/>
  <c r="S250" i="7" s="1"/>
  <c r="S250" i="8" s="1"/>
  <c r="T249" i="6"/>
  <c r="T249" i="7" s="1"/>
  <c r="T249" i="8" s="1"/>
  <c r="S249" i="6"/>
  <c r="S249" i="7" s="1"/>
  <c r="S249" i="8" s="1"/>
  <c r="T248" i="6"/>
  <c r="T248" i="7" s="1"/>
  <c r="T248" i="8" s="1"/>
  <c r="S248" i="6"/>
  <c r="S248" i="7" s="1"/>
  <c r="S248" i="8" s="1"/>
  <c r="T247" i="6"/>
  <c r="T247" i="7" s="1"/>
  <c r="T247" i="8" s="1"/>
  <c r="S247" i="6"/>
  <c r="S247" i="7" s="1"/>
  <c r="S247" i="8" s="1"/>
  <c r="T246" i="6"/>
  <c r="T246" i="7" s="1"/>
  <c r="T246" i="8" s="1"/>
  <c r="S246" i="6"/>
  <c r="S246" i="7" s="1"/>
  <c r="S246" i="8" s="1"/>
  <c r="S245" i="6"/>
  <c r="S245" i="7" s="1"/>
  <c r="S245" i="8" s="1"/>
  <c r="T245" i="6"/>
  <c r="T245" i="7" s="1"/>
  <c r="T245" i="8" s="1"/>
  <c r="T204" i="6"/>
  <c r="T204" i="7" s="1"/>
  <c r="T204" i="8" s="1"/>
  <c r="T204" i="9" s="1"/>
  <c r="T204" i="10" s="1"/>
  <c r="T204" i="11" s="1"/>
  <c r="T204" i="12" s="1"/>
  <c r="T204" i="13" s="1"/>
  <c r="T204" i="14" s="1"/>
  <c r="T204" i="15" s="1"/>
  <c r="T204" i="16" s="1"/>
  <c r="S204" i="6"/>
  <c r="S204" i="7" s="1"/>
  <c r="S204" i="8" s="1"/>
  <c r="S204" i="9" s="1"/>
  <c r="S204" i="10" s="1"/>
  <c r="S204" i="11" s="1"/>
  <c r="S204" i="12" s="1"/>
  <c r="S204" i="13" s="1"/>
  <c r="S204" i="14" s="1"/>
  <c r="S204" i="15" s="1"/>
  <c r="S204" i="16" s="1"/>
  <c r="T203" i="6"/>
  <c r="T203" i="7" s="1"/>
  <c r="T203" i="8" s="1"/>
  <c r="T203" i="9" s="1"/>
  <c r="T203" i="10" s="1"/>
  <c r="T203" i="11" s="1"/>
  <c r="T203" i="12" s="1"/>
  <c r="T203" i="13" s="1"/>
  <c r="T203" i="14" s="1"/>
  <c r="T203" i="15" s="1"/>
  <c r="T203" i="16" s="1"/>
  <c r="S203" i="6"/>
  <c r="S203" i="7" s="1"/>
  <c r="S203" i="8" s="1"/>
  <c r="S203" i="9" s="1"/>
  <c r="S203" i="10" s="1"/>
  <c r="S203" i="11" s="1"/>
  <c r="S203" i="12" s="1"/>
  <c r="S203" i="13" s="1"/>
  <c r="S203" i="14" s="1"/>
  <c r="S203" i="15" s="1"/>
  <c r="S203" i="16" s="1"/>
  <c r="T182" i="6"/>
  <c r="T182" i="7" s="1"/>
  <c r="T182" i="8" s="1"/>
  <c r="T182" i="9" s="1"/>
  <c r="T182" i="10" s="1"/>
  <c r="T182" i="11" s="1"/>
  <c r="T182" i="12" s="1"/>
  <c r="T182" i="13" s="1"/>
  <c r="T182" i="14" s="1"/>
  <c r="T182" i="15" s="1"/>
  <c r="T182" i="16" s="1"/>
  <c r="S182" i="6"/>
  <c r="S182" i="7" s="1"/>
  <c r="S182" i="8" s="1"/>
  <c r="S182" i="9" s="1"/>
  <c r="S182" i="10" s="1"/>
  <c r="S182" i="11" s="1"/>
  <c r="S182" i="12" s="1"/>
  <c r="S182" i="13" s="1"/>
  <c r="S182" i="14" s="1"/>
  <c r="S182" i="15" s="1"/>
  <c r="S182" i="16" s="1"/>
  <c r="T181" i="6"/>
  <c r="T181" i="7" s="1"/>
  <c r="T181" i="8" s="1"/>
  <c r="T181" i="9" s="1"/>
  <c r="T181" i="10" s="1"/>
  <c r="T181" i="11" s="1"/>
  <c r="T181" i="12" s="1"/>
  <c r="T181" i="13" s="1"/>
  <c r="T181" i="14" s="1"/>
  <c r="T181" i="15" s="1"/>
  <c r="T181" i="16" s="1"/>
  <c r="S181" i="6"/>
  <c r="S181" i="7" s="1"/>
  <c r="S181" i="8" s="1"/>
  <c r="S181" i="9" s="1"/>
  <c r="S181" i="10" s="1"/>
  <c r="S181" i="11" s="1"/>
  <c r="S181" i="12" s="1"/>
  <c r="S181" i="13" s="1"/>
  <c r="S181" i="14" s="1"/>
  <c r="S181" i="15" s="1"/>
  <c r="S181" i="16" s="1"/>
  <c r="T138" i="6"/>
  <c r="T138" i="7" s="1"/>
  <c r="T138" i="8" s="1"/>
  <c r="T138" i="9" s="1"/>
  <c r="T138" i="10" s="1"/>
  <c r="T138" i="11" s="1"/>
  <c r="T138" i="12" s="1"/>
  <c r="T138" i="13" s="1"/>
  <c r="T138" i="14" s="1"/>
  <c r="T138" i="15" s="1"/>
  <c r="T138" i="16" s="1"/>
  <c r="S138" i="6"/>
  <c r="S138" i="7" s="1"/>
  <c r="S138" i="8" s="1"/>
  <c r="S138" i="9" s="1"/>
  <c r="S138" i="10" s="1"/>
  <c r="S138" i="11" s="1"/>
  <c r="S138" i="12" s="1"/>
  <c r="S138" i="13" s="1"/>
  <c r="S138" i="14" s="1"/>
  <c r="S138" i="15" s="1"/>
  <c r="S138" i="16" s="1"/>
  <c r="T137" i="6"/>
  <c r="T137" i="7" s="1"/>
  <c r="T137" i="8" s="1"/>
  <c r="T137" i="9" s="1"/>
  <c r="T137" i="10" s="1"/>
  <c r="T137" i="11" s="1"/>
  <c r="T137" i="12" s="1"/>
  <c r="T137" i="13" s="1"/>
  <c r="T137" i="14" s="1"/>
  <c r="T137" i="15" s="1"/>
  <c r="T137" i="16" s="1"/>
  <c r="S137" i="6"/>
  <c r="S137" i="7" s="1"/>
  <c r="S137" i="8" s="1"/>
  <c r="S137" i="9" s="1"/>
  <c r="S137" i="10" s="1"/>
  <c r="S137" i="11" s="1"/>
  <c r="S137" i="12" s="1"/>
  <c r="S137" i="13" s="1"/>
  <c r="S137" i="14" s="1"/>
  <c r="S137" i="15" s="1"/>
  <c r="S137" i="16" s="1"/>
  <c r="T136" i="6"/>
  <c r="T136" i="7" s="1"/>
  <c r="T136" i="8" s="1"/>
  <c r="T136" i="9" s="1"/>
  <c r="T136" i="10" s="1"/>
  <c r="T136" i="11" s="1"/>
  <c r="T136" i="12" s="1"/>
  <c r="T136" i="13" s="1"/>
  <c r="T136" i="14" s="1"/>
  <c r="T136" i="15" s="1"/>
  <c r="T136" i="16" s="1"/>
  <c r="S136" i="6"/>
  <c r="S136" i="7" s="1"/>
  <c r="S136" i="8" s="1"/>
  <c r="S136" i="9" s="1"/>
  <c r="S136" i="10" s="1"/>
  <c r="S136" i="11" s="1"/>
  <c r="S136" i="12" s="1"/>
  <c r="S136" i="13" s="1"/>
  <c r="S136" i="14" s="1"/>
  <c r="S136" i="15" s="1"/>
  <c r="S136" i="16" s="1"/>
  <c r="T135" i="6"/>
  <c r="T135" i="7" s="1"/>
  <c r="T135" i="8" s="1"/>
  <c r="T135" i="9" s="1"/>
  <c r="T135" i="10" s="1"/>
  <c r="T135" i="11" s="1"/>
  <c r="T135" i="12" s="1"/>
  <c r="T135" i="13" s="1"/>
  <c r="T135" i="14" s="1"/>
  <c r="T135" i="15" s="1"/>
  <c r="T135" i="16" s="1"/>
  <c r="S135" i="6"/>
  <c r="S135" i="7" s="1"/>
  <c r="S135" i="8" s="1"/>
  <c r="S135" i="9" s="1"/>
  <c r="S135" i="10" s="1"/>
  <c r="S135" i="11" s="1"/>
  <c r="S135" i="12" s="1"/>
  <c r="S135" i="13" s="1"/>
  <c r="S135" i="14" s="1"/>
  <c r="S135" i="15" s="1"/>
  <c r="S135" i="16" s="1"/>
  <c r="T121" i="6"/>
  <c r="T121" i="7" s="1"/>
  <c r="T121" i="8" s="1"/>
  <c r="T121" i="9" s="1"/>
  <c r="T121" i="10" s="1"/>
  <c r="T121" i="11" s="1"/>
  <c r="T121" i="12" s="1"/>
  <c r="T121" i="13" s="1"/>
  <c r="T121" i="14" s="1"/>
  <c r="T121" i="15" s="1"/>
  <c r="T121" i="16" s="1"/>
  <c r="S121" i="6"/>
  <c r="S121" i="7" s="1"/>
  <c r="S121" i="8" s="1"/>
  <c r="S121" i="9" s="1"/>
  <c r="S121" i="10" s="1"/>
  <c r="S121" i="11" s="1"/>
  <c r="S121" i="12" s="1"/>
  <c r="S121" i="13" s="1"/>
  <c r="S121" i="14" s="1"/>
  <c r="S121" i="15" s="1"/>
  <c r="S121" i="16" s="1"/>
  <c r="T120" i="6"/>
  <c r="T120" i="7" s="1"/>
  <c r="T120" i="8" s="1"/>
  <c r="T120" i="9" s="1"/>
  <c r="T120" i="10" s="1"/>
  <c r="T120" i="11" s="1"/>
  <c r="T120" i="12" s="1"/>
  <c r="T120" i="13" s="1"/>
  <c r="T120" i="14" s="1"/>
  <c r="T120" i="15" s="1"/>
  <c r="T120" i="16" s="1"/>
  <c r="S120" i="6"/>
  <c r="S120" i="7" s="1"/>
  <c r="S120" i="8" s="1"/>
  <c r="S120" i="9" s="1"/>
  <c r="S120" i="10" s="1"/>
  <c r="S120" i="11" s="1"/>
  <c r="S120" i="12" s="1"/>
  <c r="S120" i="13" s="1"/>
  <c r="S120" i="14" s="1"/>
  <c r="S120" i="15" s="1"/>
  <c r="S120" i="16" s="1"/>
  <c r="T119" i="6"/>
  <c r="T119" i="7" s="1"/>
  <c r="T119" i="8" s="1"/>
  <c r="T119" i="9" s="1"/>
  <c r="T119" i="10" s="1"/>
  <c r="T119" i="11" s="1"/>
  <c r="T119" i="12" s="1"/>
  <c r="T119" i="13" s="1"/>
  <c r="T119" i="14" s="1"/>
  <c r="T119" i="15" s="1"/>
  <c r="T119" i="16" s="1"/>
  <c r="S119" i="6"/>
  <c r="S119" i="7" s="1"/>
  <c r="S119" i="8" s="1"/>
  <c r="S119" i="9" s="1"/>
  <c r="S119" i="10" s="1"/>
  <c r="S119" i="11" s="1"/>
  <c r="S119" i="12" s="1"/>
  <c r="S119" i="13" s="1"/>
  <c r="S119" i="14" s="1"/>
  <c r="S119" i="15" s="1"/>
  <c r="S119" i="16" s="1"/>
  <c r="T118" i="6"/>
  <c r="T118" i="7" s="1"/>
  <c r="T118" i="8" s="1"/>
  <c r="T118" i="9" s="1"/>
  <c r="T118" i="10" s="1"/>
  <c r="T118" i="11" s="1"/>
  <c r="T118" i="12" s="1"/>
  <c r="T118" i="13" s="1"/>
  <c r="T118" i="14" s="1"/>
  <c r="T118" i="15" s="1"/>
  <c r="T118" i="16" s="1"/>
  <c r="S118" i="6"/>
  <c r="S118" i="7" s="1"/>
  <c r="S118" i="8" s="1"/>
  <c r="S118" i="9" s="1"/>
  <c r="S118" i="10" s="1"/>
  <c r="S118" i="11" s="1"/>
  <c r="S118" i="12" s="1"/>
  <c r="S118" i="13" s="1"/>
  <c r="S118" i="14" s="1"/>
  <c r="S118" i="15" s="1"/>
  <c r="S118" i="16" s="1"/>
  <c r="T117" i="6"/>
  <c r="T117" i="7" s="1"/>
  <c r="T117" i="8" s="1"/>
  <c r="T117" i="9" s="1"/>
  <c r="T117" i="10" s="1"/>
  <c r="T117" i="11" s="1"/>
  <c r="T117" i="12" s="1"/>
  <c r="T117" i="13" s="1"/>
  <c r="T117" i="14" s="1"/>
  <c r="T117" i="15" s="1"/>
  <c r="T117" i="16" s="1"/>
  <c r="S117" i="6"/>
  <c r="S117" i="7" s="1"/>
  <c r="S117" i="8" s="1"/>
  <c r="S117" i="9" s="1"/>
  <c r="S117" i="10" s="1"/>
  <c r="S117" i="11" s="1"/>
  <c r="S117" i="12" s="1"/>
  <c r="S117" i="13" s="1"/>
  <c r="S117" i="14" s="1"/>
  <c r="S117" i="15" s="1"/>
  <c r="S117" i="16" s="1"/>
  <c r="T87" i="6"/>
  <c r="T87" i="7" s="1"/>
  <c r="T87" i="8" s="1"/>
  <c r="T87" i="9" s="1"/>
  <c r="T87" i="10" s="1"/>
  <c r="T87" i="11" s="1"/>
  <c r="T87" i="12" s="1"/>
  <c r="T87" i="13" s="1"/>
  <c r="T87" i="14" s="1"/>
  <c r="T87" i="15" s="1"/>
  <c r="T87" i="16" s="1"/>
  <c r="S87" i="6"/>
  <c r="S87" i="7" s="1"/>
  <c r="S87" i="8" s="1"/>
  <c r="S87" i="9" s="1"/>
  <c r="S87" i="10" s="1"/>
  <c r="S87" i="11" s="1"/>
  <c r="S87" i="12" s="1"/>
  <c r="S87" i="13" s="1"/>
  <c r="S87" i="14" s="1"/>
  <c r="S87" i="15" s="1"/>
  <c r="S87" i="16" s="1"/>
  <c r="AL197" i="6"/>
  <c r="AM197" i="6"/>
  <c r="AL197" i="7"/>
  <c r="AM197" i="7"/>
  <c r="AL197" i="8"/>
  <c r="AM197" i="8"/>
  <c r="AM196" i="8" s="1"/>
  <c r="AM195" i="8" s="1"/>
  <c r="AL197" i="9"/>
  <c r="AM197" i="9"/>
  <c r="AL197" i="10"/>
  <c r="AM197" i="10"/>
  <c r="AM196" i="10" s="1"/>
  <c r="AM195" i="10" s="1"/>
  <c r="AL197" i="11"/>
  <c r="AM197" i="11"/>
  <c r="AL197" i="12"/>
  <c r="AM197" i="12"/>
  <c r="AM196" i="12" s="1"/>
  <c r="AM195" i="12" s="1"/>
  <c r="AL197" i="13"/>
  <c r="AM197" i="13"/>
  <c r="AL197" i="14"/>
  <c r="AM197" i="14"/>
  <c r="AL197" i="15"/>
  <c r="AM197" i="15"/>
  <c r="AL197" i="16"/>
  <c r="AM197" i="16"/>
  <c r="AM196" i="16" s="1"/>
  <c r="AM195" i="16" s="1"/>
  <c r="AL197" i="5"/>
  <c r="AM197" i="5"/>
  <c r="Y197" i="5"/>
  <c r="AB197" i="5"/>
  <c r="AE197" i="5"/>
  <c r="G10" i="5"/>
  <c r="B82" i="6"/>
  <c r="B82" i="7"/>
  <c r="B82" i="8"/>
  <c r="B82" i="9"/>
  <c r="B82" i="10"/>
  <c r="B82" i="11"/>
  <c r="B82" i="12"/>
  <c r="B82" i="13"/>
  <c r="B82" i="14"/>
  <c r="B82" i="15"/>
  <c r="B82" i="16"/>
  <c r="B82" i="5"/>
  <c r="B79" i="6"/>
  <c r="B79" i="7"/>
  <c r="B79" i="8"/>
  <c r="B79" i="9"/>
  <c r="B79" i="10"/>
  <c r="B79" i="11"/>
  <c r="B79" i="12"/>
  <c r="B79" i="13"/>
  <c r="B79" i="14"/>
  <c r="B79" i="15"/>
  <c r="B79" i="16"/>
  <c r="B79" i="5"/>
  <c r="B76" i="6"/>
  <c r="B76" i="7"/>
  <c r="B76" i="8"/>
  <c r="B76" i="9"/>
  <c r="B76" i="10"/>
  <c r="B76" i="11"/>
  <c r="B76" i="12"/>
  <c r="B76" i="13"/>
  <c r="B76" i="14"/>
  <c r="B76" i="15"/>
  <c r="B76" i="16"/>
  <c r="B76" i="5"/>
  <c r="B73" i="6"/>
  <c r="B73" i="7"/>
  <c r="B73" i="8"/>
  <c r="B73" i="9"/>
  <c r="B73" i="10"/>
  <c r="B73" i="11"/>
  <c r="B73" i="12"/>
  <c r="B73" i="13"/>
  <c r="B73" i="14"/>
  <c r="B73" i="15"/>
  <c r="B73" i="16"/>
  <c r="B73" i="5"/>
  <c r="B70" i="6"/>
  <c r="B70" i="7"/>
  <c r="B70" i="8"/>
  <c r="B70" i="9"/>
  <c r="B70" i="10"/>
  <c r="B70" i="11"/>
  <c r="B70" i="12"/>
  <c r="B70" i="13"/>
  <c r="B70" i="14"/>
  <c r="B70" i="15"/>
  <c r="B70" i="16"/>
  <c r="B70" i="5"/>
  <c r="B67" i="6"/>
  <c r="B67" i="7"/>
  <c r="B67" i="8"/>
  <c r="B67" i="9"/>
  <c r="B67" i="10"/>
  <c r="B67" i="11"/>
  <c r="B67" i="12"/>
  <c r="B67" i="13"/>
  <c r="B67" i="14"/>
  <c r="B67" i="15"/>
  <c r="B67" i="16"/>
  <c r="B67" i="5"/>
  <c r="B64" i="6"/>
  <c r="B64" i="7"/>
  <c r="B64" i="8"/>
  <c r="B64" i="9"/>
  <c r="B64" i="10"/>
  <c r="B64" i="11"/>
  <c r="B64" i="12"/>
  <c r="B64" i="13"/>
  <c r="B64" i="14"/>
  <c r="B64" i="15"/>
  <c r="B64" i="16"/>
  <c r="B64" i="5"/>
  <c r="B61" i="6"/>
  <c r="B61" i="7"/>
  <c r="B61" i="8"/>
  <c r="B61" i="9"/>
  <c r="B61" i="10"/>
  <c r="B61" i="11"/>
  <c r="B61" i="12"/>
  <c r="B61" i="13"/>
  <c r="B61" i="14"/>
  <c r="B61" i="15"/>
  <c r="B61" i="16"/>
  <c r="B61" i="5"/>
  <c r="B58" i="6"/>
  <c r="B58" i="7"/>
  <c r="B58" i="8"/>
  <c r="B58" i="9"/>
  <c r="B58" i="10"/>
  <c r="B58" i="11"/>
  <c r="B58" i="12"/>
  <c r="B58" i="13"/>
  <c r="B58" i="14"/>
  <c r="B58" i="15"/>
  <c r="B58" i="16"/>
  <c r="B58" i="5"/>
  <c r="B55" i="6"/>
  <c r="B55" i="7"/>
  <c r="B55" i="8"/>
  <c r="B55" i="9"/>
  <c r="B55" i="10"/>
  <c r="B55" i="11"/>
  <c r="B55" i="12"/>
  <c r="B55" i="13"/>
  <c r="B55" i="14"/>
  <c r="B55" i="15"/>
  <c r="B55" i="16"/>
  <c r="B55" i="5"/>
  <c r="B52" i="6"/>
  <c r="B52" i="7"/>
  <c r="B52" i="8"/>
  <c r="B52" i="9"/>
  <c r="B52" i="10"/>
  <c r="B52" i="11"/>
  <c r="B52" i="12"/>
  <c r="B52" i="13"/>
  <c r="B52" i="14"/>
  <c r="B52" i="15"/>
  <c r="B52" i="16"/>
  <c r="B52" i="5"/>
  <c r="B49" i="6"/>
  <c r="B49" i="7"/>
  <c r="B49" i="8"/>
  <c r="B49" i="9"/>
  <c r="B49" i="10"/>
  <c r="B49" i="11"/>
  <c r="B49" i="12"/>
  <c r="B49" i="13"/>
  <c r="B49" i="14"/>
  <c r="B49" i="15"/>
  <c r="B49" i="16"/>
  <c r="B49" i="5"/>
  <c r="B46" i="6"/>
  <c r="B46" i="7"/>
  <c r="B46" i="8"/>
  <c r="B46" i="9"/>
  <c r="B46" i="10"/>
  <c r="B46" i="11"/>
  <c r="B46" i="12"/>
  <c r="B46" i="13"/>
  <c r="B46" i="14"/>
  <c r="B46" i="15"/>
  <c r="B46" i="16"/>
  <c r="B46" i="5"/>
  <c r="B43" i="6"/>
  <c r="B43" i="7"/>
  <c r="B43" i="8"/>
  <c r="B43" i="9"/>
  <c r="B43" i="10"/>
  <c r="B43" i="11"/>
  <c r="B43" i="12"/>
  <c r="B43" i="13"/>
  <c r="B43" i="14"/>
  <c r="B43" i="15"/>
  <c r="B43" i="16"/>
  <c r="B43" i="5"/>
  <c r="B36" i="6"/>
  <c r="B36" i="7"/>
  <c r="B36" i="8"/>
  <c r="B36" i="9"/>
  <c r="B36" i="10"/>
  <c r="B36" i="11"/>
  <c r="B36" i="12"/>
  <c r="B36" i="13"/>
  <c r="B36" i="14"/>
  <c r="B36" i="15"/>
  <c r="B36" i="16"/>
  <c r="B36" i="5"/>
  <c r="B33" i="6"/>
  <c r="B33" i="7"/>
  <c r="B33" i="8"/>
  <c r="B33" i="9"/>
  <c r="B33" i="10"/>
  <c r="B33" i="11"/>
  <c r="B33" i="12"/>
  <c r="B33" i="13"/>
  <c r="B33" i="14"/>
  <c r="B33" i="15"/>
  <c r="B33" i="16"/>
  <c r="B33" i="5"/>
  <c r="B30" i="6"/>
  <c r="B30" i="7"/>
  <c r="B30" i="8"/>
  <c r="B30" i="9"/>
  <c r="B30" i="10"/>
  <c r="B30" i="11"/>
  <c r="B30" i="12"/>
  <c r="B30" i="13"/>
  <c r="B30" i="14"/>
  <c r="B30" i="15"/>
  <c r="B30" i="16"/>
  <c r="B30" i="5"/>
  <c r="B26" i="6"/>
  <c r="B26" i="7"/>
  <c r="B26" i="8"/>
  <c r="B26" i="9"/>
  <c r="B26" i="10"/>
  <c r="B26" i="11"/>
  <c r="B26" i="12"/>
  <c r="B26" i="13"/>
  <c r="B26" i="14"/>
  <c r="B26" i="15"/>
  <c r="B26" i="16"/>
  <c r="B26" i="5"/>
  <c r="B23" i="6"/>
  <c r="B23" i="7"/>
  <c r="B23" i="8"/>
  <c r="B23" i="9"/>
  <c r="B23" i="10"/>
  <c r="B23" i="11"/>
  <c r="B23" i="12"/>
  <c r="B23" i="13"/>
  <c r="B23" i="14"/>
  <c r="B23" i="15"/>
  <c r="B23" i="16"/>
  <c r="B23" i="5"/>
  <c r="B24" i="6"/>
  <c r="B83" i="6"/>
  <c r="B83" i="7" s="1"/>
  <c r="B83" i="8" s="1"/>
  <c r="B83" i="9" s="1"/>
  <c r="B83" i="10" s="1"/>
  <c r="B83" i="11" s="1"/>
  <c r="B83" i="12" s="1"/>
  <c r="B83" i="13" s="1"/>
  <c r="B83" i="14" s="1"/>
  <c r="B83" i="15" s="1"/>
  <c r="B83" i="16" s="1"/>
  <c r="B81" i="6"/>
  <c r="B81" i="7" s="1"/>
  <c r="B81" i="8" s="1"/>
  <c r="B81" i="9" s="1"/>
  <c r="B81" i="10" s="1"/>
  <c r="B81" i="11" s="1"/>
  <c r="B81" i="12" s="1"/>
  <c r="B81" i="13" s="1"/>
  <c r="B81" i="14" s="1"/>
  <c r="B81" i="15" s="1"/>
  <c r="B81" i="16" s="1"/>
  <c r="B80" i="6"/>
  <c r="B80" i="7" s="1"/>
  <c r="B80" i="8" s="1"/>
  <c r="B80" i="9" s="1"/>
  <c r="B80" i="10" s="1"/>
  <c r="B80" i="11" s="1"/>
  <c r="B80" i="12" s="1"/>
  <c r="B80" i="13" s="1"/>
  <c r="B80" i="14" s="1"/>
  <c r="B80" i="15" s="1"/>
  <c r="B80" i="16" s="1"/>
  <c r="B78" i="6"/>
  <c r="B78" i="7" s="1"/>
  <c r="B78" i="8" s="1"/>
  <c r="B78" i="9" s="1"/>
  <c r="B78" i="10" s="1"/>
  <c r="B78" i="11" s="1"/>
  <c r="B78" i="12" s="1"/>
  <c r="B78" i="13" s="1"/>
  <c r="B78" i="14" s="1"/>
  <c r="B78" i="15" s="1"/>
  <c r="B78" i="16" s="1"/>
  <c r="B77" i="6"/>
  <c r="B77" i="7" s="1"/>
  <c r="B77" i="8" s="1"/>
  <c r="B77" i="9" s="1"/>
  <c r="B77" i="10" s="1"/>
  <c r="B77" i="11" s="1"/>
  <c r="B77" i="12" s="1"/>
  <c r="B77" i="13" s="1"/>
  <c r="B77" i="14" s="1"/>
  <c r="B77" i="15" s="1"/>
  <c r="B77" i="16" s="1"/>
  <c r="B75" i="6"/>
  <c r="B75" i="7" s="1"/>
  <c r="B75" i="8" s="1"/>
  <c r="B75" i="9" s="1"/>
  <c r="B75" i="10" s="1"/>
  <c r="B75" i="11" s="1"/>
  <c r="B75" i="12" s="1"/>
  <c r="B75" i="13" s="1"/>
  <c r="B75" i="14" s="1"/>
  <c r="B75" i="15" s="1"/>
  <c r="B75" i="16" s="1"/>
  <c r="B74" i="6"/>
  <c r="B74" i="7" s="1"/>
  <c r="B74" i="8" s="1"/>
  <c r="B74" i="9" s="1"/>
  <c r="B74" i="10" s="1"/>
  <c r="B74" i="11" s="1"/>
  <c r="B74" i="12" s="1"/>
  <c r="B74" i="13" s="1"/>
  <c r="B74" i="14" s="1"/>
  <c r="B74" i="15" s="1"/>
  <c r="B74" i="16" s="1"/>
  <c r="B72" i="6"/>
  <c r="B72" i="7" s="1"/>
  <c r="B72" i="8" s="1"/>
  <c r="B72" i="9" s="1"/>
  <c r="B72" i="10" s="1"/>
  <c r="B72" i="11" s="1"/>
  <c r="B72" i="12" s="1"/>
  <c r="B72" i="13" s="1"/>
  <c r="B72" i="14" s="1"/>
  <c r="B72" i="15" s="1"/>
  <c r="B72" i="16" s="1"/>
  <c r="B71" i="6"/>
  <c r="B71" i="7" s="1"/>
  <c r="B71" i="8" s="1"/>
  <c r="B71" i="9" s="1"/>
  <c r="B71" i="10" s="1"/>
  <c r="B71" i="11" s="1"/>
  <c r="B71" i="12" s="1"/>
  <c r="B71" i="13" s="1"/>
  <c r="B71" i="14" s="1"/>
  <c r="B71" i="15" s="1"/>
  <c r="B71" i="16" s="1"/>
  <c r="B69" i="6"/>
  <c r="B69" i="7" s="1"/>
  <c r="B69" i="8" s="1"/>
  <c r="B69" i="9" s="1"/>
  <c r="B69" i="10" s="1"/>
  <c r="B69" i="11" s="1"/>
  <c r="B69" i="12" s="1"/>
  <c r="B69" i="13" s="1"/>
  <c r="B69" i="14" s="1"/>
  <c r="B69" i="15" s="1"/>
  <c r="B69" i="16" s="1"/>
  <c r="B68" i="6"/>
  <c r="B68" i="7" s="1"/>
  <c r="B68" i="8" s="1"/>
  <c r="B68" i="9" s="1"/>
  <c r="B68" i="10" s="1"/>
  <c r="B68" i="11" s="1"/>
  <c r="B68" i="12" s="1"/>
  <c r="B68" i="13" s="1"/>
  <c r="B68" i="14" s="1"/>
  <c r="B68" i="15" s="1"/>
  <c r="B68" i="16" s="1"/>
  <c r="B66" i="6"/>
  <c r="B66" i="7" s="1"/>
  <c r="B66" i="8" s="1"/>
  <c r="B66" i="9" s="1"/>
  <c r="B66" i="10" s="1"/>
  <c r="B66" i="11" s="1"/>
  <c r="B66" i="12" s="1"/>
  <c r="B66" i="13" s="1"/>
  <c r="B66" i="14" s="1"/>
  <c r="B66" i="15" s="1"/>
  <c r="B66" i="16" s="1"/>
  <c r="B65" i="6"/>
  <c r="B65" i="7" s="1"/>
  <c r="B65" i="8" s="1"/>
  <c r="B65" i="9" s="1"/>
  <c r="B65" i="10" s="1"/>
  <c r="B65" i="11" s="1"/>
  <c r="B65" i="12" s="1"/>
  <c r="B65" i="13" s="1"/>
  <c r="B65" i="14" s="1"/>
  <c r="B65" i="15" s="1"/>
  <c r="B65" i="16" s="1"/>
  <c r="B63" i="6"/>
  <c r="B63" i="7" s="1"/>
  <c r="B63" i="8" s="1"/>
  <c r="B63" i="9" s="1"/>
  <c r="B63" i="10" s="1"/>
  <c r="B63" i="11" s="1"/>
  <c r="B63" i="12" s="1"/>
  <c r="B63" i="13" s="1"/>
  <c r="B63" i="14" s="1"/>
  <c r="B63" i="15" s="1"/>
  <c r="B63" i="16" s="1"/>
  <c r="B62" i="6"/>
  <c r="B62" i="7" s="1"/>
  <c r="B62" i="8" s="1"/>
  <c r="B62" i="9" s="1"/>
  <c r="B62" i="10" s="1"/>
  <c r="B62" i="11" s="1"/>
  <c r="B62" i="12" s="1"/>
  <c r="B62" i="13" s="1"/>
  <c r="B62" i="14" s="1"/>
  <c r="B62" i="15" s="1"/>
  <c r="B62" i="16" s="1"/>
  <c r="B60" i="6"/>
  <c r="B60" i="7" s="1"/>
  <c r="B60" i="8" s="1"/>
  <c r="B60" i="9" s="1"/>
  <c r="B60" i="10" s="1"/>
  <c r="B60" i="11" s="1"/>
  <c r="B60" i="12" s="1"/>
  <c r="B60" i="13" s="1"/>
  <c r="B60" i="14" s="1"/>
  <c r="B60" i="15" s="1"/>
  <c r="B60" i="16" s="1"/>
  <c r="B59" i="6"/>
  <c r="B59" i="7" s="1"/>
  <c r="B59" i="8" s="1"/>
  <c r="B59" i="9" s="1"/>
  <c r="B59" i="10" s="1"/>
  <c r="B59" i="11" s="1"/>
  <c r="B59" i="12" s="1"/>
  <c r="B59" i="13" s="1"/>
  <c r="B59" i="14" s="1"/>
  <c r="B59" i="15" s="1"/>
  <c r="B59" i="16" s="1"/>
  <c r="B57" i="6"/>
  <c r="B57" i="7" s="1"/>
  <c r="B57" i="8" s="1"/>
  <c r="B57" i="9" s="1"/>
  <c r="B57" i="10" s="1"/>
  <c r="B57" i="11" s="1"/>
  <c r="B57" i="12" s="1"/>
  <c r="B57" i="13" s="1"/>
  <c r="B57" i="14" s="1"/>
  <c r="B57" i="15" s="1"/>
  <c r="B57" i="16" s="1"/>
  <c r="B56" i="6"/>
  <c r="B56" i="7" s="1"/>
  <c r="B56" i="8" s="1"/>
  <c r="B56" i="9" s="1"/>
  <c r="B56" i="10" s="1"/>
  <c r="B56" i="11" s="1"/>
  <c r="B56" i="12" s="1"/>
  <c r="B56" i="13" s="1"/>
  <c r="B56" i="14" s="1"/>
  <c r="B56" i="15" s="1"/>
  <c r="B56" i="16" s="1"/>
  <c r="B54" i="6"/>
  <c r="B54" i="7" s="1"/>
  <c r="B54" i="8" s="1"/>
  <c r="B54" i="9" s="1"/>
  <c r="B54" i="10" s="1"/>
  <c r="B54" i="11" s="1"/>
  <c r="B54" i="12" s="1"/>
  <c r="B54" i="13" s="1"/>
  <c r="B54" i="14" s="1"/>
  <c r="B54" i="15" s="1"/>
  <c r="B54" i="16" s="1"/>
  <c r="B53" i="6"/>
  <c r="B53" i="7" s="1"/>
  <c r="B53" i="8" s="1"/>
  <c r="B53" i="9" s="1"/>
  <c r="B53" i="10" s="1"/>
  <c r="B53" i="11" s="1"/>
  <c r="B53" i="12" s="1"/>
  <c r="B53" i="13" s="1"/>
  <c r="B53" i="14" s="1"/>
  <c r="B53" i="15" s="1"/>
  <c r="B53" i="16" s="1"/>
  <c r="B51" i="6"/>
  <c r="B51" i="7" s="1"/>
  <c r="B51" i="8" s="1"/>
  <c r="B51" i="9" s="1"/>
  <c r="B51" i="10" s="1"/>
  <c r="B51" i="11" s="1"/>
  <c r="B51" i="12" s="1"/>
  <c r="B51" i="13" s="1"/>
  <c r="B51" i="14" s="1"/>
  <c r="B51" i="15" s="1"/>
  <c r="B51" i="16" s="1"/>
  <c r="B50" i="6"/>
  <c r="B50" i="7" s="1"/>
  <c r="B50" i="8" s="1"/>
  <c r="B50" i="9" s="1"/>
  <c r="B50" i="10" s="1"/>
  <c r="B50" i="11" s="1"/>
  <c r="B50" i="12" s="1"/>
  <c r="B50" i="13" s="1"/>
  <c r="B50" i="14" s="1"/>
  <c r="B50" i="15" s="1"/>
  <c r="B50" i="16" s="1"/>
  <c r="B48" i="6"/>
  <c r="B48" i="7" s="1"/>
  <c r="B48" i="8" s="1"/>
  <c r="B48" i="9" s="1"/>
  <c r="B48" i="10" s="1"/>
  <c r="B48" i="11" s="1"/>
  <c r="B48" i="12" s="1"/>
  <c r="B48" i="13" s="1"/>
  <c r="B48" i="14" s="1"/>
  <c r="B48" i="15" s="1"/>
  <c r="B48" i="16" s="1"/>
  <c r="B47" i="6"/>
  <c r="B47" i="7" s="1"/>
  <c r="B47" i="8" s="1"/>
  <c r="B47" i="9" s="1"/>
  <c r="B47" i="10" s="1"/>
  <c r="B47" i="11" s="1"/>
  <c r="B47" i="12" s="1"/>
  <c r="B47" i="13" s="1"/>
  <c r="B47" i="14" s="1"/>
  <c r="B47" i="15" s="1"/>
  <c r="B47" i="16" s="1"/>
  <c r="B45" i="6"/>
  <c r="B45" i="7" s="1"/>
  <c r="B45" i="8" s="1"/>
  <c r="B45" i="9" s="1"/>
  <c r="B45" i="10" s="1"/>
  <c r="B45" i="11" s="1"/>
  <c r="B45" i="12" s="1"/>
  <c r="B45" i="13" s="1"/>
  <c r="B45" i="14" s="1"/>
  <c r="B45" i="15" s="1"/>
  <c r="B45" i="16" s="1"/>
  <c r="B44" i="6"/>
  <c r="B44" i="7" s="1"/>
  <c r="B44" i="8" s="1"/>
  <c r="B44" i="9" s="1"/>
  <c r="B44" i="10" s="1"/>
  <c r="B44" i="11" s="1"/>
  <c r="B44" i="12" s="1"/>
  <c r="B44" i="13" s="1"/>
  <c r="B44" i="14" s="1"/>
  <c r="B44" i="15" s="1"/>
  <c r="B44" i="16" s="1"/>
  <c r="B42" i="6"/>
  <c r="B42" i="7" s="1"/>
  <c r="B42" i="8" s="1"/>
  <c r="B42" i="9" s="1"/>
  <c r="B42" i="10" s="1"/>
  <c r="B42" i="11" s="1"/>
  <c r="B42" i="12" s="1"/>
  <c r="B42" i="13" s="1"/>
  <c r="B42" i="14" s="1"/>
  <c r="B42" i="15" s="1"/>
  <c r="B42" i="16" s="1"/>
  <c r="B41" i="6"/>
  <c r="B41" i="7" s="1"/>
  <c r="B37" i="6"/>
  <c r="B37" i="7" s="1"/>
  <c r="B37" i="8" s="1"/>
  <c r="B37" i="9" s="1"/>
  <c r="B37" i="10" s="1"/>
  <c r="B37" i="11" s="1"/>
  <c r="B37" i="12" s="1"/>
  <c r="B37" i="13" s="1"/>
  <c r="B37" i="14" s="1"/>
  <c r="B37" i="15" s="1"/>
  <c r="B37" i="16" s="1"/>
  <c r="B35" i="6"/>
  <c r="B35" i="7" s="1"/>
  <c r="B35" i="8" s="1"/>
  <c r="B35" i="9" s="1"/>
  <c r="B35" i="10" s="1"/>
  <c r="B35" i="11" s="1"/>
  <c r="B35" i="12" s="1"/>
  <c r="B35" i="13" s="1"/>
  <c r="B35" i="14" s="1"/>
  <c r="B35" i="15" s="1"/>
  <c r="B35" i="16" s="1"/>
  <c r="B34" i="6"/>
  <c r="B34" i="7" s="1"/>
  <c r="B34" i="8" s="1"/>
  <c r="B34" i="9" s="1"/>
  <c r="B34" i="10" s="1"/>
  <c r="B34" i="11" s="1"/>
  <c r="B34" i="12" s="1"/>
  <c r="B34" i="13" s="1"/>
  <c r="B34" i="14" s="1"/>
  <c r="B34" i="15" s="1"/>
  <c r="B34" i="16" s="1"/>
  <c r="B32" i="6"/>
  <c r="B32" i="7" s="1"/>
  <c r="B32" i="8" s="1"/>
  <c r="B32" i="9" s="1"/>
  <c r="B32" i="10" s="1"/>
  <c r="B32" i="11" s="1"/>
  <c r="B32" i="12" s="1"/>
  <c r="B32" i="13" s="1"/>
  <c r="B32" i="14" s="1"/>
  <c r="B32" i="15" s="1"/>
  <c r="B32" i="16" s="1"/>
  <c r="B31" i="6"/>
  <c r="B31" i="7" s="1"/>
  <c r="B31" i="8" s="1"/>
  <c r="B31" i="9" s="1"/>
  <c r="B31" i="10" s="1"/>
  <c r="B31" i="11" s="1"/>
  <c r="B31" i="12" s="1"/>
  <c r="B31" i="13" s="1"/>
  <c r="B31" i="14" s="1"/>
  <c r="B31" i="15" s="1"/>
  <c r="B31" i="16" s="1"/>
  <c r="B29" i="6"/>
  <c r="B29" i="7" s="1"/>
  <c r="B29" i="8" s="1"/>
  <c r="B29" i="9" s="1"/>
  <c r="B29" i="10" s="1"/>
  <c r="B29" i="11" s="1"/>
  <c r="B29" i="12" s="1"/>
  <c r="B29" i="13" s="1"/>
  <c r="B29" i="14" s="1"/>
  <c r="B29" i="15" s="1"/>
  <c r="B29" i="16" s="1"/>
  <c r="B28" i="6"/>
  <c r="B28" i="7" s="1"/>
  <c r="B28" i="8" s="1"/>
  <c r="B28" i="9" s="1"/>
  <c r="B28" i="10" s="1"/>
  <c r="B28" i="11" s="1"/>
  <c r="B28" i="12" s="1"/>
  <c r="B28" i="13" s="1"/>
  <c r="B28" i="14" s="1"/>
  <c r="B28" i="15" s="1"/>
  <c r="B28" i="16" s="1"/>
  <c r="B27" i="6"/>
  <c r="B27" i="7" s="1"/>
  <c r="B27" i="8" s="1"/>
  <c r="B27" i="9" s="1"/>
  <c r="B27" i="10" s="1"/>
  <c r="B27" i="11" s="1"/>
  <c r="B27" i="12" s="1"/>
  <c r="B27" i="13" s="1"/>
  <c r="B27" i="14" s="1"/>
  <c r="B27" i="15" s="1"/>
  <c r="B27" i="16" s="1"/>
  <c r="B25" i="6"/>
  <c r="B25" i="7" s="1"/>
  <c r="B25" i="8" s="1"/>
  <c r="B25" i="9" s="1"/>
  <c r="B25" i="10" s="1"/>
  <c r="B25" i="11" s="1"/>
  <c r="B25" i="12" s="1"/>
  <c r="B25" i="13" s="1"/>
  <c r="B25" i="14" s="1"/>
  <c r="B25" i="15" s="1"/>
  <c r="B25" i="16" s="1"/>
  <c r="B22" i="6"/>
  <c r="B22" i="7" s="1"/>
  <c r="B22" i="8" s="1"/>
  <c r="B22" i="9" s="1"/>
  <c r="B22" i="10" s="1"/>
  <c r="B22" i="11" s="1"/>
  <c r="B22" i="12" s="1"/>
  <c r="B22" i="13" s="1"/>
  <c r="B22" i="14" s="1"/>
  <c r="B22" i="15" s="1"/>
  <c r="B22" i="16" s="1"/>
  <c r="B21" i="6"/>
  <c r="B21" i="7" s="1"/>
  <c r="B21" i="8" s="1"/>
  <c r="B21" i="9" s="1"/>
  <c r="B21" i="10" s="1"/>
  <c r="B21" i="11" s="1"/>
  <c r="B21" i="12" s="1"/>
  <c r="B21" i="13" s="1"/>
  <c r="B21" i="14" s="1"/>
  <c r="B21" i="15" s="1"/>
  <c r="B21" i="16" s="1"/>
  <c r="B20" i="6"/>
  <c r="B20" i="7" s="1"/>
  <c r="B20" i="8" s="1"/>
  <c r="B20" i="9" s="1"/>
  <c r="B20" i="10" s="1"/>
  <c r="B20" i="11" s="1"/>
  <c r="B20" i="12" s="1"/>
  <c r="B20" i="13" s="1"/>
  <c r="B20" i="14" s="1"/>
  <c r="B20" i="15" s="1"/>
  <c r="B20" i="16" s="1"/>
  <c r="B19" i="6"/>
  <c r="B19" i="7" s="1"/>
  <c r="B19" i="8" s="1"/>
  <c r="B19" i="9" s="1"/>
  <c r="B19" i="10" s="1"/>
  <c r="B19" i="11" s="1"/>
  <c r="B19" i="12" s="1"/>
  <c r="B19" i="13" s="1"/>
  <c r="B19" i="14" s="1"/>
  <c r="B19" i="15" s="1"/>
  <c r="B19" i="16" s="1"/>
  <c r="B18" i="6"/>
  <c r="B18" i="7" s="1"/>
  <c r="B18" i="8" s="1"/>
  <c r="B18" i="9" s="1"/>
  <c r="B18" i="10" s="1"/>
  <c r="B18" i="11" s="1"/>
  <c r="B18" i="12" s="1"/>
  <c r="B18" i="13" s="1"/>
  <c r="B18" i="14" s="1"/>
  <c r="B18" i="15" s="1"/>
  <c r="B18" i="16" s="1"/>
  <c r="B16" i="6"/>
  <c r="B16" i="7" s="1"/>
  <c r="B16" i="8" s="1"/>
  <c r="B16" i="9" s="1"/>
  <c r="B16" i="10" s="1"/>
  <c r="B16" i="11" s="1"/>
  <c r="B16" i="12" s="1"/>
  <c r="B16" i="13" s="1"/>
  <c r="B16" i="14" s="1"/>
  <c r="B16" i="15" s="1"/>
  <c r="B16" i="16" s="1"/>
  <c r="B12" i="6"/>
  <c r="B12" i="7" s="1"/>
  <c r="B12" i="8" s="1"/>
  <c r="B10" i="6"/>
  <c r="B10" i="7" s="1"/>
  <c r="B10" i="8" s="1"/>
  <c r="B10" i="9" s="1"/>
  <c r="B10" i="10" s="1"/>
  <c r="B10" i="11" s="1"/>
  <c r="B10" i="12" s="1"/>
  <c r="B10" i="13" s="1"/>
  <c r="B10" i="14" s="1"/>
  <c r="B10" i="15" s="1"/>
  <c r="B10" i="16" s="1"/>
  <c r="C1" i="5"/>
  <c r="AL259" i="6"/>
  <c r="AL259" i="7"/>
  <c r="AL259" i="8"/>
  <c r="AL259" i="10"/>
  <c r="AL259" i="11"/>
  <c r="AL259" i="12"/>
  <c r="AL259" i="13"/>
  <c r="AL259" i="14"/>
  <c r="AL259" i="15"/>
  <c r="AL259" i="16"/>
  <c r="AL259" i="5"/>
  <c r="A10" i="6"/>
  <c r="A10" i="7" s="1"/>
  <c r="A10" i="8" s="1"/>
  <c r="A10" i="9" s="1"/>
  <c r="A10" i="10" s="1"/>
  <c r="A10" i="11" s="1"/>
  <c r="A10" i="12" s="1"/>
  <c r="A10" i="13" s="1"/>
  <c r="A10" i="14" s="1"/>
  <c r="A10" i="15" s="1"/>
  <c r="A10" i="16" s="1"/>
  <c r="A12" i="6"/>
  <c r="A12" i="7" s="1"/>
  <c r="A12" i="8" s="1"/>
  <c r="A12" i="9" s="1"/>
  <c r="A12" i="10" s="1"/>
  <c r="A12" i="11" s="1"/>
  <c r="A12" i="12" s="1"/>
  <c r="A12" i="13" s="1"/>
  <c r="A12" i="14" s="1"/>
  <c r="A12" i="15" s="1"/>
  <c r="A12" i="16" s="1"/>
  <c r="A13" i="6"/>
  <c r="A13" i="7" s="1"/>
  <c r="A13" i="8" s="1"/>
  <c r="A13" i="9" s="1"/>
  <c r="A13" i="10" s="1"/>
  <c r="A13" i="11" s="1"/>
  <c r="A13" i="12" s="1"/>
  <c r="A13" i="13" s="1"/>
  <c r="A13" i="14" s="1"/>
  <c r="A13" i="15" s="1"/>
  <c r="A13" i="16" s="1"/>
  <c r="A14" i="6"/>
  <c r="A14" i="7" s="1"/>
  <c r="A14" i="8" s="1"/>
  <c r="A14" i="9" s="1"/>
  <c r="A14" i="10" s="1"/>
  <c r="A14" i="11" s="1"/>
  <c r="A14" i="12" s="1"/>
  <c r="A14" i="13" s="1"/>
  <c r="A14" i="14" s="1"/>
  <c r="A14" i="15" s="1"/>
  <c r="A14" i="16" s="1"/>
  <c r="A15" i="6"/>
  <c r="A15" i="7" s="1"/>
  <c r="A15" i="8" s="1"/>
  <c r="A15" i="9" s="1"/>
  <c r="A15" i="10" s="1"/>
  <c r="A15" i="11" s="1"/>
  <c r="A15" i="12" s="1"/>
  <c r="A15" i="13" s="1"/>
  <c r="A15" i="14" s="1"/>
  <c r="A15" i="15" s="1"/>
  <c r="A15" i="16" s="1"/>
  <c r="A16" i="6"/>
  <c r="A16" i="7" s="1"/>
  <c r="A16" i="8" s="1"/>
  <c r="A16" i="9" s="1"/>
  <c r="A16" i="10" s="1"/>
  <c r="A16" i="11" s="1"/>
  <c r="A16" i="12" s="1"/>
  <c r="A16" i="13" s="1"/>
  <c r="A16" i="14" s="1"/>
  <c r="A16" i="15" s="1"/>
  <c r="A16" i="16" s="1"/>
  <c r="A18" i="6"/>
  <c r="A18" i="7" s="1"/>
  <c r="A18" i="8" s="1"/>
  <c r="A18" i="9" s="1"/>
  <c r="A18" i="10" s="1"/>
  <c r="A18" i="11" s="1"/>
  <c r="A18" i="12" s="1"/>
  <c r="A18" i="13" s="1"/>
  <c r="A18" i="14" s="1"/>
  <c r="A18" i="15" s="1"/>
  <c r="A18" i="16" s="1"/>
  <c r="A19" i="6"/>
  <c r="A19" i="7" s="1"/>
  <c r="A19" i="8" s="1"/>
  <c r="A19" i="9" s="1"/>
  <c r="A19" i="10" s="1"/>
  <c r="A19" i="11" s="1"/>
  <c r="A19" i="12" s="1"/>
  <c r="A19" i="13" s="1"/>
  <c r="A19" i="14" s="1"/>
  <c r="A19" i="15" s="1"/>
  <c r="A19" i="16" s="1"/>
  <c r="A20" i="6"/>
  <c r="A20" i="7" s="1"/>
  <c r="A20" i="8" s="1"/>
  <c r="A20" i="9" s="1"/>
  <c r="A20" i="10" s="1"/>
  <c r="A20" i="11" s="1"/>
  <c r="A20" i="12" s="1"/>
  <c r="A20" i="13" s="1"/>
  <c r="A20" i="14" s="1"/>
  <c r="A20" i="15" s="1"/>
  <c r="A20" i="16" s="1"/>
  <c r="A21" i="6"/>
  <c r="A21" i="7" s="1"/>
  <c r="A21" i="8" s="1"/>
  <c r="A21" i="9" s="1"/>
  <c r="A21" i="10" s="1"/>
  <c r="A21" i="11" s="1"/>
  <c r="A21" i="12" s="1"/>
  <c r="A21" i="13" s="1"/>
  <c r="A21" i="14" s="1"/>
  <c r="A21" i="15" s="1"/>
  <c r="A21" i="16" s="1"/>
  <c r="A22" i="6"/>
  <c r="A22" i="7" s="1"/>
  <c r="A22" i="8" s="1"/>
  <c r="A22" i="9" s="1"/>
  <c r="A22" i="10" s="1"/>
  <c r="A22" i="11" s="1"/>
  <c r="A22" i="12" s="1"/>
  <c r="A22" i="13" s="1"/>
  <c r="A22" i="14" s="1"/>
  <c r="A22" i="15" s="1"/>
  <c r="A22" i="16" s="1"/>
  <c r="A23" i="6"/>
  <c r="A23" i="7" s="1"/>
  <c r="A23" i="8" s="1"/>
  <c r="A23" i="9" s="1"/>
  <c r="A23" i="10" s="1"/>
  <c r="A23" i="11" s="1"/>
  <c r="A23" i="12" s="1"/>
  <c r="A23" i="13" s="1"/>
  <c r="A23" i="14" s="1"/>
  <c r="A23" i="15" s="1"/>
  <c r="A23" i="16" s="1"/>
  <c r="A24" i="6"/>
  <c r="A24" i="7" s="1"/>
  <c r="A24" i="8" s="1"/>
  <c r="A24" i="9" s="1"/>
  <c r="A24" i="10" s="1"/>
  <c r="A24" i="11" s="1"/>
  <c r="A24" i="12" s="1"/>
  <c r="A24" i="13" s="1"/>
  <c r="A24" i="14" s="1"/>
  <c r="A24" i="15" s="1"/>
  <c r="A24" i="16" s="1"/>
  <c r="A25" i="6"/>
  <c r="A25" i="7" s="1"/>
  <c r="A25" i="8" s="1"/>
  <c r="A25" i="9" s="1"/>
  <c r="A25" i="10" s="1"/>
  <c r="A25" i="11" s="1"/>
  <c r="A25" i="12" s="1"/>
  <c r="A25" i="13" s="1"/>
  <c r="A25" i="14" s="1"/>
  <c r="A25" i="15" s="1"/>
  <c r="A25" i="16" s="1"/>
  <c r="A26" i="6"/>
  <c r="A26" i="7" s="1"/>
  <c r="A26" i="8" s="1"/>
  <c r="A26" i="9" s="1"/>
  <c r="A26" i="10" s="1"/>
  <c r="A26" i="11" s="1"/>
  <c r="A26" i="12" s="1"/>
  <c r="A26" i="13" s="1"/>
  <c r="A26" i="14" s="1"/>
  <c r="A26" i="15" s="1"/>
  <c r="A26" i="16" s="1"/>
  <c r="A27" i="6"/>
  <c r="A27" i="7" s="1"/>
  <c r="A27" i="8" s="1"/>
  <c r="A27" i="9" s="1"/>
  <c r="A27" i="10" s="1"/>
  <c r="A27" i="11" s="1"/>
  <c r="A27" i="12" s="1"/>
  <c r="A27" i="13" s="1"/>
  <c r="A27" i="14" s="1"/>
  <c r="A27" i="15" s="1"/>
  <c r="A27" i="16" s="1"/>
  <c r="A28" i="6"/>
  <c r="A28" i="7" s="1"/>
  <c r="A28" i="8" s="1"/>
  <c r="A28" i="9" s="1"/>
  <c r="A28" i="10" s="1"/>
  <c r="A28" i="11" s="1"/>
  <c r="A28" i="12" s="1"/>
  <c r="A28" i="13" s="1"/>
  <c r="A28" i="14" s="1"/>
  <c r="A28" i="15" s="1"/>
  <c r="A28" i="16" s="1"/>
  <c r="A29" i="6"/>
  <c r="A29" i="7" s="1"/>
  <c r="A29" i="8" s="1"/>
  <c r="A29" i="9" s="1"/>
  <c r="A29" i="10" s="1"/>
  <c r="A29" i="11" s="1"/>
  <c r="A29" i="12" s="1"/>
  <c r="A29" i="13" s="1"/>
  <c r="A29" i="14" s="1"/>
  <c r="A29" i="15" s="1"/>
  <c r="A29" i="16" s="1"/>
  <c r="A30" i="6"/>
  <c r="A30" i="7" s="1"/>
  <c r="A30" i="8" s="1"/>
  <c r="A30" i="9" s="1"/>
  <c r="A30" i="10" s="1"/>
  <c r="A30" i="11" s="1"/>
  <c r="A30" i="12" s="1"/>
  <c r="A30" i="13" s="1"/>
  <c r="A30" i="14" s="1"/>
  <c r="A30" i="15" s="1"/>
  <c r="A30" i="16" s="1"/>
  <c r="A31" i="6"/>
  <c r="A31" i="7" s="1"/>
  <c r="A31" i="8" s="1"/>
  <c r="A31" i="9" s="1"/>
  <c r="A31" i="10" s="1"/>
  <c r="A31" i="11" s="1"/>
  <c r="A31" i="12" s="1"/>
  <c r="A31" i="13" s="1"/>
  <c r="A31" i="14" s="1"/>
  <c r="A31" i="15" s="1"/>
  <c r="A31" i="16" s="1"/>
  <c r="A32" i="6"/>
  <c r="A32" i="7" s="1"/>
  <c r="A32" i="8" s="1"/>
  <c r="A32" i="9" s="1"/>
  <c r="A32" i="10" s="1"/>
  <c r="A32" i="11" s="1"/>
  <c r="A32" i="12" s="1"/>
  <c r="A32" i="13" s="1"/>
  <c r="A32" i="14" s="1"/>
  <c r="A32" i="15" s="1"/>
  <c r="A32" i="16" s="1"/>
  <c r="A33" i="6"/>
  <c r="A33" i="7" s="1"/>
  <c r="A33" i="8" s="1"/>
  <c r="A33" i="9" s="1"/>
  <c r="A33" i="10" s="1"/>
  <c r="A33" i="11" s="1"/>
  <c r="A33" i="12" s="1"/>
  <c r="A33" i="13" s="1"/>
  <c r="A33" i="14" s="1"/>
  <c r="A33" i="15" s="1"/>
  <c r="A33" i="16" s="1"/>
  <c r="A34" i="6"/>
  <c r="A34" i="7" s="1"/>
  <c r="A34" i="8" s="1"/>
  <c r="A34" i="9" s="1"/>
  <c r="A34" i="10" s="1"/>
  <c r="A34" i="11" s="1"/>
  <c r="A34" i="12" s="1"/>
  <c r="A34" i="13" s="1"/>
  <c r="A34" i="14" s="1"/>
  <c r="A34" i="15" s="1"/>
  <c r="A34" i="16" s="1"/>
  <c r="A35" i="6"/>
  <c r="A35" i="7" s="1"/>
  <c r="A35" i="8" s="1"/>
  <c r="A35" i="9" s="1"/>
  <c r="A35" i="10" s="1"/>
  <c r="A35" i="11" s="1"/>
  <c r="A35" i="12" s="1"/>
  <c r="A35" i="13" s="1"/>
  <c r="A35" i="14" s="1"/>
  <c r="A35" i="15" s="1"/>
  <c r="A35" i="16" s="1"/>
  <c r="A36" i="6"/>
  <c r="A36" i="7" s="1"/>
  <c r="A36" i="8" s="1"/>
  <c r="A36" i="9" s="1"/>
  <c r="A36" i="10" s="1"/>
  <c r="A36" i="11" s="1"/>
  <c r="A36" i="12" s="1"/>
  <c r="A36" i="13" s="1"/>
  <c r="A36" i="14" s="1"/>
  <c r="A36" i="15" s="1"/>
  <c r="A36" i="16" s="1"/>
  <c r="A37" i="6"/>
  <c r="A37" i="7" s="1"/>
  <c r="A37" i="8" s="1"/>
  <c r="A37" i="9" s="1"/>
  <c r="A37" i="10" s="1"/>
  <c r="A37" i="11" s="1"/>
  <c r="A37" i="12" s="1"/>
  <c r="A37" i="13" s="1"/>
  <c r="A37" i="14" s="1"/>
  <c r="A37" i="15" s="1"/>
  <c r="A37" i="16" s="1"/>
  <c r="A38" i="13"/>
  <c r="A38" i="14" s="1"/>
  <c r="A38" i="15" s="1"/>
  <c r="A38" i="16" s="1"/>
  <c r="A39" i="13"/>
  <c r="A39" i="14" s="1"/>
  <c r="A39" i="15" s="1"/>
  <c r="A39" i="16" s="1"/>
  <c r="A40" i="13"/>
  <c r="A40" i="14" s="1"/>
  <c r="A40" i="15" s="1"/>
  <c r="A40" i="16" s="1"/>
  <c r="A41" i="6"/>
  <c r="A41" i="7" s="1"/>
  <c r="A41" i="8" s="1"/>
  <c r="A41" i="9" s="1"/>
  <c r="A41" i="10" s="1"/>
  <c r="A41" i="11" s="1"/>
  <c r="A41" i="12" s="1"/>
  <c r="A41" i="13" s="1"/>
  <c r="A41" i="14" s="1"/>
  <c r="A41" i="15" s="1"/>
  <c r="A41" i="16" s="1"/>
  <c r="A42" i="6"/>
  <c r="A42" i="7" s="1"/>
  <c r="A42" i="8" s="1"/>
  <c r="A42" i="9" s="1"/>
  <c r="A42" i="10" s="1"/>
  <c r="A42" i="11" s="1"/>
  <c r="A42" i="12" s="1"/>
  <c r="A42" i="13" s="1"/>
  <c r="A42" i="14" s="1"/>
  <c r="A42" i="15" s="1"/>
  <c r="A42" i="16" s="1"/>
  <c r="A43" i="6"/>
  <c r="A43" i="7" s="1"/>
  <c r="A43" i="8" s="1"/>
  <c r="A43" i="9" s="1"/>
  <c r="A43" i="10" s="1"/>
  <c r="A43" i="11" s="1"/>
  <c r="A43" i="12" s="1"/>
  <c r="A43" i="13" s="1"/>
  <c r="A43" i="14" s="1"/>
  <c r="A43" i="15" s="1"/>
  <c r="A43" i="16" s="1"/>
  <c r="A44" i="6"/>
  <c r="A44" i="7" s="1"/>
  <c r="A44" i="8" s="1"/>
  <c r="A44" i="9" s="1"/>
  <c r="A44" i="10" s="1"/>
  <c r="A44" i="11" s="1"/>
  <c r="A44" i="12" s="1"/>
  <c r="A44" i="13" s="1"/>
  <c r="A44" i="14" s="1"/>
  <c r="A44" i="15" s="1"/>
  <c r="A44" i="16" s="1"/>
  <c r="A45" i="6"/>
  <c r="A45" i="7" s="1"/>
  <c r="A45" i="8" s="1"/>
  <c r="A45" i="9" s="1"/>
  <c r="A45" i="10" s="1"/>
  <c r="A45" i="11" s="1"/>
  <c r="A45" i="12" s="1"/>
  <c r="A45" i="13" s="1"/>
  <c r="A45" i="14" s="1"/>
  <c r="A45" i="15" s="1"/>
  <c r="A45" i="16" s="1"/>
  <c r="A46" i="6"/>
  <c r="A46" i="7" s="1"/>
  <c r="A46" i="8" s="1"/>
  <c r="A46" i="9" s="1"/>
  <c r="A46" i="10" s="1"/>
  <c r="A46" i="11" s="1"/>
  <c r="A46" i="12" s="1"/>
  <c r="A46" i="13" s="1"/>
  <c r="A46" i="14" s="1"/>
  <c r="A46" i="15" s="1"/>
  <c r="A46" i="16" s="1"/>
  <c r="A47" i="6"/>
  <c r="A47" i="7" s="1"/>
  <c r="A47" i="8" s="1"/>
  <c r="A47" i="9" s="1"/>
  <c r="A47" i="10" s="1"/>
  <c r="A47" i="11" s="1"/>
  <c r="A47" i="12" s="1"/>
  <c r="A47" i="13" s="1"/>
  <c r="A47" i="14" s="1"/>
  <c r="A47" i="15" s="1"/>
  <c r="A47" i="16" s="1"/>
  <c r="A48" i="6"/>
  <c r="A48" i="7" s="1"/>
  <c r="A48" i="8" s="1"/>
  <c r="A48" i="9" s="1"/>
  <c r="A48" i="10" s="1"/>
  <c r="A48" i="11" s="1"/>
  <c r="A48" i="12" s="1"/>
  <c r="A48" i="13" s="1"/>
  <c r="A48" i="14" s="1"/>
  <c r="A48" i="15" s="1"/>
  <c r="A48" i="16" s="1"/>
  <c r="A49" i="6"/>
  <c r="A49" i="7" s="1"/>
  <c r="A49" i="8" s="1"/>
  <c r="A49" i="9" s="1"/>
  <c r="A49" i="10" s="1"/>
  <c r="A49" i="11" s="1"/>
  <c r="A49" i="12" s="1"/>
  <c r="A49" i="13" s="1"/>
  <c r="A49" i="14" s="1"/>
  <c r="A49" i="15" s="1"/>
  <c r="A49" i="16" s="1"/>
  <c r="A50" i="6"/>
  <c r="A50" i="7" s="1"/>
  <c r="A50" i="8" s="1"/>
  <c r="A50" i="9" s="1"/>
  <c r="A50" i="10" s="1"/>
  <c r="A50" i="11" s="1"/>
  <c r="A50" i="12" s="1"/>
  <c r="A50" i="13" s="1"/>
  <c r="A50" i="14" s="1"/>
  <c r="A50" i="15" s="1"/>
  <c r="A50" i="16" s="1"/>
  <c r="A51" i="6"/>
  <c r="A51" i="7" s="1"/>
  <c r="A51" i="8" s="1"/>
  <c r="A51" i="9" s="1"/>
  <c r="A51" i="10" s="1"/>
  <c r="A51" i="11" s="1"/>
  <c r="A51" i="12" s="1"/>
  <c r="A51" i="13" s="1"/>
  <c r="A51" i="14" s="1"/>
  <c r="A51" i="15" s="1"/>
  <c r="A51" i="16" s="1"/>
  <c r="A52" i="6"/>
  <c r="A52" i="7" s="1"/>
  <c r="A52" i="8" s="1"/>
  <c r="A52" i="9" s="1"/>
  <c r="A52" i="10" s="1"/>
  <c r="A52" i="11" s="1"/>
  <c r="A52" i="12" s="1"/>
  <c r="A52" i="13" s="1"/>
  <c r="A52" i="14" s="1"/>
  <c r="A52" i="15" s="1"/>
  <c r="A52" i="16" s="1"/>
  <c r="A53" i="6"/>
  <c r="A53" i="7" s="1"/>
  <c r="A53" i="8" s="1"/>
  <c r="A53" i="9" s="1"/>
  <c r="A53" i="10" s="1"/>
  <c r="A53" i="11" s="1"/>
  <c r="A53" i="12" s="1"/>
  <c r="A53" i="13" s="1"/>
  <c r="A53" i="14" s="1"/>
  <c r="A53" i="15" s="1"/>
  <c r="A53" i="16" s="1"/>
  <c r="A54" i="6"/>
  <c r="A54" i="7" s="1"/>
  <c r="A54" i="8" s="1"/>
  <c r="A54" i="9" s="1"/>
  <c r="A54" i="10" s="1"/>
  <c r="A54" i="11" s="1"/>
  <c r="A54" i="12" s="1"/>
  <c r="A54" i="13" s="1"/>
  <c r="A54" i="14" s="1"/>
  <c r="A54" i="15" s="1"/>
  <c r="A54" i="16" s="1"/>
  <c r="A55" i="6"/>
  <c r="A55" i="7" s="1"/>
  <c r="A55" i="8" s="1"/>
  <c r="A55" i="9" s="1"/>
  <c r="A55" i="10" s="1"/>
  <c r="A55" i="11" s="1"/>
  <c r="A55" i="12" s="1"/>
  <c r="A55" i="13" s="1"/>
  <c r="A55" i="14" s="1"/>
  <c r="A55" i="15" s="1"/>
  <c r="A55" i="16" s="1"/>
  <c r="A56" i="6"/>
  <c r="A56" i="7" s="1"/>
  <c r="A56" i="8" s="1"/>
  <c r="A56" i="9" s="1"/>
  <c r="A56" i="10" s="1"/>
  <c r="A56" i="11" s="1"/>
  <c r="A56" i="12" s="1"/>
  <c r="A56" i="13" s="1"/>
  <c r="A56" i="14" s="1"/>
  <c r="A56" i="15" s="1"/>
  <c r="A56" i="16" s="1"/>
  <c r="A57" i="6"/>
  <c r="A57" i="7" s="1"/>
  <c r="A57" i="8" s="1"/>
  <c r="A57" i="9" s="1"/>
  <c r="A57" i="10" s="1"/>
  <c r="A57" i="11" s="1"/>
  <c r="A57" i="12" s="1"/>
  <c r="A57" i="13" s="1"/>
  <c r="A57" i="14" s="1"/>
  <c r="A57" i="15" s="1"/>
  <c r="A57" i="16" s="1"/>
  <c r="A58" i="6"/>
  <c r="A58" i="7" s="1"/>
  <c r="A58" i="8" s="1"/>
  <c r="A58" i="9" s="1"/>
  <c r="A58" i="10" s="1"/>
  <c r="A58" i="11" s="1"/>
  <c r="A58" i="12" s="1"/>
  <c r="A58" i="13" s="1"/>
  <c r="A58" i="14" s="1"/>
  <c r="A58" i="15" s="1"/>
  <c r="A58" i="16" s="1"/>
  <c r="A59" i="6"/>
  <c r="A59" i="7" s="1"/>
  <c r="A59" i="8" s="1"/>
  <c r="A59" i="9" s="1"/>
  <c r="A59" i="10" s="1"/>
  <c r="A59" i="11" s="1"/>
  <c r="A59" i="12" s="1"/>
  <c r="A59" i="13" s="1"/>
  <c r="A59" i="14" s="1"/>
  <c r="A59" i="15" s="1"/>
  <c r="A59" i="16" s="1"/>
  <c r="A60" i="6"/>
  <c r="A60" i="7" s="1"/>
  <c r="A60" i="8" s="1"/>
  <c r="A60" i="9" s="1"/>
  <c r="A60" i="10" s="1"/>
  <c r="A60" i="11" s="1"/>
  <c r="A60" i="12" s="1"/>
  <c r="A60" i="13" s="1"/>
  <c r="A60" i="14" s="1"/>
  <c r="A60" i="15" s="1"/>
  <c r="A60" i="16" s="1"/>
  <c r="A61" i="6"/>
  <c r="A61" i="7" s="1"/>
  <c r="A61" i="8" s="1"/>
  <c r="A61" i="9" s="1"/>
  <c r="A61" i="10" s="1"/>
  <c r="A61" i="11" s="1"/>
  <c r="A61" i="12" s="1"/>
  <c r="A61" i="13" s="1"/>
  <c r="A61" i="14" s="1"/>
  <c r="A61" i="15" s="1"/>
  <c r="A61" i="16" s="1"/>
  <c r="A62" i="6"/>
  <c r="A62" i="7" s="1"/>
  <c r="A62" i="8" s="1"/>
  <c r="A62" i="9" s="1"/>
  <c r="A62" i="10" s="1"/>
  <c r="A62" i="11" s="1"/>
  <c r="A62" i="12" s="1"/>
  <c r="A62" i="13" s="1"/>
  <c r="A62" i="14" s="1"/>
  <c r="A62" i="15" s="1"/>
  <c r="A62" i="16" s="1"/>
  <c r="A63" i="6"/>
  <c r="A63" i="7" s="1"/>
  <c r="A63" i="8" s="1"/>
  <c r="A63" i="9" s="1"/>
  <c r="A63" i="10" s="1"/>
  <c r="A63" i="11" s="1"/>
  <c r="A63" i="12" s="1"/>
  <c r="A63" i="13" s="1"/>
  <c r="A63" i="14" s="1"/>
  <c r="A63" i="15" s="1"/>
  <c r="A63" i="16" s="1"/>
  <c r="A64" i="6"/>
  <c r="A64" i="7" s="1"/>
  <c r="A64" i="8" s="1"/>
  <c r="A64" i="9" s="1"/>
  <c r="A64" i="10" s="1"/>
  <c r="A64" i="11" s="1"/>
  <c r="A64" i="12" s="1"/>
  <c r="A64" i="13" s="1"/>
  <c r="A64" i="14" s="1"/>
  <c r="A64" i="15" s="1"/>
  <c r="A64" i="16" s="1"/>
  <c r="A65" i="6"/>
  <c r="A65" i="7" s="1"/>
  <c r="A65" i="8" s="1"/>
  <c r="A65" i="9" s="1"/>
  <c r="A65" i="10" s="1"/>
  <c r="A65" i="11" s="1"/>
  <c r="A65" i="12" s="1"/>
  <c r="A65" i="13" s="1"/>
  <c r="A65" i="14" s="1"/>
  <c r="A65" i="15" s="1"/>
  <c r="A65" i="16" s="1"/>
  <c r="A66" i="6"/>
  <c r="A66" i="7" s="1"/>
  <c r="A66" i="8" s="1"/>
  <c r="A66" i="9" s="1"/>
  <c r="A66" i="10" s="1"/>
  <c r="A66" i="11" s="1"/>
  <c r="A66" i="12" s="1"/>
  <c r="A66" i="13" s="1"/>
  <c r="A66" i="14" s="1"/>
  <c r="A66" i="15" s="1"/>
  <c r="A66" i="16" s="1"/>
  <c r="A67" i="6"/>
  <c r="A67" i="7" s="1"/>
  <c r="A67" i="8" s="1"/>
  <c r="A67" i="9" s="1"/>
  <c r="A67" i="10" s="1"/>
  <c r="A67" i="11" s="1"/>
  <c r="A67" i="12" s="1"/>
  <c r="A67" i="13" s="1"/>
  <c r="A67" i="14" s="1"/>
  <c r="A67" i="15" s="1"/>
  <c r="A67" i="16" s="1"/>
  <c r="A68" i="6"/>
  <c r="A68" i="7" s="1"/>
  <c r="A68" i="8" s="1"/>
  <c r="A68" i="9" s="1"/>
  <c r="A68" i="10" s="1"/>
  <c r="A68" i="11" s="1"/>
  <c r="A68" i="12" s="1"/>
  <c r="A68" i="13" s="1"/>
  <c r="A68" i="14" s="1"/>
  <c r="A68" i="15" s="1"/>
  <c r="A68" i="16" s="1"/>
  <c r="A69" i="6"/>
  <c r="A69" i="7" s="1"/>
  <c r="A69" i="8" s="1"/>
  <c r="A69" i="9" s="1"/>
  <c r="A69" i="10" s="1"/>
  <c r="A69" i="11" s="1"/>
  <c r="A69" i="12" s="1"/>
  <c r="A69" i="13" s="1"/>
  <c r="A69" i="14" s="1"/>
  <c r="A69" i="15" s="1"/>
  <c r="A69" i="16" s="1"/>
  <c r="A70" i="6"/>
  <c r="A70" i="7" s="1"/>
  <c r="A70" i="8" s="1"/>
  <c r="A70" i="9" s="1"/>
  <c r="A70" i="10" s="1"/>
  <c r="A70" i="11" s="1"/>
  <c r="A70" i="12" s="1"/>
  <c r="A70" i="13" s="1"/>
  <c r="A70" i="14" s="1"/>
  <c r="A70" i="15" s="1"/>
  <c r="A70" i="16" s="1"/>
  <c r="A71" i="6"/>
  <c r="A71" i="7" s="1"/>
  <c r="A71" i="8" s="1"/>
  <c r="A71" i="9" s="1"/>
  <c r="A71" i="10" s="1"/>
  <c r="A71" i="11" s="1"/>
  <c r="A71" i="12" s="1"/>
  <c r="A71" i="13" s="1"/>
  <c r="A71" i="14" s="1"/>
  <c r="A71" i="15" s="1"/>
  <c r="A71" i="16" s="1"/>
  <c r="A72" i="6"/>
  <c r="A72" i="7" s="1"/>
  <c r="A72" i="8" s="1"/>
  <c r="A72" i="9" s="1"/>
  <c r="A72" i="10" s="1"/>
  <c r="A72" i="11" s="1"/>
  <c r="A72" i="12" s="1"/>
  <c r="A72" i="13" s="1"/>
  <c r="A72" i="14" s="1"/>
  <c r="A72" i="15" s="1"/>
  <c r="A72" i="16" s="1"/>
  <c r="A73" i="6"/>
  <c r="A73" i="7" s="1"/>
  <c r="A73" i="8" s="1"/>
  <c r="A73" i="9" s="1"/>
  <c r="A73" i="10" s="1"/>
  <c r="A73" i="11" s="1"/>
  <c r="A73" i="12" s="1"/>
  <c r="A73" i="13" s="1"/>
  <c r="A73" i="14" s="1"/>
  <c r="A73" i="15" s="1"/>
  <c r="A73" i="16" s="1"/>
  <c r="A74" i="6"/>
  <c r="A74" i="7" s="1"/>
  <c r="A74" i="8" s="1"/>
  <c r="A74" i="9" s="1"/>
  <c r="A74" i="10" s="1"/>
  <c r="A74" i="11" s="1"/>
  <c r="A74" i="12" s="1"/>
  <c r="A74" i="13" s="1"/>
  <c r="A74" i="14" s="1"/>
  <c r="A74" i="15" s="1"/>
  <c r="A74" i="16" s="1"/>
  <c r="A75" i="6"/>
  <c r="A75" i="7" s="1"/>
  <c r="A75" i="8" s="1"/>
  <c r="A75" i="9" s="1"/>
  <c r="A75" i="10" s="1"/>
  <c r="A75" i="11" s="1"/>
  <c r="A75" i="12" s="1"/>
  <c r="A75" i="13" s="1"/>
  <c r="A75" i="14" s="1"/>
  <c r="A75" i="15" s="1"/>
  <c r="A75" i="16" s="1"/>
  <c r="A76" i="6"/>
  <c r="A76" i="7" s="1"/>
  <c r="A76" i="8" s="1"/>
  <c r="A76" i="9" s="1"/>
  <c r="A76" i="10" s="1"/>
  <c r="A76" i="11" s="1"/>
  <c r="A76" i="12" s="1"/>
  <c r="A76" i="13" s="1"/>
  <c r="A76" i="14" s="1"/>
  <c r="A76" i="15" s="1"/>
  <c r="A76" i="16" s="1"/>
  <c r="A77" i="6"/>
  <c r="A77" i="7" s="1"/>
  <c r="A77" i="8" s="1"/>
  <c r="A77" i="9" s="1"/>
  <c r="A77" i="10" s="1"/>
  <c r="A77" i="11" s="1"/>
  <c r="A77" i="12" s="1"/>
  <c r="A77" i="13" s="1"/>
  <c r="A77" i="14" s="1"/>
  <c r="A77" i="15" s="1"/>
  <c r="A77" i="16" s="1"/>
  <c r="A78" i="6"/>
  <c r="A78" i="7" s="1"/>
  <c r="A78" i="8" s="1"/>
  <c r="A78" i="9" s="1"/>
  <c r="A78" i="10" s="1"/>
  <c r="A78" i="11" s="1"/>
  <c r="A78" i="12" s="1"/>
  <c r="A78" i="13" s="1"/>
  <c r="A78" i="14" s="1"/>
  <c r="A78" i="15" s="1"/>
  <c r="A78" i="16" s="1"/>
  <c r="A79" i="6"/>
  <c r="A79" i="7" s="1"/>
  <c r="A79" i="8" s="1"/>
  <c r="A79" i="9" s="1"/>
  <c r="A79" i="10" s="1"/>
  <c r="A79" i="11" s="1"/>
  <c r="A79" i="12" s="1"/>
  <c r="A79" i="13" s="1"/>
  <c r="A79" i="14" s="1"/>
  <c r="A79" i="15" s="1"/>
  <c r="A79" i="16" s="1"/>
  <c r="A80" i="6"/>
  <c r="A80" i="7" s="1"/>
  <c r="A80" i="8" s="1"/>
  <c r="A80" i="9" s="1"/>
  <c r="A80" i="10" s="1"/>
  <c r="A80" i="11" s="1"/>
  <c r="A80" i="12" s="1"/>
  <c r="A80" i="13" s="1"/>
  <c r="A80" i="14" s="1"/>
  <c r="A80" i="15" s="1"/>
  <c r="A80" i="16" s="1"/>
  <c r="A81" i="6"/>
  <c r="A81" i="7" s="1"/>
  <c r="A81" i="8" s="1"/>
  <c r="A81" i="9" s="1"/>
  <c r="A81" i="10" s="1"/>
  <c r="A81" i="11" s="1"/>
  <c r="A81" i="12" s="1"/>
  <c r="A81" i="13" s="1"/>
  <c r="A81" i="14" s="1"/>
  <c r="A81" i="15" s="1"/>
  <c r="A81" i="16" s="1"/>
  <c r="A82" i="6"/>
  <c r="A82" i="7" s="1"/>
  <c r="A82" i="8" s="1"/>
  <c r="A82" i="9" s="1"/>
  <c r="A82" i="10" s="1"/>
  <c r="A82" i="11" s="1"/>
  <c r="A82" i="12" s="1"/>
  <c r="A82" i="13" s="1"/>
  <c r="A82" i="14" s="1"/>
  <c r="A82" i="15" s="1"/>
  <c r="A82" i="16" s="1"/>
  <c r="A83" i="6"/>
  <c r="A83" i="7" s="1"/>
  <c r="A83" i="8" s="1"/>
  <c r="A83" i="9" s="1"/>
  <c r="A83" i="10" s="1"/>
  <c r="A83" i="11" s="1"/>
  <c r="A83" i="12" s="1"/>
  <c r="A83" i="13" s="1"/>
  <c r="A83" i="14" s="1"/>
  <c r="A83" i="15" s="1"/>
  <c r="A83" i="16" s="1"/>
  <c r="S8" i="6"/>
  <c r="S8" i="7" s="1"/>
  <c r="S8" i="8" s="1"/>
  <c r="S8" i="9" s="1"/>
  <c r="S8" i="10" s="1"/>
  <c r="S8" i="11" s="1"/>
  <c r="S8" i="12" s="1"/>
  <c r="S8" i="13" s="1"/>
  <c r="S8" i="14" s="1"/>
  <c r="S8" i="15" s="1"/>
  <c r="S8" i="16" s="1"/>
  <c r="T8" i="6"/>
  <c r="T8" i="7" s="1"/>
  <c r="S10" i="6"/>
  <c r="S10" i="7" s="1"/>
  <c r="S10" i="8" s="1"/>
  <c r="S10" i="9" s="1"/>
  <c r="S10" i="10" s="1"/>
  <c r="S10" i="11" s="1"/>
  <c r="S10" i="12" s="1"/>
  <c r="S10" i="13" s="1"/>
  <c r="S10" i="14" s="1"/>
  <c r="S10" i="15" s="1"/>
  <c r="S10" i="16" s="1"/>
  <c r="T10" i="6"/>
  <c r="T10" i="7" s="1"/>
  <c r="T10" i="8" s="1"/>
  <c r="T10" i="9" s="1"/>
  <c r="T10" i="10" s="1"/>
  <c r="T10" i="11" s="1"/>
  <c r="T10" i="12" s="1"/>
  <c r="T10" i="13" s="1"/>
  <c r="T10" i="14" s="1"/>
  <c r="T10" i="15" s="1"/>
  <c r="T10" i="16" s="1"/>
  <c r="S12" i="6"/>
  <c r="S12" i="7" s="1"/>
  <c r="S12" i="8" s="1"/>
  <c r="S12" i="9" s="1"/>
  <c r="S12" i="10" s="1"/>
  <c r="S12" i="11" s="1"/>
  <c r="S12" i="12" s="1"/>
  <c r="S12" i="13" s="1"/>
  <c r="S12" i="14" s="1"/>
  <c r="S12" i="15" s="1"/>
  <c r="S12" i="16" s="1"/>
  <c r="T12" i="6"/>
  <c r="T12" i="7" s="1"/>
  <c r="T12" i="8" s="1"/>
  <c r="T12" i="9" s="1"/>
  <c r="T12" i="10" s="1"/>
  <c r="T12" i="11" s="1"/>
  <c r="T12" i="12" s="1"/>
  <c r="T12" i="13" s="1"/>
  <c r="T12" i="14" s="1"/>
  <c r="T12" i="15" s="1"/>
  <c r="T12" i="16" s="1"/>
  <c r="S14" i="6"/>
  <c r="S14" i="7" s="1"/>
  <c r="S14" i="8" s="1"/>
  <c r="S14" i="9" s="1"/>
  <c r="S14" i="10" s="1"/>
  <c r="S14" i="11" s="1"/>
  <c r="S14" i="12" s="1"/>
  <c r="S14" i="13" s="1"/>
  <c r="S14" i="14" s="1"/>
  <c r="S14" i="15" s="1"/>
  <c r="S14" i="16" s="1"/>
  <c r="T14" i="6"/>
  <c r="T14" i="7" s="1"/>
  <c r="T14" i="8" s="1"/>
  <c r="T14" i="9" s="1"/>
  <c r="T14" i="10" s="1"/>
  <c r="T14" i="11" s="1"/>
  <c r="T14" i="12" s="1"/>
  <c r="T14" i="13" s="1"/>
  <c r="T14" i="14" s="1"/>
  <c r="T14" i="15" s="1"/>
  <c r="T14" i="16" s="1"/>
  <c r="S15" i="6"/>
  <c r="S15" i="7" s="1"/>
  <c r="S15" i="8" s="1"/>
  <c r="S15" i="9" s="1"/>
  <c r="S15" i="10" s="1"/>
  <c r="S15" i="11" s="1"/>
  <c r="S15" i="12" s="1"/>
  <c r="S15" i="13" s="1"/>
  <c r="S15" i="14" s="1"/>
  <c r="S15" i="15" s="1"/>
  <c r="S15" i="16" s="1"/>
  <c r="S16" i="6"/>
  <c r="S16" i="7" s="1"/>
  <c r="S16" i="8" s="1"/>
  <c r="S16" i="9" s="1"/>
  <c r="S16" i="10" s="1"/>
  <c r="S16" i="11" s="1"/>
  <c r="S16" i="12" s="1"/>
  <c r="S16" i="13" s="1"/>
  <c r="S16" i="14" s="1"/>
  <c r="S16" i="15" s="1"/>
  <c r="S16" i="16" s="1"/>
  <c r="T16" i="6"/>
  <c r="T16" i="7" s="1"/>
  <c r="T16" i="8" s="1"/>
  <c r="T16" i="9" s="1"/>
  <c r="T16" i="10" s="1"/>
  <c r="T16" i="11" s="1"/>
  <c r="T16" i="12" s="1"/>
  <c r="T16" i="13" s="1"/>
  <c r="T16" i="14" s="1"/>
  <c r="T16" i="15" s="1"/>
  <c r="T16" i="16" s="1"/>
  <c r="S17" i="6"/>
  <c r="S17" i="7" s="1"/>
  <c r="S17" i="8" s="1"/>
  <c r="S17" i="9" s="1"/>
  <c r="S17" i="10" s="1"/>
  <c r="S17" i="11" s="1"/>
  <c r="S17" i="12" s="1"/>
  <c r="S17" i="13" s="1"/>
  <c r="S17" i="14" s="1"/>
  <c r="S17" i="15" s="1"/>
  <c r="S17" i="16" s="1"/>
  <c r="T17" i="6"/>
  <c r="T17" i="7" s="1"/>
  <c r="T17" i="8" s="1"/>
  <c r="T17" i="9" s="1"/>
  <c r="T17" i="10" s="1"/>
  <c r="T17" i="11" s="1"/>
  <c r="T17" i="12" s="1"/>
  <c r="T17" i="13" s="1"/>
  <c r="T17" i="14" s="1"/>
  <c r="T17" i="15" s="1"/>
  <c r="T17" i="16" s="1"/>
  <c r="S18" i="6"/>
  <c r="S18" i="7" s="1"/>
  <c r="S18" i="8" s="1"/>
  <c r="S18" i="9" s="1"/>
  <c r="S18" i="10" s="1"/>
  <c r="S18" i="11" s="1"/>
  <c r="S18" i="12" s="1"/>
  <c r="S18" i="13" s="1"/>
  <c r="S18" i="14" s="1"/>
  <c r="S18" i="15" s="1"/>
  <c r="S18" i="16" s="1"/>
  <c r="T18" i="6"/>
  <c r="T18" i="7" s="1"/>
  <c r="T18" i="8" s="1"/>
  <c r="T18" i="9" s="1"/>
  <c r="T18" i="10" s="1"/>
  <c r="T18" i="11" s="1"/>
  <c r="T18" i="12" s="1"/>
  <c r="T18" i="13" s="1"/>
  <c r="T18" i="14" s="1"/>
  <c r="T18" i="15" s="1"/>
  <c r="T18" i="16" s="1"/>
  <c r="S19" i="6"/>
  <c r="S19" i="7" s="1"/>
  <c r="S19" i="8" s="1"/>
  <c r="S19" i="9" s="1"/>
  <c r="S19" i="10" s="1"/>
  <c r="S19" i="11" s="1"/>
  <c r="S19" i="12" s="1"/>
  <c r="S19" i="13" s="1"/>
  <c r="S19" i="14" s="1"/>
  <c r="S19" i="15" s="1"/>
  <c r="S19" i="16" s="1"/>
  <c r="T19" i="6"/>
  <c r="T19" i="7" s="1"/>
  <c r="T19" i="8" s="1"/>
  <c r="T19" i="9" s="1"/>
  <c r="T19" i="10" s="1"/>
  <c r="T19" i="11" s="1"/>
  <c r="T19" i="12" s="1"/>
  <c r="T19" i="13" s="1"/>
  <c r="T19" i="14" s="1"/>
  <c r="T19" i="15" s="1"/>
  <c r="T19" i="16" s="1"/>
  <c r="S20" i="6"/>
  <c r="S20" i="7" s="1"/>
  <c r="S20" i="8" s="1"/>
  <c r="S20" i="9" s="1"/>
  <c r="S20" i="10" s="1"/>
  <c r="S20" i="11" s="1"/>
  <c r="S20" i="12" s="1"/>
  <c r="S20" i="13" s="1"/>
  <c r="S20" i="14" s="1"/>
  <c r="S20" i="15" s="1"/>
  <c r="S20" i="16" s="1"/>
  <c r="T20" i="6"/>
  <c r="T20" i="7" s="1"/>
  <c r="T20" i="8" s="1"/>
  <c r="T20" i="9" s="1"/>
  <c r="T20" i="10" s="1"/>
  <c r="T20" i="11" s="1"/>
  <c r="T20" i="12" s="1"/>
  <c r="T20" i="13" s="1"/>
  <c r="T20" i="14" s="1"/>
  <c r="T20" i="15" s="1"/>
  <c r="T20" i="16" s="1"/>
  <c r="S21" i="6"/>
  <c r="S21" i="7" s="1"/>
  <c r="S21" i="8" s="1"/>
  <c r="S21" i="9" s="1"/>
  <c r="S21" i="10" s="1"/>
  <c r="S21" i="11" s="1"/>
  <c r="S21" i="12" s="1"/>
  <c r="S21" i="13" s="1"/>
  <c r="S21" i="14" s="1"/>
  <c r="S21" i="15" s="1"/>
  <c r="S21" i="16" s="1"/>
  <c r="T21" i="6"/>
  <c r="T21" i="7" s="1"/>
  <c r="T21" i="8" s="1"/>
  <c r="T21" i="9" s="1"/>
  <c r="T21" i="10" s="1"/>
  <c r="T21" i="11" s="1"/>
  <c r="T21" i="12" s="1"/>
  <c r="T21" i="13" s="1"/>
  <c r="T21" i="14" s="1"/>
  <c r="T21" i="15" s="1"/>
  <c r="T21" i="16" s="1"/>
  <c r="S22" i="6"/>
  <c r="S22" i="7" s="1"/>
  <c r="S22" i="8" s="1"/>
  <c r="S22" i="9" s="1"/>
  <c r="S22" i="10" s="1"/>
  <c r="S22" i="11" s="1"/>
  <c r="S22" i="12" s="1"/>
  <c r="S22" i="13" s="1"/>
  <c r="S22" i="14" s="1"/>
  <c r="S22" i="15" s="1"/>
  <c r="S22" i="16" s="1"/>
  <c r="T22" i="6"/>
  <c r="T22" i="7" s="1"/>
  <c r="T22" i="8" s="1"/>
  <c r="T22" i="9" s="1"/>
  <c r="T22" i="10" s="1"/>
  <c r="T22" i="11" s="1"/>
  <c r="T22" i="12" s="1"/>
  <c r="T22" i="13" s="1"/>
  <c r="T22" i="14" s="1"/>
  <c r="T22" i="15" s="1"/>
  <c r="T22" i="16" s="1"/>
  <c r="S23" i="6"/>
  <c r="S23" i="7" s="1"/>
  <c r="S23" i="8" s="1"/>
  <c r="S23" i="9" s="1"/>
  <c r="S23" i="10" s="1"/>
  <c r="S23" i="11" s="1"/>
  <c r="S23" i="12" s="1"/>
  <c r="S23" i="13" s="1"/>
  <c r="S23" i="14" s="1"/>
  <c r="S23" i="15" s="1"/>
  <c r="S23" i="16" s="1"/>
  <c r="T23" i="6"/>
  <c r="T23" i="7" s="1"/>
  <c r="T23" i="8" s="1"/>
  <c r="T23" i="9" s="1"/>
  <c r="T23" i="10" s="1"/>
  <c r="T23" i="11" s="1"/>
  <c r="T23" i="12" s="1"/>
  <c r="T23" i="13" s="1"/>
  <c r="T23" i="14" s="1"/>
  <c r="T23" i="15" s="1"/>
  <c r="T23" i="16" s="1"/>
  <c r="S24" i="6"/>
  <c r="S24" i="7" s="1"/>
  <c r="S24" i="8" s="1"/>
  <c r="S24" i="9" s="1"/>
  <c r="S24" i="10" s="1"/>
  <c r="S24" i="11" s="1"/>
  <c r="S24" i="12" s="1"/>
  <c r="S24" i="13" s="1"/>
  <c r="S24" i="14" s="1"/>
  <c r="S24" i="15" s="1"/>
  <c r="S24" i="16" s="1"/>
  <c r="T24" i="6"/>
  <c r="T24" i="7" s="1"/>
  <c r="T24" i="8" s="1"/>
  <c r="T24" i="9" s="1"/>
  <c r="T24" i="10" s="1"/>
  <c r="T24" i="11" s="1"/>
  <c r="T24" i="12" s="1"/>
  <c r="T24" i="13" s="1"/>
  <c r="T24" i="14" s="1"/>
  <c r="T24" i="15" s="1"/>
  <c r="T24" i="16" s="1"/>
  <c r="S25" i="6"/>
  <c r="S25" i="7" s="1"/>
  <c r="S25" i="8" s="1"/>
  <c r="S25" i="9" s="1"/>
  <c r="S25" i="10" s="1"/>
  <c r="S25" i="11" s="1"/>
  <c r="S25" i="12" s="1"/>
  <c r="S25" i="13" s="1"/>
  <c r="S25" i="14" s="1"/>
  <c r="S25" i="15" s="1"/>
  <c r="S25" i="16" s="1"/>
  <c r="T25" i="6"/>
  <c r="T25" i="7" s="1"/>
  <c r="T25" i="8" s="1"/>
  <c r="T25" i="9" s="1"/>
  <c r="T25" i="10" s="1"/>
  <c r="T25" i="11" s="1"/>
  <c r="T25" i="12" s="1"/>
  <c r="T25" i="13" s="1"/>
  <c r="T25" i="14" s="1"/>
  <c r="T25" i="15" s="1"/>
  <c r="T25" i="16" s="1"/>
  <c r="S26" i="6"/>
  <c r="S26" i="7" s="1"/>
  <c r="S26" i="8" s="1"/>
  <c r="S26" i="9" s="1"/>
  <c r="S26" i="10" s="1"/>
  <c r="S26" i="11" s="1"/>
  <c r="S26" i="12" s="1"/>
  <c r="S26" i="13" s="1"/>
  <c r="S26" i="14" s="1"/>
  <c r="S26" i="15" s="1"/>
  <c r="S26" i="16" s="1"/>
  <c r="T26" i="6"/>
  <c r="S27" i="6"/>
  <c r="S27" i="7" s="1"/>
  <c r="S27" i="8" s="1"/>
  <c r="S27" i="9" s="1"/>
  <c r="S27" i="10" s="1"/>
  <c r="S27" i="11" s="1"/>
  <c r="S27" i="12" s="1"/>
  <c r="S27" i="13" s="1"/>
  <c r="S27" i="14" s="1"/>
  <c r="S27" i="15" s="1"/>
  <c r="S27" i="16" s="1"/>
  <c r="T27" i="6"/>
  <c r="T27" i="7" s="1"/>
  <c r="T27" i="8" s="1"/>
  <c r="T27" i="9" s="1"/>
  <c r="T27" i="10" s="1"/>
  <c r="T27" i="11" s="1"/>
  <c r="T27" i="12" s="1"/>
  <c r="T27" i="13" s="1"/>
  <c r="T27" i="14" s="1"/>
  <c r="T27" i="15" s="1"/>
  <c r="T27" i="16" s="1"/>
  <c r="S28" i="6"/>
  <c r="S28" i="7" s="1"/>
  <c r="S28" i="8" s="1"/>
  <c r="S28" i="9" s="1"/>
  <c r="S28" i="10" s="1"/>
  <c r="S28" i="11" s="1"/>
  <c r="S28" i="12" s="1"/>
  <c r="S28" i="13" s="1"/>
  <c r="S28" i="14" s="1"/>
  <c r="S28" i="15" s="1"/>
  <c r="S28" i="16" s="1"/>
  <c r="T28" i="6"/>
  <c r="T28" i="7" s="1"/>
  <c r="T28" i="8" s="1"/>
  <c r="T28" i="9" s="1"/>
  <c r="T28" i="10" s="1"/>
  <c r="T28" i="11" s="1"/>
  <c r="T28" i="12" s="1"/>
  <c r="T28" i="13" s="1"/>
  <c r="T28" i="14" s="1"/>
  <c r="T28" i="15" s="1"/>
  <c r="T28" i="16" s="1"/>
  <c r="S29" i="6"/>
  <c r="S29" i="7" s="1"/>
  <c r="S29" i="8" s="1"/>
  <c r="S29" i="9" s="1"/>
  <c r="S29" i="10" s="1"/>
  <c r="S29" i="11" s="1"/>
  <c r="S29" i="12" s="1"/>
  <c r="S29" i="13" s="1"/>
  <c r="S29" i="14" s="1"/>
  <c r="S29" i="15" s="1"/>
  <c r="S29" i="16" s="1"/>
  <c r="T29" i="6"/>
  <c r="T29" i="7" s="1"/>
  <c r="T29" i="8" s="1"/>
  <c r="T29" i="9" s="1"/>
  <c r="T29" i="10" s="1"/>
  <c r="T29" i="11" s="1"/>
  <c r="T29" i="12" s="1"/>
  <c r="T29" i="13" s="1"/>
  <c r="T29" i="14" s="1"/>
  <c r="T29" i="15" s="1"/>
  <c r="T29" i="16" s="1"/>
  <c r="S30" i="6"/>
  <c r="S30" i="7" s="1"/>
  <c r="S30" i="8" s="1"/>
  <c r="S30" i="9" s="1"/>
  <c r="S30" i="10" s="1"/>
  <c r="S30" i="11" s="1"/>
  <c r="S30" i="12" s="1"/>
  <c r="S30" i="13" s="1"/>
  <c r="S30" i="14" s="1"/>
  <c r="S30" i="15" s="1"/>
  <c r="S30" i="16" s="1"/>
  <c r="T30" i="6"/>
  <c r="T30" i="7" s="1"/>
  <c r="T30" i="8" s="1"/>
  <c r="T30" i="9" s="1"/>
  <c r="T30" i="10" s="1"/>
  <c r="T30" i="11" s="1"/>
  <c r="T30" i="12" s="1"/>
  <c r="T30" i="13" s="1"/>
  <c r="T30" i="14" s="1"/>
  <c r="T30" i="15" s="1"/>
  <c r="T30" i="16" s="1"/>
  <c r="S31" i="6"/>
  <c r="S31" i="7" s="1"/>
  <c r="S31" i="8" s="1"/>
  <c r="S31" i="9" s="1"/>
  <c r="S31" i="10" s="1"/>
  <c r="S31" i="11" s="1"/>
  <c r="S31" i="12" s="1"/>
  <c r="S31" i="13" s="1"/>
  <c r="S31" i="14" s="1"/>
  <c r="S31" i="15" s="1"/>
  <c r="S31" i="16" s="1"/>
  <c r="T31" i="6"/>
  <c r="T31" i="7" s="1"/>
  <c r="T31" i="8" s="1"/>
  <c r="T31" i="9" s="1"/>
  <c r="T31" i="10" s="1"/>
  <c r="T31" i="11" s="1"/>
  <c r="T31" i="12" s="1"/>
  <c r="T31" i="13" s="1"/>
  <c r="T31" i="14" s="1"/>
  <c r="T31" i="15" s="1"/>
  <c r="T31" i="16" s="1"/>
  <c r="S32" i="6"/>
  <c r="S32" i="7" s="1"/>
  <c r="S32" i="8" s="1"/>
  <c r="S32" i="9" s="1"/>
  <c r="S32" i="10" s="1"/>
  <c r="S32" i="11" s="1"/>
  <c r="S32" i="12" s="1"/>
  <c r="S32" i="13" s="1"/>
  <c r="S32" i="14" s="1"/>
  <c r="S32" i="15" s="1"/>
  <c r="S32" i="16" s="1"/>
  <c r="T32" i="6"/>
  <c r="T32" i="7" s="1"/>
  <c r="T32" i="8" s="1"/>
  <c r="T32" i="9" s="1"/>
  <c r="T32" i="10" s="1"/>
  <c r="T32" i="11" s="1"/>
  <c r="T32" i="12" s="1"/>
  <c r="T32" i="13" s="1"/>
  <c r="T32" i="14" s="1"/>
  <c r="T32" i="15" s="1"/>
  <c r="T32" i="16" s="1"/>
  <c r="S33" i="6"/>
  <c r="S33" i="7" s="1"/>
  <c r="S33" i="8" s="1"/>
  <c r="S33" i="9" s="1"/>
  <c r="S33" i="10" s="1"/>
  <c r="S33" i="11" s="1"/>
  <c r="S33" i="12" s="1"/>
  <c r="S33" i="13" s="1"/>
  <c r="S33" i="14" s="1"/>
  <c r="S33" i="15" s="1"/>
  <c r="S33" i="16" s="1"/>
  <c r="T33" i="6"/>
  <c r="T33" i="7" s="1"/>
  <c r="S34" i="6"/>
  <c r="S34" i="7" s="1"/>
  <c r="S34" i="8" s="1"/>
  <c r="S34" i="9" s="1"/>
  <c r="S34" i="10" s="1"/>
  <c r="S34" i="11" s="1"/>
  <c r="S34" i="12" s="1"/>
  <c r="S34" i="13" s="1"/>
  <c r="S34" i="14" s="1"/>
  <c r="S34" i="15" s="1"/>
  <c r="S34" i="16" s="1"/>
  <c r="T34" i="6"/>
  <c r="T34" i="7" s="1"/>
  <c r="T34" i="8" s="1"/>
  <c r="T34" i="9" s="1"/>
  <c r="T34" i="10" s="1"/>
  <c r="T34" i="11" s="1"/>
  <c r="T34" i="12" s="1"/>
  <c r="T34" i="13" s="1"/>
  <c r="T34" i="14" s="1"/>
  <c r="T34" i="15" s="1"/>
  <c r="T34" i="16" s="1"/>
  <c r="S35" i="6"/>
  <c r="S35" i="7" s="1"/>
  <c r="S35" i="8" s="1"/>
  <c r="S35" i="9" s="1"/>
  <c r="S35" i="10" s="1"/>
  <c r="S35" i="11" s="1"/>
  <c r="S35" i="12" s="1"/>
  <c r="S35" i="13" s="1"/>
  <c r="S35" i="14" s="1"/>
  <c r="S35" i="15" s="1"/>
  <c r="S35" i="16" s="1"/>
  <c r="T35" i="6"/>
  <c r="T35" i="7" s="1"/>
  <c r="T35" i="8" s="1"/>
  <c r="T35" i="9" s="1"/>
  <c r="T35" i="10" s="1"/>
  <c r="T35" i="11" s="1"/>
  <c r="T35" i="12" s="1"/>
  <c r="T35" i="13" s="1"/>
  <c r="T35" i="14" s="1"/>
  <c r="T35" i="15" s="1"/>
  <c r="T35" i="16" s="1"/>
  <c r="S36" i="6"/>
  <c r="S36" i="7" s="1"/>
  <c r="S36" i="8" s="1"/>
  <c r="S36" i="9" s="1"/>
  <c r="S36" i="10" s="1"/>
  <c r="S36" i="11" s="1"/>
  <c r="S36" i="12" s="1"/>
  <c r="S36" i="13" s="1"/>
  <c r="S36" i="14" s="1"/>
  <c r="S36" i="15" s="1"/>
  <c r="S36" i="16" s="1"/>
  <c r="T36" i="6"/>
  <c r="T36" i="7" s="1"/>
  <c r="T36" i="8" s="1"/>
  <c r="T36" i="9" s="1"/>
  <c r="T36" i="10" s="1"/>
  <c r="T36" i="11" s="1"/>
  <c r="T36" i="12" s="1"/>
  <c r="T36" i="13" s="1"/>
  <c r="T36" i="14" s="1"/>
  <c r="T36" i="15" s="1"/>
  <c r="T36" i="16" s="1"/>
  <c r="S37" i="6"/>
  <c r="S37" i="7" s="1"/>
  <c r="S37" i="8" s="1"/>
  <c r="S37" i="9" s="1"/>
  <c r="S37" i="10" s="1"/>
  <c r="S37" i="11" s="1"/>
  <c r="S37" i="12" s="1"/>
  <c r="S37" i="13" s="1"/>
  <c r="S37" i="14" s="1"/>
  <c r="S37" i="15" s="1"/>
  <c r="S37" i="16" s="1"/>
  <c r="T37" i="6"/>
  <c r="T37" i="7" s="1"/>
  <c r="T37" i="8" s="1"/>
  <c r="T37" i="9" s="1"/>
  <c r="T37" i="10" s="1"/>
  <c r="T37" i="11" s="1"/>
  <c r="T37" i="12" s="1"/>
  <c r="T37" i="13" s="1"/>
  <c r="T37" i="14" s="1"/>
  <c r="T37" i="15" s="1"/>
  <c r="T37" i="16" s="1"/>
  <c r="S38" i="6"/>
  <c r="S38" i="7" s="1"/>
  <c r="S38" i="8" s="1"/>
  <c r="S38" i="9" s="1"/>
  <c r="S38" i="10" s="1"/>
  <c r="S38" i="11" s="1"/>
  <c r="S38" i="12" s="1"/>
  <c r="S38" i="13" s="1"/>
  <c r="S38" i="14" s="1"/>
  <c r="S38" i="15" s="1"/>
  <c r="S38" i="16" s="1"/>
  <c r="T38" i="6"/>
  <c r="T38" i="7" s="1"/>
  <c r="T38" i="8" s="1"/>
  <c r="T38" i="9" s="1"/>
  <c r="T38" i="10" s="1"/>
  <c r="T38" i="11" s="1"/>
  <c r="T38" i="12" s="1"/>
  <c r="T38" i="13" s="1"/>
  <c r="T38" i="14" s="1"/>
  <c r="T38" i="15" s="1"/>
  <c r="T38" i="16" s="1"/>
  <c r="S39" i="6"/>
  <c r="S39" i="7" s="1"/>
  <c r="S39" i="8" s="1"/>
  <c r="S39" i="9" s="1"/>
  <c r="S39" i="10" s="1"/>
  <c r="S39" i="11" s="1"/>
  <c r="S39" i="12" s="1"/>
  <c r="S39" i="13" s="1"/>
  <c r="S39" i="14" s="1"/>
  <c r="S39" i="15" s="1"/>
  <c r="S39" i="16" s="1"/>
  <c r="T39" i="6"/>
  <c r="T39" i="7" s="1"/>
  <c r="T39" i="8" s="1"/>
  <c r="T39" i="9" s="1"/>
  <c r="T39" i="10" s="1"/>
  <c r="T39" i="11" s="1"/>
  <c r="T39" i="12" s="1"/>
  <c r="T39" i="13" s="1"/>
  <c r="T39" i="14" s="1"/>
  <c r="T39" i="15" s="1"/>
  <c r="T39" i="16" s="1"/>
  <c r="S40" i="6"/>
  <c r="S40" i="7" s="1"/>
  <c r="S40" i="8" s="1"/>
  <c r="S40" i="9" s="1"/>
  <c r="S40" i="10" s="1"/>
  <c r="S40" i="11" s="1"/>
  <c r="S40" i="12" s="1"/>
  <c r="S40" i="13" s="1"/>
  <c r="S40" i="14" s="1"/>
  <c r="S40" i="15" s="1"/>
  <c r="S40" i="16" s="1"/>
  <c r="T40" i="6"/>
  <c r="T40" i="7" s="1"/>
  <c r="T40" i="8" s="1"/>
  <c r="T40" i="9" s="1"/>
  <c r="T40" i="10" s="1"/>
  <c r="T40" i="11" s="1"/>
  <c r="T40" i="12" s="1"/>
  <c r="T40" i="13" s="1"/>
  <c r="T40" i="14" s="1"/>
  <c r="T40" i="15" s="1"/>
  <c r="T40" i="16" s="1"/>
  <c r="S41" i="6"/>
  <c r="S41" i="7" s="1"/>
  <c r="S41" i="8" s="1"/>
  <c r="S41" i="9" s="1"/>
  <c r="S41" i="10" s="1"/>
  <c r="S41" i="11" s="1"/>
  <c r="S41" i="12" s="1"/>
  <c r="S41" i="13" s="1"/>
  <c r="S41" i="14" s="1"/>
  <c r="S41" i="15" s="1"/>
  <c r="S41" i="16" s="1"/>
  <c r="T41" i="6"/>
  <c r="T41" i="7" s="1"/>
  <c r="T41" i="8" s="1"/>
  <c r="T41" i="9" s="1"/>
  <c r="T41" i="10" s="1"/>
  <c r="T41" i="11" s="1"/>
  <c r="T41" i="12" s="1"/>
  <c r="T41" i="13" s="1"/>
  <c r="T41" i="14" s="1"/>
  <c r="T41" i="15" s="1"/>
  <c r="T41" i="16" s="1"/>
  <c r="S42" i="6"/>
  <c r="S42" i="7" s="1"/>
  <c r="S42" i="8" s="1"/>
  <c r="S42" i="9" s="1"/>
  <c r="S42" i="10" s="1"/>
  <c r="S42" i="11" s="1"/>
  <c r="S42" i="12" s="1"/>
  <c r="S42" i="13" s="1"/>
  <c r="S42" i="14" s="1"/>
  <c r="S42" i="15" s="1"/>
  <c r="S42" i="16" s="1"/>
  <c r="T42" i="6"/>
  <c r="T42" i="7" s="1"/>
  <c r="T42" i="8" s="1"/>
  <c r="T42" i="9" s="1"/>
  <c r="T42" i="10" s="1"/>
  <c r="T42" i="11" s="1"/>
  <c r="T42" i="12" s="1"/>
  <c r="T42" i="13" s="1"/>
  <c r="T42" i="14" s="1"/>
  <c r="T42" i="15" s="1"/>
  <c r="T42" i="16" s="1"/>
  <c r="S43" i="6"/>
  <c r="S43" i="7" s="1"/>
  <c r="S43" i="8" s="1"/>
  <c r="S43" i="9" s="1"/>
  <c r="S43" i="10" s="1"/>
  <c r="S43" i="11" s="1"/>
  <c r="S43" i="12" s="1"/>
  <c r="S43" i="13" s="1"/>
  <c r="S43" i="14" s="1"/>
  <c r="S43" i="15" s="1"/>
  <c r="S43" i="16" s="1"/>
  <c r="T43" i="6"/>
  <c r="T43" i="7" s="1"/>
  <c r="T43" i="8" s="1"/>
  <c r="T43" i="9" s="1"/>
  <c r="T43" i="10" s="1"/>
  <c r="T43" i="11" s="1"/>
  <c r="T43" i="12" s="1"/>
  <c r="T43" i="13" s="1"/>
  <c r="T43" i="14" s="1"/>
  <c r="T43" i="15" s="1"/>
  <c r="T43" i="16" s="1"/>
  <c r="S44" i="6"/>
  <c r="S44" i="7" s="1"/>
  <c r="S44" i="8" s="1"/>
  <c r="S44" i="9" s="1"/>
  <c r="S44" i="10" s="1"/>
  <c r="S44" i="11" s="1"/>
  <c r="S44" i="12" s="1"/>
  <c r="S44" i="13" s="1"/>
  <c r="S44" i="14" s="1"/>
  <c r="S44" i="15" s="1"/>
  <c r="S44" i="16" s="1"/>
  <c r="T44" i="6"/>
  <c r="T44" i="7" s="1"/>
  <c r="T44" i="8" s="1"/>
  <c r="T44" i="9" s="1"/>
  <c r="T44" i="10" s="1"/>
  <c r="T44" i="11" s="1"/>
  <c r="T44" i="12" s="1"/>
  <c r="T44" i="13" s="1"/>
  <c r="T44" i="14" s="1"/>
  <c r="T44" i="15" s="1"/>
  <c r="T44" i="16" s="1"/>
  <c r="S45" i="6"/>
  <c r="S45" i="7" s="1"/>
  <c r="S45" i="8" s="1"/>
  <c r="S45" i="9" s="1"/>
  <c r="S45" i="10" s="1"/>
  <c r="S45" i="11" s="1"/>
  <c r="S45" i="12" s="1"/>
  <c r="S45" i="13" s="1"/>
  <c r="S45" i="14" s="1"/>
  <c r="S45" i="15" s="1"/>
  <c r="S45" i="16" s="1"/>
  <c r="T45" i="6"/>
  <c r="T45" i="7" s="1"/>
  <c r="T45" i="8" s="1"/>
  <c r="T45" i="9" s="1"/>
  <c r="T45" i="10" s="1"/>
  <c r="T45" i="11" s="1"/>
  <c r="T45" i="12" s="1"/>
  <c r="T45" i="13" s="1"/>
  <c r="T45" i="14" s="1"/>
  <c r="T45" i="15" s="1"/>
  <c r="T45" i="16" s="1"/>
  <c r="S46" i="6"/>
  <c r="S46" i="7" s="1"/>
  <c r="S46" i="8" s="1"/>
  <c r="S46" i="9" s="1"/>
  <c r="S46" i="10" s="1"/>
  <c r="S46" i="11" s="1"/>
  <c r="S46" i="12" s="1"/>
  <c r="S46" i="13" s="1"/>
  <c r="S46" i="14" s="1"/>
  <c r="S46" i="15" s="1"/>
  <c r="S46" i="16" s="1"/>
  <c r="T46" i="6"/>
  <c r="T46" i="7" s="1"/>
  <c r="T46" i="8" s="1"/>
  <c r="T46" i="9" s="1"/>
  <c r="T46" i="10" s="1"/>
  <c r="T46" i="11" s="1"/>
  <c r="T46" i="12" s="1"/>
  <c r="T46" i="13" s="1"/>
  <c r="T46" i="14" s="1"/>
  <c r="T46" i="15" s="1"/>
  <c r="T46" i="16" s="1"/>
  <c r="S47" i="6"/>
  <c r="S47" i="7" s="1"/>
  <c r="S47" i="8" s="1"/>
  <c r="S47" i="9" s="1"/>
  <c r="S47" i="10" s="1"/>
  <c r="S47" i="11" s="1"/>
  <c r="S47" i="12" s="1"/>
  <c r="S47" i="13" s="1"/>
  <c r="S47" i="14" s="1"/>
  <c r="S47" i="15" s="1"/>
  <c r="S47" i="16" s="1"/>
  <c r="T47" i="6"/>
  <c r="T47" i="7" s="1"/>
  <c r="T47" i="8" s="1"/>
  <c r="T47" i="9" s="1"/>
  <c r="T47" i="10" s="1"/>
  <c r="T47" i="11" s="1"/>
  <c r="T47" i="12" s="1"/>
  <c r="T47" i="13" s="1"/>
  <c r="T47" i="14" s="1"/>
  <c r="T47" i="15" s="1"/>
  <c r="T47" i="16" s="1"/>
  <c r="S48" i="6"/>
  <c r="S48" i="7" s="1"/>
  <c r="S48" i="8" s="1"/>
  <c r="S48" i="9" s="1"/>
  <c r="S48" i="10" s="1"/>
  <c r="S48" i="11" s="1"/>
  <c r="S48" i="12" s="1"/>
  <c r="S48" i="13" s="1"/>
  <c r="S48" i="14" s="1"/>
  <c r="S48" i="15" s="1"/>
  <c r="S48" i="16" s="1"/>
  <c r="T48" i="6"/>
  <c r="T48" i="7" s="1"/>
  <c r="T48" i="8" s="1"/>
  <c r="T48" i="9" s="1"/>
  <c r="T48" i="10" s="1"/>
  <c r="T48" i="11" s="1"/>
  <c r="T48" i="12" s="1"/>
  <c r="T48" i="13" s="1"/>
  <c r="T48" i="14" s="1"/>
  <c r="T48" i="15" s="1"/>
  <c r="T48" i="16" s="1"/>
  <c r="S49" i="6"/>
  <c r="S49" i="7" s="1"/>
  <c r="S49" i="8" s="1"/>
  <c r="S49" i="9" s="1"/>
  <c r="S49" i="10" s="1"/>
  <c r="S49" i="11" s="1"/>
  <c r="S49" i="12" s="1"/>
  <c r="S49" i="13" s="1"/>
  <c r="S49" i="14" s="1"/>
  <c r="S49" i="15" s="1"/>
  <c r="S49" i="16" s="1"/>
  <c r="T49" i="6"/>
  <c r="T49" i="7" s="1"/>
  <c r="T49" i="8" s="1"/>
  <c r="T49" i="9" s="1"/>
  <c r="T49" i="10" s="1"/>
  <c r="T49" i="11" s="1"/>
  <c r="T49" i="12" s="1"/>
  <c r="T49" i="13" s="1"/>
  <c r="T49" i="14" s="1"/>
  <c r="T49" i="15" s="1"/>
  <c r="T49" i="16" s="1"/>
  <c r="S50" i="6"/>
  <c r="S50" i="7" s="1"/>
  <c r="S50" i="8" s="1"/>
  <c r="S50" i="9" s="1"/>
  <c r="S50" i="10" s="1"/>
  <c r="S50" i="11" s="1"/>
  <c r="S50" i="12" s="1"/>
  <c r="S50" i="13" s="1"/>
  <c r="S50" i="14" s="1"/>
  <c r="S50" i="15" s="1"/>
  <c r="S50" i="16" s="1"/>
  <c r="T50" i="6"/>
  <c r="T50" i="7" s="1"/>
  <c r="T50" i="8" s="1"/>
  <c r="T50" i="9" s="1"/>
  <c r="T50" i="10" s="1"/>
  <c r="T50" i="11" s="1"/>
  <c r="T50" i="12" s="1"/>
  <c r="T50" i="13" s="1"/>
  <c r="T50" i="14" s="1"/>
  <c r="T50" i="15" s="1"/>
  <c r="T50" i="16" s="1"/>
  <c r="S51" i="6"/>
  <c r="S51" i="7" s="1"/>
  <c r="S51" i="8" s="1"/>
  <c r="S51" i="9" s="1"/>
  <c r="S51" i="10" s="1"/>
  <c r="S51" i="11" s="1"/>
  <c r="S51" i="12" s="1"/>
  <c r="S51" i="13" s="1"/>
  <c r="S51" i="14" s="1"/>
  <c r="S51" i="15" s="1"/>
  <c r="S51" i="16" s="1"/>
  <c r="T51" i="6"/>
  <c r="T51" i="7" s="1"/>
  <c r="T51" i="8" s="1"/>
  <c r="T51" i="9" s="1"/>
  <c r="T51" i="10" s="1"/>
  <c r="T51" i="11" s="1"/>
  <c r="T51" i="12" s="1"/>
  <c r="T51" i="13" s="1"/>
  <c r="T51" i="14" s="1"/>
  <c r="T51" i="15" s="1"/>
  <c r="T51" i="16" s="1"/>
  <c r="S52" i="6"/>
  <c r="S52" i="7" s="1"/>
  <c r="S52" i="8" s="1"/>
  <c r="S52" i="9" s="1"/>
  <c r="S52" i="10" s="1"/>
  <c r="S52" i="11" s="1"/>
  <c r="S52" i="12" s="1"/>
  <c r="S52" i="13" s="1"/>
  <c r="S52" i="14" s="1"/>
  <c r="S52" i="15" s="1"/>
  <c r="S52" i="16" s="1"/>
  <c r="T52" i="6"/>
  <c r="T52" i="7" s="1"/>
  <c r="T52" i="8" s="1"/>
  <c r="T52" i="9" s="1"/>
  <c r="T52" i="10" s="1"/>
  <c r="T52" i="11" s="1"/>
  <c r="T52" i="12" s="1"/>
  <c r="T52" i="13" s="1"/>
  <c r="T52" i="14" s="1"/>
  <c r="T52" i="15" s="1"/>
  <c r="T52" i="16" s="1"/>
  <c r="S53" i="6"/>
  <c r="S53" i="7" s="1"/>
  <c r="S53" i="8" s="1"/>
  <c r="S53" i="9" s="1"/>
  <c r="S53" i="10" s="1"/>
  <c r="S53" i="11" s="1"/>
  <c r="S53" i="12" s="1"/>
  <c r="S53" i="13" s="1"/>
  <c r="S53" i="14" s="1"/>
  <c r="S53" i="15" s="1"/>
  <c r="S53" i="16" s="1"/>
  <c r="T53" i="6"/>
  <c r="T53" i="7" s="1"/>
  <c r="T53" i="8" s="1"/>
  <c r="T53" i="9" s="1"/>
  <c r="T53" i="10" s="1"/>
  <c r="T53" i="11" s="1"/>
  <c r="T53" i="12" s="1"/>
  <c r="T53" i="13" s="1"/>
  <c r="T53" i="14" s="1"/>
  <c r="T53" i="15" s="1"/>
  <c r="T53" i="16" s="1"/>
  <c r="S54" i="6"/>
  <c r="S54" i="7" s="1"/>
  <c r="S54" i="8" s="1"/>
  <c r="S54" i="9" s="1"/>
  <c r="S54" i="10" s="1"/>
  <c r="S54" i="11" s="1"/>
  <c r="S54" i="12" s="1"/>
  <c r="S54" i="13" s="1"/>
  <c r="S54" i="14" s="1"/>
  <c r="S54" i="15" s="1"/>
  <c r="S54" i="16" s="1"/>
  <c r="T54" i="6"/>
  <c r="T54" i="7" s="1"/>
  <c r="T54" i="8" s="1"/>
  <c r="T54" i="9" s="1"/>
  <c r="T54" i="10" s="1"/>
  <c r="T54" i="11" s="1"/>
  <c r="T54" i="12" s="1"/>
  <c r="T54" i="13" s="1"/>
  <c r="T54" i="14" s="1"/>
  <c r="T54" i="15" s="1"/>
  <c r="T54" i="16" s="1"/>
  <c r="S55" i="6"/>
  <c r="S55" i="7" s="1"/>
  <c r="S55" i="8" s="1"/>
  <c r="S55" i="9" s="1"/>
  <c r="S55" i="10" s="1"/>
  <c r="S55" i="11" s="1"/>
  <c r="S55" i="12" s="1"/>
  <c r="S55" i="13" s="1"/>
  <c r="S55" i="14" s="1"/>
  <c r="S55" i="15" s="1"/>
  <c r="S55" i="16" s="1"/>
  <c r="T55" i="6"/>
  <c r="T55" i="7" s="1"/>
  <c r="T55" i="8" s="1"/>
  <c r="T55" i="9" s="1"/>
  <c r="T55" i="10" s="1"/>
  <c r="T55" i="11" s="1"/>
  <c r="T55" i="12" s="1"/>
  <c r="T55" i="13" s="1"/>
  <c r="T55" i="14" s="1"/>
  <c r="T55" i="15" s="1"/>
  <c r="T55" i="16" s="1"/>
  <c r="S56" i="6"/>
  <c r="S56" i="7" s="1"/>
  <c r="S56" i="8" s="1"/>
  <c r="S56" i="9" s="1"/>
  <c r="S56" i="10" s="1"/>
  <c r="S56" i="11" s="1"/>
  <c r="S56" i="12" s="1"/>
  <c r="S56" i="13" s="1"/>
  <c r="S56" i="14" s="1"/>
  <c r="S56" i="15" s="1"/>
  <c r="S56" i="16" s="1"/>
  <c r="T56" i="6"/>
  <c r="T56" i="7" s="1"/>
  <c r="T56" i="8" s="1"/>
  <c r="T56" i="9" s="1"/>
  <c r="T56" i="10" s="1"/>
  <c r="T56" i="11" s="1"/>
  <c r="T56" i="12" s="1"/>
  <c r="T56" i="13" s="1"/>
  <c r="T56" i="14" s="1"/>
  <c r="T56" i="15" s="1"/>
  <c r="T56" i="16" s="1"/>
  <c r="S57" i="6"/>
  <c r="S57" i="7" s="1"/>
  <c r="S57" i="8" s="1"/>
  <c r="S57" i="9" s="1"/>
  <c r="S57" i="10" s="1"/>
  <c r="S57" i="11" s="1"/>
  <c r="S57" i="12" s="1"/>
  <c r="S57" i="13" s="1"/>
  <c r="S57" i="14" s="1"/>
  <c r="S57" i="15" s="1"/>
  <c r="S57" i="16" s="1"/>
  <c r="T57" i="6"/>
  <c r="T57" i="7" s="1"/>
  <c r="T57" i="8" s="1"/>
  <c r="T57" i="9" s="1"/>
  <c r="T57" i="10" s="1"/>
  <c r="T57" i="11" s="1"/>
  <c r="T57" i="12" s="1"/>
  <c r="T57" i="13" s="1"/>
  <c r="T57" i="14" s="1"/>
  <c r="T57" i="15" s="1"/>
  <c r="T57" i="16" s="1"/>
  <c r="S58" i="6"/>
  <c r="S58" i="7" s="1"/>
  <c r="S58" i="8" s="1"/>
  <c r="S58" i="9" s="1"/>
  <c r="S58" i="10" s="1"/>
  <c r="S58" i="11" s="1"/>
  <c r="S58" i="12" s="1"/>
  <c r="S58" i="13" s="1"/>
  <c r="S58" i="14" s="1"/>
  <c r="S58" i="15" s="1"/>
  <c r="S58" i="16" s="1"/>
  <c r="T58" i="6"/>
  <c r="T58" i="7" s="1"/>
  <c r="T58" i="8" s="1"/>
  <c r="T58" i="9" s="1"/>
  <c r="T58" i="10" s="1"/>
  <c r="T58" i="11" s="1"/>
  <c r="T58" i="12" s="1"/>
  <c r="T58" i="13" s="1"/>
  <c r="T58" i="14" s="1"/>
  <c r="T58" i="15" s="1"/>
  <c r="T58" i="16" s="1"/>
  <c r="S59" i="6"/>
  <c r="S59" i="7" s="1"/>
  <c r="S59" i="8" s="1"/>
  <c r="S59" i="9" s="1"/>
  <c r="S59" i="10" s="1"/>
  <c r="S59" i="11" s="1"/>
  <c r="S59" i="12" s="1"/>
  <c r="S59" i="13" s="1"/>
  <c r="S59" i="14" s="1"/>
  <c r="S59" i="15" s="1"/>
  <c r="S59" i="16" s="1"/>
  <c r="S60" i="6"/>
  <c r="S60" i="7" s="1"/>
  <c r="S60" i="8" s="1"/>
  <c r="S60" i="9" s="1"/>
  <c r="S60" i="10" s="1"/>
  <c r="S60" i="11" s="1"/>
  <c r="S60" i="12" s="1"/>
  <c r="S60" i="13" s="1"/>
  <c r="S60" i="14" s="1"/>
  <c r="S60" i="15" s="1"/>
  <c r="S60" i="16" s="1"/>
  <c r="S61" i="6"/>
  <c r="S61" i="7" s="1"/>
  <c r="S61" i="8" s="1"/>
  <c r="S61" i="9" s="1"/>
  <c r="S61" i="10" s="1"/>
  <c r="S61" i="11" s="1"/>
  <c r="S61" i="12" s="1"/>
  <c r="S61" i="13" s="1"/>
  <c r="S61" i="14" s="1"/>
  <c r="S61" i="15" s="1"/>
  <c r="S61" i="16" s="1"/>
  <c r="T61" i="6"/>
  <c r="T61" i="7" s="1"/>
  <c r="T61" i="8" s="1"/>
  <c r="T61" i="9" s="1"/>
  <c r="T61" i="10" s="1"/>
  <c r="T61" i="11" s="1"/>
  <c r="T61" i="12" s="1"/>
  <c r="T61" i="13" s="1"/>
  <c r="T61" i="14" s="1"/>
  <c r="T61" i="15" s="1"/>
  <c r="T61" i="16" s="1"/>
  <c r="S62" i="6"/>
  <c r="S62" i="7" s="1"/>
  <c r="S62" i="8" s="1"/>
  <c r="S62" i="9" s="1"/>
  <c r="S62" i="10" s="1"/>
  <c r="S62" i="11" s="1"/>
  <c r="S62" i="12" s="1"/>
  <c r="S62" i="13" s="1"/>
  <c r="S62" i="14" s="1"/>
  <c r="S62" i="15" s="1"/>
  <c r="S62" i="16" s="1"/>
  <c r="T62" i="6"/>
  <c r="T62" i="7" s="1"/>
  <c r="T62" i="8" s="1"/>
  <c r="T62" i="9" s="1"/>
  <c r="T62" i="10" s="1"/>
  <c r="T62" i="11" s="1"/>
  <c r="T62" i="12" s="1"/>
  <c r="T62" i="13" s="1"/>
  <c r="T62" i="14" s="1"/>
  <c r="T62" i="15" s="1"/>
  <c r="T62" i="16" s="1"/>
  <c r="S63" i="6"/>
  <c r="S63" i="7" s="1"/>
  <c r="S63" i="8" s="1"/>
  <c r="S63" i="9" s="1"/>
  <c r="S63" i="10" s="1"/>
  <c r="S63" i="11" s="1"/>
  <c r="S63" i="12" s="1"/>
  <c r="S63" i="13" s="1"/>
  <c r="S63" i="14" s="1"/>
  <c r="S63" i="15" s="1"/>
  <c r="S63" i="16" s="1"/>
  <c r="T63" i="6"/>
  <c r="T63" i="7" s="1"/>
  <c r="T63" i="8" s="1"/>
  <c r="T63" i="9" s="1"/>
  <c r="T63" i="10" s="1"/>
  <c r="T63" i="11" s="1"/>
  <c r="T63" i="12" s="1"/>
  <c r="T63" i="13" s="1"/>
  <c r="T63" i="14" s="1"/>
  <c r="T63" i="15" s="1"/>
  <c r="T63" i="16" s="1"/>
  <c r="S64" i="6"/>
  <c r="S64" i="7" s="1"/>
  <c r="S64" i="8" s="1"/>
  <c r="S64" i="9" s="1"/>
  <c r="S64" i="10" s="1"/>
  <c r="S64" i="11" s="1"/>
  <c r="S64" i="12" s="1"/>
  <c r="S64" i="13" s="1"/>
  <c r="S64" i="14" s="1"/>
  <c r="S64" i="15" s="1"/>
  <c r="S64" i="16" s="1"/>
  <c r="T64" i="6"/>
  <c r="T64" i="7" s="1"/>
  <c r="T64" i="8" s="1"/>
  <c r="T64" i="9" s="1"/>
  <c r="T64" i="10" s="1"/>
  <c r="T64" i="11" s="1"/>
  <c r="T64" i="12" s="1"/>
  <c r="T64" i="13" s="1"/>
  <c r="T64" i="14" s="1"/>
  <c r="T64" i="15" s="1"/>
  <c r="T64" i="16" s="1"/>
  <c r="S65" i="6"/>
  <c r="S65" i="7" s="1"/>
  <c r="S65" i="8" s="1"/>
  <c r="S65" i="9" s="1"/>
  <c r="S65" i="10" s="1"/>
  <c r="S65" i="11" s="1"/>
  <c r="S65" i="12" s="1"/>
  <c r="S65" i="13" s="1"/>
  <c r="S65" i="14" s="1"/>
  <c r="S65" i="15" s="1"/>
  <c r="S65" i="16" s="1"/>
  <c r="T65" i="6"/>
  <c r="T65" i="7" s="1"/>
  <c r="T65" i="8" s="1"/>
  <c r="T65" i="9" s="1"/>
  <c r="T65" i="10" s="1"/>
  <c r="T65" i="11" s="1"/>
  <c r="T65" i="12" s="1"/>
  <c r="T65" i="13" s="1"/>
  <c r="T65" i="14" s="1"/>
  <c r="T65" i="15" s="1"/>
  <c r="T65" i="16" s="1"/>
  <c r="S66" i="6"/>
  <c r="S66" i="7" s="1"/>
  <c r="S66" i="8" s="1"/>
  <c r="S66" i="9" s="1"/>
  <c r="S66" i="10" s="1"/>
  <c r="S66" i="11" s="1"/>
  <c r="S66" i="12" s="1"/>
  <c r="S66" i="13" s="1"/>
  <c r="S66" i="14" s="1"/>
  <c r="S66" i="15" s="1"/>
  <c r="S66" i="16" s="1"/>
  <c r="T66" i="6"/>
  <c r="T66" i="7" s="1"/>
  <c r="T66" i="8" s="1"/>
  <c r="T66" i="9" s="1"/>
  <c r="T66" i="10" s="1"/>
  <c r="T66" i="11" s="1"/>
  <c r="T66" i="12" s="1"/>
  <c r="T66" i="13" s="1"/>
  <c r="T66" i="14" s="1"/>
  <c r="T66" i="15" s="1"/>
  <c r="T66" i="16" s="1"/>
  <c r="S67" i="6"/>
  <c r="S67" i="7" s="1"/>
  <c r="S67" i="8" s="1"/>
  <c r="S67" i="9" s="1"/>
  <c r="S67" i="10" s="1"/>
  <c r="S67" i="11" s="1"/>
  <c r="S67" i="12" s="1"/>
  <c r="S67" i="13" s="1"/>
  <c r="S67" i="14" s="1"/>
  <c r="S67" i="15" s="1"/>
  <c r="S67" i="16" s="1"/>
  <c r="T67" i="6"/>
  <c r="T67" i="7" s="1"/>
  <c r="T67" i="8" s="1"/>
  <c r="T67" i="9" s="1"/>
  <c r="T67" i="10" s="1"/>
  <c r="T67" i="11" s="1"/>
  <c r="T67" i="12" s="1"/>
  <c r="T67" i="13" s="1"/>
  <c r="T67" i="14" s="1"/>
  <c r="T67" i="15" s="1"/>
  <c r="T67" i="16" s="1"/>
  <c r="S68" i="6"/>
  <c r="S68" i="7" s="1"/>
  <c r="S68" i="8" s="1"/>
  <c r="S68" i="9" s="1"/>
  <c r="S68" i="10" s="1"/>
  <c r="S68" i="11" s="1"/>
  <c r="S68" i="12" s="1"/>
  <c r="S68" i="13" s="1"/>
  <c r="S68" i="14" s="1"/>
  <c r="S68" i="15" s="1"/>
  <c r="S68" i="16" s="1"/>
  <c r="T68" i="6"/>
  <c r="T68" i="7" s="1"/>
  <c r="T68" i="8" s="1"/>
  <c r="T68" i="9" s="1"/>
  <c r="T68" i="10" s="1"/>
  <c r="T68" i="11" s="1"/>
  <c r="T68" i="12" s="1"/>
  <c r="T68" i="13" s="1"/>
  <c r="T68" i="14" s="1"/>
  <c r="T68" i="15" s="1"/>
  <c r="T68" i="16" s="1"/>
  <c r="S69" i="6"/>
  <c r="S69" i="7" s="1"/>
  <c r="S69" i="8" s="1"/>
  <c r="S69" i="9" s="1"/>
  <c r="S69" i="10" s="1"/>
  <c r="S69" i="11" s="1"/>
  <c r="S69" i="12" s="1"/>
  <c r="S69" i="13" s="1"/>
  <c r="S69" i="14" s="1"/>
  <c r="S69" i="15" s="1"/>
  <c r="S69" i="16" s="1"/>
  <c r="T69" i="6"/>
  <c r="T69" i="7" s="1"/>
  <c r="T69" i="8" s="1"/>
  <c r="T69" i="9" s="1"/>
  <c r="T69" i="10" s="1"/>
  <c r="T69" i="11" s="1"/>
  <c r="T69" i="12" s="1"/>
  <c r="T69" i="13" s="1"/>
  <c r="T69" i="14" s="1"/>
  <c r="T69" i="15" s="1"/>
  <c r="T69" i="16" s="1"/>
  <c r="S70" i="6"/>
  <c r="S70" i="7" s="1"/>
  <c r="S70" i="8" s="1"/>
  <c r="S70" i="9" s="1"/>
  <c r="S70" i="10" s="1"/>
  <c r="S70" i="11" s="1"/>
  <c r="S70" i="12" s="1"/>
  <c r="S70" i="13" s="1"/>
  <c r="S70" i="14" s="1"/>
  <c r="S70" i="15" s="1"/>
  <c r="S70" i="16" s="1"/>
  <c r="T70" i="6"/>
  <c r="T70" i="7" s="1"/>
  <c r="T70" i="8" s="1"/>
  <c r="T70" i="9" s="1"/>
  <c r="T70" i="10" s="1"/>
  <c r="T70" i="11" s="1"/>
  <c r="T70" i="12" s="1"/>
  <c r="T70" i="13" s="1"/>
  <c r="T70" i="14" s="1"/>
  <c r="T70" i="15" s="1"/>
  <c r="T70" i="16" s="1"/>
  <c r="S71" i="6"/>
  <c r="S71" i="7" s="1"/>
  <c r="S71" i="8" s="1"/>
  <c r="S71" i="9" s="1"/>
  <c r="S71" i="10" s="1"/>
  <c r="S71" i="11" s="1"/>
  <c r="S71" i="12" s="1"/>
  <c r="S71" i="13" s="1"/>
  <c r="S71" i="14" s="1"/>
  <c r="S71" i="15" s="1"/>
  <c r="S71" i="16" s="1"/>
  <c r="T71" i="6"/>
  <c r="T71" i="7" s="1"/>
  <c r="T71" i="8" s="1"/>
  <c r="T71" i="9" s="1"/>
  <c r="T71" i="10" s="1"/>
  <c r="T71" i="11" s="1"/>
  <c r="T71" i="12" s="1"/>
  <c r="T71" i="13" s="1"/>
  <c r="T71" i="14" s="1"/>
  <c r="T71" i="15" s="1"/>
  <c r="T71" i="16" s="1"/>
  <c r="S72" i="6"/>
  <c r="S72" i="7" s="1"/>
  <c r="S72" i="8" s="1"/>
  <c r="S72" i="9" s="1"/>
  <c r="S72" i="10" s="1"/>
  <c r="S72" i="11" s="1"/>
  <c r="S72" i="12" s="1"/>
  <c r="S72" i="13" s="1"/>
  <c r="S72" i="14" s="1"/>
  <c r="S72" i="15" s="1"/>
  <c r="S72" i="16" s="1"/>
  <c r="T72" i="6"/>
  <c r="T72" i="7" s="1"/>
  <c r="T72" i="8" s="1"/>
  <c r="T72" i="9" s="1"/>
  <c r="T72" i="10" s="1"/>
  <c r="T72" i="11" s="1"/>
  <c r="T72" i="12" s="1"/>
  <c r="T72" i="13" s="1"/>
  <c r="T72" i="14" s="1"/>
  <c r="T72" i="15" s="1"/>
  <c r="T72" i="16" s="1"/>
  <c r="S73" i="6"/>
  <c r="S73" i="7" s="1"/>
  <c r="S73" i="8" s="1"/>
  <c r="S73" i="9" s="1"/>
  <c r="S73" i="10" s="1"/>
  <c r="S73" i="11" s="1"/>
  <c r="S73" i="12" s="1"/>
  <c r="S73" i="13" s="1"/>
  <c r="S73" i="14" s="1"/>
  <c r="S73" i="15" s="1"/>
  <c r="S73" i="16" s="1"/>
  <c r="T73" i="6"/>
  <c r="T73" i="7" s="1"/>
  <c r="T73" i="8" s="1"/>
  <c r="T73" i="9" s="1"/>
  <c r="T73" i="10" s="1"/>
  <c r="T73" i="11" s="1"/>
  <c r="T73" i="12" s="1"/>
  <c r="T73" i="13" s="1"/>
  <c r="T73" i="14" s="1"/>
  <c r="T73" i="15" s="1"/>
  <c r="T73" i="16" s="1"/>
  <c r="S74" i="6"/>
  <c r="S74" i="7" s="1"/>
  <c r="S74" i="8" s="1"/>
  <c r="S74" i="9" s="1"/>
  <c r="S74" i="10" s="1"/>
  <c r="S74" i="11" s="1"/>
  <c r="S74" i="12" s="1"/>
  <c r="S74" i="13" s="1"/>
  <c r="S74" i="14" s="1"/>
  <c r="S74" i="15" s="1"/>
  <c r="S74" i="16" s="1"/>
  <c r="T74" i="6"/>
  <c r="T74" i="7" s="1"/>
  <c r="T74" i="8" s="1"/>
  <c r="T74" i="9" s="1"/>
  <c r="T74" i="10" s="1"/>
  <c r="T74" i="11" s="1"/>
  <c r="T74" i="12" s="1"/>
  <c r="T74" i="13" s="1"/>
  <c r="T74" i="14" s="1"/>
  <c r="T74" i="15" s="1"/>
  <c r="T74" i="16" s="1"/>
  <c r="S75" i="6"/>
  <c r="S75" i="7" s="1"/>
  <c r="S75" i="8" s="1"/>
  <c r="S75" i="9" s="1"/>
  <c r="S75" i="10" s="1"/>
  <c r="S75" i="11" s="1"/>
  <c r="S75" i="12" s="1"/>
  <c r="S75" i="13" s="1"/>
  <c r="S75" i="14" s="1"/>
  <c r="S75" i="15" s="1"/>
  <c r="S75" i="16" s="1"/>
  <c r="T75" i="6"/>
  <c r="T75" i="7" s="1"/>
  <c r="T75" i="8" s="1"/>
  <c r="T75" i="9" s="1"/>
  <c r="T75" i="10" s="1"/>
  <c r="T75" i="11" s="1"/>
  <c r="T75" i="12" s="1"/>
  <c r="T75" i="13" s="1"/>
  <c r="T75" i="14" s="1"/>
  <c r="T75" i="15" s="1"/>
  <c r="T75" i="16" s="1"/>
  <c r="S76" i="6"/>
  <c r="S76" i="7" s="1"/>
  <c r="S76" i="8" s="1"/>
  <c r="S76" i="9" s="1"/>
  <c r="S76" i="10" s="1"/>
  <c r="S76" i="11" s="1"/>
  <c r="S76" i="12" s="1"/>
  <c r="S76" i="13" s="1"/>
  <c r="S76" i="14" s="1"/>
  <c r="S76" i="15" s="1"/>
  <c r="S76" i="16" s="1"/>
  <c r="T76" i="6"/>
  <c r="T76" i="7" s="1"/>
  <c r="T76" i="8" s="1"/>
  <c r="T76" i="9" s="1"/>
  <c r="T76" i="10" s="1"/>
  <c r="T76" i="11" s="1"/>
  <c r="T76" i="12" s="1"/>
  <c r="T76" i="13" s="1"/>
  <c r="T76" i="14" s="1"/>
  <c r="T76" i="15" s="1"/>
  <c r="T76" i="16" s="1"/>
  <c r="S77" i="6"/>
  <c r="S77" i="7" s="1"/>
  <c r="S77" i="8" s="1"/>
  <c r="S77" i="9" s="1"/>
  <c r="S77" i="10" s="1"/>
  <c r="S77" i="11" s="1"/>
  <c r="S77" i="12" s="1"/>
  <c r="S77" i="13" s="1"/>
  <c r="S77" i="14" s="1"/>
  <c r="S77" i="15" s="1"/>
  <c r="S77" i="16" s="1"/>
  <c r="T77" i="6"/>
  <c r="T77" i="7" s="1"/>
  <c r="T77" i="8" s="1"/>
  <c r="T77" i="9" s="1"/>
  <c r="T77" i="10" s="1"/>
  <c r="T77" i="11" s="1"/>
  <c r="T77" i="12" s="1"/>
  <c r="T77" i="13" s="1"/>
  <c r="T77" i="14" s="1"/>
  <c r="T77" i="15" s="1"/>
  <c r="T77" i="16" s="1"/>
  <c r="S78" i="6"/>
  <c r="S78" i="7" s="1"/>
  <c r="S78" i="8" s="1"/>
  <c r="S78" i="9" s="1"/>
  <c r="S78" i="10" s="1"/>
  <c r="S78" i="11" s="1"/>
  <c r="S78" i="12" s="1"/>
  <c r="S78" i="13" s="1"/>
  <c r="S78" i="14" s="1"/>
  <c r="S78" i="15" s="1"/>
  <c r="S78" i="16" s="1"/>
  <c r="T78" i="6"/>
  <c r="T78" i="7" s="1"/>
  <c r="T78" i="8" s="1"/>
  <c r="T78" i="9" s="1"/>
  <c r="T78" i="10" s="1"/>
  <c r="T78" i="11" s="1"/>
  <c r="T78" i="12" s="1"/>
  <c r="T78" i="13" s="1"/>
  <c r="T78" i="14" s="1"/>
  <c r="T78" i="15" s="1"/>
  <c r="T78" i="16" s="1"/>
  <c r="S79" i="6"/>
  <c r="S79" i="7" s="1"/>
  <c r="S79" i="8" s="1"/>
  <c r="S79" i="9" s="1"/>
  <c r="S79" i="10" s="1"/>
  <c r="S79" i="11" s="1"/>
  <c r="S79" i="12" s="1"/>
  <c r="S79" i="13" s="1"/>
  <c r="S79" i="14" s="1"/>
  <c r="S79" i="15" s="1"/>
  <c r="S79" i="16" s="1"/>
  <c r="T79" i="6"/>
  <c r="T79" i="7" s="1"/>
  <c r="T79" i="8" s="1"/>
  <c r="T79" i="9" s="1"/>
  <c r="T79" i="10" s="1"/>
  <c r="T79" i="11" s="1"/>
  <c r="T79" i="12" s="1"/>
  <c r="T79" i="13" s="1"/>
  <c r="T79" i="14" s="1"/>
  <c r="T79" i="15" s="1"/>
  <c r="T79" i="16" s="1"/>
  <c r="S80" i="6"/>
  <c r="S80" i="7" s="1"/>
  <c r="S80" i="8" s="1"/>
  <c r="S80" i="9" s="1"/>
  <c r="S80" i="10" s="1"/>
  <c r="S80" i="11" s="1"/>
  <c r="S80" i="12" s="1"/>
  <c r="S80" i="13" s="1"/>
  <c r="S80" i="14" s="1"/>
  <c r="S80" i="15" s="1"/>
  <c r="S80" i="16" s="1"/>
  <c r="T80" i="6"/>
  <c r="T80" i="7" s="1"/>
  <c r="T80" i="8" s="1"/>
  <c r="T80" i="9" s="1"/>
  <c r="T80" i="10" s="1"/>
  <c r="T80" i="11" s="1"/>
  <c r="T80" i="12" s="1"/>
  <c r="T80" i="13" s="1"/>
  <c r="T80" i="14" s="1"/>
  <c r="T80" i="15" s="1"/>
  <c r="T80" i="16" s="1"/>
  <c r="S81" i="6"/>
  <c r="S81" i="7" s="1"/>
  <c r="S81" i="8" s="1"/>
  <c r="S81" i="9" s="1"/>
  <c r="S81" i="10" s="1"/>
  <c r="S81" i="11" s="1"/>
  <c r="S81" i="12" s="1"/>
  <c r="S81" i="13" s="1"/>
  <c r="S81" i="14" s="1"/>
  <c r="S81" i="15" s="1"/>
  <c r="S81" i="16" s="1"/>
  <c r="T81" i="6"/>
  <c r="T81" i="7" s="1"/>
  <c r="T81" i="8" s="1"/>
  <c r="T81" i="9" s="1"/>
  <c r="T81" i="10" s="1"/>
  <c r="T81" i="11" s="1"/>
  <c r="T81" i="12" s="1"/>
  <c r="T81" i="13" s="1"/>
  <c r="T81" i="14" s="1"/>
  <c r="T81" i="15" s="1"/>
  <c r="T81" i="16" s="1"/>
  <c r="S82" i="6"/>
  <c r="S82" i="7" s="1"/>
  <c r="S82" i="8" s="1"/>
  <c r="S82" i="9" s="1"/>
  <c r="S82" i="10" s="1"/>
  <c r="S82" i="11" s="1"/>
  <c r="S82" i="12" s="1"/>
  <c r="S82" i="13" s="1"/>
  <c r="S82" i="14" s="1"/>
  <c r="S82" i="15" s="1"/>
  <c r="S82" i="16" s="1"/>
  <c r="T82" i="6"/>
  <c r="T82" i="7" s="1"/>
  <c r="T82" i="8" s="1"/>
  <c r="T82" i="9" s="1"/>
  <c r="T82" i="10" s="1"/>
  <c r="T82" i="11" s="1"/>
  <c r="T82" i="12" s="1"/>
  <c r="T82" i="13" s="1"/>
  <c r="T82" i="14" s="1"/>
  <c r="T82" i="15" s="1"/>
  <c r="T82" i="16" s="1"/>
  <c r="S83" i="6"/>
  <c r="S83" i="7" s="1"/>
  <c r="S83" i="8" s="1"/>
  <c r="S83" i="9" s="1"/>
  <c r="S83" i="10" s="1"/>
  <c r="S83" i="11" s="1"/>
  <c r="S83" i="12" s="1"/>
  <c r="S83" i="13" s="1"/>
  <c r="S83" i="14" s="1"/>
  <c r="S83" i="15" s="1"/>
  <c r="S83" i="16" s="1"/>
  <c r="T83" i="6"/>
  <c r="T83" i="7" s="1"/>
  <c r="T83" i="8" s="1"/>
  <c r="T83" i="9" s="1"/>
  <c r="T83" i="10" s="1"/>
  <c r="T83" i="11" s="1"/>
  <c r="T83" i="12" s="1"/>
  <c r="T83" i="13" s="1"/>
  <c r="T83" i="14" s="1"/>
  <c r="T83" i="15" s="1"/>
  <c r="T83" i="16" s="1"/>
  <c r="S84" i="6"/>
  <c r="S84" i="7" s="1"/>
  <c r="S84" i="8" s="1"/>
  <c r="S84" i="9" s="1"/>
  <c r="S84" i="10" s="1"/>
  <c r="S84" i="11" s="1"/>
  <c r="S84" i="12" s="1"/>
  <c r="S84" i="13" s="1"/>
  <c r="S84" i="14" s="1"/>
  <c r="S84" i="15" s="1"/>
  <c r="S84" i="16" s="1"/>
  <c r="T84" i="6"/>
  <c r="T84" i="7" s="1"/>
  <c r="T84" i="8" s="1"/>
  <c r="T84" i="9" s="1"/>
  <c r="T84" i="10" s="1"/>
  <c r="T84" i="11" s="1"/>
  <c r="T84" i="12" s="1"/>
  <c r="T84" i="13" s="1"/>
  <c r="T84" i="14" s="1"/>
  <c r="T84" i="15" s="1"/>
  <c r="T84" i="16" s="1"/>
  <c r="S85" i="6"/>
  <c r="S85" i="7" s="1"/>
  <c r="S85" i="8" s="1"/>
  <c r="S85" i="9" s="1"/>
  <c r="S85" i="10" s="1"/>
  <c r="S85" i="11" s="1"/>
  <c r="S85" i="12" s="1"/>
  <c r="S85" i="13" s="1"/>
  <c r="S85" i="14" s="1"/>
  <c r="S85" i="15" s="1"/>
  <c r="S85" i="16" s="1"/>
  <c r="T85" i="6"/>
  <c r="T85" i="7" s="1"/>
  <c r="T85" i="8" s="1"/>
  <c r="T85" i="9" s="1"/>
  <c r="T85" i="10" s="1"/>
  <c r="T85" i="11" s="1"/>
  <c r="T85" i="12" s="1"/>
  <c r="T85" i="13" s="1"/>
  <c r="T85" i="14" s="1"/>
  <c r="T85" i="15" s="1"/>
  <c r="T85" i="16" s="1"/>
  <c r="S86" i="6"/>
  <c r="S86" i="7" s="1"/>
  <c r="S86" i="8" s="1"/>
  <c r="S86" i="9" s="1"/>
  <c r="S86" i="10" s="1"/>
  <c r="S86" i="11" s="1"/>
  <c r="S86" i="12" s="1"/>
  <c r="S86" i="13" s="1"/>
  <c r="S86" i="14" s="1"/>
  <c r="S86" i="15" s="1"/>
  <c r="S86" i="16" s="1"/>
  <c r="T86" i="6"/>
  <c r="T86" i="7" s="1"/>
  <c r="T86" i="8" s="1"/>
  <c r="T86" i="9" s="1"/>
  <c r="T86" i="10" s="1"/>
  <c r="T86" i="11" s="1"/>
  <c r="T86" i="12" s="1"/>
  <c r="T86" i="13" s="1"/>
  <c r="T86" i="14" s="1"/>
  <c r="T86" i="15" s="1"/>
  <c r="T86" i="16" s="1"/>
  <c r="S88" i="6"/>
  <c r="S88" i="7" s="1"/>
  <c r="S88" i="8" s="1"/>
  <c r="S88" i="9" s="1"/>
  <c r="S88" i="10" s="1"/>
  <c r="S88" i="11" s="1"/>
  <c r="S88" i="12" s="1"/>
  <c r="S88" i="13" s="1"/>
  <c r="S88" i="14" s="1"/>
  <c r="S88" i="15" s="1"/>
  <c r="S88" i="16" s="1"/>
  <c r="T88" i="6"/>
  <c r="T88" i="7" s="1"/>
  <c r="T88" i="8" s="1"/>
  <c r="T88" i="9" s="1"/>
  <c r="T88" i="10" s="1"/>
  <c r="T88" i="11" s="1"/>
  <c r="T88" i="12" s="1"/>
  <c r="T88" i="13" s="1"/>
  <c r="T88" i="14" s="1"/>
  <c r="T88" i="15" s="1"/>
  <c r="T88" i="16" s="1"/>
  <c r="S89" i="6"/>
  <c r="S89" i="7" s="1"/>
  <c r="S89" i="8" s="1"/>
  <c r="S89" i="9" s="1"/>
  <c r="S89" i="10" s="1"/>
  <c r="S89" i="11" s="1"/>
  <c r="S89" i="12" s="1"/>
  <c r="S89" i="13" s="1"/>
  <c r="S89" i="14" s="1"/>
  <c r="S89" i="15" s="1"/>
  <c r="S89" i="16" s="1"/>
  <c r="T89" i="6"/>
  <c r="T89" i="7" s="1"/>
  <c r="T89" i="8" s="1"/>
  <c r="T89" i="9" s="1"/>
  <c r="T89" i="10" s="1"/>
  <c r="T89" i="11" s="1"/>
  <c r="T89" i="12" s="1"/>
  <c r="T89" i="13" s="1"/>
  <c r="T89" i="14" s="1"/>
  <c r="T89" i="15" s="1"/>
  <c r="T89" i="16" s="1"/>
  <c r="S90" i="6"/>
  <c r="S90" i="7" s="1"/>
  <c r="S90" i="8" s="1"/>
  <c r="S90" i="9" s="1"/>
  <c r="S90" i="10" s="1"/>
  <c r="S90" i="11" s="1"/>
  <c r="S90" i="12" s="1"/>
  <c r="S90" i="13" s="1"/>
  <c r="S90" i="14" s="1"/>
  <c r="S90" i="15" s="1"/>
  <c r="S90" i="16" s="1"/>
  <c r="T90" i="6"/>
  <c r="T90" i="7" s="1"/>
  <c r="T90" i="8" s="1"/>
  <c r="T90" i="9" s="1"/>
  <c r="T90" i="10" s="1"/>
  <c r="T90" i="11" s="1"/>
  <c r="T90" i="12" s="1"/>
  <c r="T90" i="13" s="1"/>
  <c r="T90" i="14" s="1"/>
  <c r="T90" i="15" s="1"/>
  <c r="T90" i="16" s="1"/>
  <c r="S91" i="6"/>
  <c r="S91" i="7" s="1"/>
  <c r="S91" i="8" s="1"/>
  <c r="S91" i="9" s="1"/>
  <c r="S91" i="10" s="1"/>
  <c r="S91" i="11" s="1"/>
  <c r="S91" i="12" s="1"/>
  <c r="S91" i="13" s="1"/>
  <c r="S91" i="14" s="1"/>
  <c r="S91" i="15" s="1"/>
  <c r="S91" i="16" s="1"/>
  <c r="T91" i="6"/>
  <c r="T91" i="7" s="1"/>
  <c r="T91" i="8" s="1"/>
  <c r="T91" i="9" s="1"/>
  <c r="T91" i="10" s="1"/>
  <c r="T91" i="11" s="1"/>
  <c r="T91" i="12" s="1"/>
  <c r="T91" i="13" s="1"/>
  <c r="T91" i="14" s="1"/>
  <c r="T91" i="15" s="1"/>
  <c r="T91" i="16" s="1"/>
  <c r="S92" i="6"/>
  <c r="S92" i="7" s="1"/>
  <c r="S92" i="8" s="1"/>
  <c r="S92" i="9" s="1"/>
  <c r="S92" i="10" s="1"/>
  <c r="S92" i="11" s="1"/>
  <c r="S92" i="12" s="1"/>
  <c r="S92" i="13" s="1"/>
  <c r="S92" i="14" s="1"/>
  <c r="S92" i="15" s="1"/>
  <c r="S92" i="16" s="1"/>
  <c r="T92" i="6"/>
  <c r="T92" i="7" s="1"/>
  <c r="T92" i="8" s="1"/>
  <c r="T92" i="9" s="1"/>
  <c r="T92" i="10" s="1"/>
  <c r="T92" i="11" s="1"/>
  <c r="T92" i="12" s="1"/>
  <c r="T92" i="13" s="1"/>
  <c r="T92" i="14" s="1"/>
  <c r="T92" i="15" s="1"/>
  <c r="T92" i="16" s="1"/>
  <c r="S93" i="6"/>
  <c r="S93" i="7" s="1"/>
  <c r="S93" i="8" s="1"/>
  <c r="S93" i="9" s="1"/>
  <c r="S93" i="10" s="1"/>
  <c r="S93" i="11" s="1"/>
  <c r="S93" i="12" s="1"/>
  <c r="S93" i="13" s="1"/>
  <c r="S93" i="14" s="1"/>
  <c r="S93" i="15" s="1"/>
  <c r="S93" i="16" s="1"/>
  <c r="T93" i="6"/>
  <c r="T93" i="7" s="1"/>
  <c r="T93" i="8" s="1"/>
  <c r="T93" i="9" s="1"/>
  <c r="T93" i="10" s="1"/>
  <c r="T93" i="11" s="1"/>
  <c r="T93" i="12" s="1"/>
  <c r="T93" i="13" s="1"/>
  <c r="T93" i="14" s="1"/>
  <c r="T93" i="15" s="1"/>
  <c r="T93" i="16" s="1"/>
  <c r="S94" i="6"/>
  <c r="S94" i="7" s="1"/>
  <c r="S94" i="8" s="1"/>
  <c r="S94" i="9" s="1"/>
  <c r="S94" i="10" s="1"/>
  <c r="S94" i="11" s="1"/>
  <c r="S94" i="12" s="1"/>
  <c r="S94" i="13" s="1"/>
  <c r="S94" i="14" s="1"/>
  <c r="S94" i="15" s="1"/>
  <c r="S94" i="16" s="1"/>
  <c r="T94" i="6"/>
  <c r="T94" i="7" s="1"/>
  <c r="T94" i="8" s="1"/>
  <c r="T94" i="9" s="1"/>
  <c r="T94" i="10" s="1"/>
  <c r="T94" i="11" s="1"/>
  <c r="T94" i="12" s="1"/>
  <c r="T94" i="13" s="1"/>
  <c r="T94" i="14" s="1"/>
  <c r="T94" i="15" s="1"/>
  <c r="T94" i="16" s="1"/>
  <c r="S95" i="6"/>
  <c r="S95" i="7" s="1"/>
  <c r="S95" i="8" s="1"/>
  <c r="S95" i="9" s="1"/>
  <c r="S95" i="10" s="1"/>
  <c r="S95" i="11" s="1"/>
  <c r="S95" i="12" s="1"/>
  <c r="S95" i="13" s="1"/>
  <c r="S95" i="14" s="1"/>
  <c r="S95" i="15" s="1"/>
  <c r="S95" i="16" s="1"/>
  <c r="T95" i="6"/>
  <c r="T95" i="7" s="1"/>
  <c r="T95" i="8" s="1"/>
  <c r="T95" i="9" s="1"/>
  <c r="T95" i="10" s="1"/>
  <c r="T95" i="11" s="1"/>
  <c r="T95" i="12" s="1"/>
  <c r="T95" i="13" s="1"/>
  <c r="T95" i="14" s="1"/>
  <c r="T95" i="15" s="1"/>
  <c r="T95" i="16" s="1"/>
  <c r="S96" i="6"/>
  <c r="S96" i="7" s="1"/>
  <c r="S96" i="8" s="1"/>
  <c r="S96" i="9" s="1"/>
  <c r="S96" i="10" s="1"/>
  <c r="S96" i="11" s="1"/>
  <c r="S96" i="12" s="1"/>
  <c r="S96" i="13" s="1"/>
  <c r="S96" i="14" s="1"/>
  <c r="S96" i="15" s="1"/>
  <c r="S96" i="16" s="1"/>
  <c r="T96" i="6"/>
  <c r="T96" i="7" s="1"/>
  <c r="T96" i="8" s="1"/>
  <c r="T96" i="9" s="1"/>
  <c r="T96" i="10" s="1"/>
  <c r="T96" i="11" s="1"/>
  <c r="T96" i="12" s="1"/>
  <c r="T96" i="13" s="1"/>
  <c r="T96" i="14" s="1"/>
  <c r="T96" i="15" s="1"/>
  <c r="T96" i="16" s="1"/>
  <c r="S97" i="6"/>
  <c r="S97" i="7" s="1"/>
  <c r="S97" i="8" s="1"/>
  <c r="S97" i="9" s="1"/>
  <c r="S97" i="10" s="1"/>
  <c r="S97" i="11" s="1"/>
  <c r="S97" i="12" s="1"/>
  <c r="S97" i="13" s="1"/>
  <c r="S97" i="14" s="1"/>
  <c r="S97" i="15" s="1"/>
  <c r="S97" i="16" s="1"/>
  <c r="T97" i="6"/>
  <c r="T97" i="7" s="1"/>
  <c r="T97" i="8" s="1"/>
  <c r="T97" i="9" s="1"/>
  <c r="T97" i="10" s="1"/>
  <c r="T97" i="11" s="1"/>
  <c r="T97" i="12" s="1"/>
  <c r="T97" i="13" s="1"/>
  <c r="T97" i="14" s="1"/>
  <c r="T97" i="15" s="1"/>
  <c r="T97" i="16" s="1"/>
  <c r="S98" i="6"/>
  <c r="S98" i="7" s="1"/>
  <c r="S98" i="8" s="1"/>
  <c r="S98" i="9" s="1"/>
  <c r="S98" i="10" s="1"/>
  <c r="S98" i="11" s="1"/>
  <c r="S98" i="12" s="1"/>
  <c r="S98" i="13" s="1"/>
  <c r="S98" i="14" s="1"/>
  <c r="S98" i="15" s="1"/>
  <c r="S98" i="16" s="1"/>
  <c r="T98" i="6"/>
  <c r="T98" i="7" s="1"/>
  <c r="T98" i="8" s="1"/>
  <c r="T98" i="9" s="1"/>
  <c r="T98" i="10" s="1"/>
  <c r="T98" i="11" s="1"/>
  <c r="T98" i="12" s="1"/>
  <c r="T98" i="13" s="1"/>
  <c r="T98" i="14" s="1"/>
  <c r="T98" i="15" s="1"/>
  <c r="T98" i="16" s="1"/>
  <c r="S99" i="6"/>
  <c r="S99" i="7" s="1"/>
  <c r="S99" i="8" s="1"/>
  <c r="S99" i="9" s="1"/>
  <c r="S99" i="10" s="1"/>
  <c r="S99" i="11" s="1"/>
  <c r="S99" i="12" s="1"/>
  <c r="S99" i="13" s="1"/>
  <c r="S99" i="14" s="1"/>
  <c r="S99" i="15" s="1"/>
  <c r="S99" i="16" s="1"/>
  <c r="T99" i="6"/>
  <c r="T99" i="7" s="1"/>
  <c r="T99" i="8" s="1"/>
  <c r="T99" i="9" s="1"/>
  <c r="T99" i="10" s="1"/>
  <c r="T99" i="11" s="1"/>
  <c r="T99" i="12" s="1"/>
  <c r="T99" i="13" s="1"/>
  <c r="T99" i="14" s="1"/>
  <c r="T99" i="15" s="1"/>
  <c r="T99" i="16" s="1"/>
  <c r="S100" i="6"/>
  <c r="S100" i="7" s="1"/>
  <c r="S100" i="8" s="1"/>
  <c r="S100" i="9" s="1"/>
  <c r="S100" i="10" s="1"/>
  <c r="S100" i="11" s="1"/>
  <c r="S100" i="12" s="1"/>
  <c r="S100" i="13" s="1"/>
  <c r="S100" i="14" s="1"/>
  <c r="S100" i="15" s="1"/>
  <c r="S100" i="16" s="1"/>
  <c r="T100" i="6"/>
  <c r="T100" i="7" s="1"/>
  <c r="T100" i="8" s="1"/>
  <c r="T100" i="9" s="1"/>
  <c r="T100" i="10" s="1"/>
  <c r="T100" i="11" s="1"/>
  <c r="T100" i="12" s="1"/>
  <c r="T100" i="13" s="1"/>
  <c r="T100" i="14" s="1"/>
  <c r="T100" i="15" s="1"/>
  <c r="T100" i="16" s="1"/>
  <c r="S101" i="6"/>
  <c r="S101" i="7" s="1"/>
  <c r="S101" i="8" s="1"/>
  <c r="S101" i="9" s="1"/>
  <c r="S101" i="10" s="1"/>
  <c r="S101" i="11" s="1"/>
  <c r="S101" i="12" s="1"/>
  <c r="S101" i="13" s="1"/>
  <c r="S101" i="14" s="1"/>
  <c r="S101" i="15" s="1"/>
  <c r="S101" i="16" s="1"/>
  <c r="T101" i="6"/>
  <c r="T101" i="7" s="1"/>
  <c r="T101" i="8" s="1"/>
  <c r="T101" i="9" s="1"/>
  <c r="T101" i="10" s="1"/>
  <c r="T101" i="11" s="1"/>
  <c r="T101" i="12" s="1"/>
  <c r="T101" i="13" s="1"/>
  <c r="T101" i="14" s="1"/>
  <c r="T101" i="15" s="1"/>
  <c r="T101" i="16" s="1"/>
  <c r="S102" i="6"/>
  <c r="S102" i="7" s="1"/>
  <c r="S102" i="8" s="1"/>
  <c r="S102" i="9" s="1"/>
  <c r="S102" i="10" s="1"/>
  <c r="S102" i="11" s="1"/>
  <c r="S102" i="12" s="1"/>
  <c r="S102" i="13" s="1"/>
  <c r="S102" i="14" s="1"/>
  <c r="S102" i="15" s="1"/>
  <c r="S102" i="16" s="1"/>
  <c r="T102" i="6"/>
  <c r="T102" i="7" s="1"/>
  <c r="T102" i="8" s="1"/>
  <c r="T102" i="9" s="1"/>
  <c r="T102" i="10" s="1"/>
  <c r="T102" i="11" s="1"/>
  <c r="T102" i="12" s="1"/>
  <c r="T102" i="13" s="1"/>
  <c r="T102" i="14" s="1"/>
  <c r="T102" i="15" s="1"/>
  <c r="T102" i="16" s="1"/>
  <c r="S103" i="6"/>
  <c r="S103" i="7" s="1"/>
  <c r="S103" i="8" s="1"/>
  <c r="S103" i="9" s="1"/>
  <c r="S103" i="10" s="1"/>
  <c r="S103" i="11" s="1"/>
  <c r="S103" i="12" s="1"/>
  <c r="S103" i="13" s="1"/>
  <c r="S103" i="14" s="1"/>
  <c r="S103" i="15" s="1"/>
  <c r="S103" i="16" s="1"/>
  <c r="T103" i="6"/>
  <c r="T103" i="7" s="1"/>
  <c r="T103" i="8" s="1"/>
  <c r="T103" i="9" s="1"/>
  <c r="T103" i="10" s="1"/>
  <c r="T103" i="11" s="1"/>
  <c r="T103" i="12" s="1"/>
  <c r="T103" i="13" s="1"/>
  <c r="T103" i="14" s="1"/>
  <c r="T103" i="15" s="1"/>
  <c r="T103" i="16" s="1"/>
  <c r="S104" i="6"/>
  <c r="S104" i="7" s="1"/>
  <c r="S104" i="8" s="1"/>
  <c r="S104" i="9" s="1"/>
  <c r="S104" i="10" s="1"/>
  <c r="S104" i="11" s="1"/>
  <c r="S104" i="12" s="1"/>
  <c r="S104" i="13" s="1"/>
  <c r="S104" i="14" s="1"/>
  <c r="S104" i="15" s="1"/>
  <c r="S104" i="16" s="1"/>
  <c r="T104" i="6"/>
  <c r="T104" i="7" s="1"/>
  <c r="T104" i="8" s="1"/>
  <c r="T104" i="9" s="1"/>
  <c r="T104" i="10" s="1"/>
  <c r="T104" i="11" s="1"/>
  <c r="T104" i="12" s="1"/>
  <c r="T104" i="13" s="1"/>
  <c r="T104" i="14" s="1"/>
  <c r="T104" i="15" s="1"/>
  <c r="T104" i="16" s="1"/>
  <c r="S105" i="6"/>
  <c r="S105" i="7" s="1"/>
  <c r="S105" i="8" s="1"/>
  <c r="S105" i="9" s="1"/>
  <c r="S105" i="10" s="1"/>
  <c r="S105" i="11" s="1"/>
  <c r="S105" i="12" s="1"/>
  <c r="S105" i="13" s="1"/>
  <c r="S105" i="14" s="1"/>
  <c r="S105" i="15" s="1"/>
  <c r="S105" i="16" s="1"/>
  <c r="T105" i="6"/>
  <c r="T105" i="7" s="1"/>
  <c r="T105" i="8" s="1"/>
  <c r="T105" i="9" s="1"/>
  <c r="T105" i="10" s="1"/>
  <c r="T105" i="11" s="1"/>
  <c r="T105" i="12" s="1"/>
  <c r="T105" i="13" s="1"/>
  <c r="T105" i="14" s="1"/>
  <c r="T105" i="15" s="1"/>
  <c r="T105" i="16" s="1"/>
  <c r="S106" i="6"/>
  <c r="S106" i="7" s="1"/>
  <c r="S106" i="8" s="1"/>
  <c r="S106" i="9" s="1"/>
  <c r="S106" i="10" s="1"/>
  <c r="S106" i="11" s="1"/>
  <c r="S106" i="12" s="1"/>
  <c r="S106" i="13" s="1"/>
  <c r="S106" i="14" s="1"/>
  <c r="S106" i="15" s="1"/>
  <c r="S106" i="16" s="1"/>
  <c r="S107" i="6"/>
  <c r="S107" i="7" s="1"/>
  <c r="S107" i="8" s="1"/>
  <c r="S107" i="9" s="1"/>
  <c r="S107" i="10" s="1"/>
  <c r="S107" i="11" s="1"/>
  <c r="S107" i="12" s="1"/>
  <c r="S107" i="13" s="1"/>
  <c r="S107" i="14" s="1"/>
  <c r="S107" i="15" s="1"/>
  <c r="S107" i="16" s="1"/>
  <c r="S108" i="6"/>
  <c r="S108" i="7" s="1"/>
  <c r="S108" i="8" s="1"/>
  <c r="S108" i="9" s="1"/>
  <c r="S108" i="10" s="1"/>
  <c r="S108" i="11" s="1"/>
  <c r="S108" i="12" s="1"/>
  <c r="S108" i="13" s="1"/>
  <c r="S108" i="14" s="1"/>
  <c r="S108" i="15" s="1"/>
  <c r="S108" i="16" s="1"/>
  <c r="T108" i="6"/>
  <c r="T108" i="7" s="1"/>
  <c r="T108" i="8" s="1"/>
  <c r="T108" i="9" s="1"/>
  <c r="T108" i="10" s="1"/>
  <c r="T108" i="11" s="1"/>
  <c r="T108" i="12" s="1"/>
  <c r="T108" i="13" s="1"/>
  <c r="T108" i="14" s="1"/>
  <c r="T108" i="15" s="1"/>
  <c r="T108" i="16" s="1"/>
  <c r="S109" i="6"/>
  <c r="S109" i="7" s="1"/>
  <c r="S109" i="8" s="1"/>
  <c r="S109" i="9" s="1"/>
  <c r="S109" i="10" s="1"/>
  <c r="S109" i="11" s="1"/>
  <c r="S109" i="12" s="1"/>
  <c r="S109" i="13" s="1"/>
  <c r="S109" i="14" s="1"/>
  <c r="S109" i="15" s="1"/>
  <c r="S109" i="16" s="1"/>
  <c r="T109" i="6"/>
  <c r="T109" i="7" s="1"/>
  <c r="T109" i="8" s="1"/>
  <c r="T109" i="9" s="1"/>
  <c r="T109" i="10" s="1"/>
  <c r="T109" i="11" s="1"/>
  <c r="T109" i="12" s="1"/>
  <c r="T109" i="13" s="1"/>
  <c r="T109" i="14" s="1"/>
  <c r="T109" i="15" s="1"/>
  <c r="T109" i="16" s="1"/>
  <c r="S110" i="6"/>
  <c r="S110" i="7" s="1"/>
  <c r="S110" i="8" s="1"/>
  <c r="S110" i="9" s="1"/>
  <c r="S110" i="10" s="1"/>
  <c r="S110" i="11" s="1"/>
  <c r="S110" i="12" s="1"/>
  <c r="S110" i="13" s="1"/>
  <c r="S110" i="14" s="1"/>
  <c r="S110" i="15" s="1"/>
  <c r="S110" i="16" s="1"/>
  <c r="T110" i="6"/>
  <c r="T110" i="7" s="1"/>
  <c r="T110" i="8" s="1"/>
  <c r="T110" i="9" s="1"/>
  <c r="T110" i="10" s="1"/>
  <c r="T110" i="11" s="1"/>
  <c r="T110" i="12" s="1"/>
  <c r="T110" i="13" s="1"/>
  <c r="T110" i="14" s="1"/>
  <c r="T110" i="15" s="1"/>
  <c r="T110" i="16" s="1"/>
  <c r="S111" i="6"/>
  <c r="S111" i="7" s="1"/>
  <c r="S111" i="8" s="1"/>
  <c r="S111" i="9" s="1"/>
  <c r="S111" i="10" s="1"/>
  <c r="S111" i="11" s="1"/>
  <c r="S111" i="12" s="1"/>
  <c r="S111" i="13" s="1"/>
  <c r="S111" i="14" s="1"/>
  <c r="S111" i="15" s="1"/>
  <c r="S111" i="16" s="1"/>
  <c r="T111" i="6"/>
  <c r="T111" i="7" s="1"/>
  <c r="T111" i="8" s="1"/>
  <c r="T111" i="9" s="1"/>
  <c r="T111" i="10" s="1"/>
  <c r="T111" i="11" s="1"/>
  <c r="T111" i="12" s="1"/>
  <c r="T111" i="13" s="1"/>
  <c r="T111" i="14" s="1"/>
  <c r="T111" i="15" s="1"/>
  <c r="T111" i="16" s="1"/>
  <c r="S112" i="6"/>
  <c r="S112" i="7" s="1"/>
  <c r="S112" i="8" s="1"/>
  <c r="S112" i="9" s="1"/>
  <c r="S112" i="10" s="1"/>
  <c r="S112" i="11" s="1"/>
  <c r="S112" i="12" s="1"/>
  <c r="S112" i="13" s="1"/>
  <c r="S112" i="14" s="1"/>
  <c r="S112" i="15" s="1"/>
  <c r="S112" i="16" s="1"/>
  <c r="T112" i="6"/>
  <c r="T112" i="7" s="1"/>
  <c r="T112" i="8" s="1"/>
  <c r="T112" i="9" s="1"/>
  <c r="T112" i="10" s="1"/>
  <c r="T112" i="11" s="1"/>
  <c r="T112" i="12" s="1"/>
  <c r="T112" i="13" s="1"/>
  <c r="T112" i="14" s="1"/>
  <c r="T112" i="15" s="1"/>
  <c r="T112" i="16" s="1"/>
  <c r="S113" i="6"/>
  <c r="S113" i="7" s="1"/>
  <c r="S113" i="8" s="1"/>
  <c r="S113" i="9" s="1"/>
  <c r="S113" i="10" s="1"/>
  <c r="S113" i="11" s="1"/>
  <c r="S113" i="12" s="1"/>
  <c r="S113" i="13" s="1"/>
  <c r="S113" i="14" s="1"/>
  <c r="S113" i="15" s="1"/>
  <c r="S113" i="16" s="1"/>
  <c r="T113" i="6"/>
  <c r="T113" i="7" s="1"/>
  <c r="T113" i="8" s="1"/>
  <c r="T113" i="9" s="1"/>
  <c r="T113" i="10" s="1"/>
  <c r="T113" i="11" s="1"/>
  <c r="T113" i="12" s="1"/>
  <c r="T113" i="13" s="1"/>
  <c r="T113" i="14" s="1"/>
  <c r="T113" i="15" s="1"/>
  <c r="T113" i="16" s="1"/>
  <c r="S114" i="6"/>
  <c r="S114" i="7" s="1"/>
  <c r="S114" i="8" s="1"/>
  <c r="S114" i="9" s="1"/>
  <c r="S114" i="10" s="1"/>
  <c r="S114" i="11" s="1"/>
  <c r="S114" i="12" s="1"/>
  <c r="S114" i="13" s="1"/>
  <c r="S114" i="14" s="1"/>
  <c r="S114" i="15" s="1"/>
  <c r="S114" i="16" s="1"/>
  <c r="T114" i="6"/>
  <c r="T114" i="7" s="1"/>
  <c r="T114" i="8" s="1"/>
  <c r="T114" i="9" s="1"/>
  <c r="T114" i="10" s="1"/>
  <c r="T114" i="11" s="1"/>
  <c r="T114" i="12" s="1"/>
  <c r="T114" i="13" s="1"/>
  <c r="T114" i="14" s="1"/>
  <c r="T114" i="15" s="1"/>
  <c r="T114" i="16" s="1"/>
  <c r="S115" i="6"/>
  <c r="S115" i="7" s="1"/>
  <c r="S115" i="8" s="1"/>
  <c r="S115" i="9" s="1"/>
  <c r="S115" i="10" s="1"/>
  <c r="S115" i="11" s="1"/>
  <c r="S115" i="12" s="1"/>
  <c r="S115" i="13" s="1"/>
  <c r="S115" i="14" s="1"/>
  <c r="S115" i="15" s="1"/>
  <c r="S115" i="16" s="1"/>
  <c r="T115" i="6"/>
  <c r="T115" i="7" s="1"/>
  <c r="T115" i="8" s="1"/>
  <c r="T115" i="9" s="1"/>
  <c r="T115" i="10" s="1"/>
  <c r="T115" i="11" s="1"/>
  <c r="T115" i="12" s="1"/>
  <c r="T115" i="13" s="1"/>
  <c r="T115" i="14" s="1"/>
  <c r="T115" i="15" s="1"/>
  <c r="T115" i="16" s="1"/>
  <c r="S116" i="6"/>
  <c r="S116" i="7" s="1"/>
  <c r="S116" i="8" s="1"/>
  <c r="S116" i="9" s="1"/>
  <c r="S116" i="10" s="1"/>
  <c r="S116" i="11" s="1"/>
  <c r="S116" i="12" s="1"/>
  <c r="S116" i="13" s="1"/>
  <c r="S116" i="14" s="1"/>
  <c r="S116" i="15" s="1"/>
  <c r="S116" i="16" s="1"/>
  <c r="T116" i="6"/>
  <c r="T116" i="7" s="1"/>
  <c r="T116" i="8" s="1"/>
  <c r="T116" i="9" s="1"/>
  <c r="T116" i="10" s="1"/>
  <c r="T116" i="11" s="1"/>
  <c r="T116" i="12" s="1"/>
  <c r="T116" i="13" s="1"/>
  <c r="T116" i="14" s="1"/>
  <c r="T116" i="15" s="1"/>
  <c r="T116" i="16" s="1"/>
  <c r="S122" i="6"/>
  <c r="S122" i="7" s="1"/>
  <c r="S122" i="8" s="1"/>
  <c r="S122" i="9" s="1"/>
  <c r="S122" i="10" s="1"/>
  <c r="S122" i="11" s="1"/>
  <c r="S122" i="12" s="1"/>
  <c r="S122" i="13" s="1"/>
  <c r="S122" i="14" s="1"/>
  <c r="S122" i="15" s="1"/>
  <c r="S122" i="16" s="1"/>
  <c r="T122" i="6"/>
  <c r="T122" i="7" s="1"/>
  <c r="T122" i="8" s="1"/>
  <c r="T122" i="9" s="1"/>
  <c r="T122" i="10" s="1"/>
  <c r="T122" i="11" s="1"/>
  <c r="T122" i="12" s="1"/>
  <c r="T122" i="13" s="1"/>
  <c r="T122" i="14" s="1"/>
  <c r="T122" i="15" s="1"/>
  <c r="T122" i="16" s="1"/>
  <c r="S123" i="6"/>
  <c r="S123" i="7" s="1"/>
  <c r="S123" i="8" s="1"/>
  <c r="S123" i="9" s="1"/>
  <c r="S123" i="10" s="1"/>
  <c r="S123" i="11" s="1"/>
  <c r="S123" i="12" s="1"/>
  <c r="S123" i="13" s="1"/>
  <c r="S123" i="14" s="1"/>
  <c r="S123" i="15" s="1"/>
  <c r="S123" i="16" s="1"/>
  <c r="T123" i="6"/>
  <c r="T123" i="7" s="1"/>
  <c r="T123" i="8" s="1"/>
  <c r="T123" i="9" s="1"/>
  <c r="T123" i="10" s="1"/>
  <c r="T123" i="11" s="1"/>
  <c r="T123" i="12" s="1"/>
  <c r="T123" i="13" s="1"/>
  <c r="T123" i="14" s="1"/>
  <c r="T123" i="15" s="1"/>
  <c r="T123" i="16" s="1"/>
  <c r="S124" i="6"/>
  <c r="S124" i="7" s="1"/>
  <c r="S124" i="8" s="1"/>
  <c r="S124" i="9" s="1"/>
  <c r="S124" i="10" s="1"/>
  <c r="S124" i="11" s="1"/>
  <c r="S124" i="12" s="1"/>
  <c r="S124" i="13" s="1"/>
  <c r="S124" i="14" s="1"/>
  <c r="S124" i="15" s="1"/>
  <c r="S124" i="16" s="1"/>
  <c r="T124" i="6"/>
  <c r="T124" i="7" s="1"/>
  <c r="T124" i="8" s="1"/>
  <c r="T124" i="9" s="1"/>
  <c r="T124" i="10" s="1"/>
  <c r="T124" i="11" s="1"/>
  <c r="T124" i="12" s="1"/>
  <c r="T124" i="13" s="1"/>
  <c r="T124" i="14" s="1"/>
  <c r="T124" i="15" s="1"/>
  <c r="T124" i="16" s="1"/>
  <c r="S125" i="6"/>
  <c r="S125" i="7" s="1"/>
  <c r="S125" i="8" s="1"/>
  <c r="S125" i="9" s="1"/>
  <c r="S125" i="10" s="1"/>
  <c r="S125" i="11" s="1"/>
  <c r="S125" i="12" s="1"/>
  <c r="S125" i="13" s="1"/>
  <c r="S125" i="14" s="1"/>
  <c r="S125" i="15" s="1"/>
  <c r="S125" i="16" s="1"/>
  <c r="T125" i="6"/>
  <c r="T125" i="7" s="1"/>
  <c r="T125" i="8" s="1"/>
  <c r="T125" i="9" s="1"/>
  <c r="T125" i="10" s="1"/>
  <c r="T125" i="11" s="1"/>
  <c r="T125" i="12" s="1"/>
  <c r="T125" i="13" s="1"/>
  <c r="T125" i="14" s="1"/>
  <c r="T125" i="15" s="1"/>
  <c r="T125" i="16" s="1"/>
  <c r="S126" i="6"/>
  <c r="S126" i="7" s="1"/>
  <c r="S126" i="8" s="1"/>
  <c r="S126" i="9" s="1"/>
  <c r="S126" i="10" s="1"/>
  <c r="S126" i="11" s="1"/>
  <c r="S126" i="12" s="1"/>
  <c r="S126" i="13" s="1"/>
  <c r="S126" i="14" s="1"/>
  <c r="S126" i="15" s="1"/>
  <c r="S126" i="16" s="1"/>
  <c r="T126" i="6"/>
  <c r="T126" i="7" s="1"/>
  <c r="T126" i="8" s="1"/>
  <c r="T126" i="9" s="1"/>
  <c r="T126" i="10" s="1"/>
  <c r="T126" i="11" s="1"/>
  <c r="T126" i="12" s="1"/>
  <c r="T126" i="13" s="1"/>
  <c r="T126" i="14" s="1"/>
  <c r="T126" i="15" s="1"/>
  <c r="T126" i="16" s="1"/>
  <c r="S127" i="6"/>
  <c r="S127" i="7" s="1"/>
  <c r="S127" i="8" s="1"/>
  <c r="S127" i="9" s="1"/>
  <c r="S127" i="10" s="1"/>
  <c r="S127" i="11" s="1"/>
  <c r="S127" i="12" s="1"/>
  <c r="S127" i="13" s="1"/>
  <c r="S127" i="14" s="1"/>
  <c r="S127" i="15" s="1"/>
  <c r="S127" i="16" s="1"/>
  <c r="T127" i="6"/>
  <c r="T127" i="7" s="1"/>
  <c r="T127" i="8" s="1"/>
  <c r="T127" i="9" s="1"/>
  <c r="T127" i="10" s="1"/>
  <c r="T127" i="11" s="1"/>
  <c r="T127" i="12" s="1"/>
  <c r="T127" i="13" s="1"/>
  <c r="T127" i="14" s="1"/>
  <c r="T127" i="15" s="1"/>
  <c r="T127" i="16" s="1"/>
  <c r="S128" i="6"/>
  <c r="S128" i="7" s="1"/>
  <c r="S128" i="8" s="1"/>
  <c r="S128" i="9" s="1"/>
  <c r="S128" i="10" s="1"/>
  <c r="S128" i="11" s="1"/>
  <c r="S128" i="12" s="1"/>
  <c r="S128" i="13" s="1"/>
  <c r="S128" i="14" s="1"/>
  <c r="S128" i="15" s="1"/>
  <c r="S128" i="16" s="1"/>
  <c r="T128" i="6"/>
  <c r="T128" i="7" s="1"/>
  <c r="T128" i="8" s="1"/>
  <c r="T128" i="9" s="1"/>
  <c r="T128" i="10" s="1"/>
  <c r="T128" i="11" s="1"/>
  <c r="T128" i="12" s="1"/>
  <c r="T128" i="13" s="1"/>
  <c r="T128" i="14" s="1"/>
  <c r="T128" i="15" s="1"/>
  <c r="T128" i="16" s="1"/>
  <c r="S129" i="6"/>
  <c r="S129" i="7" s="1"/>
  <c r="S129" i="8" s="1"/>
  <c r="S129" i="9" s="1"/>
  <c r="S129" i="10" s="1"/>
  <c r="S129" i="11" s="1"/>
  <c r="S129" i="12" s="1"/>
  <c r="S129" i="13" s="1"/>
  <c r="S129" i="14" s="1"/>
  <c r="S129" i="15" s="1"/>
  <c r="S129" i="16" s="1"/>
  <c r="T129" i="6"/>
  <c r="T129" i="7" s="1"/>
  <c r="T129" i="8" s="1"/>
  <c r="T129" i="9" s="1"/>
  <c r="T129" i="10" s="1"/>
  <c r="T129" i="11" s="1"/>
  <c r="T129" i="12" s="1"/>
  <c r="T129" i="13" s="1"/>
  <c r="T129" i="14" s="1"/>
  <c r="T129" i="15" s="1"/>
  <c r="T129" i="16" s="1"/>
  <c r="S130" i="6"/>
  <c r="S130" i="7" s="1"/>
  <c r="S130" i="8" s="1"/>
  <c r="S130" i="9" s="1"/>
  <c r="S130" i="10" s="1"/>
  <c r="S130" i="11" s="1"/>
  <c r="S130" i="12" s="1"/>
  <c r="S130" i="13" s="1"/>
  <c r="S130" i="14" s="1"/>
  <c r="S130" i="15" s="1"/>
  <c r="S130" i="16" s="1"/>
  <c r="T130" i="6"/>
  <c r="T130" i="7" s="1"/>
  <c r="T130" i="8" s="1"/>
  <c r="T130" i="9" s="1"/>
  <c r="T130" i="10" s="1"/>
  <c r="T130" i="11" s="1"/>
  <c r="T130" i="12" s="1"/>
  <c r="T130" i="13" s="1"/>
  <c r="T130" i="14" s="1"/>
  <c r="T130" i="15" s="1"/>
  <c r="T130" i="16" s="1"/>
  <c r="S131" i="6"/>
  <c r="S131" i="7" s="1"/>
  <c r="S131" i="8" s="1"/>
  <c r="S131" i="9" s="1"/>
  <c r="S131" i="10" s="1"/>
  <c r="S131" i="11" s="1"/>
  <c r="S131" i="12" s="1"/>
  <c r="S131" i="13" s="1"/>
  <c r="S131" i="14" s="1"/>
  <c r="S131" i="15" s="1"/>
  <c r="S131" i="16" s="1"/>
  <c r="T131" i="6"/>
  <c r="T131" i="7" s="1"/>
  <c r="T131" i="8" s="1"/>
  <c r="T131" i="9" s="1"/>
  <c r="T131" i="10" s="1"/>
  <c r="T131" i="11" s="1"/>
  <c r="T131" i="12" s="1"/>
  <c r="T131" i="13" s="1"/>
  <c r="T131" i="14" s="1"/>
  <c r="T131" i="15" s="1"/>
  <c r="T131" i="16" s="1"/>
  <c r="S132" i="6"/>
  <c r="S132" i="7" s="1"/>
  <c r="S132" i="8" s="1"/>
  <c r="S132" i="9" s="1"/>
  <c r="S132" i="10" s="1"/>
  <c r="S132" i="11" s="1"/>
  <c r="S132" i="12" s="1"/>
  <c r="S132" i="13" s="1"/>
  <c r="S132" i="14" s="1"/>
  <c r="S132" i="15" s="1"/>
  <c r="S132" i="16" s="1"/>
  <c r="T132" i="6"/>
  <c r="T132" i="7" s="1"/>
  <c r="T132" i="8" s="1"/>
  <c r="T132" i="9" s="1"/>
  <c r="T132" i="10" s="1"/>
  <c r="T132" i="11" s="1"/>
  <c r="T132" i="12" s="1"/>
  <c r="T132" i="13" s="1"/>
  <c r="T132" i="14" s="1"/>
  <c r="T132" i="15" s="1"/>
  <c r="T132" i="16" s="1"/>
  <c r="S133" i="6"/>
  <c r="S133" i="7" s="1"/>
  <c r="S133" i="8" s="1"/>
  <c r="S133" i="9" s="1"/>
  <c r="S133" i="10" s="1"/>
  <c r="S133" i="11" s="1"/>
  <c r="S133" i="12" s="1"/>
  <c r="S133" i="13" s="1"/>
  <c r="S133" i="14" s="1"/>
  <c r="S133" i="15" s="1"/>
  <c r="S133" i="16" s="1"/>
  <c r="T133" i="6"/>
  <c r="T133" i="7" s="1"/>
  <c r="T133" i="8" s="1"/>
  <c r="T133" i="9" s="1"/>
  <c r="T133" i="10" s="1"/>
  <c r="T133" i="11" s="1"/>
  <c r="T133" i="12" s="1"/>
  <c r="T133" i="13" s="1"/>
  <c r="T133" i="14" s="1"/>
  <c r="T133" i="15" s="1"/>
  <c r="T133" i="16" s="1"/>
  <c r="S134" i="6"/>
  <c r="S134" i="7" s="1"/>
  <c r="S134" i="8" s="1"/>
  <c r="S134" i="9" s="1"/>
  <c r="S134" i="10" s="1"/>
  <c r="S134" i="11" s="1"/>
  <c r="S134" i="12" s="1"/>
  <c r="S134" i="13" s="1"/>
  <c r="S134" i="14" s="1"/>
  <c r="S134" i="15" s="1"/>
  <c r="S134" i="16" s="1"/>
  <c r="T134" i="6"/>
  <c r="T134" i="7" s="1"/>
  <c r="T134" i="8" s="1"/>
  <c r="T134" i="9" s="1"/>
  <c r="T134" i="10" s="1"/>
  <c r="T134" i="11" s="1"/>
  <c r="T134" i="12" s="1"/>
  <c r="T134" i="13" s="1"/>
  <c r="T134" i="14" s="1"/>
  <c r="T134" i="15" s="1"/>
  <c r="T134" i="16" s="1"/>
  <c r="S139" i="6"/>
  <c r="S139" i="7" s="1"/>
  <c r="S139" i="8" s="1"/>
  <c r="S139" i="9" s="1"/>
  <c r="S139" i="10" s="1"/>
  <c r="S139" i="11" s="1"/>
  <c r="S139" i="12" s="1"/>
  <c r="S139" i="13" s="1"/>
  <c r="S139" i="14" s="1"/>
  <c r="S139" i="15" s="1"/>
  <c r="S139" i="16" s="1"/>
  <c r="T139" i="6"/>
  <c r="T139" i="7" s="1"/>
  <c r="T139" i="8" s="1"/>
  <c r="T139" i="9" s="1"/>
  <c r="T139" i="10" s="1"/>
  <c r="T139" i="11" s="1"/>
  <c r="T139" i="12" s="1"/>
  <c r="T139" i="13" s="1"/>
  <c r="T139" i="14" s="1"/>
  <c r="T139" i="15" s="1"/>
  <c r="T139" i="16" s="1"/>
  <c r="S140" i="6"/>
  <c r="S140" i="7" s="1"/>
  <c r="S140" i="8" s="1"/>
  <c r="S140" i="9" s="1"/>
  <c r="S140" i="10" s="1"/>
  <c r="S140" i="11" s="1"/>
  <c r="S140" i="12" s="1"/>
  <c r="S140" i="13" s="1"/>
  <c r="S140" i="14" s="1"/>
  <c r="S140" i="15" s="1"/>
  <c r="S140" i="16" s="1"/>
  <c r="T140" i="6"/>
  <c r="T140" i="7" s="1"/>
  <c r="T140" i="8" s="1"/>
  <c r="T140" i="9" s="1"/>
  <c r="T140" i="10" s="1"/>
  <c r="T140" i="11" s="1"/>
  <c r="T140" i="12" s="1"/>
  <c r="T140" i="13" s="1"/>
  <c r="T140" i="14" s="1"/>
  <c r="T140" i="15" s="1"/>
  <c r="T140" i="16" s="1"/>
  <c r="S141" i="6"/>
  <c r="S141" i="7" s="1"/>
  <c r="S141" i="8" s="1"/>
  <c r="S141" i="9" s="1"/>
  <c r="S141" i="10" s="1"/>
  <c r="S141" i="11" s="1"/>
  <c r="S141" i="12" s="1"/>
  <c r="S141" i="13" s="1"/>
  <c r="S141" i="14" s="1"/>
  <c r="S141" i="15" s="1"/>
  <c r="S141" i="16" s="1"/>
  <c r="T141" i="6"/>
  <c r="T141" i="7" s="1"/>
  <c r="T141" i="8" s="1"/>
  <c r="T141" i="9" s="1"/>
  <c r="T141" i="10" s="1"/>
  <c r="T141" i="11" s="1"/>
  <c r="T141" i="12" s="1"/>
  <c r="T141" i="13" s="1"/>
  <c r="T141" i="14" s="1"/>
  <c r="T141" i="15" s="1"/>
  <c r="T141" i="16" s="1"/>
  <c r="S142" i="6"/>
  <c r="S142" i="7" s="1"/>
  <c r="S142" i="8" s="1"/>
  <c r="S142" i="9" s="1"/>
  <c r="S142" i="10" s="1"/>
  <c r="S142" i="11" s="1"/>
  <c r="S142" i="12" s="1"/>
  <c r="S142" i="13" s="1"/>
  <c r="S142" i="14" s="1"/>
  <c r="S142" i="15" s="1"/>
  <c r="S142" i="16" s="1"/>
  <c r="T142" i="6"/>
  <c r="T142" i="7" s="1"/>
  <c r="T142" i="8" s="1"/>
  <c r="T142" i="9" s="1"/>
  <c r="T142" i="10" s="1"/>
  <c r="T142" i="11" s="1"/>
  <c r="T142" i="12" s="1"/>
  <c r="T142" i="13" s="1"/>
  <c r="T142" i="14" s="1"/>
  <c r="T142" i="15" s="1"/>
  <c r="T142" i="16" s="1"/>
  <c r="S143" i="6"/>
  <c r="S143" i="7" s="1"/>
  <c r="S143" i="8" s="1"/>
  <c r="S143" i="9" s="1"/>
  <c r="S143" i="10" s="1"/>
  <c r="S143" i="11" s="1"/>
  <c r="S143" i="12" s="1"/>
  <c r="S143" i="13" s="1"/>
  <c r="S143" i="14" s="1"/>
  <c r="S143" i="15" s="1"/>
  <c r="S143" i="16" s="1"/>
  <c r="T143" i="6"/>
  <c r="T143" i="7" s="1"/>
  <c r="T143" i="8" s="1"/>
  <c r="T143" i="9" s="1"/>
  <c r="T143" i="10" s="1"/>
  <c r="T143" i="11" s="1"/>
  <c r="T143" i="12" s="1"/>
  <c r="T143" i="13" s="1"/>
  <c r="T143" i="14" s="1"/>
  <c r="T143" i="15" s="1"/>
  <c r="T143" i="16" s="1"/>
  <c r="S144" i="6"/>
  <c r="S144" i="7" s="1"/>
  <c r="S144" i="8" s="1"/>
  <c r="S144" i="9" s="1"/>
  <c r="S144" i="10" s="1"/>
  <c r="S144" i="11" s="1"/>
  <c r="S144" i="12" s="1"/>
  <c r="S144" i="13" s="1"/>
  <c r="S144" i="14" s="1"/>
  <c r="S144" i="15" s="1"/>
  <c r="S144" i="16" s="1"/>
  <c r="T144" i="6"/>
  <c r="T144" i="7" s="1"/>
  <c r="T144" i="8" s="1"/>
  <c r="T144" i="9" s="1"/>
  <c r="T144" i="10" s="1"/>
  <c r="T144" i="11" s="1"/>
  <c r="T144" i="12" s="1"/>
  <c r="T144" i="13" s="1"/>
  <c r="T144" i="14" s="1"/>
  <c r="T144" i="15" s="1"/>
  <c r="T144" i="16" s="1"/>
  <c r="S145" i="6"/>
  <c r="S145" i="7" s="1"/>
  <c r="S145" i="8" s="1"/>
  <c r="S145" i="9" s="1"/>
  <c r="S145" i="10" s="1"/>
  <c r="S145" i="11" s="1"/>
  <c r="S145" i="12" s="1"/>
  <c r="S145" i="13" s="1"/>
  <c r="S145" i="14" s="1"/>
  <c r="S145" i="15" s="1"/>
  <c r="S145" i="16" s="1"/>
  <c r="T145" i="6"/>
  <c r="T145" i="7" s="1"/>
  <c r="T145" i="8" s="1"/>
  <c r="T145" i="9" s="1"/>
  <c r="T145" i="10" s="1"/>
  <c r="T145" i="11" s="1"/>
  <c r="T145" i="12" s="1"/>
  <c r="T145" i="13" s="1"/>
  <c r="T145" i="14" s="1"/>
  <c r="T145" i="15" s="1"/>
  <c r="T145" i="16" s="1"/>
  <c r="S146" i="6"/>
  <c r="S146" i="7" s="1"/>
  <c r="S146" i="8" s="1"/>
  <c r="S146" i="9" s="1"/>
  <c r="S146" i="10" s="1"/>
  <c r="S146" i="11" s="1"/>
  <c r="S146" i="12" s="1"/>
  <c r="S146" i="13" s="1"/>
  <c r="S146" i="14" s="1"/>
  <c r="S146" i="15" s="1"/>
  <c r="S146" i="16" s="1"/>
  <c r="T146" i="6"/>
  <c r="T146" i="7" s="1"/>
  <c r="T146" i="8" s="1"/>
  <c r="T146" i="9" s="1"/>
  <c r="T146" i="10" s="1"/>
  <c r="T146" i="11" s="1"/>
  <c r="T146" i="12" s="1"/>
  <c r="T146" i="13" s="1"/>
  <c r="T146" i="14" s="1"/>
  <c r="T146" i="15" s="1"/>
  <c r="T146" i="16" s="1"/>
  <c r="S147" i="6"/>
  <c r="S147" i="7" s="1"/>
  <c r="S147" i="8" s="1"/>
  <c r="S147" i="9" s="1"/>
  <c r="S147" i="10" s="1"/>
  <c r="S147" i="11" s="1"/>
  <c r="S147" i="12" s="1"/>
  <c r="S147" i="13" s="1"/>
  <c r="S147" i="14" s="1"/>
  <c r="S147" i="15" s="1"/>
  <c r="S147" i="16" s="1"/>
  <c r="T147" i="6"/>
  <c r="T147" i="7" s="1"/>
  <c r="T147" i="8" s="1"/>
  <c r="T147" i="9" s="1"/>
  <c r="T147" i="10" s="1"/>
  <c r="T147" i="11" s="1"/>
  <c r="T147" i="12" s="1"/>
  <c r="T147" i="13" s="1"/>
  <c r="T147" i="14" s="1"/>
  <c r="T147" i="15" s="1"/>
  <c r="T147" i="16" s="1"/>
  <c r="S148" i="6"/>
  <c r="S148" i="7" s="1"/>
  <c r="S148" i="8" s="1"/>
  <c r="S148" i="9" s="1"/>
  <c r="S148" i="10" s="1"/>
  <c r="S148" i="11" s="1"/>
  <c r="S148" i="12" s="1"/>
  <c r="S148" i="13" s="1"/>
  <c r="S148" i="14" s="1"/>
  <c r="S148" i="15" s="1"/>
  <c r="S148" i="16" s="1"/>
  <c r="T148" i="6"/>
  <c r="T148" i="7" s="1"/>
  <c r="T148" i="8" s="1"/>
  <c r="T148" i="9" s="1"/>
  <c r="T148" i="10" s="1"/>
  <c r="T148" i="11" s="1"/>
  <c r="T148" i="12" s="1"/>
  <c r="T148" i="13" s="1"/>
  <c r="T148" i="14" s="1"/>
  <c r="T148" i="15" s="1"/>
  <c r="T148" i="16" s="1"/>
  <c r="S149" i="6"/>
  <c r="S149" i="7" s="1"/>
  <c r="S149" i="8" s="1"/>
  <c r="S149" i="9" s="1"/>
  <c r="S149" i="10" s="1"/>
  <c r="S149" i="11" s="1"/>
  <c r="S149" i="12" s="1"/>
  <c r="S149" i="13" s="1"/>
  <c r="S149" i="14" s="1"/>
  <c r="S149" i="15" s="1"/>
  <c r="S149" i="16" s="1"/>
  <c r="T149" i="6"/>
  <c r="T149" i="7" s="1"/>
  <c r="T149" i="8" s="1"/>
  <c r="T149" i="9" s="1"/>
  <c r="T149" i="10" s="1"/>
  <c r="T149" i="11" s="1"/>
  <c r="T149" i="12" s="1"/>
  <c r="T149" i="13" s="1"/>
  <c r="T149" i="14" s="1"/>
  <c r="T149" i="15" s="1"/>
  <c r="T149" i="16" s="1"/>
  <c r="S150" i="6"/>
  <c r="S150" i="7" s="1"/>
  <c r="S150" i="8" s="1"/>
  <c r="S150" i="9" s="1"/>
  <c r="S150" i="10" s="1"/>
  <c r="S150" i="11" s="1"/>
  <c r="S150" i="12" s="1"/>
  <c r="S150" i="13" s="1"/>
  <c r="S150" i="14" s="1"/>
  <c r="S150" i="15" s="1"/>
  <c r="S150" i="16" s="1"/>
  <c r="S151" i="6"/>
  <c r="S151" i="7" s="1"/>
  <c r="S151" i="8" s="1"/>
  <c r="S151" i="9" s="1"/>
  <c r="S151" i="10" s="1"/>
  <c r="S151" i="11" s="1"/>
  <c r="S151" i="12" s="1"/>
  <c r="S151" i="13" s="1"/>
  <c r="S151" i="14" s="1"/>
  <c r="S151" i="15" s="1"/>
  <c r="S151" i="16" s="1"/>
  <c r="S152" i="6"/>
  <c r="S152" i="7" s="1"/>
  <c r="S152" i="8" s="1"/>
  <c r="S152" i="9" s="1"/>
  <c r="S152" i="10" s="1"/>
  <c r="S152" i="11" s="1"/>
  <c r="S152" i="12" s="1"/>
  <c r="S152" i="13" s="1"/>
  <c r="S152" i="14" s="1"/>
  <c r="S152" i="15" s="1"/>
  <c r="S152" i="16" s="1"/>
  <c r="S153" i="6"/>
  <c r="S153" i="7" s="1"/>
  <c r="S153" i="8" s="1"/>
  <c r="S153" i="9" s="1"/>
  <c r="S153" i="10" s="1"/>
  <c r="S153" i="11" s="1"/>
  <c r="S153" i="12" s="1"/>
  <c r="S153" i="13" s="1"/>
  <c r="S153" i="14" s="1"/>
  <c r="S153" i="15" s="1"/>
  <c r="S153" i="16" s="1"/>
  <c r="T153" i="6"/>
  <c r="T153" i="7" s="1"/>
  <c r="T153" i="8" s="1"/>
  <c r="T153" i="9" s="1"/>
  <c r="T153" i="10" s="1"/>
  <c r="T153" i="11" s="1"/>
  <c r="T153" i="12" s="1"/>
  <c r="T153" i="13" s="1"/>
  <c r="T153" i="14" s="1"/>
  <c r="T153" i="15" s="1"/>
  <c r="T153" i="16" s="1"/>
  <c r="S154" i="6"/>
  <c r="S154" i="7" s="1"/>
  <c r="S154" i="8" s="1"/>
  <c r="S154" i="9" s="1"/>
  <c r="S154" i="10" s="1"/>
  <c r="S154" i="11" s="1"/>
  <c r="S154" i="12" s="1"/>
  <c r="S154" i="13" s="1"/>
  <c r="S154" i="14" s="1"/>
  <c r="S154" i="15" s="1"/>
  <c r="S154" i="16" s="1"/>
  <c r="T154" i="6"/>
  <c r="T154" i="7" s="1"/>
  <c r="T154" i="8" s="1"/>
  <c r="T154" i="9" s="1"/>
  <c r="T154" i="10" s="1"/>
  <c r="T154" i="11" s="1"/>
  <c r="T154" i="12" s="1"/>
  <c r="T154" i="13" s="1"/>
  <c r="T154" i="14" s="1"/>
  <c r="T154" i="15" s="1"/>
  <c r="T154" i="16" s="1"/>
  <c r="S155" i="6"/>
  <c r="S155" i="7" s="1"/>
  <c r="S155" i="8" s="1"/>
  <c r="S155" i="9" s="1"/>
  <c r="S155" i="10" s="1"/>
  <c r="S155" i="11" s="1"/>
  <c r="S155" i="12" s="1"/>
  <c r="S155" i="13" s="1"/>
  <c r="S155" i="14" s="1"/>
  <c r="S155" i="15" s="1"/>
  <c r="S155" i="16" s="1"/>
  <c r="T155" i="6"/>
  <c r="T155" i="7" s="1"/>
  <c r="T155" i="8" s="1"/>
  <c r="T155" i="9" s="1"/>
  <c r="T155" i="10" s="1"/>
  <c r="T155" i="11" s="1"/>
  <c r="T155" i="12" s="1"/>
  <c r="T155" i="13" s="1"/>
  <c r="T155" i="14" s="1"/>
  <c r="T155" i="15" s="1"/>
  <c r="T155" i="16" s="1"/>
  <c r="S156" i="6"/>
  <c r="S156" i="7" s="1"/>
  <c r="S156" i="8" s="1"/>
  <c r="S156" i="9" s="1"/>
  <c r="S156" i="10" s="1"/>
  <c r="S156" i="11" s="1"/>
  <c r="S156" i="12" s="1"/>
  <c r="S156" i="13" s="1"/>
  <c r="S156" i="14" s="1"/>
  <c r="S156" i="15" s="1"/>
  <c r="S156" i="16" s="1"/>
  <c r="T156" i="6"/>
  <c r="T156" i="7" s="1"/>
  <c r="T156" i="8" s="1"/>
  <c r="T156" i="9" s="1"/>
  <c r="T156" i="10" s="1"/>
  <c r="T156" i="11" s="1"/>
  <c r="T156" i="12" s="1"/>
  <c r="T156" i="13" s="1"/>
  <c r="T156" i="14" s="1"/>
  <c r="T156" i="15" s="1"/>
  <c r="T156" i="16" s="1"/>
  <c r="S157" i="6"/>
  <c r="S157" i="7" s="1"/>
  <c r="S157" i="8" s="1"/>
  <c r="S157" i="9" s="1"/>
  <c r="S157" i="10" s="1"/>
  <c r="S157" i="11" s="1"/>
  <c r="S157" i="12" s="1"/>
  <c r="S157" i="13" s="1"/>
  <c r="S157" i="14" s="1"/>
  <c r="S157" i="15" s="1"/>
  <c r="S157" i="16" s="1"/>
  <c r="T157" i="6"/>
  <c r="T157" i="7" s="1"/>
  <c r="T157" i="8" s="1"/>
  <c r="T157" i="9" s="1"/>
  <c r="T157" i="10" s="1"/>
  <c r="T157" i="11" s="1"/>
  <c r="T157" i="12" s="1"/>
  <c r="T157" i="13" s="1"/>
  <c r="T157" i="14" s="1"/>
  <c r="T157" i="15" s="1"/>
  <c r="T157" i="16" s="1"/>
  <c r="S158" i="6"/>
  <c r="S158" i="7" s="1"/>
  <c r="S158" i="8" s="1"/>
  <c r="S158" i="9" s="1"/>
  <c r="S158" i="10" s="1"/>
  <c r="S158" i="11" s="1"/>
  <c r="S158" i="12" s="1"/>
  <c r="S158" i="13" s="1"/>
  <c r="S158" i="14" s="1"/>
  <c r="S158" i="15" s="1"/>
  <c r="S158" i="16" s="1"/>
  <c r="T158" i="6"/>
  <c r="T158" i="7" s="1"/>
  <c r="T158" i="8" s="1"/>
  <c r="T158" i="9" s="1"/>
  <c r="T158" i="10" s="1"/>
  <c r="T158" i="11" s="1"/>
  <c r="T158" i="12" s="1"/>
  <c r="T158" i="13" s="1"/>
  <c r="T158" i="14" s="1"/>
  <c r="T158" i="15" s="1"/>
  <c r="T158" i="16" s="1"/>
  <c r="S159" i="6"/>
  <c r="S159" i="7" s="1"/>
  <c r="S159" i="8" s="1"/>
  <c r="S159" i="9" s="1"/>
  <c r="S159" i="10" s="1"/>
  <c r="S159" i="11" s="1"/>
  <c r="S159" i="12" s="1"/>
  <c r="S159" i="13" s="1"/>
  <c r="S159" i="14" s="1"/>
  <c r="S159" i="15" s="1"/>
  <c r="S159" i="16" s="1"/>
  <c r="T159" i="6"/>
  <c r="T159" i="7" s="1"/>
  <c r="T159" i="8" s="1"/>
  <c r="T159" i="9" s="1"/>
  <c r="T159" i="10" s="1"/>
  <c r="T159" i="11" s="1"/>
  <c r="T159" i="12" s="1"/>
  <c r="T159" i="13" s="1"/>
  <c r="T159" i="14" s="1"/>
  <c r="T159" i="15" s="1"/>
  <c r="T159" i="16" s="1"/>
  <c r="S160" i="6"/>
  <c r="S160" i="7" s="1"/>
  <c r="S160" i="8" s="1"/>
  <c r="S160" i="9" s="1"/>
  <c r="S160" i="10" s="1"/>
  <c r="S160" i="11" s="1"/>
  <c r="S160" i="12" s="1"/>
  <c r="S160" i="13" s="1"/>
  <c r="S160" i="14" s="1"/>
  <c r="S160" i="15" s="1"/>
  <c r="S160" i="16" s="1"/>
  <c r="T160" i="6"/>
  <c r="T160" i="7" s="1"/>
  <c r="T160" i="8" s="1"/>
  <c r="T160" i="9" s="1"/>
  <c r="T160" i="10" s="1"/>
  <c r="T160" i="11" s="1"/>
  <c r="T160" i="12" s="1"/>
  <c r="T160" i="13" s="1"/>
  <c r="T160" i="14" s="1"/>
  <c r="T160" i="15" s="1"/>
  <c r="T160" i="16" s="1"/>
  <c r="S161" i="6"/>
  <c r="S161" i="7" s="1"/>
  <c r="S161" i="8" s="1"/>
  <c r="S161" i="9" s="1"/>
  <c r="S161" i="10" s="1"/>
  <c r="S161" i="11" s="1"/>
  <c r="S161" i="12" s="1"/>
  <c r="S161" i="13" s="1"/>
  <c r="S161" i="14" s="1"/>
  <c r="S161" i="15" s="1"/>
  <c r="S161" i="16" s="1"/>
  <c r="T161" i="6"/>
  <c r="T161" i="7" s="1"/>
  <c r="T161" i="8" s="1"/>
  <c r="T161" i="9" s="1"/>
  <c r="T161" i="10" s="1"/>
  <c r="T161" i="11" s="1"/>
  <c r="T161" i="12" s="1"/>
  <c r="T161" i="13" s="1"/>
  <c r="T161" i="14" s="1"/>
  <c r="T161" i="15" s="1"/>
  <c r="T161" i="16" s="1"/>
  <c r="S162" i="6"/>
  <c r="S162" i="7" s="1"/>
  <c r="S162" i="8" s="1"/>
  <c r="S162" i="9" s="1"/>
  <c r="S162" i="10" s="1"/>
  <c r="S162" i="11" s="1"/>
  <c r="S162" i="12" s="1"/>
  <c r="S162" i="13" s="1"/>
  <c r="S162" i="14" s="1"/>
  <c r="S162" i="15" s="1"/>
  <c r="S162" i="16" s="1"/>
  <c r="T162" i="6"/>
  <c r="T162" i="7" s="1"/>
  <c r="T162" i="8" s="1"/>
  <c r="T162" i="9" s="1"/>
  <c r="T162" i="10" s="1"/>
  <c r="T162" i="11" s="1"/>
  <c r="T162" i="12" s="1"/>
  <c r="T162" i="13" s="1"/>
  <c r="T162" i="14" s="1"/>
  <c r="T162" i="15" s="1"/>
  <c r="T162" i="16" s="1"/>
  <c r="S163" i="6"/>
  <c r="S163" i="7" s="1"/>
  <c r="S163" i="8" s="1"/>
  <c r="S163" i="9" s="1"/>
  <c r="S163" i="10" s="1"/>
  <c r="S163" i="11" s="1"/>
  <c r="S163" i="12" s="1"/>
  <c r="S163" i="13" s="1"/>
  <c r="S163" i="14" s="1"/>
  <c r="S163" i="15" s="1"/>
  <c r="S163" i="16" s="1"/>
  <c r="T163" i="6"/>
  <c r="T163" i="7" s="1"/>
  <c r="T163" i="8" s="1"/>
  <c r="T163" i="9" s="1"/>
  <c r="T163" i="10" s="1"/>
  <c r="T163" i="11" s="1"/>
  <c r="T163" i="12" s="1"/>
  <c r="T163" i="13" s="1"/>
  <c r="T163" i="14" s="1"/>
  <c r="T163" i="15" s="1"/>
  <c r="T163" i="16" s="1"/>
  <c r="S164" i="6"/>
  <c r="S164" i="7" s="1"/>
  <c r="S164" i="8" s="1"/>
  <c r="S164" i="9" s="1"/>
  <c r="S164" i="10" s="1"/>
  <c r="S164" i="11" s="1"/>
  <c r="S164" i="12" s="1"/>
  <c r="S164" i="13" s="1"/>
  <c r="S164" i="14" s="1"/>
  <c r="S164" i="15" s="1"/>
  <c r="S164" i="16" s="1"/>
  <c r="T164" i="6"/>
  <c r="T164" i="7" s="1"/>
  <c r="T164" i="8" s="1"/>
  <c r="T164" i="9" s="1"/>
  <c r="T164" i="10" s="1"/>
  <c r="T164" i="11" s="1"/>
  <c r="T164" i="12" s="1"/>
  <c r="T164" i="13" s="1"/>
  <c r="T164" i="14" s="1"/>
  <c r="T164" i="15" s="1"/>
  <c r="T164" i="16" s="1"/>
  <c r="S165" i="6"/>
  <c r="S165" i="7" s="1"/>
  <c r="S165" i="8" s="1"/>
  <c r="S165" i="9" s="1"/>
  <c r="S165" i="10" s="1"/>
  <c r="S165" i="11" s="1"/>
  <c r="S165" i="12" s="1"/>
  <c r="S165" i="13" s="1"/>
  <c r="S165" i="14" s="1"/>
  <c r="S165" i="15" s="1"/>
  <c r="S165" i="16" s="1"/>
  <c r="T165" i="6"/>
  <c r="T165" i="7" s="1"/>
  <c r="T165" i="8" s="1"/>
  <c r="T165" i="9" s="1"/>
  <c r="T165" i="10" s="1"/>
  <c r="T165" i="11" s="1"/>
  <c r="T165" i="12" s="1"/>
  <c r="T165" i="13" s="1"/>
  <c r="T165" i="14" s="1"/>
  <c r="T165" i="15" s="1"/>
  <c r="T165" i="16" s="1"/>
  <c r="S166" i="6"/>
  <c r="S166" i="7" s="1"/>
  <c r="S166" i="8" s="1"/>
  <c r="S166" i="9" s="1"/>
  <c r="S166" i="10" s="1"/>
  <c r="S166" i="11" s="1"/>
  <c r="S166" i="12" s="1"/>
  <c r="S166" i="13" s="1"/>
  <c r="S166" i="14" s="1"/>
  <c r="S166" i="15" s="1"/>
  <c r="S166" i="16" s="1"/>
  <c r="T166" i="6"/>
  <c r="T166" i="7" s="1"/>
  <c r="T166" i="8" s="1"/>
  <c r="T166" i="9" s="1"/>
  <c r="T166" i="10" s="1"/>
  <c r="T166" i="11" s="1"/>
  <c r="T166" i="12" s="1"/>
  <c r="T166" i="13" s="1"/>
  <c r="T166" i="14" s="1"/>
  <c r="T166" i="15" s="1"/>
  <c r="T166" i="16" s="1"/>
  <c r="S168" i="6"/>
  <c r="S168" i="7" s="1"/>
  <c r="S168" i="8" s="1"/>
  <c r="S168" i="9" s="1"/>
  <c r="S168" i="10" s="1"/>
  <c r="S168" i="11" s="1"/>
  <c r="S168" i="12" s="1"/>
  <c r="S168" i="13" s="1"/>
  <c r="S168" i="14" s="1"/>
  <c r="S168" i="15" s="1"/>
  <c r="S168" i="16" s="1"/>
  <c r="T168" i="6"/>
  <c r="T168" i="7" s="1"/>
  <c r="T168" i="8" s="1"/>
  <c r="T168" i="9" s="1"/>
  <c r="T168" i="10" s="1"/>
  <c r="T168" i="11" s="1"/>
  <c r="T168" i="12" s="1"/>
  <c r="T168" i="13" s="1"/>
  <c r="T168" i="14" s="1"/>
  <c r="T168" i="15" s="1"/>
  <c r="T168" i="16" s="1"/>
  <c r="S169" i="6"/>
  <c r="S169" i="7" s="1"/>
  <c r="S169" i="8" s="1"/>
  <c r="S169" i="9" s="1"/>
  <c r="S169" i="10" s="1"/>
  <c r="S169" i="11" s="1"/>
  <c r="S169" i="12" s="1"/>
  <c r="S169" i="13" s="1"/>
  <c r="S169" i="14" s="1"/>
  <c r="S169" i="15" s="1"/>
  <c r="S169" i="16" s="1"/>
  <c r="T169" i="6"/>
  <c r="T169" i="7" s="1"/>
  <c r="T169" i="8" s="1"/>
  <c r="T169" i="9" s="1"/>
  <c r="T169" i="10" s="1"/>
  <c r="T169" i="11" s="1"/>
  <c r="T169" i="12" s="1"/>
  <c r="T169" i="13" s="1"/>
  <c r="T169" i="14" s="1"/>
  <c r="T169" i="15" s="1"/>
  <c r="T169" i="16" s="1"/>
  <c r="S170" i="6"/>
  <c r="S170" i="7" s="1"/>
  <c r="S170" i="8" s="1"/>
  <c r="S170" i="9" s="1"/>
  <c r="S170" i="10" s="1"/>
  <c r="S170" i="11" s="1"/>
  <c r="S170" i="12" s="1"/>
  <c r="S170" i="13" s="1"/>
  <c r="S170" i="14" s="1"/>
  <c r="S170" i="15" s="1"/>
  <c r="S170" i="16" s="1"/>
  <c r="T170" i="6"/>
  <c r="T170" i="7" s="1"/>
  <c r="T170" i="8" s="1"/>
  <c r="T170" i="9" s="1"/>
  <c r="T170" i="10" s="1"/>
  <c r="T170" i="11" s="1"/>
  <c r="T170" i="12" s="1"/>
  <c r="T170" i="13" s="1"/>
  <c r="T170" i="14" s="1"/>
  <c r="T170" i="15" s="1"/>
  <c r="T170" i="16" s="1"/>
  <c r="S171" i="6"/>
  <c r="S171" i="7" s="1"/>
  <c r="S171" i="8" s="1"/>
  <c r="S171" i="9" s="1"/>
  <c r="S171" i="10" s="1"/>
  <c r="S171" i="11" s="1"/>
  <c r="S171" i="12" s="1"/>
  <c r="S171" i="13" s="1"/>
  <c r="S171" i="14" s="1"/>
  <c r="S171" i="15" s="1"/>
  <c r="S171" i="16" s="1"/>
  <c r="T171" i="6"/>
  <c r="T171" i="7" s="1"/>
  <c r="T171" i="8" s="1"/>
  <c r="T171" i="9" s="1"/>
  <c r="T171" i="10" s="1"/>
  <c r="T171" i="11" s="1"/>
  <c r="T171" i="12" s="1"/>
  <c r="T171" i="13" s="1"/>
  <c r="T171" i="14" s="1"/>
  <c r="T171" i="15" s="1"/>
  <c r="T171" i="16" s="1"/>
  <c r="S172" i="6"/>
  <c r="S172" i="7" s="1"/>
  <c r="S172" i="8" s="1"/>
  <c r="S172" i="9" s="1"/>
  <c r="S172" i="10" s="1"/>
  <c r="S172" i="11" s="1"/>
  <c r="S172" i="12" s="1"/>
  <c r="S172" i="13" s="1"/>
  <c r="S172" i="14" s="1"/>
  <c r="S172" i="15" s="1"/>
  <c r="S172" i="16" s="1"/>
  <c r="T172" i="6"/>
  <c r="T172" i="7" s="1"/>
  <c r="T172" i="8" s="1"/>
  <c r="T172" i="9" s="1"/>
  <c r="T172" i="10" s="1"/>
  <c r="T172" i="11" s="1"/>
  <c r="T172" i="12" s="1"/>
  <c r="T172" i="13" s="1"/>
  <c r="T172" i="14" s="1"/>
  <c r="T172" i="15" s="1"/>
  <c r="T172" i="16" s="1"/>
  <c r="S173" i="6"/>
  <c r="S173" i="7" s="1"/>
  <c r="S173" i="8" s="1"/>
  <c r="S173" i="9" s="1"/>
  <c r="S173" i="10" s="1"/>
  <c r="S173" i="11" s="1"/>
  <c r="S173" i="12" s="1"/>
  <c r="S173" i="13" s="1"/>
  <c r="S173" i="14" s="1"/>
  <c r="S173" i="15" s="1"/>
  <c r="S173" i="16" s="1"/>
  <c r="T173" i="6"/>
  <c r="T173" i="7" s="1"/>
  <c r="T173" i="8" s="1"/>
  <c r="T173" i="9" s="1"/>
  <c r="T173" i="10" s="1"/>
  <c r="T173" i="11" s="1"/>
  <c r="T173" i="12" s="1"/>
  <c r="T173" i="13" s="1"/>
  <c r="T173" i="14" s="1"/>
  <c r="T173" i="15" s="1"/>
  <c r="T173" i="16" s="1"/>
  <c r="S174" i="6"/>
  <c r="S174" i="7" s="1"/>
  <c r="S174" i="8" s="1"/>
  <c r="S174" i="9" s="1"/>
  <c r="S174" i="10" s="1"/>
  <c r="S174" i="11" s="1"/>
  <c r="S174" i="12" s="1"/>
  <c r="S174" i="13" s="1"/>
  <c r="S174" i="14" s="1"/>
  <c r="S174" i="15" s="1"/>
  <c r="S174" i="16" s="1"/>
  <c r="T174" i="6"/>
  <c r="T174" i="7" s="1"/>
  <c r="T174" i="8" s="1"/>
  <c r="T174" i="9" s="1"/>
  <c r="T174" i="10" s="1"/>
  <c r="T174" i="11" s="1"/>
  <c r="T174" i="12" s="1"/>
  <c r="T174" i="13" s="1"/>
  <c r="T174" i="14" s="1"/>
  <c r="T174" i="15" s="1"/>
  <c r="T174" i="16" s="1"/>
  <c r="S175" i="6"/>
  <c r="S175" i="7" s="1"/>
  <c r="S175" i="8" s="1"/>
  <c r="S175" i="9" s="1"/>
  <c r="S175" i="10" s="1"/>
  <c r="S175" i="11" s="1"/>
  <c r="S175" i="12" s="1"/>
  <c r="S175" i="13" s="1"/>
  <c r="S175" i="14" s="1"/>
  <c r="S175" i="15" s="1"/>
  <c r="S175" i="16" s="1"/>
  <c r="T175" i="6"/>
  <c r="T175" i="7" s="1"/>
  <c r="T175" i="8" s="1"/>
  <c r="T175" i="9" s="1"/>
  <c r="T175" i="10" s="1"/>
  <c r="T175" i="11" s="1"/>
  <c r="T175" i="12" s="1"/>
  <c r="T175" i="13" s="1"/>
  <c r="T175" i="14" s="1"/>
  <c r="T175" i="15" s="1"/>
  <c r="T175" i="16" s="1"/>
  <c r="S176" i="6"/>
  <c r="S176" i="7" s="1"/>
  <c r="S176" i="8" s="1"/>
  <c r="S176" i="9" s="1"/>
  <c r="S176" i="10" s="1"/>
  <c r="S176" i="11" s="1"/>
  <c r="S176" i="12" s="1"/>
  <c r="S176" i="13" s="1"/>
  <c r="S176" i="14" s="1"/>
  <c r="S176" i="15" s="1"/>
  <c r="S176" i="16" s="1"/>
  <c r="T176" i="6"/>
  <c r="T176" i="7" s="1"/>
  <c r="T176" i="8" s="1"/>
  <c r="T176" i="9" s="1"/>
  <c r="T176" i="10" s="1"/>
  <c r="T176" i="11" s="1"/>
  <c r="T176" i="12" s="1"/>
  <c r="T176" i="13" s="1"/>
  <c r="T176" i="14" s="1"/>
  <c r="T176" i="15" s="1"/>
  <c r="T176" i="16" s="1"/>
  <c r="S177" i="6"/>
  <c r="S177" i="7" s="1"/>
  <c r="S177" i="8" s="1"/>
  <c r="S177" i="9" s="1"/>
  <c r="S177" i="10" s="1"/>
  <c r="S177" i="11" s="1"/>
  <c r="S177" i="12" s="1"/>
  <c r="S177" i="13" s="1"/>
  <c r="S177" i="14" s="1"/>
  <c r="S177" i="15" s="1"/>
  <c r="S177" i="16" s="1"/>
  <c r="T177" i="6"/>
  <c r="T177" i="7" s="1"/>
  <c r="T177" i="8" s="1"/>
  <c r="T177" i="9" s="1"/>
  <c r="T177" i="10" s="1"/>
  <c r="T177" i="11" s="1"/>
  <c r="T177" i="12" s="1"/>
  <c r="T177" i="13" s="1"/>
  <c r="T177" i="14" s="1"/>
  <c r="T177" i="15" s="1"/>
  <c r="T177" i="16" s="1"/>
  <c r="S178" i="6"/>
  <c r="S178" i="7" s="1"/>
  <c r="S178" i="8" s="1"/>
  <c r="S178" i="9" s="1"/>
  <c r="S178" i="10" s="1"/>
  <c r="S178" i="11" s="1"/>
  <c r="S178" i="12" s="1"/>
  <c r="S178" i="13" s="1"/>
  <c r="S178" i="14" s="1"/>
  <c r="S178" i="15" s="1"/>
  <c r="S178" i="16" s="1"/>
  <c r="T178" i="6"/>
  <c r="T178" i="7" s="1"/>
  <c r="T178" i="8" s="1"/>
  <c r="T178" i="9" s="1"/>
  <c r="T178" i="10" s="1"/>
  <c r="T178" i="11" s="1"/>
  <c r="T178" i="12" s="1"/>
  <c r="T178" i="13" s="1"/>
  <c r="T178" i="14" s="1"/>
  <c r="T178" i="15" s="1"/>
  <c r="T178" i="16" s="1"/>
  <c r="S179" i="6"/>
  <c r="S179" i="7" s="1"/>
  <c r="S179" i="8" s="1"/>
  <c r="S179" i="9" s="1"/>
  <c r="S179" i="10" s="1"/>
  <c r="S179" i="11" s="1"/>
  <c r="S179" i="12" s="1"/>
  <c r="S179" i="13" s="1"/>
  <c r="S179" i="14" s="1"/>
  <c r="S179" i="15" s="1"/>
  <c r="S179" i="16" s="1"/>
  <c r="T179" i="6"/>
  <c r="T179" i="7" s="1"/>
  <c r="T179" i="8" s="1"/>
  <c r="T179" i="9" s="1"/>
  <c r="T179" i="10" s="1"/>
  <c r="T179" i="11" s="1"/>
  <c r="T179" i="12" s="1"/>
  <c r="T179" i="13" s="1"/>
  <c r="T179" i="14" s="1"/>
  <c r="T179" i="15" s="1"/>
  <c r="T179" i="16" s="1"/>
  <c r="S180" i="6"/>
  <c r="S180" i="7" s="1"/>
  <c r="S180" i="8" s="1"/>
  <c r="S180" i="9" s="1"/>
  <c r="S180" i="10" s="1"/>
  <c r="S180" i="11" s="1"/>
  <c r="S180" i="12" s="1"/>
  <c r="S180" i="13" s="1"/>
  <c r="S180" i="14" s="1"/>
  <c r="S180" i="15" s="1"/>
  <c r="S180" i="16" s="1"/>
  <c r="T180" i="6"/>
  <c r="T180" i="7" s="1"/>
  <c r="T180" i="8" s="1"/>
  <c r="T180" i="9" s="1"/>
  <c r="T180" i="10" s="1"/>
  <c r="T180" i="11" s="1"/>
  <c r="T180" i="12" s="1"/>
  <c r="T180" i="13" s="1"/>
  <c r="T180" i="14" s="1"/>
  <c r="T180" i="15" s="1"/>
  <c r="T180" i="16" s="1"/>
  <c r="S183" i="6"/>
  <c r="S183" i="7" s="1"/>
  <c r="S183" i="8" s="1"/>
  <c r="S183" i="9" s="1"/>
  <c r="S183" i="10" s="1"/>
  <c r="S183" i="11" s="1"/>
  <c r="S183" i="12" s="1"/>
  <c r="S183" i="13" s="1"/>
  <c r="S183" i="14" s="1"/>
  <c r="S183" i="15" s="1"/>
  <c r="S183" i="16" s="1"/>
  <c r="T183" i="6"/>
  <c r="T183" i="7" s="1"/>
  <c r="T183" i="8" s="1"/>
  <c r="T183" i="9" s="1"/>
  <c r="T183" i="10" s="1"/>
  <c r="T183" i="11" s="1"/>
  <c r="T183" i="12" s="1"/>
  <c r="T183" i="13" s="1"/>
  <c r="T183" i="14" s="1"/>
  <c r="T183" i="15" s="1"/>
  <c r="T183" i="16" s="1"/>
  <c r="S184" i="6"/>
  <c r="S184" i="7" s="1"/>
  <c r="S184" i="8" s="1"/>
  <c r="S184" i="9" s="1"/>
  <c r="S184" i="10" s="1"/>
  <c r="S184" i="11" s="1"/>
  <c r="S184" i="12" s="1"/>
  <c r="S184" i="13" s="1"/>
  <c r="S184" i="14" s="1"/>
  <c r="S184" i="15" s="1"/>
  <c r="S184" i="16" s="1"/>
  <c r="T184" i="6"/>
  <c r="T184" i="7" s="1"/>
  <c r="T184" i="8" s="1"/>
  <c r="T184" i="9" s="1"/>
  <c r="T184" i="10" s="1"/>
  <c r="T184" i="11" s="1"/>
  <c r="T184" i="12" s="1"/>
  <c r="T184" i="13" s="1"/>
  <c r="T184" i="14" s="1"/>
  <c r="T184" i="15" s="1"/>
  <c r="T184" i="16" s="1"/>
  <c r="S185" i="6"/>
  <c r="S185" i="7" s="1"/>
  <c r="S185" i="8" s="1"/>
  <c r="S185" i="9" s="1"/>
  <c r="S185" i="10" s="1"/>
  <c r="S185" i="11" s="1"/>
  <c r="S185" i="12" s="1"/>
  <c r="S185" i="13" s="1"/>
  <c r="S185" i="14" s="1"/>
  <c r="S185" i="15" s="1"/>
  <c r="S185" i="16" s="1"/>
  <c r="T185" i="6"/>
  <c r="T185" i="7" s="1"/>
  <c r="T185" i="8" s="1"/>
  <c r="T185" i="9" s="1"/>
  <c r="T185" i="10" s="1"/>
  <c r="T185" i="11" s="1"/>
  <c r="T185" i="12" s="1"/>
  <c r="T185" i="13" s="1"/>
  <c r="T185" i="14" s="1"/>
  <c r="T185" i="15" s="1"/>
  <c r="T185" i="16" s="1"/>
  <c r="S186" i="6"/>
  <c r="S186" i="7" s="1"/>
  <c r="S186" i="8" s="1"/>
  <c r="S186" i="9" s="1"/>
  <c r="S186" i="10" s="1"/>
  <c r="S186" i="11" s="1"/>
  <c r="S186" i="12" s="1"/>
  <c r="S186" i="13" s="1"/>
  <c r="S186" i="14" s="1"/>
  <c r="S186" i="15" s="1"/>
  <c r="S186" i="16" s="1"/>
  <c r="T186" i="6"/>
  <c r="T186" i="7" s="1"/>
  <c r="T186" i="8" s="1"/>
  <c r="T186" i="9" s="1"/>
  <c r="T186" i="10" s="1"/>
  <c r="T186" i="11" s="1"/>
  <c r="T186" i="12" s="1"/>
  <c r="T186" i="13" s="1"/>
  <c r="T186" i="14" s="1"/>
  <c r="T186" i="15" s="1"/>
  <c r="T186" i="16" s="1"/>
  <c r="S187" i="6"/>
  <c r="S187" i="7" s="1"/>
  <c r="S187" i="8" s="1"/>
  <c r="S187" i="9" s="1"/>
  <c r="S187" i="10" s="1"/>
  <c r="S187" i="11" s="1"/>
  <c r="S187" i="12" s="1"/>
  <c r="S187" i="13" s="1"/>
  <c r="S187" i="14" s="1"/>
  <c r="S187" i="15" s="1"/>
  <c r="S187" i="16" s="1"/>
  <c r="T187" i="6"/>
  <c r="T187" i="7" s="1"/>
  <c r="T187" i="8" s="1"/>
  <c r="T187" i="9" s="1"/>
  <c r="T187" i="10" s="1"/>
  <c r="T187" i="11" s="1"/>
  <c r="T187" i="12" s="1"/>
  <c r="T187" i="13" s="1"/>
  <c r="T187" i="14" s="1"/>
  <c r="T187" i="15" s="1"/>
  <c r="T187" i="16" s="1"/>
  <c r="S188" i="6"/>
  <c r="S188" i="7" s="1"/>
  <c r="S188" i="8" s="1"/>
  <c r="S188" i="9" s="1"/>
  <c r="S188" i="10" s="1"/>
  <c r="S188" i="11" s="1"/>
  <c r="S188" i="12" s="1"/>
  <c r="S188" i="13" s="1"/>
  <c r="S188" i="14" s="1"/>
  <c r="S188" i="15" s="1"/>
  <c r="S188" i="16" s="1"/>
  <c r="S189" i="6"/>
  <c r="S189" i="7" s="1"/>
  <c r="S189" i="8" s="1"/>
  <c r="S189" i="9" s="1"/>
  <c r="S189" i="10" s="1"/>
  <c r="S189" i="11" s="1"/>
  <c r="S189" i="12" s="1"/>
  <c r="S189" i="13" s="1"/>
  <c r="S189" i="14" s="1"/>
  <c r="S189" i="15" s="1"/>
  <c r="S189" i="16" s="1"/>
  <c r="S190" i="6"/>
  <c r="S190" i="7" s="1"/>
  <c r="S190" i="8" s="1"/>
  <c r="S190" i="9" s="1"/>
  <c r="S190" i="10" s="1"/>
  <c r="S190" i="11" s="1"/>
  <c r="S190" i="12" s="1"/>
  <c r="S190" i="13" s="1"/>
  <c r="S190" i="14" s="1"/>
  <c r="S190" i="15" s="1"/>
  <c r="S190" i="16" s="1"/>
  <c r="S191" i="6"/>
  <c r="S191" i="7" s="1"/>
  <c r="S191" i="8" s="1"/>
  <c r="S191" i="9" s="1"/>
  <c r="S191" i="10" s="1"/>
  <c r="S191" i="11" s="1"/>
  <c r="S191" i="12" s="1"/>
  <c r="S191" i="13" s="1"/>
  <c r="S191" i="14" s="1"/>
  <c r="S191" i="15" s="1"/>
  <c r="S191" i="16" s="1"/>
  <c r="T191" i="6"/>
  <c r="T191" i="7" s="1"/>
  <c r="T191" i="8" s="1"/>
  <c r="T191" i="9" s="1"/>
  <c r="T191" i="10" s="1"/>
  <c r="T191" i="11" s="1"/>
  <c r="T191" i="12" s="1"/>
  <c r="T191" i="13" s="1"/>
  <c r="T191" i="14" s="1"/>
  <c r="T191" i="15" s="1"/>
  <c r="T191" i="16" s="1"/>
  <c r="S192" i="7"/>
  <c r="S194" i="8" s="1"/>
  <c r="S194" i="9" s="1"/>
  <c r="S194" i="10" s="1"/>
  <c r="S194" i="11" s="1"/>
  <c r="S194" i="12" s="1"/>
  <c r="S194" i="13" s="1"/>
  <c r="S194" i="14" s="1"/>
  <c r="S192" i="15" s="1"/>
  <c r="S194" i="16" s="1"/>
  <c r="T192" i="7"/>
  <c r="T194" i="8" s="1"/>
  <c r="T194" i="9" s="1"/>
  <c r="T194" i="10" s="1"/>
  <c r="T194" i="11" s="1"/>
  <c r="T194" i="12" s="1"/>
  <c r="T194" i="13" s="1"/>
  <c r="T194" i="14" s="1"/>
  <c r="T192" i="15" s="1"/>
  <c r="T194" i="16" s="1"/>
  <c r="S195" i="6"/>
  <c r="S195" i="7" s="1"/>
  <c r="S195" i="8" s="1"/>
  <c r="S195" i="9" s="1"/>
  <c r="S195" i="10" s="1"/>
  <c r="S195" i="11" s="1"/>
  <c r="S195" i="12" s="1"/>
  <c r="S195" i="13" s="1"/>
  <c r="S195" i="14" s="1"/>
  <c r="S195" i="15" s="1"/>
  <c r="S195" i="16" s="1"/>
  <c r="T195" i="6"/>
  <c r="T195" i="7" s="1"/>
  <c r="T195" i="8" s="1"/>
  <c r="T195" i="9" s="1"/>
  <c r="T195" i="10" s="1"/>
  <c r="T195" i="11" s="1"/>
  <c r="T195" i="12" s="1"/>
  <c r="T195" i="13" s="1"/>
  <c r="T195" i="14" s="1"/>
  <c r="T195" i="15" s="1"/>
  <c r="T195" i="16" s="1"/>
  <c r="S196" i="6"/>
  <c r="S196" i="7" s="1"/>
  <c r="S196" i="8" s="1"/>
  <c r="S196" i="9" s="1"/>
  <c r="S196" i="10" s="1"/>
  <c r="S196" i="11" s="1"/>
  <c r="S196" i="12" s="1"/>
  <c r="S196" i="13" s="1"/>
  <c r="S196" i="14" s="1"/>
  <c r="S196" i="15" s="1"/>
  <c r="S196" i="16" s="1"/>
  <c r="T196" i="6"/>
  <c r="T196" i="7" s="1"/>
  <c r="T196" i="8" s="1"/>
  <c r="T196" i="9" s="1"/>
  <c r="T196" i="10" s="1"/>
  <c r="T196" i="11" s="1"/>
  <c r="T196" i="12" s="1"/>
  <c r="T196" i="13" s="1"/>
  <c r="T196" i="14" s="1"/>
  <c r="T196" i="15" s="1"/>
  <c r="T196" i="16" s="1"/>
  <c r="S197" i="6"/>
  <c r="S197" i="7" s="1"/>
  <c r="S197" i="8" s="1"/>
  <c r="S197" i="9" s="1"/>
  <c r="S197" i="10" s="1"/>
  <c r="S197" i="11" s="1"/>
  <c r="S197" i="12" s="1"/>
  <c r="S197" i="13" s="1"/>
  <c r="S197" i="14" s="1"/>
  <c r="S197" i="15" s="1"/>
  <c r="S197" i="16" s="1"/>
  <c r="T197" i="6"/>
  <c r="T197" i="7" s="1"/>
  <c r="T197" i="8" s="1"/>
  <c r="T197" i="9" s="1"/>
  <c r="T197" i="10" s="1"/>
  <c r="T197" i="11" s="1"/>
  <c r="T197" i="12" s="1"/>
  <c r="T197" i="13" s="1"/>
  <c r="T197" i="14" s="1"/>
  <c r="T197" i="15" s="1"/>
  <c r="T197" i="16" s="1"/>
  <c r="S198" i="6"/>
  <c r="S198" i="7" s="1"/>
  <c r="S198" i="8" s="1"/>
  <c r="S198" i="9" s="1"/>
  <c r="S198" i="10" s="1"/>
  <c r="S198" i="11" s="1"/>
  <c r="S198" i="12" s="1"/>
  <c r="S198" i="13" s="1"/>
  <c r="S198" i="14" s="1"/>
  <c r="S198" i="15" s="1"/>
  <c r="S198" i="16" s="1"/>
  <c r="T198" i="6"/>
  <c r="T198" i="7" s="1"/>
  <c r="T198" i="8" s="1"/>
  <c r="T198" i="9" s="1"/>
  <c r="T198" i="10" s="1"/>
  <c r="T198" i="11" s="1"/>
  <c r="T198" i="12" s="1"/>
  <c r="T198" i="13" s="1"/>
  <c r="T198" i="14" s="1"/>
  <c r="T198" i="15" s="1"/>
  <c r="T198" i="16" s="1"/>
  <c r="S199" i="6"/>
  <c r="S199" i="7" s="1"/>
  <c r="S199" i="8" s="1"/>
  <c r="S199" i="9" s="1"/>
  <c r="S199" i="10" s="1"/>
  <c r="S199" i="11" s="1"/>
  <c r="S199" i="12" s="1"/>
  <c r="S199" i="13" s="1"/>
  <c r="S199" i="14" s="1"/>
  <c r="S199" i="15" s="1"/>
  <c r="S199" i="16" s="1"/>
  <c r="T199" i="6"/>
  <c r="T199" i="7" s="1"/>
  <c r="T199" i="8" s="1"/>
  <c r="T199" i="9" s="1"/>
  <c r="T199" i="10" s="1"/>
  <c r="T199" i="11" s="1"/>
  <c r="T199" i="12" s="1"/>
  <c r="T199" i="13" s="1"/>
  <c r="T199" i="14" s="1"/>
  <c r="T199" i="15" s="1"/>
  <c r="T199" i="16" s="1"/>
  <c r="S200" i="6"/>
  <c r="S200" i="7" s="1"/>
  <c r="S200" i="8" s="1"/>
  <c r="S200" i="9" s="1"/>
  <c r="S200" i="10" s="1"/>
  <c r="S200" i="11" s="1"/>
  <c r="S200" i="12" s="1"/>
  <c r="S200" i="13" s="1"/>
  <c r="S200" i="14" s="1"/>
  <c r="S200" i="15" s="1"/>
  <c r="S200" i="16" s="1"/>
  <c r="T200" i="6"/>
  <c r="T200" i="7" s="1"/>
  <c r="T200" i="8" s="1"/>
  <c r="T200" i="9" s="1"/>
  <c r="T200" i="10" s="1"/>
  <c r="T200" i="11" s="1"/>
  <c r="T200" i="12" s="1"/>
  <c r="T200" i="13" s="1"/>
  <c r="T200" i="14" s="1"/>
  <c r="T200" i="15" s="1"/>
  <c r="T200" i="16" s="1"/>
  <c r="S201" i="6"/>
  <c r="S201" i="7" s="1"/>
  <c r="S201" i="8" s="1"/>
  <c r="S201" i="9" s="1"/>
  <c r="S201" i="10" s="1"/>
  <c r="S201" i="11" s="1"/>
  <c r="S201" i="12" s="1"/>
  <c r="S201" i="13" s="1"/>
  <c r="S201" i="14" s="1"/>
  <c r="S201" i="15" s="1"/>
  <c r="S201" i="16" s="1"/>
  <c r="T201" i="6"/>
  <c r="T201" i="7" s="1"/>
  <c r="T201" i="8" s="1"/>
  <c r="T201" i="9" s="1"/>
  <c r="T201" i="10" s="1"/>
  <c r="T201" i="11" s="1"/>
  <c r="T201" i="12" s="1"/>
  <c r="T201" i="13" s="1"/>
  <c r="T201" i="14" s="1"/>
  <c r="T201" i="15" s="1"/>
  <c r="T201" i="16" s="1"/>
  <c r="S202" i="6"/>
  <c r="S202" i="7" s="1"/>
  <c r="S202" i="8" s="1"/>
  <c r="S202" i="9" s="1"/>
  <c r="S202" i="10" s="1"/>
  <c r="S202" i="11" s="1"/>
  <c r="S202" i="12" s="1"/>
  <c r="S202" i="13" s="1"/>
  <c r="S202" i="14" s="1"/>
  <c r="S202" i="15" s="1"/>
  <c r="S202" i="16" s="1"/>
  <c r="T202" i="6"/>
  <c r="T202" i="7" s="1"/>
  <c r="T202" i="8" s="1"/>
  <c r="T202" i="9" s="1"/>
  <c r="T202" i="10" s="1"/>
  <c r="T202" i="11" s="1"/>
  <c r="T202" i="12" s="1"/>
  <c r="T202" i="13" s="1"/>
  <c r="T202" i="14" s="1"/>
  <c r="T202" i="15" s="1"/>
  <c r="T202" i="16" s="1"/>
  <c r="S205" i="6"/>
  <c r="S205" i="7" s="1"/>
  <c r="S205" i="8" s="1"/>
  <c r="S205" i="9" s="1"/>
  <c r="S205" i="10" s="1"/>
  <c r="S205" i="11" s="1"/>
  <c r="S205" i="12" s="1"/>
  <c r="S205" i="13" s="1"/>
  <c r="S205" i="14" s="1"/>
  <c r="S205" i="15" s="1"/>
  <c r="S205" i="16" s="1"/>
  <c r="T205" i="6"/>
  <c r="T205" i="7" s="1"/>
  <c r="T205" i="8" s="1"/>
  <c r="T205" i="9" s="1"/>
  <c r="T205" i="10" s="1"/>
  <c r="T205" i="11" s="1"/>
  <c r="T205" i="12" s="1"/>
  <c r="T205" i="13" s="1"/>
  <c r="T205" i="14" s="1"/>
  <c r="T205" i="15" s="1"/>
  <c r="T205" i="16" s="1"/>
  <c r="S206" i="6"/>
  <c r="S206" i="7" s="1"/>
  <c r="S206" i="8" s="1"/>
  <c r="S206" i="9" s="1"/>
  <c r="S206" i="10" s="1"/>
  <c r="S206" i="11" s="1"/>
  <c r="S206" i="12" s="1"/>
  <c r="S206" i="13" s="1"/>
  <c r="S206" i="14" s="1"/>
  <c r="S206" i="15" s="1"/>
  <c r="S206" i="16" s="1"/>
  <c r="T206" i="6"/>
  <c r="T206" i="7" s="1"/>
  <c r="T206" i="8" s="1"/>
  <c r="T206" i="9" s="1"/>
  <c r="T206" i="10" s="1"/>
  <c r="T206" i="11" s="1"/>
  <c r="T206" i="12" s="1"/>
  <c r="T206" i="13" s="1"/>
  <c r="T206" i="14" s="1"/>
  <c r="T206" i="15" s="1"/>
  <c r="T206" i="16" s="1"/>
  <c r="S207" i="6"/>
  <c r="S207" i="7" s="1"/>
  <c r="S207" i="8" s="1"/>
  <c r="S207" i="9" s="1"/>
  <c r="S207" i="10" s="1"/>
  <c r="S207" i="11" s="1"/>
  <c r="S207" i="12" s="1"/>
  <c r="S207" i="13" s="1"/>
  <c r="S207" i="14" s="1"/>
  <c r="S207" i="15" s="1"/>
  <c r="S207" i="16" s="1"/>
  <c r="T207" i="6"/>
  <c r="T207" i="7" s="1"/>
  <c r="T207" i="8" s="1"/>
  <c r="T207" i="9" s="1"/>
  <c r="T207" i="10" s="1"/>
  <c r="T207" i="11" s="1"/>
  <c r="T207" i="12" s="1"/>
  <c r="T207" i="13" s="1"/>
  <c r="T207" i="14" s="1"/>
  <c r="T207" i="15" s="1"/>
  <c r="T207" i="16" s="1"/>
  <c r="S208" i="6"/>
  <c r="S208" i="7" s="1"/>
  <c r="S208" i="8" s="1"/>
  <c r="S208" i="9" s="1"/>
  <c r="S208" i="10" s="1"/>
  <c r="S208" i="11" s="1"/>
  <c r="S208" i="12" s="1"/>
  <c r="S208" i="13" s="1"/>
  <c r="S208" i="14" s="1"/>
  <c r="S208" i="15" s="1"/>
  <c r="S208" i="16" s="1"/>
  <c r="T208" i="6"/>
  <c r="T208" i="7" s="1"/>
  <c r="T208" i="8" s="1"/>
  <c r="T208" i="9" s="1"/>
  <c r="T208" i="10" s="1"/>
  <c r="T208" i="11" s="1"/>
  <c r="T208" i="12" s="1"/>
  <c r="T208" i="13" s="1"/>
  <c r="T208" i="14" s="1"/>
  <c r="T208" i="15" s="1"/>
  <c r="T208" i="16" s="1"/>
  <c r="S209" i="6"/>
  <c r="S209" i="7" s="1"/>
  <c r="S209" i="8" s="1"/>
  <c r="S209" i="9" s="1"/>
  <c r="S209" i="10" s="1"/>
  <c r="S209" i="11" s="1"/>
  <c r="S209" i="12" s="1"/>
  <c r="S209" i="13" s="1"/>
  <c r="S209" i="14" s="1"/>
  <c r="S209" i="15" s="1"/>
  <c r="S209" i="16" s="1"/>
  <c r="S210" i="6"/>
  <c r="S210" i="7" s="1"/>
  <c r="S210" i="8" s="1"/>
  <c r="S210" i="9" s="1"/>
  <c r="S210" i="10" s="1"/>
  <c r="S210" i="11" s="1"/>
  <c r="S210" i="12" s="1"/>
  <c r="S210" i="13" s="1"/>
  <c r="S210" i="14" s="1"/>
  <c r="S210" i="15" s="1"/>
  <c r="S210" i="16" s="1"/>
  <c r="T210" i="6"/>
  <c r="T210" i="7" s="1"/>
  <c r="T210" i="8" s="1"/>
  <c r="T210" i="9" s="1"/>
  <c r="T210" i="10" s="1"/>
  <c r="T210" i="11" s="1"/>
  <c r="T210" i="12" s="1"/>
  <c r="T210" i="13" s="1"/>
  <c r="T210" i="14" s="1"/>
  <c r="T210" i="15" s="1"/>
  <c r="T210" i="16" s="1"/>
  <c r="S211" i="6"/>
  <c r="S211" i="7" s="1"/>
  <c r="S211" i="8" s="1"/>
  <c r="S211" i="9" s="1"/>
  <c r="S211" i="10" s="1"/>
  <c r="S211" i="11" s="1"/>
  <c r="S211" i="12" s="1"/>
  <c r="S211" i="13" s="1"/>
  <c r="S211" i="14" s="1"/>
  <c r="S211" i="15" s="1"/>
  <c r="S211" i="16" s="1"/>
  <c r="T211" i="6"/>
  <c r="T211" i="7" s="1"/>
  <c r="T211" i="8" s="1"/>
  <c r="T211" i="9" s="1"/>
  <c r="T211" i="10" s="1"/>
  <c r="T211" i="11" s="1"/>
  <c r="T211" i="12" s="1"/>
  <c r="T211" i="13" s="1"/>
  <c r="T211" i="14" s="1"/>
  <c r="T211" i="15" s="1"/>
  <c r="T211" i="16" s="1"/>
  <c r="S212" i="6"/>
  <c r="S212" i="7" s="1"/>
  <c r="S212" i="8" s="1"/>
  <c r="S212" i="9" s="1"/>
  <c r="S212" i="10" s="1"/>
  <c r="S212" i="11" s="1"/>
  <c r="S212" i="12" s="1"/>
  <c r="S212" i="13" s="1"/>
  <c r="S212" i="14" s="1"/>
  <c r="S212" i="15" s="1"/>
  <c r="S212" i="16" s="1"/>
  <c r="T212" i="6"/>
  <c r="T212" i="7" s="1"/>
  <c r="T212" i="8" s="1"/>
  <c r="T212" i="9" s="1"/>
  <c r="T212" i="10" s="1"/>
  <c r="T212" i="11" s="1"/>
  <c r="T212" i="12" s="1"/>
  <c r="T212" i="13" s="1"/>
  <c r="T212" i="14" s="1"/>
  <c r="T212" i="15" s="1"/>
  <c r="T212" i="16" s="1"/>
  <c r="S213" i="6"/>
  <c r="S213" i="7" s="1"/>
  <c r="S213" i="8" s="1"/>
  <c r="S213" i="9" s="1"/>
  <c r="S213" i="10" s="1"/>
  <c r="S213" i="11" s="1"/>
  <c r="S213" i="12" s="1"/>
  <c r="S213" i="13" s="1"/>
  <c r="S213" i="14" s="1"/>
  <c r="S213" i="15" s="1"/>
  <c r="S213" i="16" s="1"/>
  <c r="T213" i="6"/>
  <c r="T213" i="7" s="1"/>
  <c r="T213" i="8" s="1"/>
  <c r="T213" i="9" s="1"/>
  <c r="T213" i="10" s="1"/>
  <c r="T213" i="11" s="1"/>
  <c r="T213" i="12" s="1"/>
  <c r="T213" i="13" s="1"/>
  <c r="T213" i="14" s="1"/>
  <c r="T213" i="15" s="1"/>
  <c r="T213" i="16" s="1"/>
  <c r="S214" i="6"/>
  <c r="S214" i="7" s="1"/>
  <c r="S214" i="8" s="1"/>
  <c r="S214" i="9" s="1"/>
  <c r="S214" i="10" s="1"/>
  <c r="S214" i="11" s="1"/>
  <c r="S214" i="12" s="1"/>
  <c r="S214" i="13" s="1"/>
  <c r="S214" i="14" s="1"/>
  <c r="S214" i="15" s="1"/>
  <c r="S214" i="16" s="1"/>
  <c r="T214" i="6"/>
  <c r="T214" i="7" s="1"/>
  <c r="T214" i="8" s="1"/>
  <c r="T214" i="9" s="1"/>
  <c r="T214" i="10" s="1"/>
  <c r="T214" i="11" s="1"/>
  <c r="T214" i="12" s="1"/>
  <c r="T214" i="13" s="1"/>
  <c r="T214" i="14" s="1"/>
  <c r="T214" i="15" s="1"/>
  <c r="T214" i="16" s="1"/>
  <c r="S215" i="6"/>
  <c r="S215" i="7" s="1"/>
  <c r="S215" i="8" s="1"/>
  <c r="S215" i="9" s="1"/>
  <c r="S215" i="10" s="1"/>
  <c r="S215" i="11" s="1"/>
  <c r="S215" i="12" s="1"/>
  <c r="S215" i="13" s="1"/>
  <c r="S215" i="14" s="1"/>
  <c r="S215" i="15" s="1"/>
  <c r="S215" i="16" s="1"/>
  <c r="T215" i="6"/>
  <c r="T215" i="7" s="1"/>
  <c r="T215" i="8" s="1"/>
  <c r="T215" i="9" s="1"/>
  <c r="T215" i="10" s="1"/>
  <c r="T215" i="11" s="1"/>
  <c r="T215" i="12" s="1"/>
  <c r="T215" i="13" s="1"/>
  <c r="T215" i="14" s="1"/>
  <c r="T215" i="15" s="1"/>
  <c r="T215" i="16" s="1"/>
  <c r="S216" i="6"/>
  <c r="S216" i="7" s="1"/>
  <c r="S216" i="8" s="1"/>
  <c r="S216" i="9" s="1"/>
  <c r="S216" i="10" s="1"/>
  <c r="S216" i="11" s="1"/>
  <c r="S216" i="12" s="1"/>
  <c r="S216" i="13" s="1"/>
  <c r="S216" i="14" s="1"/>
  <c r="S216" i="15" s="1"/>
  <c r="S216" i="16" s="1"/>
  <c r="T216" i="6"/>
  <c r="T216" i="7" s="1"/>
  <c r="T216" i="8" s="1"/>
  <c r="T216" i="9" s="1"/>
  <c r="T216" i="10" s="1"/>
  <c r="T216" i="11" s="1"/>
  <c r="T216" i="12" s="1"/>
  <c r="T216" i="13" s="1"/>
  <c r="T216" i="14" s="1"/>
  <c r="T216" i="15" s="1"/>
  <c r="T216" i="16" s="1"/>
  <c r="S217" i="6"/>
  <c r="S217" i="7" s="1"/>
  <c r="S217" i="8" s="1"/>
  <c r="S217" i="9" s="1"/>
  <c r="S217" i="10" s="1"/>
  <c r="S217" i="11" s="1"/>
  <c r="S217" i="12" s="1"/>
  <c r="S217" i="13" s="1"/>
  <c r="S217" i="14" s="1"/>
  <c r="S217" i="15" s="1"/>
  <c r="S217" i="16" s="1"/>
  <c r="T217" i="6"/>
  <c r="T217" i="7" s="1"/>
  <c r="T217" i="8" s="1"/>
  <c r="T217" i="9" s="1"/>
  <c r="T217" i="10" s="1"/>
  <c r="T217" i="11" s="1"/>
  <c r="T217" i="12" s="1"/>
  <c r="T217" i="13" s="1"/>
  <c r="T217" i="14" s="1"/>
  <c r="T217" i="15" s="1"/>
  <c r="T217" i="16" s="1"/>
  <c r="S218" i="6"/>
  <c r="S218" i="7" s="1"/>
  <c r="S218" i="8" s="1"/>
  <c r="S218" i="9" s="1"/>
  <c r="S218" i="10" s="1"/>
  <c r="S218" i="11" s="1"/>
  <c r="S218" i="12" s="1"/>
  <c r="S218" i="13" s="1"/>
  <c r="S218" i="14" s="1"/>
  <c r="S218" i="15" s="1"/>
  <c r="S218" i="16" s="1"/>
  <c r="T218" i="6"/>
  <c r="T218" i="7" s="1"/>
  <c r="T218" i="8" s="1"/>
  <c r="T218" i="9" s="1"/>
  <c r="T218" i="10" s="1"/>
  <c r="T218" i="11" s="1"/>
  <c r="T218" i="12" s="1"/>
  <c r="T218" i="13" s="1"/>
  <c r="T218" i="14" s="1"/>
  <c r="T218" i="15" s="1"/>
  <c r="T218" i="16" s="1"/>
  <c r="S219" i="6"/>
  <c r="S219" i="7" s="1"/>
  <c r="S219" i="8" s="1"/>
  <c r="S219" i="9" s="1"/>
  <c r="S219" i="10" s="1"/>
  <c r="S219" i="11" s="1"/>
  <c r="S219" i="12" s="1"/>
  <c r="S219" i="13" s="1"/>
  <c r="S219" i="14" s="1"/>
  <c r="S219" i="15" s="1"/>
  <c r="S219" i="16" s="1"/>
  <c r="T219" i="6"/>
  <c r="T219" i="7" s="1"/>
  <c r="T219" i="8" s="1"/>
  <c r="T219" i="9" s="1"/>
  <c r="T219" i="10" s="1"/>
  <c r="T219" i="11" s="1"/>
  <c r="T219" i="12" s="1"/>
  <c r="T219" i="13" s="1"/>
  <c r="T219" i="14" s="1"/>
  <c r="T219" i="15" s="1"/>
  <c r="T219" i="16" s="1"/>
  <c r="S220" i="6"/>
  <c r="S220" i="7" s="1"/>
  <c r="S220" i="8" s="1"/>
  <c r="S220" i="9" s="1"/>
  <c r="S220" i="10" s="1"/>
  <c r="S220" i="11" s="1"/>
  <c r="S220" i="12" s="1"/>
  <c r="S220" i="13" s="1"/>
  <c r="S220" i="14" s="1"/>
  <c r="S220" i="15" s="1"/>
  <c r="S220" i="16" s="1"/>
  <c r="T220" i="6"/>
  <c r="T220" i="7" s="1"/>
  <c r="T220" i="8" s="1"/>
  <c r="T220" i="9" s="1"/>
  <c r="T220" i="10" s="1"/>
  <c r="T220" i="11" s="1"/>
  <c r="T220" i="12" s="1"/>
  <c r="T220" i="13" s="1"/>
  <c r="T220" i="14" s="1"/>
  <c r="T220" i="15" s="1"/>
  <c r="T220" i="16" s="1"/>
  <c r="S221" i="6"/>
  <c r="S221" i="7" s="1"/>
  <c r="S221" i="8" s="1"/>
  <c r="S221" i="9" s="1"/>
  <c r="S221" i="10" s="1"/>
  <c r="S221" i="11" s="1"/>
  <c r="S221" i="12" s="1"/>
  <c r="S221" i="13" s="1"/>
  <c r="S221" i="14" s="1"/>
  <c r="S221" i="15" s="1"/>
  <c r="S221" i="16" s="1"/>
  <c r="T221" i="6"/>
  <c r="T221" i="7" s="1"/>
  <c r="T221" i="8" s="1"/>
  <c r="T221" i="9" s="1"/>
  <c r="T221" i="10" s="1"/>
  <c r="T221" i="11" s="1"/>
  <c r="T221" i="12" s="1"/>
  <c r="T221" i="13" s="1"/>
  <c r="T221" i="14" s="1"/>
  <c r="T221" i="15" s="1"/>
  <c r="T221" i="16" s="1"/>
  <c r="S222" i="6"/>
  <c r="S222" i="7" s="1"/>
  <c r="S222" i="8" s="1"/>
  <c r="S222" i="9" s="1"/>
  <c r="S222" i="10" s="1"/>
  <c r="S222" i="11" s="1"/>
  <c r="S222" i="12" s="1"/>
  <c r="S222" i="13" s="1"/>
  <c r="S222" i="14" s="1"/>
  <c r="S222" i="15" s="1"/>
  <c r="S222" i="16" s="1"/>
  <c r="T222" i="6"/>
  <c r="T222" i="7" s="1"/>
  <c r="T222" i="8" s="1"/>
  <c r="T222" i="9" s="1"/>
  <c r="T222" i="10" s="1"/>
  <c r="T222" i="11" s="1"/>
  <c r="T222" i="12" s="1"/>
  <c r="T222" i="13" s="1"/>
  <c r="T222" i="14" s="1"/>
  <c r="T222" i="15" s="1"/>
  <c r="T222" i="16" s="1"/>
  <c r="S223" i="6"/>
  <c r="S223" i="7" s="1"/>
  <c r="S223" i="8" s="1"/>
  <c r="S223" i="9" s="1"/>
  <c r="S223" i="10" s="1"/>
  <c r="S223" i="11" s="1"/>
  <c r="S223" i="12" s="1"/>
  <c r="S223" i="13" s="1"/>
  <c r="S223" i="14" s="1"/>
  <c r="S223" i="15" s="1"/>
  <c r="S223" i="16" s="1"/>
  <c r="T223" i="6"/>
  <c r="T223" i="7" s="1"/>
  <c r="T223" i="8" s="1"/>
  <c r="T223" i="9" s="1"/>
  <c r="T223" i="10" s="1"/>
  <c r="T223" i="11" s="1"/>
  <c r="T223" i="12" s="1"/>
  <c r="T223" i="13" s="1"/>
  <c r="T223" i="14" s="1"/>
  <c r="T223" i="15" s="1"/>
  <c r="T223" i="16" s="1"/>
  <c r="S224" i="6"/>
  <c r="S224" i="7" s="1"/>
  <c r="S224" i="8" s="1"/>
  <c r="S224" i="9" s="1"/>
  <c r="S224" i="10" s="1"/>
  <c r="S224" i="11" s="1"/>
  <c r="S224" i="12" s="1"/>
  <c r="S224" i="13" s="1"/>
  <c r="S224" i="14" s="1"/>
  <c r="S224" i="15" s="1"/>
  <c r="S224" i="16" s="1"/>
  <c r="T224" i="6"/>
  <c r="T224" i="7" s="1"/>
  <c r="T224" i="8" s="1"/>
  <c r="T224" i="9" s="1"/>
  <c r="T224" i="10" s="1"/>
  <c r="T224" i="11" s="1"/>
  <c r="T224" i="12" s="1"/>
  <c r="T224" i="13" s="1"/>
  <c r="T224" i="14" s="1"/>
  <c r="T224" i="15" s="1"/>
  <c r="T224" i="16" s="1"/>
  <c r="S225" i="6"/>
  <c r="S225" i="7" s="1"/>
  <c r="S225" i="8" s="1"/>
  <c r="S225" i="9" s="1"/>
  <c r="S225" i="10" s="1"/>
  <c r="S225" i="11" s="1"/>
  <c r="S225" i="12" s="1"/>
  <c r="S225" i="13" s="1"/>
  <c r="S225" i="14" s="1"/>
  <c r="S225" i="15" s="1"/>
  <c r="S225" i="16" s="1"/>
  <c r="T225" i="6"/>
  <c r="T225" i="7" s="1"/>
  <c r="T225" i="8" s="1"/>
  <c r="T225" i="9" s="1"/>
  <c r="T225" i="10" s="1"/>
  <c r="T225" i="11" s="1"/>
  <c r="T225" i="12" s="1"/>
  <c r="T225" i="13" s="1"/>
  <c r="T225" i="14" s="1"/>
  <c r="T225" i="15" s="1"/>
  <c r="T225" i="16" s="1"/>
  <c r="S226" i="6"/>
  <c r="S226" i="7" s="1"/>
  <c r="S226" i="8" s="1"/>
  <c r="S226" i="9" s="1"/>
  <c r="S226" i="10" s="1"/>
  <c r="S226" i="11" s="1"/>
  <c r="S226" i="12" s="1"/>
  <c r="S226" i="13" s="1"/>
  <c r="S226" i="14" s="1"/>
  <c r="S226" i="15" s="1"/>
  <c r="S226" i="16" s="1"/>
  <c r="T226" i="6"/>
  <c r="T226" i="7" s="1"/>
  <c r="T226" i="8" s="1"/>
  <c r="T226" i="9" s="1"/>
  <c r="T226" i="10" s="1"/>
  <c r="T226" i="11" s="1"/>
  <c r="T226" i="12" s="1"/>
  <c r="T226" i="13" s="1"/>
  <c r="T226" i="14" s="1"/>
  <c r="T226" i="15" s="1"/>
  <c r="T226" i="16" s="1"/>
  <c r="S227" i="6"/>
  <c r="S227" i="7" s="1"/>
  <c r="S227" i="8" s="1"/>
  <c r="S227" i="9" s="1"/>
  <c r="S227" i="10" s="1"/>
  <c r="S227" i="11" s="1"/>
  <c r="S227" i="12" s="1"/>
  <c r="S227" i="13" s="1"/>
  <c r="S227" i="14" s="1"/>
  <c r="S227" i="15" s="1"/>
  <c r="S227" i="16" s="1"/>
  <c r="T227" i="6"/>
  <c r="T227" i="7" s="1"/>
  <c r="T227" i="8" s="1"/>
  <c r="T227" i="9" s="1"/>
  <c r="T227" i="10" s="1"/>
  <c r="T227" i="11" s="1"/>
  <c r="T227" i="12" s="1"/>
  <c r="T227" i="13" s="1"/>
  <c r="T227" i="14" s="1"/>
  <c r="T227" i="15" s="1"/>
  <c r="T227" i="16" s="1"/>
  <c r="S228" i="6"/>
  <c r="S228" i="7" s="1"/>
  <c r="S228" i="8" s="1"/>
  <c r="S228" i="9" s="1"/>
  <c r="S228" i="10" s="1"/>
  <c r="S228" i="11" s="1"/>
  <c r="S228" i="12" s="1"/>
  <c r="S228" i="13" s="1"/>
  <c r="S228" i="14" s="1"/>
  <c r="S228" i="15" s="1"/>
  <c r="S228" i="16" s="1"/>
  <c r="T228" i="6"/>
  <c r="T228" i="7" s="1"/>
  <c r="T228" i="8" s="1"/>
  <c r="T228" i="9" s="1"/>
  <c r="T228" i="10" s="1"/>
  <c r="T228" i="11" s="1"/>
  <c r="T228" i="12" s="1"/>
  <c r="T228" i="13" s="1"/>
  <c r="T228" i="14" s="1"/>
  <c r="T228" i="15" s="1"/>
  <c r="T228" i="16" s="1"/>
  <c r="S229" i="6"/>
  <c r="S229" i="7" s="1"/>
  <c r="S229" i="8" s="1"/>
  <c r="S229" i="9" s="1"/>
  <c r="S229" i="10" s="1"/>
  <c r="S229" i="11" s="1"/>
  <c r="S229" i="12" s="1"/>
  <c r="S229" i="13" s="1"/>
  <c r="S229" i="14" s="1"/>
  <c r="S229" i="15" s="1"/>
  <c r="S229" i="16" s="1"/>
  <c r="T229" i="6"/>
  <c r="T229" i="7" s="1"/>
  <c r="T229" i="8" s="1"/>
  <c r="T229" i="9" s="1"/>
  <c r="T229" i="10" s="1"/>
  <c r="T229" i="11" s="1"/>
  <c r="T229" i="12" s="1"/>
  <c r="T229" i="13" s="1"/>
  <c r="T229" i="14" s="1"/>
  <c r="T229" i="15" s="1"/>
  <c r="T229" i="16" s="1"/>
  <c r="S230" i="6"/>
  <c r="S230" i="7" s="1"/>
  <c r="S230" i="8" s="1"/>
  <c r="S230" i="9" s="1"/>
  <c r="S230" i="10" s="1"/>
  <c r="S230" i="11" s="1"/>
  <c r="S230" i="12" s="1"/>
  <c r="S230" i="13" s="1"/>
  <c r="S230" i="14" s="1"/>
  <c r="S230" i="15" s="1"/>
  <c r="S230" i="16" s="1"/>
  <c r="T230" i="6"/>
  <c r="T230" i="7" s="1"/>
  <c r="T230" i="8" s="1"/>
  <c r="T230" i="9" s="1"/>
  <c r="T230" i="10" s="1"/>
  <c r="T230" i="11" s="1"/>
  <c r="T230" i="12" s="1"/>
  <c r="T230" i="13" s="1"/>
  <c r="T230" i="14" s="1"/>
  <c r="T230" i="15" s="1"/>
  <c r="T230" i="16" s="1"/>
  <c r="S231" i="6"/>
  <c r="S231" i="7" s="1"/>
  <c r="S231" i="8" s="1"/>
  <c r="S231" i="9" s="1"/>
  <c r="S231" i="10" s="1"/>
  <c r="S231" i="11" s="1"/>
  <c r="S231" i="12" s="1"/>
  <c r="S231" i="13" s="1"/>
  <c r="S231" i="14" s="1"/>
  <c r="S231" i="15" s="1"/>
  <c r="S231" i="16" s="1"/>
  <c r="T231" i="6"/>
  <c r="T231" i="7" s="1"/>
  <c r="T231" i="8" s="1"/>
  <c r="T231" i="9" s="1"/>
  <c r="T231" i="10" s="1"/>
  <c r="T231" i="11" s="1"/>
  <c r="T231" i="12" s="1"/>
  <c r="T231" i="13" s="1"/>
  <c r="T231" i="14" s="1"/>
  <c r="T231" i="15" s="1"/>
  <c r="T231" i="16" s="1"/>
  <c r="S232" i="6"/>
  <c r="S232" i="7" s="1"/>
  <c r="S232" i="8" s="1"/>
  <c r="S232" i="9" s="1"/>
  <c r="S232" i="10" s="1"/>
  <c r="S232" i="11" s="1"/>
  <c r="S232" i="12" s="1"/>
  <c r="S232" i="13" s="1"/>
  <c r="S232" i="14" s="1"/>
  <c r="S232" i="15" s="1"/>
  <c r="S232" i="16" s="1"/>
  <c r="T232" i="6"/>
  <c r="T232" i="7" s="1"/>
  <c r="T232" i="8" s="1"/>
  <c r="T232" i="9" s="1"/>
  <c r="T232" i="10" s="1"/>
  <c r="T232" i="11" s="1"/>
  <c r="T232" i="12" s="1"/>
  <c r="T232" i="13" s="1"/>
  <c r="T232" i="14" s="1"/>
  <c r="T232" i="15" s="1"/>
  <c r="T232" i="16" s="1"/>
  <c r="S233" i="6"/>
  <c r="S233" i="7" s="1"/>
  <c r="S233" i="8" s="1"/>
  <c r="S233" i="9" s="1"/>
  <c r="S233" i="10" s="1"/>
  <c r="S233" i="11" s="1"/>
  <c r="S233" i="12" s="1"/>
  <c r="S233" i="13" s="1"/>
  <c r="S233" i="14" s="1"/>
  <c r="S233" i="15" s="1"/>
  <c r="S233" i="16" s="1"/>
  <c r="T233" i="6"/>
  <c r="T233" i="7" s="1"/>
  <c r="T233" i="8" s="1"/>
  <c r="T233" i="9" s="1"/>
  <c r="T233" i="10" s="1"/>
  <c r="T233" i="11" s="1"/>
  <c r="T233" i="12" s="1"/>
  <c r="T233" i="13" s="1"/>
  <c r="T233" i="14" s="1"/>
  <c r="T233" i="15" s="1"/>
  <c r="T233" i="16" s="1"/>
  <c r="S234" i="6"/>
  <c r="S234" i="7" s="1"/>
  <c r="S234" i="8" s="1"/>
  <c r="S234" i="9" s="1"/>
  <c r="S234" i="10" s="1"/>
  <c r="S234" i="11" s="1"/>
  <c r="S234" i="12" s="1"/>
  <c r="S234" i="13" s="1"/>
  <c r="S234" i="14" s="1"/>
  <c r="S234" i="15" s="1"/>
  <c r="S234" i="16" s="1"/>
  <c r="T234" i="6"/>
  <c r="T234" i="7" s="1"/>
  <c r="T234" i="8" s="1"/>
  <c r="T234" i="9" s="1"/>
  <c r="T234" i="10" s="1"/>
  <c r="T234" i="11" s="1"/>
  <c r="T234" i="12" s="1"/>
  <c r="T234" i="13" s="1"/>
  <c r="T234" i="14" s="1"/>
  <c r="T234" i="15" s="1"/>
  <c r="T234" i="16" s="1"/>
  <c r="S235" i="6"/>
  <c r="S235" i="7" s="1"/>
  <c r="S235" i="8" s="1"/>
  <c r="S235" i="9" s="1"/>
  <c r="S235" i="10" s="1"/>
  <c r="S235" i="11" s="1"/>
  <c r="S235" i="12" s="1"/>
  <c r="S235" i="13" s="1"/>
  <c r="S235" i="14" s="1"/>
  <c r="S235" i="15" s="1"/>
  <c r="S235" i="16" s="1"/>
  <c r="T235" i="6"/>
  <c r="T235" i="7" s="1"/>
  <c r="T235" i="8" s="1"/>
  <c r="T235" i="9" s="1"/>
  <c r="T235" i="10" s="1"/>
  <c r="T235" i="11" s="1"/>
  <c r="T235" i="12" s="1"/>
  <c r="T235" i="13" s="1"/>
  <c r="T235" i="14" s="1"/>
  <c r="T235" i="15" s="1"/>
  <c r="T235" i="16" s="1"/>
  <c r="S236" i="6"/>
  <c r="S236" i="7" s="1"/>
  <c r="S236" i="8" s="1"/>
  <c r="S236" i="9" s="1"/>
  <c r="S236" i="10" s="1"/>
  <c r="S236" i="11" s="1"/>
  <c r="S236" i="12" s="1"/>
  <c r="S236" i="13" s="1"/>
  <c r="S236" i="14" s="1"/>
  <c r="S236" i="15" s="1"/>
  <c r="S236" i="16" s="1"/>
  <c r="T236" i="6"/>
  <c r="T236" i="7" s="1"/>
  <c r="T236" i="8" s="1"/>
  <c r="T236" i="9" s="1"/>
  <c r="T236" i="10" s="1"/>
  <c r="T236" i="11" s="1"/>
  <c r="T236" i="12" s="1"/>
  <c r="T236" i="13" s="1"/>
  <c r="T236" i="14" s="1"/>
  <c r="T236" i="15" s="1"/>
  <c r="T236" i="16" s="1"/>
  <c r="S237" i="6"/>
  <c r="S237" i="7" s="1"/>
  <c r="S237" i="8" s="1"/>
  <c r="S237" i="9" s="1"/>
  <c r="S237" i="10" s="1"/>
  <c r="S237" i="11" s="1"/>
  <c r="S237" i="12" s="1"/>
  <c r="S237" i="13" s="1"/>
  <c r="S237" i="14" s="1"/>
  <c r="S237" i="15" s="1"/>
  <c r="S237" i="16" s="1"/>
  <c r="T237" i="6"/>
  <c r="T237" i="7" s="1"/>
  <c r="T237" i="8" s="1"/>
  <c r="T237" i="9" s="1"/>
  <c r="T237" i="10" s="1"/>
  <c r="T237" i="11" s="1"/>
  <c r="T237" i="12" s="1"/>
  <c r="T237" i="13" s="1"/>
  <c r="T237" i="14" s="1"/>
  <c r="T237" i="15" s="1"/>
  <c r="T237" i="16" s="1"/>
  <c r="S238" i="6"/>
  <c r="S238" i="7" s="1"/>
  <c r="S238" i="8" s="1"/>
  <c r="S238" i="9" s="1"/>
  <c r="S238" i="10" s="1"/>
  <c r="S238" i="11" s="1"/>
  <c r="S238" i="12" s="1"/>
  <c r="S238" i="13" s="1"/>
  <c r="S238" i="14" s="1"/>
  <c r="S238" i="15" s="1"/>
  <c r="S238" i="16" s="1"/>
  <c r="T238" i="6"/>
  <c r="T238" i="7" s="1"/>
  <c r="T238" i="8" s="1"/>
  <c r="T238" i="9" s="1"/>
  <c r="T238" i="10" s="1"/>
  <c r="T238" i="11" s="1"/>
  <c r="T238" i="12" s="1"/>
  <c r="T238" i="13" s="1"/>
  <c r="T238" i="14" s="1"/>
  <c r="T238" i="15" s="1"/>
  <c r="T238" i="16" s="1"/>
  <c r="S239" i="6"/>
  <c r="S239" i="7" s="1"/>
  <c r="S239" i="8" s="1"/>
  <c r="S239" i="9" s="1"/>
  <c r="S239" i="10" s="1"/>
  <c r="S239" i="11" s="1"/>
  <c r="S239" i="12" s="1"/>
  <c r="S239" i="13" s="1"/>
  <c r="S239" i="14" s="1"/>
  <c r="S239" i="15" s="1"/>
  <c r="S239" i="16" s="1"/>
  <c r="T239" i="6"/>
  <c r="T239" i="7" s="1"/>
  <c r="T239" i="8" s="1"/>
  <c r="T239" i="9" s="1"/>
  <c r="T239" i="10" s="1"/>
  <c r="T239" i="11" s="1"/>
  <c r="T239" i="12" s="1"/>
  <c r="T239" i="13" s="1"/>
  <c r="T239" i="14" s="1"/>
  <c r="T239" i="15" s="1"/>
  <c r="T239" i="16" s="1"/>
  <c r="S240" i="6"/>
  <c r="S240" i="7" s="1"/>
  <c r="S240" i="8" s="1"/>
  <c r="S240" i="9" s="1"/>
  <c r="S240" i="10" s="1"/>
  <c r="S240" i="11" s="1"/>
  <c r="S240" i="12" s="1"/>
  <c r="S240" i="13" s="1"/>
  <c r="S240" i="14" s="1"/>
  <c r="S240" i="15" s="1"/>
  <c r="S240" i="16" s="1"/>
  <c r="T240" i="6"/>
  <c r="T240" i="7" s="1"/>
  <c r="T240" i="8" s="1"/>
  <c r="T240" i="9" s="1"/>
  <c r="T240" i="10" s="1"/>
  <c r="T240" i="11" s="1"/>
  <c r="T240" i="12" s="1"/>
  <c r="T240" i="13" s="1"/>
  <c r="T240" i="14" s="1"/>
  <c r="T240" i="15" s="1"/>
  <c r="T240" i="16" s="1"/>
  <c r="S241" i="6"/>
  <c r="S241" i="7" s="1"/>
  <c r="S241" i="8" s="1"/>
  <c r="S241" i="9" s="1"/>
  <c r="S241" i="10" s="1"/>
  <c r="S241" i="11" s="1"/>
  <c r="S241" i="12" s="1"/>
  <c r="S241" i="13" s="1"/>
  <c r="S241" i="14" s="1"/>
  <c r="S241" i="15" s="1"/>
  <c r="S241" i="16" s="1"/>
  <c r="T241" i="6"/>
  <c r="T241" i="7" s="1"/>
  <c r="T241" i="8" s="1"/>
  <c r="T241" i="9" s="1"/>
  <c r="T241" i="10" s="1"/>
  <c r="T241" i="11" s="1"/>
  <c r="T241" i="12" s="1"/>
  <c r="T241" i="13" s="1"/>
  <c r="T241" i="14" s="1"/>
  <c r="T241" i="15" s="1"/>
  <c r="T241" i="16" s="1"/>
  <c r="S242" i="6"/>
  <c r="S242" i="7" s="1"/>
  <c r="S242" i="8" s="1"/>
  <c r="S242" i="9" s="1"/>
  <c r="S242" i="10" s="1"/>
  <c r="S242" i="11" s="1"/>
  <c r="S242" i="12" s="1"/>
  <c r="S242" i="13" s="1"/>
  <c r="S242" i="14" s="1"/>
  <c r="S242" i="15" s="1"/>
  <c r="S242" i="16" s="1"/>
  <c r="T242" i="6"/>
  <c r="T242" i="7" s="1"/>
  <c r="T242" i="8" s="1"/>
  <c r="T242" i="9" s="1"/>
  <c r="T242" i="10" s="1"/>
  <c r="T242" i="11" s="1"/>
  <c r="T242" i="12" s="1"/>
  <c r="T242" i="13" s="1"/>
  <c r="T242" i="14" s="1"/>
  <c r="T242" i="15" s="1"/>
  <c r="T242" i="16" s="1"/>
  <c r="S243" i="6"/>
  <c r="S243" i="7" s="1"/>
  <c r="S243" i="8" s="1"/>
  <c r="T243" i="6"/>
  <c r="T243" i="7" s="1"/>
  <c r="T243" i="8" s="1"/>
  <c r="S244" i="6"/>
  <c r="S244" i="7" s="1"/>
  <c r="S244" i="8" s="1"/>
  <c r="T244" i="6"/>
  <c r="T244" i="7" s="1"/>
  <c r="T244" i="8" s="1"/>
  <c r="S257" i="6"/>
  <c r="S257" i="7" s="1"/>
  <c r="S257" i="8" s="1"/>
  <c r="T257" i="6"/>
  <c r="T257" i="7" s="1"/>
  <c r="T257" i="8" s="1"/>
  <c r="BE2" i="5"/>
  <c r="BK2" i="5" s="1"/>
  <c r="BQ2" i="5" s="1"/>
  <c r="BE2" i="7"/>
  <c r="BK2" i="7" s="1"/>
  <c r="BQ2" i="7" s="1"/>
  <c r="BE2" i="8"/>
  <c r="BK2" i="8" s="1"/>
  <c r="BQ2" i="8" s="1"/>
  <c r="BE2" i="9"/>
  <c r="BK2" i="9" s="1"/>
  <c r="BQ2" i="9" s="1"/>
  <c r="BE2" i="10"/>
  <c r="BK2" i="10" s="1"/>
  <c r="BQ2" i="10" s="1"/>
  <c r="BE2" i="11"/>
  <c r="BK2" i="11" s="1"/>
  <c r="BQ2" i="11" s="1"/>
  <c r="BE2" i="12"/>
  <c r="BK2" i="12" s="1"/>
  <c r="BQ2" i="12" s="1"/>
  <c r="BE2" i="13"/>
  <c r="BK2" i="13" s="1"/>
  <c r="BQ2" i="13" s="1"/>
  <c r="BE2" i="14"/>
  <c r="BE2" i="15"/>
  <c r="BK2" i="15" s="1"/>
  <c r="BQ2" i="15" s="1"/>
  <c r="BE2" i="16"/>
  <c r="BK2" i="16" s="1"/>
  <c r="BQ2" i="16" s="1"/>
  <c r="BE2" i="6"/>
  <c r="BK2" i="6" s="1"/>
  <c r="BQ2" i="6" s="1"/>
  <c r="AR6" i="5"/>
  <c r="AS6" i="5" s="1"/>
  <c r="AR6" i="6"/>
  <c r="AT21" i="6" s="1"/>
  <c r="AR6" i="8"/>
  <c r="AR6" i="9"/>
  <c r="AS6" i="9" s="1"/>
  <c r="AR6" i="10"/>
  <c r="AR6" i="11"/>
  <c r="AS21" i="11" s="1"/>
  <c r="AR6" i="12"/>
  <c r="AR6" i="13"/>
  <c r="AR6" i="14"/>
  <c r="AR6" i="15"/>
  <c r="AS6" i="15" s="1"/>
  <c r="AR6" i="16"/>
  <c r="AS21" i="16" s="1"/>
  <c r="AR6" i="7"/>
  <c r="AS21" i="7" s="1"/>
  <c r="BK2" i="14"/>
  <c r="BQ2" i="14" s="1"/>
  <c r="AH3" i="6"/>
  <c r="AH3" i="7"/>
  <c r="AH3" i="8"/>
  <c r="AH3" i="9"/>
  <c r="AH3" i="10"/>
  <c r="AH3" i="11"/>
  <c r="AH3" i="12"/>
  <c r="AH3" i="13"/>
  <c r="AH3" i="14"/>
  <c r="AH3" i="15"/>
  <c r="AH3" i="16"/>
  <c r="AH3" i="5"/>
  <c r="Y3" i="6"/>
  <c r="V3" i="6" s="1"/>
  <c r="Y3" i="7"/>
  <c r="V3" i="7" s="1"/>
  <c r="Y3" i="8"/>
  <c r="V3" i="8" s="1"/>
  <c r="Y3" i="9"/>
  <c r="V3" i="9" s="1"/>
  <c r="Y3" i="10"/>
  <c r="V3" i="10" s="1"/>
  <c r="Y3" i="11"/>
  <c r="V3" i="11" s="1"/>
  <c r="Y3" i="12"/>
  <c r="V3" i="12" s="1"/>
  <c r="Y3" i="13"/>
  <c r="V3" i="13" s="1"/>
  <c r="Y3" i="14"/>
  <c r="V3" i="14" s="1"/>
  <c r="Y3" i="15"/>
  <c r="V3" i="15" s="1"/>
  <c r="Y3" i="16"/>
  <c r="V3" i="16" s="1"/>
  <c r="Y3" i="5"/>
  <c r="Y2" i="6"/>
  <c r="V2" i="6" s="1"/>
  <c r="Y2" i="7"/>
  <c r="V2" i="7" s="1"/>
  <c r="Y2" i="8"/>
  <c r="V2" i="8" s="1"/>
  <c r="Y2" i="9"/>
  <c r="V2" i="9" s="1"/>
  <c r="Y2" i="10"/>
  <c r="V2" i="10" s="1"/>
  <c r="Y2" i="11"/>
  <c r="V2" i="11" s="1"/>
  <c r="Y2" i="12"/>
  <c r="V2" i="12" s="1"/>
  <c r="Y2" i="13"/>
  <c r="V2" i="13" s="1"/>
  <c r="Y2" i="14"/>
  <c r="V2" i="14" s="1"/>
  <c r="Y2" i="15"/>
  <c r="V2" i="15" s="1"/>
  <c r="Y2" i="16"/>
  <c r="V2" i="16" s="1"/>
  <c r="Y2" i="5"/>
  <c r="V2" i="5" s="1"/>
  <c r="F3" i="6"/>
  <c r="D3" i="6" s="1"/>
  <c r="N3" i="6"/>
  <c r="AW4" i="6" s="1"/>
  <c r="F2" i="6"/>
  <c r="D2" i="6" s="1"/>
  <c r="F3" i="7"/>
  <c r="D3" i="7" s="1"/>
  <c r="N3" i="7"/>
  <c r="BE3" i="7" s="1"/>
  <c r="BK3" i="7" s="1"/>
  <c r="BQ3" i="7" s="1"/>
  <c r="BN5" i="7" s="1"/>
  <c r="F2" i="7"/>
  <c r="D2" i="7" s="1"/>
  <c r="F3" i="8"/>
  <c r="D3" i="8" s="1"/>
  <c r="N3" i="8"/>
  <c r="F2" i="8"/>
  <c r="D2" i="8" s="1"/>
  <c r="F3" i="9"/>
  <c r="D3" i="9" s="1"/>
  <c r="N3" i="9"/>
  <c r="BH5" i="9" s="1"/>
  <c r="F2" i="9"/>
  <c r="D2" i="9" s="1"/>
  <c r="F3" i="10"/>
  <c r="D3" i="10" s="1"/>
  <c r="N3" i="10"/>
  <c r="F2" i="10"/>
  <c r="D2" i="10" s="1"/>
  <c r="F3" i="11"/>
  <c r="D3" i="11" s="1"/>
  <c r="N3" i="11"/>
  <c r="AJ3" i="11" s="1"/>
  <c r="F2" i="11"/>
  <c r="D2" i="11" s="1"/>
  <c r="F3" i="12"/>
  <c r="D3" i="12" s="1"/>
  <c r="N3" i="12"/>
  <c r="BE3" i="12" s="1"/>
  <c r="BK3" i="12" s="1"/>
  <c r="BQ3" i="12" s="1"/>
  <c r="BN5" i="12" s="1"/>
  <c r="F2" i="12"/>
  <c r="D2" i="12" s="1"/>
  <c r="F3" i="13"/>
  <c r="D3" i="13" s="1"/>
  <c r="N3" i="13"/>
  <c r="BE3" i="13" s="1"/>
  <c r="BK3" i="13" s="1"/>
  <c r="BQ3" i="13" s="1"/>
  <c r="BN5" i="13" s="1"/>
  <c r="F2" i="13"/>
  <c r="D2" i="13" s="1"/>
  <c r="F3" i="14"/>
  <c r="D3" i="14" s="1"/>
  <c r="N3" i="14"/>
  <c r="AJ3" i="14" s="1"/>
  <c r="F2" i="14"/>
  <c r="D2" i="14" s="1"/>
  <c r="F3" i="15"/>
  <c r="D3" i="15" s="1"/>
  <c r="N3" i="15"/>
  <c r="AJ3" i="15" s="1"/>
  <c r="F2" i="15"/>
  <c r="D2" i="15" s="1"/>
  <c r="F3" i="16"/>
  <c r="D3" i="16" s="1"/>
  <c r="N3" i="16"/>
  <c r="F2" i="16"/>
  <c r="D2" i="16" s="1"/>
  <c r="F3" i="5"/>
  <c r="D3" i="5" s="1"/>
  <c r="F2" i="5"/>
  <c r="D2" i="5" s="1"/>
  <c r="N3" i="5"/>
  <c r="G22" i="5"/>
  <c r="G25" i="5"/>
  <c r="G29" i="5"/>
  <c r="G32" i="5"/>
  <c r="G35" i="5"/>
  <c r="G42" i="5"/>
  <c r="G45" i="5"/>
  <c r="G48" i="5"/>
  <c r="G51" i="5"/>
  <c r="G54" i="5"/>
  <c r="G57" i="5"/>
  <c r="G60" i="5"/>
  <c r="G63" i="5"/>
  <c r="G66" i="5"/>
  <c r="G69" i="5"/>
  <c r="G72" i="5"/>
  <c r="G75" i="5"/>
  <c r="G78" i="5"/>
  <c r="I78" i="5" s="1"/>
  <c r="J10" i="5"/>
  <c r="J22" i="5"/>
  <c r="J25" i="5"/>
  <c r="J29" i="5"/>
  <c r="J32" i="5"/>
  <c r="J35" i="5"/>
  <c r="J42" i="5"/>
  <c r="J45" i="5"/>
  <c r="J48" i="5"/>
  <c r="J51" i="5"/>
  <c r="J54" i="5"/>
  <c r="J57" i="5"/>
  <c r="J60" i="5"/>
  <c r="J63" i="5"/>
  <c r="J66" i="5"/>
  <c r="J69" i="5"/>
  <c r="J72" i="5"/>
  <c r="J75" i="5"/>
  <c r="J78" i="5"/>
  <c r="Y20" i="5"/>
  <c r="Y16" i="5" s="1"/>
  <c r="Y35" i="5"/>
  <c r="Y44" i="5"/>
  <c r="Y49" i="5"/>
  <c r="Y58" i="5"/>
  <c r="Y57" i="5" s="1"/>
  <c r="Y69" i="5"/>
  <c r="Y65" i="5" s="1"/>
  <c r="Y83" i="5"/>
  <c r="Y91" i="5"/>
  <c r="Y96" i="5"/>
  <c r="Y105" i="5"/>
  <c r="Y104" i="5" s="1"/>
  <c r="Y114" i="5"/>
  <c r="Y123" i="5"/>
  <c r="Y141" i="5"/>
  <c r="Y149" i="5"/>
  <c r="Y147" i="5" s="1"/>
  <c r="Y172" i="5"/>
  <c r="Y176" i="5"/>
  <c r="Y187" i="5"/>
  <c r="Y185" i="5" s="1"/>
  <c r="Y205" i="5"/>
  <c r="Y196" i="5" s="1"/>
  <c r="Y195" i="5" s="1"/>
  <c r="Y211" i="5"/>
  <c r="Y210" i="5" s="1"/>
  <c r="Y209" i="5" s="1"/>
  <c r="Y222" i="5"/>
  <c r="Y227" i="5"/>
  <c r="Y235" i="5"/>
  <c r="Y234" i="5" s="1"/>
  <c r="Y232" i="5" s="1"/>
  <c r="AB20" i="5"/>
  <c r="AB16" i="5" s="1"/>
  <c r="AB35" i="5"/>
  <c r="AB44" i="5"/>
  <c r="AB49" i="5"/>
  <c r="AB58" i="5"/>
  <c r="AB57" i="5" s="1"/>
  <c r="AB69" i="5"/>
  <c r="AB65" i="5" s="1"/>
  <c r="AB83" i="5"/>
  <c r="AB91" i="5"/>
  <c r="AB96" i="5"/>
  <c r="AB105" i="5"/>
  <c r="AB104" i="5" s="1"/>
  <c r="AB114" i="5"/>
  <c r="AB123" i="5"/>
  <c r="AB141" i="5"/>
  <c r="AB149" i="5"/>
  <c r="AB147" i="5" s="1"/>
  <c r="AB155" i="5"/>
  <c r="AB172" i="5"/>
  <c r="AB176" i="5"/>
  <c r="AB187" i="5"/>
  <c r="AB185" i="5" s="1"/>
  <c r="AB205" i="5"/>
  <c r="AB196" i="5" s="1"/>
  <c r="AB195" i="5" s="1"/>
  <c r="AB211" i="5"/>
  <c r="AB210" i="5" s="1"/>
  <c r="AB209" i="5" s="1"/>
  <c r="AB222" i="5"/>
  <c r="AB227" i="5"/>
  <c r="AB235" i="5"/>
  <c r="AB234" i="5" s="1"/>
  <c r="AB232" i="5" s="1"/>
  <c r="AE20" i="5"/>
  <c r="AE16" i="5" s="1"/>
  <c r="AE35" i="5"/>
  <c r="AE44" i="5"/>
  <c r="AE49" i="5"/>
  <c r="AE58" i="5"/>
  <c r="AE57" i="5" s="1"/>
  <c r="AE69" i="5"/>
  <c r="AE65" i="5" s="1"/>
  <c r="AE83" i="5"/>
  <c r="AE91" i="5"/>
  <c r="AE96" i="5"/>
  <c r="AE105" i="5"/>
  <c r="AE104" i="5" s="1"/>
  <c r="AE114" i="5"/>
  <c r="AE123" i="5"/>
  <c r="AE141" i="5"/>
  <c r="AE149" i="5"/>
  <c r="AE147" i="5" s="1"/>
  <c r="AE155" i="5"/>
  <c r="AE172" i="5"/>
  <c r="AE176" i="5"/>
  <c r="AE187" i="5"/>
  <c r="AE185" i="5" s="1"/>
  <c r="AE205" i="5"/>
  <c r="AE196" i="5" s="1"/>
  <c r="AE195" i="5" s="1"/>
  <c r="AE211" i="5"/>
  <c r="AE210" i="5" s="1"/>
  <c r="AE209" i="5" s="1"/>
  <c r="AE222" i="5"/>
  <c r="AE227" i="5"/>
  <c r="AE235" i="5"/>
  <c r="AE234" i="5" s="1"/>
  <c r="AE232" i="5" s="1"/>
  <c r="AL20" i="5"/>
  <c r="AL16" i="5" s="1"/>
  <c r="AL35" i="5"/>
  <c r="AL44" i="5"/>
  <c r="AL49" i="5"/>
  <c r="AL58" i="5"/>
  <c r="AL57" i="5" s="1"/>
  <c r="AL69" i="5"/>
  <c r="AL65" i="5" s="1"/>
  <c r="AL83" i="5"/>
  <c r="AL91" i="5"/>
  <c r="AL96" i="5"/>
  <c r="AL105" i="5"/>
  <c r="AL104" i="5" s="1"/>
  <c r="AL114" i="5"/>
  <c r="AL123" i="5"/>
  <c r="AL141" i="5"/>
  <c r="AL149" i="5"/>
  <c r="AL147" i="5" s="1"/>
  <c r="AL172" i="5"/>
  <c r="AL176" i="5"/>
  <c r="AL185" i="5"/>
  <c r="AL205" i="5"/>
  <c r="AL196" i="5" s="1"/>
  <c r="AL195" i="5" s="1"/>
  <c r="AL211" i="5"/>
  <c r="AL210" i="5" s="1"/>
  <c r="AL209" i="5" s="1"/>
  <c r="AL222" i="5"/>
  <c r="AL227" i="5"/>
  <c r="AL235" i="5"/>
  <c r="AL234" i="5" s="1"/>
  <c r="AL232" i="5" s="1"/>
  <c r="AM20" i="5"/>
  <c r="AM16" i="5" s="1"/>
  <c r="AM114" i="5"/>
  <c r="AM211" i="5"/>
  <c r="AM210" i="5" s="1"/>
  <c r="AM209" i="5" s="1"/>
  <c r="AT11" i="5"/>
  <c r="AT21" i="5"/>
  <c r="AT26" i="5"/>
  <c r="AS6" i="6"/>
  <c r="AL20" i="6"/>
  <c r="AL16" i="6" s="1"/>
  <c r="AL35" i="6"/>
  <c r="AL44" i="6"/>
  <c r="AL49" i="6"/>
  <c r="AL58" i="6"/>
  <c r="AL57" i="6" s="1"/>
  <c r="AL69" i="6"/>
  <c r="AL65" i="6" s="1"/>
  <c r="AL83" i="6"/>
  <c r="AL91" i="6"/>
  <c r="AL96" i="6"/>
  <c r="AL105" i="6"/>
  <c r="AL104" i="6" s="1"/>
  <c r="AL114" i="6"/>
  <c r="AL123" i="6"/>
  <c r="AL141" i="6"/>
  <c r="AL149" i="6"/>
  <c r="AL147" i="6" s="1"/>
  <c r="AL155" i="6"/>
  <c r="AL172" i="6"/>
  <c r="AL176" i="6"/>
  <c r="AL205" i="6"/>
  <c r="AL211" i="6"/>
  <c r="AL210" i="6" s="1"/>
  <c r="AL209" i="6" s="1"/>
  <c r="AL222" i="6"/>
  <c r="AL227" i="6"/>
  <c r="AL243" i="6"/>
  <c r="AM20" i="6"/>
  <c r="AM16" i="6" s="1"/>
  <c r="AM44" i="6"/>
  <c r="AM83" i="6"/>
  <c r="AM114" i="6"/>
  <c r="AM211" i="6"/>
  <c r="AM210" i="6" s="1"/>
  <c r="AM209" i="6" s="1"/>
  <c r="AM243" i="6"/>
  <c r="AS21" i="6"/>
  <c r="AT26" i="6"/>
  <c r="AL20" i="7"/>
  <c r="AL16" i="7" s="1"/>
  <c r="AL35" i="7"/>
  <c r="AL44" i="7"/>
  <c r="AL49" i="7"/>
  <c r="AL58" i="7"/>
  <c r="AL57" i="7" s="1"/>
  <c r="AL69" i="7"/>
  <c r="AL65" i="7" s="1"/>
  <c r="AL83" i="7"/>
  <c r="AL91" i="7"/>
  <c r="AL96" i="7"/>
  <c r="AL105" i="7"/>
  <c r="AL104" i="7" s="1"/>
  <c r="AL114" i="7"/>
  <c r="AL123" i="7"/>
  <c r="AL141" i="7"/>
  <c r="AL149" i="7"/>
  <c r="AL147" i="7" s="1"/>
  <c r="AL155" i="7"/>
  <c r="AL172" i="7"/>
  <c r="AL176" i="7"/>
  <c r="AL185" i="7"/>
  <c r="AL205" i="7"/>
  <c r="AL211" i="7"/>
  <c r="AL210" i="7" s="1"/>
  <c r="AL209" i="7" s="1"/>
  <c r="AL222" i="7"/>
  <c r="AL227" i="7"/>
  <c r="AL243" i="7"/>
  <c r="AM16" i="7"/>
  <c r="AM114" i="7"/>
  <c r="AM211" i="7"/>
  <c r="AM210" i="7" s="1"/>
  <c r="AM209" i="7" s="1"/>
  <c r="AT11" i="7"/>
  <c r="BL17" i="7"/>
  <c r="BL17" i="10" s="1"/>
  <c r="BL17" i="13" s="1"/>
  <c r="BL17" i="16" s="1"/>
  <c r="Z20" i="8"/>
  <c r="Z16" i="8" s="1"/>
  <c r="AC20" i="8"/>
  <c r="AC123" i="8"/>
  <c r="AF123" i="8"/>
  <c r="AL20" i="8"/>
  <c r="AL16" i="8" s="1"/>
  <c r="AL35" i="8"/>
  <c r="AL44" i="8"/>
  <c r="AL49" i="8"/>
  <c r="AL58" i="8"/>
  <c r="AL57" i="8" s="1"/>
  <c r="AL69" i="8"/>
  <c r="AL65" i="8" s="1"/>
  <c r="AL83" i="8"/>
  <c r="AL91" i="8"/>
  <c r="AL96" i="8"/>
  <c r="AL105" i="8"/>
  <c r="AL104" i="8" s="1"/>
  <c r="AL114" i="8"/>
  <c r="AL123" i="8"/>
  <c r="AL141" i="8"/>
  <c r="AL149" i="8"/>
  <c r="AL147" i="8" s="1"/>
  <c r="AL155" i="8"/>
  <c r="AL172" i="8"/>
  <c r="AL176" i="8"/>
  <c r="AL205" i="8"/>
  <c r="AL196" i="8" s="1"/>
  <c r="AL195" i="8" s="1"/>
  <c r="AL211" i="8"/>
  <c r="AL210" i="8" s="1"/>
  <c r="AL209" i="8" s="1"/>
  <c r="AL222" i="8"/>
  <c r="AL227" i="8"/>
  <c r="AL243" i="8"/>
  <c r="AL232" i="8" s="1"/>
  <c r="AM114" i="8"/>
  <c r="AM211" i="8"/>
  <c r="AM210" i="8" s="1"/>
  <c r="AM209" i="8" s="1"/>
  <c r="AT11" i="8"/>
  <c r="AT26" i="8"/>
  <c r="Z20" i="9"/>
  <c r="Z16" i="9" s="1"/>
  <c r="AC20" i="9"/>
  <c r="AC16" i="9" s="1"/>
  <c r="AC123" i="9"/>
  <c r="AF123" i="9"/>
  <c r="AL20" i="9"/>
  <c r="AL16" i="9" s="1"/>
  <c r="AL35" i="9"/>
  <c r="AL44" i="9"/>
  <c r="AL49" i="9"/>
  <c r="AL58" i="9"/>
  <c r="AL57" i="9" s="1"/>
  <c r="AL69" i="9"/>
  <c r="AL65" i="9" s="1"/>
  <c r="AL83" i="9"/>
  <c r="AL91" i="9"/>
  <c r="AL96" i="9"/>
  <c r="AL105" i="9"/>
  <c r="AL104" i="9" s="1"/>
  <c r="AL114" i="9"/>
  <c r="AL123" i="9"/>
  <c r="AL141" i="9"/>
  <c r="AL149" i="9"/>
  <c r="AL147" i="9" s="1"/>
  <c r="AL155" i="9"/>
  <c r="AL172" i="9"/>
  <c r="AL176" i="9"/>
  <c r="AL205" i="9"/>
  <c r="AL196" i="9" s="1"/>
  <c r="AL195" i="9" s="1"/>
  <c r="AL211" i="9"/>
  <c r="AL210" i="9" s="1"/>
  <c r="AL209" i="9" s="1"/>
  <c r="AL222" i="9"/>
  <c r="AL227" i="9"/>
  <c r="AL243" i="9"/>
  <c r="AM114" i="9"/>
  <c r="AM211" i="9"/>
  <c r="AM210" i="9" s="1"/>
  <c r="AM209" i="9" s="1"/>
  <c r="AT11" i="9"/>
  <c r="AT26" i="9"/>
  <c r="Z20" i="10"/>
  <c r="Z16" i="10" s="1"/>
  <c r="AC20" i="10"/>
  <c r="AC16" i="10" s="1"/>
  <c r="AL20" i="10"/>
  <c r="AL16" i="10" s="1"/>
  <c r="AL35" i="10"/>
  <c r="AL44" i="10"/>
  <c r="AL49" i="10"/>
  <c r="AL58" i="10"/>
  <c r="AL57" i="10" s="1"/>
  <c r="AL69" i="10"/>
  <c r="AL65" i="10" s="1"/>
  <c r="AL83" i="10"/>
  <c r="AL91" i="10"/>
  <c r="AL96" i="10"/>
  <c r="AL105" i="10"/>
  <c r="AL104" i="10" s="1"/>
  <c r="AL114" i="10"/>
  <c r="AL123" i="10"/>
  <c r="AL141" i="10"/>
  <c r="AL149" i="10"/>
  <c r="AL147" i="10" s="1"/>
  <c r="AL155" i="10"/>
  <c r="AL172" i="10"/>
  <c r="AL176" i="10"/>
  <c r="AL185" i="10"/>
  <c r="AL205" i="10"/>
  <c r="AL196" i="10" s="1"/>
  <c r="AL195" i="10" s="1"/>
  <c r="AL211" i="10"/>
  <c r="AL210" i="10" s="1"/>
  <c r="AL209" i="10" s="1"/>
  <c r="AL222" i="10"/>
  <c r="AL227" i="10"/>
  <c r="AL243" i="10"/>
  <c r="AM114" i="10"/>
  <c r="AM211" i="10"/>
  <c r="AM210" i="10" s="1"/>
  <c r="AM209" i="10" s="1"/>
  <c r="AT11" i="10"/>
  <c r="AT26" i="10"/>
  <c r="Z20" i="11"/>
  <c r="AC20" i="11"/>
  <c r="AC16" i="11" s="1"/>
  <c r="AL20" i="11"/>
  <c r="AL16" i="11" s="1"/>
  <c r="AL35" i="11"/>
  <c r="AL44" i="11"/>
  <c r="AL49" i="11"/>
  <c r="AL58" i="11"/>
  <c r="AL57" i="11" s="1"/>
  <c r="AL69" i="11"/>
  <c r="AL65" i="11" s="1"/>
  <c r="AL83" i="11"/>
  <c r="AL91" i="11"/>
  <c r="AL96" i="11"/>
  <c r="AL105" i="11"/>
  <c r="AL104" i="11" s="1"/>
  <c r="AL114" i="11"/>
  <c r="AL123" i="11"/>
  <c r="AL141" i="11"/>
  <c r="AL149" i="11"/>
  <c r="AL147" i="11" s="1"/>
  <c r="AL155" i="11"/>
  <c r="AL172" i="11"/>
  <c r="AL176" i="11"/>
  <c r="AL205" i="11"/>
  <c r="AL211" i="11"/>
  <c r="AL210" i="11" s="1"/>
  <c r="AL209" i="11" s="1"/>
  <c r="AL222" i="11"/>
  <c r="AL227" i="11"/>
  <c r="AL243" i="11"/>
  <c r="AM20" i="11"/>
  <c r="AM16" i="11" s="1"/>
  <c r="AM114" i="11"/>
  <c r="AM211" i="11"/>
  <c r="AM210" i="11" s="1"/>
  <c r="AM209" i="11" s="1"/>
  <c r="AT11" i="11"/>
  <c r="AT26" i="11"/>
  <c r="Z20" i="12"/>
  <c r="Z16" i="12" s="1"/>
  <c r="AC20" i="12"/>
  <c r="AC16" i="12" s="1"/>
  <c r="AL20" i="12"/>
  <c r="AL16" i="12" s="1"/>
  <c r="AL35" i="12"/>
  <c r="AL44" i="12"/>
  <c r="AL49" i="12"/>
  <c r="AL58" i="12"/>
  <c r="AL57" i="12" s="1"/>
  <c r="AL69" i="12"/>
  <c r="AL65" i="12" s="1"/>
  <c r="AL83" i="12"/>
  <c r="AL91" i="12"/>
  <c r="AL96" i="12"/>
  <c r="AL105" i="12"/>
  <c r="AL104" i="12" s="1"/>
  <c r="AL114" i="12"/>
  <c r="AL123" i="12"/>
  <c r="AL141" i="12"/>
  <c r="AL149" i="12"/>
  <c r="AL147" i="12" s="1"/>
  <c r="AL172" i="12"/>
  <c r="AL176" i="12"/>
  <c r="AL185" i="12"/>
  <c r="AL205" i="12"/>
  <c r="AL211" i="12"/>
  <c r="AL210" i="12" s="1"/>
  <c r="AL209" i="12" s="1"/>
  <c r="AL222" i="12"/>
  <c r="AL227" i="12"/>
  <c r="AL243" i="12"/>
  <c r="AM20" i="12"/>
  <c r="AM16" i="12" s="1"/>
  <c r="AM114" i="12"/>
  <c r="AM211" i="12"/>
  <c r="AM210" i="12" s="1"/>
  <c r="AM209" i="12" s="1"/>
  <c r="AT11" i="12"/>
  <c r="AT26" i="12"/>
  <c r="Z20" i="13"/>
  <c r="Z16" i="13" s="1"/>
  <c r="Z243" i="13"/>
  <c r="AC20" i="13"/>
  <c r="AC16" i="13" s="1"/>
  <c r="AC243" i="13"/>
  <c r="AL20" i="13"/>
  <c r="AL16" i="13" s="1"/>
  <c r="AL35" i="13"/>
  <c r="AL44" i="13"/>
  <c r="AL49" i="13"/>
  <c r="AL58" i="13"/>
  <c r="AL57" i="13" s="1"/>
  <c r="AL69" i="13"/>
  <c r="AL65" i="13" s="1"/>
  <c r="AL83" i="13"/>
  <c r="AL91" i="13"/>
  <c r="AL96" i="13"/>
  <c r="AL105" i="13"/>
  <c r="AL104" i="13" s="1"/>
  <c r="AL114" i="13"/>
  <c r="AL123" i="13"/>
  <c r="AL141" i="13"/>
  <c r="AL149" i="13"/>
  <c r="AL147" i="13" s="1"/>
  <c r="AL155" i="13"/>
  <c r="AL172" i="13"/>
  <c r="AL176" i="13"/>
  <c r="AL205" i="13"/>
  <c r="AL196" i="13" s="1"/>
  <c r="AL195" i="13" s="1"/>
  <c r="AL193" i="13" s="1"/>
  <c r="AL211" i="13"/>
  <c r="AL210" i="13" s="1"/>
  <c r="AL209" i="13" s="1"/>
  <c r="AL222" i="13"/>
  <c r="AL227" i="13"/>
  <c r="AL243" i="13"/>
  <c r="AM20" i="13"/>
  <c r="AM114" i="13"/>
  <c r="AM211" i="13"/>
  <c r="AM210" i="13" s="1"/>
  <c r="AM209" i="13" s="1"/>
  <c r="AT11" i="13"/>
  <c r="AT26" i="13"/>
  <c r="AR21" i="14"/>
  <c r="Z20" i="14"/>
  <c r="Z16" i="14" s="1"/>
  <c r="Z243" i="14"/>
  <c r="AC20" i="14"/>
  <c r="AC16" i="14" s="1"/>
  <c r="AC243" i="14"/>
  <c r="AL20" i="14"/>
  <c r="AL16" i="14" s="1"/>
  <c r="AL35" i="14"/>
  <c r="AL44" i="14"/>
  <c r="AL49" i="14"/>
  <c r="AL58" i="14"/>
  <c r="AL57" i="14" s="1"/>
  <c r="AL69" i="14"/>
  <c r="AL65" i="14" s="1"/>
  <c r="AL83" i="14"/>
  <c r="AL91" i="14"/>
  <c r="AL96" i="14"/>
  <c r="AL105" i="14"/>
  <c r="AL104" i="14" s="1"/>
  <c r="AL114" i="14"/>
  <c r="AL123" i="14"/>
  <c r="AL141" i="14"/>
  <c r="AL149" i="14"/>
  <c r="AL147" i="14" s="1"/>
  <c r="AL155" i="14"/>
  <c r="AL172" i="14"/>
  <c r="AL176" i="14"/>
  <c r="AL185" i="14"/>
  <c r="AL205" i="14"/>
  <c r="AL211" i="14"/>
  <c r="AL210" i="14" s="1"/>
  <c r="AL209" i="14" s="1"/>
  <c r="AL222" i="14"/>
  <c r="AL227" i="14"/>
  <c r="AL243" i="14"/>
  <c r="AM114" i="14"/>
  <c r="AM211" i="14"/>
  <c r="AM210" i="14" s="1"/>
  <c r="AM209" i="14" s="1"/>
  <c r="AT11" i="14"/>
  <c r="AT26" i="14"/>
  <c r="BE7" i="15"/>
  <c r="Z20" i="15"/>
  <c r="Z16" i="15" s="1"/>
  <c r="Z243" i="15"/>
  <c r="AC20" i="15"/>
  <c r="AC16" i="15" s="1"/>
  <c r="AC243" i="15"/>
  <c r="AL20" i="15"/>
  <c r="AL16" i="15" s="1"/>
  <c r="AL35" i="15"/>
  <c r="AL44" i="15"/>
  <c r="AL49" i="15"/>
  <c r="AL58" i="15"/>
  <c r="AL57" i="15" s="1"/>
  <c r="AL69" i="15"/>
  <c r="AL65" i="15" s="1"/>
  <c r="AL83" i="15"/>
  <c r="AL91" i="15"/>
  <c r="AL96" i="15"/>
  <c r="AL105" i="15"/>
  <c r="AL104" i="15" s="1"/>
  <c r="AL114" i="15"/>
  <c r="AL123" i="15"/>
  <c r="AL141" i="15"/>
  <c r="AL149" i="15"/>
  <c r="AL147" i="15" s="1"/>
  <c r="AL172" i="15"/>
  <c r="AL176" i="15"/>
  <c r="AL185" i="15"/>
  <c r="AL205" i="15"/>
  <c r="AL196" i="15" s="1"/>
  <c r="AL195" i="15" s="1"/>
  <c r="AL211" i="15"/>
  <c r="AL210" i="15" s="1"/>
  <c r="AL209" i="15" s="1"/>
  <c r="AL222" i="15"/>
  <c r="AL227" i="15"/>
  <c r="AL243" i="15"/>
  <c r="AM16" i="15"/>
  <c r="AM114" i="15"/>
  <c r="AM211" i="15"/>
  <c r="AM210" i="15" s="1"/>
  <c r="AM209" i="15" s="1"/>
  <c r="AT11" i="15"/>
  <c r="AT21" i="15"/>
  <c r="AT26" i="15"/>
  <c r="Z20" i="16"/>
  <c r="Z16" i="16" s="1"/>
  <c r="Z243" i="16"/>
  <c r="AC20" i="16"/>
  <c r="AC16" i="16" s="1"/>
  <c r="AC243" i="16"/>
  <c r="AL20" i="16"/>
  <c r="AL16" i="16" s="1"/>
  <c r="AL35" i="16"/>
  <c r="AL44" i="16"/>
  <c r="AL49" i="16"/>
  <c r="AL58" i="16"/>
  <c r="AL57" i="16" s="1"/>
  <c r="AL69" i="16"/>
  <c r="AL65" i="16" s="1"/>
  <c r="AL83" i="16"/>
  <c r="AL91" i="16"/>
  <c r="AL96" i="16"/>
  <c r="AL105" i="16"/>
  <c r="AL104" i="16" s="1"/>
  <c r="AL114" i="16"/>
  <c r="AL123" i="16"/>
  <c r="AL141" i="16"/>
  <c r="AL149" i="16"/>
  <c r="AL147" i="16" s="1"/>
  <c r="AL155" i="16"/>
  <c r="AL172" i="16"/>
  <c r="AL176" i="16"/>
  <c r="AL185" i="16"/>
  <c r="AL205" i="16"/>
  <c r="AL196" i="16" s="1"/>
  <c r="AL195" i="16" s="1"/>
  <c r="AL211" i="16"/>
  <c r="AL210" i="16" s="1"/>
  <c r="AL209" i="16" s="1"/>
  <c r="AL222" i="16"/>
  <c r="AL227" i="16"/>
  <c r="AL243" i="16"/>
  <c r="AM114" i="16"/>
  <c r="AM211" i="16"/>
  <c r="AM210" i="16" s="1"/>
  <c r="AM209" i="16" s="1"/>
  <c r="AT11" i="16"/>
  <c r="AT26" i="16"/>
  <c r="AR21" i="16"/>
  <c r="AT21" i="11"/>
  <c r="AL196" i="7"/>
  <c r="AL195" i="7" s="1"/>
  <c r="AT6" i="14"/>
  <c r="AT6" i="6"/>
  <c r="AR12" i="5"/>
  <c r="AW12" i="5"/>
  <c r="AS21" i="5"/>
  <c r="AR8" i="5"/>
  <c r="BJ5" i="6"/>
  <c r="AR10" i="5"/>
  <c r="AT21" i="7"/>
  <c r="AR21" i="10"/>
  <c r="AW10" i="5"/>
  <c r="BC5" i="16"/>
  <c r="T8" i="8"/>
  <c r="T8" i="9" s="1"/>
  <c r="T8" i="10" s="1"/>
  <c r="T8" i="11" s="1"/>
  <c r="T8" i="12" s="1"/>
  <c r="T8" i="13" s="1"/>
  <c r="T8" i="14" s="1"/>
  <c r="T8" i="15" s="1"/>
  <c r="T8" i="16" s="1"/>
  <c r="BR21" i="16"/>
  <c r="BO18" i="5"/>
  <c r="BO10" i="5"/>
  <c r="BD14" i="5"/>
  <c r="BD15" i="5"/>
  <c r="BD16" i="5"/>
  <c r="AW13" i="5"/>
  <c r="BD11" i="5"/>
  <c r="AW8" i="5"/>
  <c r="AR13" i="5"/>
  <c r="AW11" i="5"/>
  <c r="AR11" i="5"/>
  <c r="AL220" i="7"/>
  <c r="BE7" i="11"/>
  <c r="AL220" i="11"/>
  <c r="AJ3" i="13"/>
  <c r="AM243" i="16"/>
  <c r="AM243" i="14"/>
  <c r="AM243" i="12"/>
  <c r="AM243" i="10"/>
  <c r="AM243" i="8"/>
  <c r="AM232" i="8" s="1"/>
  <c r="AM235" i="5"/>
  <c r="AM234" i="5" s="1"/>
  <c r="AM232" i="5" s="1"/>
  <c r="AM227" i="16"/>
  <c r="AM227" i="14"/>
  <c r="AM227" i="12"/>
  <c r="AM227" i="10"/>
  <c r="AM227" i="8"/>
  <c r="AM227" i="6"/>
  <c r="AM227" i="5"/>
  <c r="AM220" i="13"/>
  <c r="AM220" i="11"/>
  <c r="AM220" i="9"/>
  <c r="AM222" i="16"/>
  <c r="AM222" i="14"/>
  <c r="AM222" i="12"/>
  <c r="AM222" i="10"/>
  <c r="AM222" i="8"/>
  <c r="AM222" i="6"/>
  <c r="AM222" i="5"/>
  <c r="AM205" i="5"/>
  <c r="AM196" i="7"/>
  <c r="AM195" i="7" s="1"/>
  <c r="AM196" i="15"/>
  <c r="AM195" i="15" s="1"/>
  <c r="AM196" i="14"/>
  <c r="AM195" i="14" s="1"/>
  <c r="AM196" i="11"/>
  <c r="AM195" i="11" s="1"/>
  <c r="AM196" i="6"/>
  <c r="AM195" i="6" s="1"/>
  <c r="AM187" i="5"/>
  <c r="AM185" i="5" s="1"/>
  <c r="AM185" i="14"/>
  <c r="AM185" i="12"/>
  <c r="AM185" i="10"/>
  <c r="AM185" i="8"/>
  <c r="AM185" i="6"/>
  <c r="AM170" i="6" s="1"/>
  <c r="AM185" i="13"/>
  <c r="AM170" i="13" s="1"/>
  <c r="AM185" i="9"/>
  <c r="AM176" i="14"/>
  <c r="AM176" i="12"/>
  <c r="AM176" i="5"/>
  <c r="AM176" i="7"/>
  <c r="AM172" i="5"/>
  <c r="AM155" i="16"/>
  <c r="AM155" i="14"/>
  <c r="AM155" i="12"/>
  <c r="AM155" i="10"/>
  <c r="AM155" i="8"/>
  <c r="AM155" i="15"/>
  <c r="AM155" i="13"/>
  <c r="AM155" i="11"/>
  <c r="AM155" i="9"/>
  <c r="AM155" i="7"/>
  <c r="AM155" i="5"/>
  <c r="AM149" i="5"/>
  <c r="AM147" i="5" s="1"/>
  <c r="AM147" i="16"/>
  <c r="AM141" i="14"/>
  <c r="AM147" i="12"/>
  <c r="AM147" i="10"/>
  <c r="AM141" i="10"/>
  <c r="AM147" i="8"/>
  <c r="AM147" i="6"/>
  <c r="AM147" i="15"/>
  <c r="AM141" i="13"/>
  <c r="AM147" i="11"/>
  <c r="AM141" i="9"/>
  <c r="AM112" i="9" s="1"/>
  <c r="AM147" i="7"/>
  <c r="AM141" i="5"/>
  <c r="AM141" i="16"/>
  <c r="AM141" i="15"/>
  <c r="AM112" i="15" s="1"/>
  <c r="AM141" i="12"/>
  <c r="AM141" i="11"/>
  <c r="AM141" i="8"/>
  <c r="AM141" i="7"/>
  <c r="AM141" i="6"/>
  <c r="AM123" i="5"/>
  <c r="AM105" i="16"/>
  <c r="AM104" i="16" s="1"/>
  <c r="AM105" i="14"/>
  <c r="AM104" i="14" s="1"/>
  <c r="AM105" i="12"/>
  <c r="AM104" i="12" s="1"/>
  <c r="AM105" i="10"/>
  <c r="AM104" i="10" s="1"/>
  <c r="AM105" i="8"/>
  <c r="AM104" i="8" s="1"/>
  <c r="AM105" i="6"/>
  <c r="AM104" i="6" s="1"/>
  <c r="AM105" i="5"/>
  <c r="AM104" i="5" s="1"/>
  <c r="AM96" i="5"/>
  <c r="AM90" i="15"/>
  <c r="AM90" i="13"/>
  <c r="AM90" i="7"/>
  <c r="AM91" i="16"/>
  <c r="AM90" i="16" s="1"/>
  <c r="AM91" i="14"/>
  <c r="AM69" i="14"/>
  <c r="AM65" i="14" s="1"/>
  <c r="AM83" i="14"/>
  <c r="AM91" i="12"/>
  <c r="AM91" i="10"/>
  <c r="AM69" i="10"/>
  <c r="AM65" i="10" s="1"/>
  <c r="AM91" i="8"/>
  <c r="AM90" i="8" s="1"/>
  <c r="AM91" i="6"/>
  <c r="AM91" i="5"/>
  <c r="AM83" i="5"/>
  <c r="AM83" i="11"/>
  <c r="AM83" i="8"/>
  <c r="AM69" i="5"/>
  <c r="AM65" i="5" s="1"/>
  <c r="AM69" i="16"/>
  <c r="AM65" i="16" s="1"/>
  <c r="AM69" i="15"/>
  <c r="AM65" i="15" s="1"/>
  <c r="AM69" i="13"/>
  <c r="AM65" i="13" s="1"/>
  <c r="AM69" i="12"/>
  <c r="AM65" i="12" s="1"/>
  <c r="AM69" i="11"/>
  <c r="AM65" i="11" s="1"/>
  <c r="AM69" i="8"/>
  <c r="AM65" i="8" s="1"/>
  <c r="AM69" i="7"/>
  <c r="AM65" i="7" s="1"/>
  <c r="AM69" i="6"/>
  <c r="AM65" i="6" s="1"/>
  <c r="AM43" i="15"/>
  <c r="AM58" i="12"/>
  <c r="AM57" i="12" s="1"/>
  <c r="AM58" i="5"/>
  <c r="AM57" i="5" s="1"/>
  <c r="AM58" i="7"/>
  <c r="AM57" i="7" s="1"/>
  <c r="AM49" i="5"/>
  <c r="AM43" i="12"/>
  <c r="AM43" i="11"/>
  <c r="AM43" i="10"/>
  <c r="AM43" i="7"/>
  <c r="AM44" i="5"/>
  <c r="AM35" i="5"/>
  <c r="AM20" i="14"/>
  <c r="AM16" i="14" s="1"/>
  <c r="AM20" i="10"/>
  <c r="AM16" i="10" s="1"/>
  <c r="AM20" i="8"/>
  <c r="AM16" i="8" s="1"/>
  <c r="AM16" i="13"/>
  <c r="Z243" i="12"/>
  <c r="Z243" i="11"/>
  <c r="Z243" i="10"/>
  <c r="Z243" i="9"/>
  <c r="Z243" i="8"/>
  <c r="Z235" i="15"/>
  <c r="Z234" i="15" s="1"/>
  <c r="Z235" i="13"/>
  <c r="Z234" i="13" s="1"/>
  <c r="Z235" i="11"/>
  <c r="Z234" i="11" s="1"/>
  <c r="Z235" i="9"/>
  <c r="Z234" i="9" s="1"/>
  <c r="Z235" i="16"/>
  <c r="Z234" i="16" s="1"/>
  <c r="Z235" i="14"/>
  <c r="Z234" i="14" s="1"/>
  <c r="Z235" i="12"/>
  <c r="Z234" i="12" s="1"/>
  <c r="Z235" i="10"/>
  <c r="Z234" i="10" s="1"/>
  <c r="Z235" i="8"/>
  <c r="Z227" i="14"/>
  <c r="Z227" i="12"/>
  <c r="Z227" i="10"/>
  <c r="Z227" i="8"/>
  <c r="Z227" i="16"/>
  <c r="Z227" i="15"/>
  <c r="Z227" i="13"/>
  <c r="Z227" i="11"/>
  <c r="Z227" i="9"/>
  <c r="Z222" i="15"/>
  <c r="Z220" i="15" s="1"/>
  <c r="Z222" i="12"/>
  <c r="Z222" i="9"/>
  <c r="Z222" i="16"/>
  <c r="Z222" i="14"/>
  <c r="Z222" i="13"/>
  <c r="Z222" i="11"/>
  <c r="Z222" i="10"/>
  <c r="Z222" i="8"/>
  <c r="Z211" i="15"/>
  <c r="Z210" i="15" s="1"/>
  <c r="Z209" i="15" s="1"/>
  <c r="Z211" i="14"/>
  <c r="Z210" i="14" s="1"/>
  <c r="Z209" i="14" s="1"/>
  <c r="Z211" i="11"/>
  <c r="Z210" i="11" s="1"/>
  <c r="Z209" i="11" s="1"/>
  <c r="Z211" i="9"/>
  <c r="Z210" i="9" s="1"/>
  <c r="Z209" i="9" s="1"/>
  <c r="Z211" i="16"/>
  <c r="Z210" i="16" s="1"/>
  <c r="Z209" i="16" s="1"/>
  <c r="Z211" i="13"/>
  <c r="Z210" i="13" s="1"/>
  <c r="Z209" i="13" s="1"/>
  <c r="Z211" i="12"/>
  <c r="Z210" i="12" s="1"/>
  <c r="Z209" i="12" s="1"/>
  <c r="Z211" i="10"/>
  <c r="Z210" i="10" s="1"/>
  <c r="Z209" i="10" s="1"/>
  <c r="Z211" i="8"/>
  <c r="Z210" i="8" s="1"/>
  <c r="Z209" i="8" s="1"/>
  <c r="Z205" i="16"/>
  <c r="Z205" i="14"/>
  <c r="Z205" i="13"/>
  <c r="Z205" i="10"/>
  <c r="Z205" i="9"/>
  <c r="Z205" i="15"/>
  <c r="Z205" i="12"/>
  <c r="Z205" i="11"/>
  <c r="Z205" i="8"/>
  <c r="Z197" i="16"/>
  <c r="Z197" i="14"/>
  <c r="Z197" i="12"/>
  <c r="Z197" i="9"/>
  <c r="Z197" i="11"/>
  <c r="Z197" i="15"/>
  <c r="Z197" i="13"/>
  <c r="Z197" i="10"/>
  <c r="Z196" i="10" s="1"/>
  <c r="Z195" i="10" s="1"/>
  <c r="Z197" i="8"/>
  <c r="Z187" i="15"/>
  <c r="Z185" i="15" s="1"/>
  <c r="Z187" i="14"/>
  <c r="Z185" i="14" s="1"/>
  <c r="Z187" i="13"/>
  <c r="Z185" i="13" s="1"/>
  <c r="Z187" i="12"/>
  <c r="Z185" i="12" s="1"/>
  <c r="Z187" i="11"/>
  <c r="Z185" i="11" s="1"/>
  <c r="Z187" i="10"/>
  <c r="Z185" i="10" s="1"/>
  <c r="Z187" i="16"/>
  <c r="Z185" i="16" s="1"/>
  <c r="Z187" i="9"/>
  <c r="Z185" i="9" s="1"/>
  <c r="Z187" i="8"/>
  <c r="Z185" i="8" s="1"/>
  <c r="Z176" i="15"/>
  <c r="Z176" i="13"/>
  <c r="Z176" i="10"/>
  <c r="Z176" i="8"/>
  <c r="Z176" i="16"/>
  <c r="Z176" i="14"/>
  <c r="Z176" i="12"/>
  <c r="Z176" i="11"/>
  <c r="Z176" i="9"/>
  <c r="Z172" i="10"/>
  <c r="Z172" i="9"/>
  <c r="Z172" i="8"/>
  <c r="Z172" i="16"/>
  <c r="Z172" i="15"/>
  <c r="Z172" i="14"/>
  <c r="Z172" i="13"/>
  <c r="Z172" i="12"/>
  <c r="Z172" i="11"/>
  <c r="Z149" i="16"/>
  <c r="Z147" i="16" s="1"/>
  <c r="Z149" i="15"/>
  <c r="Z147" i="15" s="1"/>
  <c r="Z149" i="14"/>
  <c r="Z147" i="14" s="1"/>
  <c r="Z149" i="13"/>
  <c r="Z147" i="13" s="1"/>
  <c r="Z149" i="12"/>
  <c r="Z147" i="12" s="1"/>
  <c r="Z149" i="11"/>
  <c r="Z147" i="11" s="1"/>
  <c r="Z149" i="10"/>
  <c r="Z147" i="10" s="1"/>
  <c r="Z149" i="9"/>
  <c r="Z147" i="9" s="1"/>
  <c r="Z149" i="8"/>
  <c r="Z147" i="8" s="1"/>
  <c r="Z145" i="8" s="1"/>
  <c r="Z141" i="14"/>
  <c r="Z141" i="13"/>
  <c r="Z141" i="12"/>
  <c r="Z141" i="16"/>
  <c r="Z141" i="15"/>
  <c r="Z141" i="11"/>
  <c r="Z141" i="10"/>
  <c r="Z141" i="9"/>
  <c r="Z141" i="8"/>
  <c r="Z114" i="15"/>
  <c r="Z114" i="13"/>
  <c r="Z114" i="11"/>
  <c r="Z114" i="9"/>
  <c r="Z114" i="16"/>
  <c r="Z114" i="14"/>
  <c r="Z114" i="12"/>
  <c r="Z114" i="10"/>
  <c r="Z114" i="8"/>
  <c r="Z105" i="15"/>
  <c r="Z104" i="15" s="1"/>
  <c r="Z105" i="9"/>
  <c r="Z104" i="9" s="1"/>
  <c r="Z105" i="14"/>
  <c r="Z104" i="14" s="1"/>
  <c r="Z96" i="12"/>
  <c r="Z96" i="11"/>
  <c r="Z96" i="16"/>
  <c r="Z96" i="15"/>
  <c r="Z96" i="14"/>
  <c r="Z96" i="13"/>
  <c r="Z96" i="10"/>
  <c r="Z96" i="9"/>
  <c r="Z96" i="8"/>
  <c r="Z91" i="15"/>
  <c r="Z91" i="16"/>
  <c r="Z90" i="16" s="1"/>
  <c r="Z91" i="14"/>
  <c r="Z91" i="13"/>
  <c r="Z91" i="12"/>
  <c r="Z91" i="11"/>
  <c r="Z91" i="10"/>
  <c r="Z91" i="9"/>
  <c r="Z91" i="8"/>
  <c r="Z83" i="16"/>
  <c r="Z83" i="15"/>
  <c r="Z83" i="13"/>
  <c r="Z83" i="11"/>
  <c r="Z83" i="9"/>
  <c r="Z83" i="14"/>
  <c r="Z83" i="12"/>
  <c r="Z83" i="10"/>
  <c r="Z83" i="8"/>
  <c r="Z69" i="15"/>
  <c r="Z65" i="15" s="1"/>
  <c r="Z69" i="14"/>
  <c r="Z69" i="13"/>
  <c r="Z65" i="13" s="1"/>
  <c r="Z69" i="12"/>
  <c r="Z65" i="12" s="1"/>
  <c r="Z69" i="11"/>
  <c r="Z65" i="11" s="1"/>
  <c r="Z69" i="10"/>
  <c r="Z65" i="10" s="1"/>
  <c r="Z69" i="9"/>
  <c r="Z65" i="9" s="1"/>
  <c r="Z69" i="8"/>
  <c r="Z65" i="8" s="1"/>
  <c r="Z69" i="16"/>
  <c r="Z65" i="16" s="1"/>
  <c r="Z65" i="14"/>
  <c r="Z58" i="15"/>
  <c r="Z57" i="15" s="1"/>
  <c r="Z44" i="15"/>
  <c r="Z49" i="15"/>
  <c r="Z35" i="15"/>
  <c r="Z58" i="14"/>
  <c r="Z57" i="14" s="1"/>
  <c r="Z58" i="11"/>
  <c r="Z57" i="11" s="1"/>
  <c r="Z58" i="10"/>
  <c r="Z57" i="10" s="1"/>
  <c r="Z58" i="9"/>
  <c r="Z57" i="9" s="1"/>
  <c r="Z58" i="8"/>
  <c r="Z57" i="8" s="1"/>
  <c r="Z58" i="16"/>
  <c r="Z57" i="16" s="1"/>
  <c r="Z58" i="13"/>
  <c r="Z57" i="13" s="1"/>
  <c r="Z58" i="12"/>
  <c r="Z57" i="12" s="1"/>
  <c r="Z49" i="13"/>
  <c r="Z49" i="11"/>
  <c r="Z49" i="9"/>
  <c r="Z49" i="16"/>
  <c r="Z49" i="14"/>
  <c r="Z49" i="12"/>
  <c r="Z49" i="10"/>
  <c r="Z49" i="8"/>
  <c r="Z44" i="16"/>
  <c r="Z44" i="12"/>
  <c r="Z44" i="11"/>
  <c r="Z44" i="10"/>
  <c r="Z44" i="9"/>
  <c r="Z44" i="8"/>
  <c r="Z44" i="14"/>
  <c r="Z44" i="13"/>
  <c r="Z35" i="13"/>
  <c r="Z35" i="16"/>
  <c r="Z35" i="14"/>
  <c r="Z35" i="12"/>
  <c r="Z35" i="11"/>
  <c r="Z35" i="10"/>
  <c r="Z35" i="9"/>
  <c r="Z35" i="8"/>
  <c r="AC16" i="8"/>
  <c r="Z16" i="11"/>
  <c r="F23" i="20"/>
  <c r="BE14" i="5"/>
  <c r="F14" i="20" s="1"/>
  <c r="BE15" i="5"/>
  <c r="F15" i="20" s="1"/>
  <c r="BE16" i="5"/>
  <c r="F17" i="20"/>
  <c r="M17" i="20"/>
  <c r="I17" i="20"/>
  <c r="F13" i="20"/>
  <c r="BE11" i="5"/>
  <c r="BE12" i="5"/>
  <c r="F12" i="20" s="1"/>
  <c r="BO11" i="6"/>
  <c r="BO11" i="5"/>
  <c r="B14" i="8"/>
  <c r="B14" i="9" s="1"/>
  <c r="B14" i="10" s="1"/>
  <c r="B14" i="11" s="1"/>
  <c r="B14" i="12" s="1"/>
  <c r="B14" i="13" s="1"/>
  <c r="BQ31" i="6"/>
  <c r="G54" i="20" s="1"/>
  <c r="AF243" i="8"/>
  <c r="AC243" i="8"/>
  <c r="AC243" i="9"/>
  <c r="AF243" i="9"/>
  <c r="AF243" i="10"/>
  <c r="AC243" i="10"/>
  <c r="AF243" i="11"/>
  <c r="AC243" i="11"/>
  <c r="AF243" i="12"/>
  <c r="AC243" i="12"/>
  <c r="AF235" i="8"/>
  <c r="AF234" i="8" s="1"/>
  <c r="AC235" i="8"/>
  <c r="AC234" i="8" s="1"/>
  <c r="AF235" i="10"/>
  <c r="AF234" i="10" s="1"/>
  <c r="AF232" i="10" s="1"/>
  <c r="BQ29" i="10" s="1"/>
  <c r="AC235" i="10"/>
  <c r="AC234" i="10" s="1"/>
  <c r="AF235" i="12"/>
  <c r="AF234" i="12" s="1"/>
  <c r="AC235" i="12"/>
  <c r="AC234" i="12" s="1"/>
  <c r="AF235" i="14"/>
  <c r="AF234" i="14" s="1"/>
  <c r="AC235" i="14"/>
  <c r="AC234" i="14" s="1"/>
  <c r="AF235" i="16"/>
  <c r="AF234" i="16" s="1"/>
  <c r="AC235" i="16"/>
  <c r="AC234" i="16" s="1"/>
  <c r="AC232" i="16" s="1"/>
  <c r="AF235" i="9"/>
  <c r="AF234" i="9" s="1"/>
  <c r="AC235" i="9"/>
  <c r="AC234" i="9" s="1"/>
  <c r="AF235" i="11"/>
  <c r="AC235" i="11"/>
  <c r="AC234" i="11" s="1"/>
  <c r="AF235" i="13"/>
  <c r="AF234" i="13" s="1"/>
  <c r="AC235" i="13"/>
  <c r="AC234" i="13" s="1"/>
  <c r="AC232" i="13" s="1"/>
  <c r="AF235" i="15"/>
  <c r="AF234" i="15" s="1"/>
  <c r="AC235" i="15"/>
  <c r="AC234" i="15" s="1"/>
  <c r="AF227" i="13"/>
  <c r="AC227" i="13"/>
  <c r="AF227" i="16"/>
  <c r="AC227" i="16"/>
  <c r="AF227" i="8"/>
  <c r="AC227" i="8"/>
  <c r="AC227" i="10"/>
  <c r="AF227" i="10"/>
  <c r="AF227" i="9"/>
  <c r="AC227" i="9"/>
  <c r="AF227" i="11"/>
  <c r="AC227" i="11"/>
  <c r="AF227" i="15"/>
  <c r="AC227" i="15"/>
  <c r="AF227" i="12"/>
  <c r="AC227" i="12"/>
  <c r="AF227" i="14"/>
  <c r="AC227" i="14"/>
  <c r="AF222" i="8"/>
  <c r="AC222" i="8"/>
  <c r="AC222" i="10"/>
  <c r="AF222" i="10"/>
  <c r="AF222" i="16"/>
  <c r="AF220" i="16" s="1"/>
  <c r="BQ30" i="16" s="1"/>
  <c r="AC222" i="16"/>
  <c r="AC220" i="16" s="1"/>
  <c r="AF222" i="9"/>
  <c r="AC222" i="9"/>
  <c r="AF222" i="15"/>
  <c r="AC222" i="15"/>
  <c r="AF222" i="11"/>
  <c r="AC222" i="11"/>
  <c r="AF222" i="13"/>
  <c r="AC222" i="13"/>
  <c r="AF222" i="14"/>
  <c r="AC222" i="14"/>
  <c r="AC220" i="14" s="1"/>
  <c r="AC222" i="12"/>
  <c r="AF222" i="12"/>
  <c r="AF220" i="12" s="1"/>
  <c r="BQ30" i="12" s="1"/>
  <c r="AC211" i="10"/>
  <c r="AC210" i="10" s="1"/>
  <c r="AC209" i="10" s="1"/>
  <c r="AF211" i="10"/>
  <c r="AF210" i="10" s="1"/>
  <c r="AF209" i="10" s="1"/>
  <c r="BQ27" i="10" s="1"/>
  <c r="K50" i="20" s="1"/>
  <c r="AC211" i="12"/>
  <c r="AC210" i="12" s="1"/>
  <c r="AC209" i="12" s="1"/>
  <c r="AF211" i="12"/>
  <c r="AF210" i="12" s="1"/>
  <c r="AF209" i="12" s="1"/>
  <c r="BQ27" i="12" s="1"/>
  <c r="M50" i="20" s="1"/>
  <c r="AF211" i="13"/>
  <c r="AF210" i="13" s="1"/>
  <c r="AF209" i="13" s="1"/>
  <c r="AC211" i="13"/>
  <c r="AC210" i="13" s="1"/>
  <c r="AC209" i="13" s="1"/>
  <c r="AF211" i="16"/>
  <c r="AF210" i="16" s="1"/>
  <c r="AF209" i="16" s="1"/>
  <c r="AC211" i="16"/>
  <c r="AC210" i="16" s="1"/>
  <c r="AC209" i="16" s="1"/>
  <c r="AC211" i="8"/>
  <c r="AC210" i="8" s="1"/>
  <c r="AC209" i="8" s="1"/>
  <c r="AF211" i="8"/>
  <c r="AF210" i="8" s="1"/>
  <c r="AF209" i="8" s="1"/>
  <c r="AF211" i="9"/>
  <c r="AF210" i="9" s="1"/>
  <c r="AF209" i="9" s="1"/>
  <c r="AC211" i="9"/>
  <c r="AC210" i="9" s="1"/>
  <c r="AC209" i="9" s="1"/>
  <c r="AF211" i="11"/>
  <c r="AF210" i="11" s="1"/>
  <c r="AF209" i="11" s="1"/>
  <c r="BQ27" i="11" s="1"/>
  <c r="L50" i="20" s="1"/>
  <c r="AC211" i="11"/>
  <c r="AC210" i="11" s="1"/>
  <c r="AC209" i="11" s="1"/>
  <c r="AF211" i="14"/>
  <c r="AF210" i="14" s="1"/>
  <c r="AF209" i="14" s="1"/>
  <c r="AC211" i="14"/>
  <c r="AC210" i="14" s="1"/>
  <c r="AC209" i="14" s="1"/>
  <c r="AF211" i="15"/>
  <c r="AF210" i="15" s="1"/>
  <c r="AF209" i="15" s="1"/>
  <c r="BQ27" i="15" s="1"/>
  <c r="P50" i="20" s="1"/>
  <c r="AC211" i="15"/>
  <c r="AC210" i="15" s="1"/>
  <c r="AC209" i="15" s="1"/>
  <c r="AF205" i="8"/>
  <c r="AC205" i="8"/>
  <c r="AF205" i="11"/>
  <c r="AC205" i="11"/>
  <c r="AF205" i="12"/>
  <c r="AC205" i="12"/>
  <c r="AF205" i="15"/>
  <c r="AC205" i="15"/>
  <c r="AF205" i="9"/>
  <c r="AC205" i="9"/>
  <c r="AF205" i="10"/>
  <c r="AC205" i="10"/>
  <c r="AF205" i="13"/>
  <c r="AC205" i="13"/>
  <c r="AF205" i="14"/>
  <c r="AC205" i="14"/>
  <c r="AF205" i="16"/>
  <c r="AC205" i="16"/>
  <c r="AC197" i="8"/>
  <c r="AC197" i="10"/>
  <c r="AC196" i="10" s="1"/>
  <c r="AC195" i="10" s="1"/>
  <c r="AC197" i="13"/>
  <c r="AC197" i="15"/>
  <c r="BP26" i="5"/>
  <c r="BQ26" i="5"/>
  <c r="AC197" i="11"/>
  <c r="AC197" i="9"/>
  <c r="AC197" i="12"/>
  <c r="AC197" i="14"/>
  <c r="AC196" i="14" s="1"/>
  <c r="AC195" i="14" s="1"/>
  <c r="AC197" i="16"/>
  <c r="AF187" i="8"/>
  <c r="AF185" i="8" s="1"/>
  <c r="AC187" i="8"/>
  <c r="AC185" i="8" s="1"/>
  <c r="AF187" i="9"/>
  <c r="AF185" i="9" s="1"/>
  <c r="AC187" i="9"/>
  <c r="AC185" i="9" s="1"/>
  <c r="AF187" i="16"/>
  <c r="AF185" i="16" s="1"/>
  <c r="AC187" i="16"/>
  <c r="AC185" i="16" s="1"/>
  <c r="AF187" i="10"/>
  <c r="AF185" i="10" s="1"/>
  <c r="AC187" i="10"/>
  <c r="AC185" i="10" s="1"/>
  <c r="AF187" i="11"/>
  <c r="AF185" i="11" s="1"/>
  <c r="AC187" i="11"/>
  <c r="AC185" i="11" s="1"/>
  <c r="AF187" i="12"/>
  <c r="AF185" i="12" s="1"/>
  <c r="AC187" i="12"/>
  <c r="AC185" i="12" s="1"/>
  <c r="AF187" i="13"/>
  <c r="AF185" i="13" s="1"/>
  <c r="AC187" i="13"/>
  <c r="AC185" i="13" s="1"/>
  <c r="AF187" i="14"/>
  <c r="AF185" i="14" s="1"/>
  <c r="AC187" i="14"/>
  <c r="AC185" i="14" s="1"/>
  <c r="AF187" i="15"/>
  <c r="AF185" i="15" s="1"/>
  <c r="AC187" i="15"/>
  <c r="AC185" i="15" s="1"/>
  <c r="AC176" i="14"/>
  <c r="BP23" i="5"/>
  <c r="BQ23" i="5"/>
  <c r="F46" i="20" s="1"/>
  <c r="AC176" i="13"/>
  <c r="AC176" i="15"/>
  <c r="AC176" i="9"/>
  <c r="AC176" i="11"/>
  <c r="AC176" i="12"/>
  <c r="AC176" i="16"/>
  <c r="AC176" i="8"/>
  <c r="AC176" i="10"/>
  <c r="AF172" i="8"/>
  <c r="AC172" i="8"/>
  <c r="AF172" i="9"/>
  <c r="AC172" i="9"/>
  <c r="AF172" i="10"/>
  <c r="AC172" i="10"/>
  <c r="AF172" i="11"/>
  <c r="AC172" i="11"/>
  <c r="AF172" i="12"/>
  <c r="AC172" i="12"/>
  <c r="AF172" i="13"/>
  <c r="AC172" i="13"/>
  <c r="AF172" i="14"/>
  <c r="AC172" i="14"/>
  <c r="AF172" i="15"/>
  <c r="AC172" i="15"/>
  <c r="AF172" i="16"/>
  <c r="AC172" i="16"/>
  <c r="AC155" i="8"/>
  <c r="AC155" i="9"/>
  <c r="AF155" i="11"/>
  <c r="AC155" i="11"/>
  <c r="AF155" i="12"/>
  <c r="AC155" i="12"/>
  <c r="AC155" i="13"/>
  <c r="AC155" i="14"/>
  <c r="AF155" i="15"/>
  <c r="AC155" i="15"/>
  <c r="AF155" i="16"/>
  <c r="AF149" i="8"/>
  <c r="AF147" i="8" s="1"/>
  <c r="AC149" i="8"/>
  <c r="AC147" i="8" s="1"/>
  <c r="AF149" i="9"/>
  <c r="AF147" i="9" s="1"/>
  <c r="AC149" i="9"/>
  <c r="AC147" i="9" s="1"/>
  <c r="AF149" i="10"/>
  <c r="AF147" i="10" s="1"/>
  <c r="AC149" i="10"/>
  <c r="AC147" i="10" s="1"/>
  <c r="AF149" i="11"/>
  <c r="AF147" i="11" s="1"/>
  <c r="AC149" i="11"/>
  <c r="AC147" i="11" s="1"/>
  <c r="AF149" i="12"/>
  <c r="AF147" i="12" s="1"/>
  <c r="AC149" i="12"/>
  <c r="AC147" i="12" s="1"/>
  <c r="AF149" i="13"/>
  <c r="AF147" i="13" s="1"/>
  <c r="AC149" i="13"/>
  <c r="AC147" i="13" s="1"/>
  <c r="AF149" i="14"/>
  <c r="AF147" i="14" s="1"/>
  <c r="AC149" i="14"/>
  <c r="AC147" i="14" s="1"/>
  <c r="AF149" i="15"/>
  <c r="AC149" i="15"/>
  <c r="AC147" i="15" s="1"/>
  <c r="AF149" i="16"/>
  <c r="AF147" i="16" s="1"/>
  <c r="AC149" i="16"/>
  <c r="AC147" i="16" s="1"/>
  <c r="AF147" i="15"/>
  <c r="BQ18" i="5"/>
  <c r="F41" i="20" s="1"/>
  <c r="BP18" i="5"/>
  <c r="BQ20" i="5"/>
  <c r="AF141" i="8"/>
  <c r="AC141" i="8"/>
  <c r="AF141" i="9"/>
  <c r="BQ20" i="9" s="1"/>
  <c r="J43" i="20" s="1"/>
  <c r="AC141" i="9"/>
  <c r="AF141" i="10"/>
  <c r="BQ20" i="10" s="1"/>
  <c r="K43" i="20" s="1"/>
  <c r="AC141" i="10"/>
  <c r="AF141" i="11"/>
  <c r="BQ20" i="11" s="1"/>
  <c r="L43" i="20" s="1"/>
  <c r="AC141" i="11"/>
  <c r="AF141" i="15"/>
  <c r="BQ20" i="15" s="1"/>
  <c r="P43" i="20" s="1"/>
  <c r="AC141" i="15"/>
  <c r="AF141" i="16"/>
  <c r="BQ20" i="16" s="1"/>
  <c r="Q43" i="20" s="1"/>
  <c r="AC141" i="16"/>
  <c r="AF141" i="12"/>
  <c r="BQ20" i="12" s="1"/>
  <c r="AC141" i="12"/>
  <c r="AF141" i="13"/>
  <c r="BQ20" i="13" s="1"/>
  <c r="N43" i="20" s="1"/>
  <c r="AC141" i="13"/>
  <c r="AF141" i="14"/>
  <c r="BQ20" i="14" s="1"/>
  <c r="O43" i="20" s="1"/>
  <c r="AC141" i="14"/>
  <c r="AF123" i="10"/>
  <c r="AC123" i="10"/>
  <c r="AF123" i="11"/>
  <c r="BQ17" i="11" s="1"/>
  <c r="L40" i="20" s="1"/>
  <c r="AC123" i="11"/>
  <c r="AF123" i="12"/>
  <c r="AC123" i="12"/>
  <c r="AF123" i="13"/>
  <c r="AC123" i="13"/>
  <c r="AF123" i="14"/>
  <c r="AC123" i="14"/>
  <c r="AF123" i="15"/>
  <c r="AC123" i="15"/>
  <c r="AF123" i="16"/>
  <c r="AC123" i="16"/>
  <c r="AC114" i="8"/>
  <c r="AF114" i="8"/>
  <c r="AC114" i="10"/>
  <c r="AF114" i="10"/>
  <c r="AC114" i="12"/>
  <c r="AF114" i="12"/>
  <c r="BQ16" i="12" s="1"/>
  <c r="M39" i="20" s="1"/>
  <c r="AF114" i="9"/>
  <c r="AC114" i="9"/>
  <c r="AF114" i="11"/>
  <c r="AC114" i="11"/>
  <c r="AF114" i="13"/>
  <c r="AC114" i="13"/>
  <c r="AF114" i="15"/>
  <c r="AC114" i="15"/>
  <c r="AF114" i="14"/>
  <c r="AC114" i="14"/>
  <c r="AF114" i="16"/>
  <c r="AC114" i="16"/>
  <c r="AC105" i="11"/>
  <c r="AC104" i="11" s="1"/>
  <c r="Z105" i="8"/>
  <c r="Z104" i="8" s="1"/>
  <c r="Z105" i="10"/>
  <c r="Z104" i="10" s="1"/>
  <c r="Z105" i="12"/>
  <c r="Z104" i="12" s="1"/>
  <c r="Z105" i="16"/>
  <c r="Z104" i="16" s="1"/>
  <c r="AC105" i="14"/>
  <c r="AC104" i="14" s="1"/>
  <c r="AC105" i="9"/>
  <c r="AC104" i="9" s="1"/>
  <c r="AC105" i="13"/>
  <c r="AC104" i="13" s="1"/>
  <c r="AC105" i="15"/>
  <c r="AC104" i="15" s="1"/>
  <c r="Z105" i="13"/>
  <c r="Z104" i="13" s="1"/>
  <c r="Z105" i="11"/>
  <c r="Z104" i="11" s="1"/>
  <c r="AC96" i="11"/>
  <c r="AC96" i="12"/>
  <c r="AC96" i="8"/>
  <c r="AC96" i="9"/>
  <c r="AC96" i="10"/>
  <c r="AC96" i="13"/>
  <c r="AC96" i="14"/>
  <c r="AC96" i="15"/>
  <c r="AC96" i="16"/>
  <c r="AC91" i="8"/>
  <c r="AC91" i="9"/>
  <c r="AC91" i="10"/>
  <c r="AC90" i="10" s="1"/>
  <c r="AC91" i="11"/>
  <c r="AC91" i="12"/>
  <c r="AC91" i="13"/>
  <c r="AC91" i="14"/>
  <c r="AC91" i="16"/>
  <c r="AC91" i="15"/>
  <c r="AF83" i="12"/>
  <c r="AC83" i="12"/>
  <c r="AF83" i="14"/>
  <c r="AC83" i="14"/>
  <c r="AF83" i="9"/>
  <c r="AC83" i="9"/>
  <c r="AF83" i="11"/>
  <c r="AC83" i="11"/>
  <c r="AF83" i="13"/>
  <c r="AC83" i="13"/>
  <c r="AF83" i="15"/>
  <c r="AC83" i="15"/>
  <c r="AF83" i="8"/>
  <c r="AC83" i="8"/>
  <c r="AF83" i="10"/>
  <c r="AC83" i="10"/>
  <c r="AC83" i="16"/>
  <c r="AF83" i="16"/>
  <c r="AC69" i="16"/>
  <c r="AC65" i="16" s="1"/>
  <c r="AC69" i="8"/>
  <c r="AC65" i="8" s="1"/>
  <c r="AC69" i="9"/>
  <c r="AC65" i="9" s="1"/>
  <c r="AC69" i="10"/>
  <c r="AC65" i="10" s="1"/>
  <c r="AC69" i="11"/>
  <c r="AC65" i="11" s="1"/>
  <c r="AC69" i="12"/>
  <c r="AC65" i="12" s="1"/>
  <c r="AC69" i="13"/>
  <c r="AC65" i="13" s="1"/>
  <c r="AC69" i="14"/>
  <c r="AC65" i="14" s="1"/>
  <c r="AC69" i="15"/>
  <c r="AC65" i="15" s="1"/>
  <c r="AC58" i="16"/>
  <c r="AC57" i="16" s="1"/>
  <c r="AC58" i="12"/>
  <c r="AC57" i="12" s="1"/>
  <c r="AC58" i="13"/>
  <c r="AC57" i="13" s="1"/>
  <c r="AC58" i="8"/>
  <c r="AC57" i="8" s="1"/>
  <c r="AC58" i="9"/>
  <c r="AC57" i="9" s="1"/>
  <c r="AC58" i="10"/>
  <c r="AC57" i="10" s="1"/>
  <c r="AC58" i="11"/>
  <c r="AC57" i="11" s="1"/>
  <c r="AC58" i="14"/>
  <c r="AC57" i="14" s="1"/>
  <c r="AC58" i="15"/>
  <c r="AC57" i="15" s="1"/>
  <c r="AC49" i="9"/>
  <c r="AC49" i="11"/>
  <c r="AC49" i="13"/>
  <c r="AC49" i="8"/>
  <c r="AC49" i="10"/>
  <c r="AC49" i="12"/>
  <c r="AC49" i="14"/>
  <c r="AC49" i="15"/>
  <c r="AC49" i="16"/>
  <c r="AC44" i="8"/>
  <c r="AC44" i="9"/>
  <c r="AC44" i="10"/>
  <c r="AC44" i="11"/>
  <c r="AC44" i="12"/>
  <c r="AC44" i="15"/>
  <c r="AC44" i="16"/>
  <c r="AC44" i="13"/>
  <c r="AC44" i="14"/>
  <c r="AC43" i="14" s="1"/>
  <c r="AF35" i="8"/>
  <c r="AC35" i="8"/>
  <c r="AF35" i="9"/>
  <c r="BQ14" i="9" s="1"/>
  <c r="J37" i="20" s="1"/>
  <c r="AC35" i="9"/>
  <c r="AF35" i="10"/>
  <c r="BQ14" i="10" s="1"/>
  <c r="K37" i="20" s="1"/>
  <c r="AC35" i="10"/>
  <c r="AF35" i="11"/>
  <c r="AC35" i="11"/>
  <c r="AF35" i="12"/>
  <c r="AC35" i="12"/>
  <c r="AF35" i="13"/>
  <c r="AC35" i="13"/>
  <c r="AF35" i="14"/>
  <c r="BQ14" i="14" s="1"/>
  <c r="O37" i="20" s="1"/>
  <c r="AC35" i="14"/>
  <c r="AF35" i="15"/>
  <c r="AC35" i="15"/>
  <c r="AF35" i="16"/>
  <c r="AC35" i="16"/>
  <c r="BQ31" i="5"/>
  <c r="F54" i="20" s="1"/>
  <c r="BP11" i="5"/>
  <c r="O23" i="20"/>
  <c r="H23" i="20"/>
  <c r="J23" i="20"/>
  <c r="M23" i="20"/>
  <c r="N23" i="20"/>
  <c r="P23" i="20"/>
  <c r="G23" i="20"/>
  <c r="I23" i="20"/>
  <c r="L23" i="20"/>
  <c r="Q23" i="20"/>
  <c r="K23" i="20"/>
  <c r="AS12" i="5"/>
  <c r="AX12" i="5"/>
  <c r="K22" i="20"/>
  <c r="O22" i="20"/>
  <c r="Q22" i="20"/>
  <c r="AX13" i="5"/>
  <c r="AS13" i="5"/>
  <c r="AX11" i="5"/>
  <c r="AS11" i="5"/>
  <c r="J22" i="20"/>
  <c r="L22" i="20"/>
  <c r="P22" i="20"/>
  <c r="G22" i="20"/>
  <c r="I22" i="20"/>
  <c r="BE14" i="7"/>
  <c r="BE14" i="12"/>
  <c r="M14" i="20" s="1"/>
  <c r="BE14" i="13"/>
  <c r="N14" i="20" s="1"/>
  <c r="BE14" i="16"/>
  <c r="Q14" i="20" s="1"/>
  <c r="BE14" i="6"/>
  <c r="G14" i="20" s="1"/>
  <c r="BE14" i="8"/>
  <c r="I14" i="20" s="1"/>
  <c r="BE14" i="9"/>
  <c r="J14" i="20" s="1"/>
  <c r="BE14" i="10"/>
  <c r="K14" i="20" s="1"/>
  <c r="BE14" i="11"/>
  <c r="BE14" i="14"/>
  <c r="O14" i="20" s="1"/>
  <c r="BE14" i="15"/>
  <c r="P14" i="20" s="1"/>
  <c r="K17" i="20"/>
  <c r="O17" i="20"/>
  <c r="G17" i="20"/>
  <c r="H17" i="20"/>
  <c r="J17" i="20"/>
  <c r="L17" i="20"/>
  <c r="N17" i="20"/>
  <c r="P17" i="20"/>
  <c r="Q17" i="20"/>
  <c r="BE15" i="7"/>
  <c r="H15" i="20" s="1"/>
  <c r="BE15" i="8"/>
  <c r="I15" i="20" s="1"/>
  <c r="BE15" i="9"/>
  <c r="J15" i="20" s="1"/>
  <c r="BE15" i="13"/>
  <c r="N15" i="20" s="1"/>
  <c r="BE15" i="14"/>
  <c r="O15" i="20" s="1"/>
  <c r="BE15" i="15"/>
  <c r="P15" i="20" s="1"/>
  <c r="BE15" i="10"/>
  <c r="K15" i="20" s="1"/>
  <c r="BE15" i="11"/>
  <c r="L15" i="20" s="1"/>
  <c r="BE15" i="12"/>
  <c r="M15" i="20" s="1"/>
  <c r="BE15" i="16"/>
  <c r="Q15" i="20" s="1"/>
  <c r="BE15" i="6"/>
  <c r="G15" i="20" s="1"/>
  <c r="BE16" i="8"/>
  <c r="I16" i="20" s="1"/>
  <c r="BE16" i="9"/>
  <c r="J16" i="20" s="1"/>
  <c r="BE16" i="10"/>
  <c r="K16" i="20" s="1"/>
  <c r="BE16" i="11"/>
  <c r="L16" i="20" s="1"/>
  <c r="BE16" i="12"/>
  <c r="M16" i="20" s="1"/>
  <c r="BE16" i="13"/>
  <c r="N16" i="20" s="1"/>
  <c r="BE16" i="14"/>
  <c r="O16" i="20" s="1"/>
  <c r="BE16" i="15"/>
  <c r="P16" i="20" s="1"/>
  <c r="BE16" i="16"/>
  <c r="Q16" i="20" s="1"/>
  <c r="BE16" i="6"/>
  <c r="G16" i="20" s="1"/>
  <c r="BE16" i="7"/>
  <c r="H16" i="20" s="1"/>
  <c r="AS10" i="5"/>
  <c r="AX10" i="5"/>
  <c r="BE13" i="7"/>
  <c r="H13" i="20" s="1"/>
  <c r="BE13" i="8"/>
  <c r="I13" i="20" s="1"/>
  <c r="BE13" i="9"/>
  <c r="J13" i="20" s="1"/>
  <c r="BE13" i="10"/>
  <c r="K13" i="20" s="1"/>
  <c r="BE13" i="11"/>
  <c r="L13" i="20" s="1"/>
  <c r="BE13" i="12"/>
  <c r="M13" i="20" s="1"/>
  <c r="BE13" i="13"/>
  <c r="N13" i="20" s="1"/>
  <c r="BE13" i="14"/>
  <c r="O13" i="20" s="1"/>
  <c r="BE13" i="15"/>
  <c r="P13" i="20" s="1"/>
  <c r="BE13" i="16"/>
  <c r="Q13" i="20" s="1"/>
  <c r="G13" i="20"/>
  <c r="AX9" i="5"/>
  <c r="BE11" i="7"/>
  <c r="H11" i="20" s="1"/>
  <c r="BE11" i="8"/>
  <c r="I11" i="20" s="1"/>
  <c r="BE11" i="9"/>
  <c r="J11" i="20" s="1"/>
  <c r="BE11" i="10"/>
  <c r="K11" i="20" s="1"/>
  <c r="BE11" i="11"/>
  <c r="L11" i="20" s="1"/>
  <c r="BE11" i="12"/>
  <c r="M11" i="20" s="1"/>
  <c r="BE11" i="13"/>
  <c r="N11" i="20" s="1"/>
  <c r="BE11" i="14"/>
  <c r="O11" i="20" s="1"/>
  <c r="BE11" i="15"/>
  <c r="P11" i="20" s="1"/>
  <c r="BE11" i="16"/>
  <c r="Q11" i="20" s="1"/>
  <c r="BE11" i="6"/>
  <c r="G11" i="20" s="1"/>
  <c r="BE12" i="7"/>
  <c r="H12" i="20" s="1"/>
  <c r="BE12" i="8"/>
  <c r="I12" i="20" s="1"/>
  <c r="BE12" i="9"/>
  <c r="J12" i="20" s="1"/>
  <c r="BE12" i="10"/>
  <c r="K12" i="20" s="1"/>
  <c r="BE12" i="11"/>
  <c r="L12" i="20" s="1"/>
  <c r="BE12" i="12"/>
  <c r="M12" i="20" s="1"/>
  <c r="BE12" i="13"/>
  <c r="N12" i="20" s="1"/>
  <c r="BE12" i="14"/>
  <c r="O12" i="20" s="1"/>
  <c r="BE12" i="15"/>
  <c r="P12" i="20" s="1"/>
  <c r="BE12" i="16"/>
  <c r="Q12" i="20" s="1"/>
  <c r="BE12" i="6"/>
  <c r="G12" i="20" s="1"/>
  <c r="AX7" i="5"/>
  <c r="F80" i="5"/>
  <c r="BD14" i="6"/>
  <c r="BD11" i="6"/>
  <c r="BQ26" i="16"/>
  <c r="Q49" i="20" s="1"/>
  <c r="AF197" i="16"/>
  <c r="BQ26" i="14"/>
  <c r="O49" i="20" s="1"/>
  <c r="AF197" i="14"/>
  <c r="BQ26" i="12"/>
  <c r="M49" i="20" s="1"/>
  <c r="AF197" i="12"/>
  <c r="AF197" i="15"/>
  <c r="BQ26" i="15"/>
  <c r="P49" i="20" s="1"/>
  <c r="AF197" i="13"/>
  <c r="BQ26" i="13"/>
  <c r="BQ26" i="7"/>
  <c r="H49" i="20" s="1"/>
  <c r="AF197" i="9"/>
  <c r="BQ26" i="9"/>
  <c r="AF197" i="11"/>
  <c r="BQ26" i="11"/>
  <c r="L49" i="20" s="1"/>
  <c r="BQ26" i="10"/>
  <c r="AF197" i="10"/>
  <c r="BQ26" i="8"/>
  <c r="I49" i="20" s="1"/>
  <c r="AF197" i="8"/>
  <c r="BQ26" i="6"/>
  <c r="G49" i="20" s="1"/>
  <c r="AF176" i="8"/>
  <c r="BQ23" i="8"/>
  <c r="I46" i="20" s="1"/>
  <c r="BQ23" i="12"/>
  <c r="AF176" i="12"/>
  <c r="BQ23" i="11"/>
  <c r="L46" i="20" s="1"/>
  <c r="AF176" i="11"/>
  <c r="BQ23" i="9"/>
  <c r="J46" i="20" s="1"/>
  <c r="AF176" i="9"/>
  <c r="BQ23" i="10"/>
  <c r="K46" i="20" s="1"/>
  <c r="AF176" i="10"/>
  <c r="AF176" i="16"/>
  <c r="BQ23" i="16"/>
  <c r="Q46" i="20" s="1"/>
  <c r="BQ23" i="15"/>
  <c r="P46" i="20" s="1"/>
  <c r="AF176" i="15"/>
  <c r="BQ23" i="13"/>
  <c r="N46" i="20" s="1"/>
  <c r="AF176" i="13"/>
  <c r="BQ23" i="7"/>
  <c r="AF176" i="14"/>
  <c r="BQ23" i="14"/>
  <c r="O46" i="20" s="1"/>
  <c r="AC105" i="10"/>
  <c r="AC104" i="10" s="1"/>
  <c r="AC105" i="16"/>
  <c r="AC104" i="16" s="1"/>
  <c r="AC105" i="12"/>
  <c r="AC104" i="12" s="1"/>
  <c r="AC105" i="8"/>
  <c r="AC104" i="8" s="1"/>
  <c r="BP11" i="6"/>
  <c r="AS22" i="5"/>
  <c r="AX22" i="5" s="1"/>
  <c r="F79" i="5"/>
  <c r="M79" i="5" s="1"/>
  <c r="BP26" i="6"/>
  <c r="BQ23" i="6"/>
  <c r="G46" i="20" s="1"/>
  <c r="BP23" i="6"/>
  <c r="AQ13" i="5"/>
  <c r="AX7" i="6"/>
  <c r="BD14" i="7"/>
  <c r="BD11" i="7"/>
  <c r="BC15" i="5"/>
  <c r="BC16" i="5"/>
  <c r="AS7" i="6"/>
  <c r="BP26" i="7"/>
  <c r="BP23" i="7"/>
  <c r="BD14" i="8"/>
  <c r="BD11" i="8"/>
  <c r="BP23" i="8"/>
  <c r="BD14" i="9"/>
  <c r="BD11" i="9"/>
  <c r="BP23" i="9"/>
  <c r="BD14" i="10"/>
  <c r="BP23" i="10"/>
  <c r="BD14" i="11"/>
  <c r="BD11" i="11"/>
  <c r="BD11" i="13"/>
  <c r="AR11" i="6"/>
  <c r="AW11" i="6"/>
  <c r="F22" i="20"/>
  <c r="BF18" i="7"/>
  <c r="AS11" i="6"/>
  <c r="AX11" i="6"/>
  <c r="AS12" i="6"/>
  <c r="AR12" i="6"/>
  <c r="AW12" i="6"/>
  <c r="AR10" i="6"/>
  <c r="AW13" i="6"/>
  <c r="BP23" i="11"/>
  <c r="BP11" i="7"/>
  <c r="BO27" i="5"/>
  <c r="BQ31" i="16"/>
  <c r="BQ31" i="14"/>
  <c r="BQ31" i="13"/>
  <c r="BQ31" i="11"/>
  <c r="L54" i="20" s="1"/>
  <c r="BQ31" i="7"/>
  <c r="BQ31" i="15"/>
  <c r="P54" i="20" s="1"/>
  <c r="BQ31" i="12"/>
  <c r="BQ31" i="10"/>
  <c r="K54" i="20" s="1"/>
  <c r="AF243" i="15"/>
  <c r="AF243" i="16"/>
  <c r="AF243" i="14"/>
  <c r="AF243" i="13"/>
  <c r="BD16" i="6"/>
  <c r="BD15" i="6"/>
  <c r="AR11" i="7"/>
  <c r="AW11" i="7"/>
  <c r="AQ11" i="5"/>
  <c r="AU11" i="5" s="1"/>
  <c r="BF19" i="7"/>
  <c r="BF19" i="10" s="1"/>
  <c r="AS10" i="6"/>
  <c r="AX12" i="7"/>
  <c r="AS12" i="7"/>
  <c r="AS11" i="7"/>
  <c r="AX11" i="7"/>
  <c r="AR12" i="7"/>
  <c r="AW12" i="7"/>
  <c r="AQ12" i="5"/>
  <c r="F80" i="6"/>
  <c r="BP11" i="8"/>
  <c r="AR11" i="8"/>
  <c r="AW11" i="8"/>
  <c r="AQ11" i="6"/>
  <c r="AQ13" i="7"/>
  <c r="AW12" i="8"/>
  <c r="AR12" i="8"/>
  <c r="AX11" i="8"/>
  <c r="AS11" i="8"/>
  <c r="AS12" i="8"/>
  <c r="BP11" i="9"/>
  <c r="BD16" i="7"/>
  <c r="AW11" i="9"/>
  <c r="AR11" i="9"/>
  <c r="AW12" i="9"/>
  <c r="AR12" i="9"/>
  <c r="AS12" i="9"/>
  <c r="AX12" i="9"/>
  <c r="AS11" i="9"/>
  <c r="AX11" i="9"/>
  <c r="AQ11" i="7"/>
  <c r="AQ12" i="7"/>
  <c r="F80" i="8"/>
  <c r="BP11" i="10"/>
  <c r="AS11" i="10"/>
  <c r="AX11" i="10"/>
  <c r="AX12" i="10"/>
  <c r="AS12" i="10"/>
  <c r="AQ12" i="9"/>
  <c r="AW12" i="10"/>
  <c r="AR12" i="10"/>
  <c r="F80" i="9"/>
  <c r="BP11" i="11"/>
  <c r="BD16" i="8"/>
  <c r="AW12" i="11"/>
  <c r="AR12" i="11"/>
  <c r="AQ13" i="10"/>
  <c r="AX12" i="11"/>
  <c r="AS12" i="11"/>
  <c r="AQ12" i="10"/>
  <c r="AS11" i="11"/>
  <c r="AX11" i="11"/>
  <c r="F80" i="10"/>
  <c r="BP11" i="12"/>
  <c r="AX11" i="12"/>
  <c r="AS11" i="12"/>
  <c r="AS12" i="12"/>
  <c r="AQ12" i="11"/>
  <c r="AW12" i="12"/>
  <c r="AR12" i="12"/>
  <c r="F80" i="11"/>
  <c r="BP11" i="13"/>
  <c r="BD16" i="9"/>
  <c r="AX11" i="13"/>
  <c r="AS11" i="13"/>
  <c r="AR12" i="13"/>
  <c r="AW12" i="13"/>
  <c r="AS12" i="13"/>
  <c r="F80" i="12"/>
  <c r="BP11" i="14"/>
  <c r="AS12" i="14"/>
  <c r="AW12" i="14"/>
  <c r="AR12" i="14"/>
  <c r="AS11" i="14"/>
  <c r="AX11" i="14"/>
  <c r="BP11" i="15"/>
  <c r="BD16" i="10"/>
  <c r="AS11" i="15"/>
  <c r="AX11" i="15"/>
  <c r="AR12" i="15"/>
  <c r="AW12" i="15"/>
  <c r="AS12" i="15"/>
  <c r="AX12" i="15"/>
  <c r="BP11" i="16"/>
  <c r="AW12" i="16"/>
  <c r="AR12" i="16"/>
  <c r="AX11" i="16"/>
  <c r="AS11" i="16"/>
  <c r="AS12" i="16"/>
  <c r="BD16" i="11"/>
  <c r="BD16" i="12"/>
  <c r="BD16" i="13"/>
  <c r="BD16" i="14"/>
  <c r="BD16" i="15"/>
  <c r="BD16" i="16"/>
  <c r="T59" i="8"/>
  <c r="T59" i="9" s="1"/>
  <c r="T59" i="10" s="1"/>
  <c r="T59" i="11" s="1"/>
  <c r="T59" i="12" s="1"/>
  <c r="T59" i="13" s="1"/>
  <c r="T59" i="14" s="1"/>
  <c r="T59" i="15" s="1"/>
  <c r="T59" i="16" s="1"/>
  <c r="BF20" i="7"/>
  <c r="BF20" i="10" s="1"/>
  <c r="AW19" i="11"/>
  <c r="AJ134" i="8"/>
  <c r="AI134" i="8"/>
  <c r="AH134" i="8"/>
  <c r="AI94" i="8"/>
  <c r="AH94" i="8"/>
  <c r="M82" i="8"/>
  <c r="N82" i="8"/>
  <c r="M58" i="8"/>
  <c r="N58" i="8"/>
  <c r="AH156" i="9"/>
  <c r="AH153" i="7"/>
  <c r="AI153" i="7"/>
  <c r="AI18" i="7"/>
  <c r="AH81" i="6"/>
  <c r="AJ81" i="6"/>
  <c r="N24" i="6"/>
  <c r="AI204" i="8"/>
  <c r="AH204" i="8"/>
  <c r="AH60" i="8"/>
  <c r="AJ60" i="8"/>
  <c r="AH153" i="9"/>
  <c r="AJ153" i="9"/>
  <c r="AH168" i="7"/>
  <c r="AI168" i="7"/>
  <c r="AJ168" i="7"/>
  <c r="AJ120" i="7"/>
  <c r="AH120" i="7"/>
  <c r="AI120" i="7"/>
  <c r="M82" i="6"/>
  <c r="N82" i="6"/>
  <c r="AI106" i="8"/>
  <c r="AH106" i="8"/>
  <c r="AI81" i="8"/>
  <c r="AH81" i="8"/>
  <c r="AJ81" i="8"/>
  <c r="AI130" i="9"/>
  <c r="AJ130" i="9"/>
  <c r="AF145" i="7"/>
  <c r="AI84" i="7"/>
  <c r="AJ84" i="7"/>
  <c r="AH31" i="7"/>
  <c r="AI31" i="7"/>
  <c r="AJ31" i="7"/>
  <c r="AH23" i="7"/>
  <c r="M82" i="7"/>
  <c r="N82" i="7"/>
  <c r="AH189" i="6"/>
  <c r="AI189" i="6"/>
  <c r="AH48" i="6"/>
  <c r="AI48" i="6"/>
  <c r="AJ48" i="6"/>
  <c r="AJ153" i="8"/>
  <c r="AI126" i="9"/>
  <c r="AH126" i="9"/>
  <c r="AJ81" i="9"/>
  <c r="AI81" i="9"/>
  <c r="AH81" i="9"/>
  <c r="AH116" i="7"/>
  <c r="AI116" i="7"/>
  <c r="AH81" i="7"/>
  <c r="AI81" i="7"/>
  <c r="AJ81" i="7"/>
  <c r="AJ61" i="13"/>
  <c r="AI61" i="13"/>
  <c r="AH153" i="10"/>
  <c r="AJ117" i="11"/>
  <c r="AH45" i="12"/>
  <c r="AI250" i="15"/>
  <c r="AI204" i="15"/>
  <c r="AE179" i="12"/>
  <c r="AG179" i="12" s="1"/>
  <c r="AE179" i="13" s="1"/>
  <c r="AG179" i="13" s="1"/>
  <c r="AE179" i="14" s="1"/>
  <c r="AG179" i="14" s="1"/>
  <c r="AG174" i="10"/>
  <c r="AH81" i="10"/>
  <c r="AJ61" i="12"/>
  <c r="AI61" i="12"/>
  <c r="N10" i="18"/>
  <c r="Y205" i="16"/>
  <c r="AA206" i="16"/>
  <c r="AA205" i="16" s="1"/>
  <c r="AA212" i="16"/>
  <c r="AA228" i="16"/>
  <c r="X255" i="16"/>
  <c r="X236" i="16"/>
  <c r="BE3" i="15"/>
  <c r="BK3" i="15" s="1"/>
  <c r="BQ3" i="15" s="1"/>
  <c r="BN5" i="15" s="1"/>
  <c r="BC5" i="9"/>
  <c r="AW4" i="9"/>
  <c r="BH5" i="11"/>
  <c r="BH5" i="13"/>
  <c r="AW4" i="13"/>
  <c r="AW19" i="13"/>
  <c r="BH5" i="7"/>
  <c r="BC5" i="7"/>
  <c r="M22" i="20"/>
  <c r="L14" i="20"/>
  <c r="AJ45" i="11"/>
  <c r="AI161" i="11"/>
  <c r="AH45" i="11"/>
  <c r="AI28" i="12"/>
  <c r="AJ28" i="12"/>
  <c r="AH24" i="12"/>
  <c r="AI24" i="12"/>
  <c r="AJ24" i="12"/>
  <c r="AI19" i="12"/>
  <c r="AJ19" i="12"/>
  <c r="AH19" i="12"/>
  <c r="AH84" i="11"/>
  <c r="AJ54" i="12"/>
  <c r="AH54" i="12"/>
  <c r="AE151" i="14"/>
  <c r="AG151" i="14" s="1"/>
  <c r="AE85" i="14"/>
  <c r="AG85" i="14" s="1"/>
  <c r="AE51" i="14"/>
  <c r="AG51" i="14" s="1"/>
  <c r="AG50" i="13"/>
  <c r="AE50" i="14" s="1"/>
  <c r="AG50" i="14" s="1"/>
  <c r="AE50" i="15" s="1"/>
  <c r="AG50" i="15" s="1"/>
  <c r="AE48" i="14"/>
  <c r="AG48" i="14" s="1"/>
  <c r="AE136" i="14"/>
  <c r="AG136" i="14" s="1"/>
  <c r="AE135" i="14"/>
  <c r="AG135" i="14" s="1"/>
  <c r="AE108" i="14"/>
  <c r="AG108" i="14" s="1"/>
  <c r="AE108" i="15" s="1"/>
  <c r="AG108" i="15" s="1"/>
  <c r="AE107" i="14"/>
  <c r="AG107" i="14" s="1"/>
  <c r="AJ107" i="13"/>
  <c r="AG84" i="13"/>
  <c r="AE77" i="14"/>
  <c r="AG77" i="14" s="1"/>
  <c r="AE29" i="14"/>
  <c r="AG29" i="14" s="1"/>
  <c r="AE29" i="15" s="1"/>
  <c r="AG29" i="15" s="1"/>
  <c r="AE25" i="14"/>
  <c r="AG25" i="14" s="1"/>
  <c r="AG21" i="13"/>
  <c r="AE118" i="14"/>
  <c r="AG118" i="14" s="1"/>
  <c r="AE97" i="14"/>
  <c r="AG97" i="14" s="1"/>
  <c r="AE81" i="14"/>
  <c r="AG81" i="14" s="1"/>
  <c r="AE75" i="14"/>
  <c r="AG75" i="14" s="1"/>
  <c r="AE75" i="15" s="1"/>
  <c r="AG75" i="15" s="1"/>
  <c r="AE75" i="16" s="1"/>
  <c r="AG75" i="16" s="1"/>
  <c r="AG45" i="13"/>
  <c r="AE139" i="14"/>
  <c r="AG139" i="14" s="1"/>
  <c r="AJ139" i="13"/>
  <c r="AE121" i="14"/>
  <c r="AG121" i="14" s="1"/>
  <c r="AJ121" i="13"/>
  <c r="AE66" i="15"/>
  <c r="AG66" i="15" s="1"/>
  <c r="AE31" i="14"/>
  <c r="AG31" i="14" s="1"/>
  <c r="L58" i="16"/>
  <c r="L82" i="16"/>
  <c r="X250" i="16"/>
  <c r="X186" i="12"/>
  <c r="C42" i="12"/>
  <c r="AJ78" i="13"/>
  <c r="AG131" i="13"/>
  <c r="AJ131" i="13" s="1"/>
  <c r="AE78" i="15"/>
  <c r="AG78" i="15" s="1"/>
  <c r="AE78" i="16" s="1"/>
  <c r="AG78" i="16" s="1"/>
  <c r="AE74" i="15"/>
  <c r="AG74" i="15" s="1"/>
  <c r="AE38" i="15"/>
  <c r="AG38" i="15" s="1"/>
  <c r="AE28" i="14"/>
  <c r="AG28" i="14" s="1"/>
  <c r="AJ28" i="13"/>
  <c r="AE19" i="14"/>
  <c r="AG19" i="14" s="1"/>
  <c r="AE19" i="15" s="1"/>
  <c r="AG19" i="15" s="1"/>
  <c r="AJ19" i="13"/>
  <c r="AB253" i="15"/>
  <c r="AD253" i="15" s="1"/>
  <c r="AD251" i="13"/>
  <c r="AB251" i="14" s="1"/>
  <c r="AD251" i="14" s="1"/>
  <c r="AB217" i="15"/>
  <c r="AD217" i="15" s="1"/>
  <c r="AI217" i="14"/>
  <c r="AB125" i="16"/>
  <c r="AD125" i="16" s="1"/>
  <c r="AB98" i="13"/>
  <c r="AB86" i="14"/>
  <c r="AD86" i="14" s="1"/>
  <c r="AB76" i="13"/>
  <c r="AD76" i="13" s="1"/>
  <c r="AA251" i="14"/>
  <c r="Y251" i="15" s="1"/>
  <c r="AA249" i="15"/>
  <c r="Y249" i="16" s="1"/>
  <c r="AA249" i="16" s="1"/>
  <c r="Y174" i="15"/>
  <c r="AA174" i="15" s="1"/>
  <c r="Y174" i="16" s="1"/>
  <c r="AA151" i="14"/>
  <c r="Y151" i="15" s="1"/>
  <c r="I10" i="18"/>
  <c r="Y79" i="16"/>
  <c r="AA79" i="16" s="1"/>
  <c r="Y53" i="13"/>
  <c r="Y50" i="13"/>
  <c r="AA50" i="13" s="1"/>
  <c r="G53" i="16"/>
  <c r="I53" i="16" s="1"/>
  <c r="G26" i="15"/>
  <c r="W225" i="16"/>
  <c r="W224" i="15"/>
  <c r="W224" i="16" s="1"/>
  <c r="W190" i="14"/>
  <c r="X190" i="13"/>
  <c r="W183" i="15"/>
  <c r="X183" i="14"/>
  <c r="AI183" i="14" s="1"/>
  <c r="W174" i="13"/>
  <c r="W174" i="14" s="1"/>
  <c r="W174" i="15" s="1"/>
  <c r="W172" i="12"/>
  <c r="W162" i="13"/>
  <c r="W162" i="14" s="1"/>
  <c r="W138" i="15"/>
  <c r="X138" i="14"/>
  <c r="AH138" i="14" s="1"/>
  <c r="W132" i="14"/>
  <c r="X132" i="14" s="1"/>
  <c r="AJ132" i="14" s="1"/>
  <c r="X132" i="13"/>
  <c r="W131" i="16"/>
  <c r="X131" i="16" s="1"/>
  <c r="X131" i="15"/>
  <c r="AI254" i="12"/>
  <c r="AI246" i="12"/>
  <c r="AH183" i="12"/>
  <c r="AI183" i="12"/>
  <c r="AI204" i="13"/>
  <c r="AE166" i="15"/>
  <c r="AG166" i="15" s="1"/>
  <c r="AE120" i="15"/>
  <c r="AG120" i="15" s="1"/>
  <c r="AE79" i="13"/>
  <c r="AG79" i="13" s="1"/>
  <c r="AE79" i="14" s="1"/>
  <c r="AG79" i="14" s="1"/>
  <c r="AE33" i="15"/>
  <c r="AG33" i="15" s="1"/>
  <c r="AI165" i="12"/>
  <c r="C75" i="12"/>
  <c r="C51" i="12"/>
  <c r="AE117" i="13"/>
  <c r="AG117" i="13" s="1"/>
  <c r="AE100" i="14"/>
  <c r="AG100" i="14" s="1"/>
  <c r="AJ100" i="13"/>
  <c r="AE54" i="14"/>
  <c r="AG54" i="14" s="1"/>
  <c r="AE32" i="14"/>
  <c r="AG32" i="14" s="1"/>
  <c r="AJ32" i="13"/>
  <c r="AE24" i="14"/>
  <c r="AG24" i="14" s="1"/>
  <c r="AE24" i="15" s="1"/>
  <c r="AG24" i="15" s="1"/>
  <c r="AB165" i="16"/>
  <c r="AD165" i="16" s="1"/>
  <c r="AB130" i="14"/>
  <c r="AB126" i="16"/>
  <c r="AD126" i="16" s="1"/>
  <c r="AI161" i="12"/>
  <c r="AI38" i="12"/>
  <c r="AI240" i="12"/>
  <c r="X236" i="12"/>
  <c r="X162" i="12"/>
  <c r="AH162" i="12" s="1"/>
  <c r="AJ117" i="12"/>
  <c r="X224" i="13"/>
  <c r="AH224" i="13" s="1"/>
  <c r="AG168" i="15"/>
  <c r="AE168" i="16" s="1"/>
  <c r="AG168" i="16" s="1"/>
  <c r="AG165" i="12"/>
  <c r="AG150" i="14"/>
  <c r="AE150" i="15" s="1"/>
  <c r="AG150" i="15" s="1"/>
  <c r="AE130" i="14"/>
  <c r="AG130" i="14" s="1"/>
  <c r="AE88" i="14"/>
  <c r="AG88" i="14" s="1"/>
  <c r="AE61" i="15"/>
  <c r="AG61" i="15" s="1"/>
  <c r="AE61" i="16" s="1"/>
  <c r="AG61" i="16" s="1"/>
  <c r="AE39" i="15"/>
  <c r="AG39" i="15" s="1"/>
  <c r="AI28" i="15"/>
  <c r="AB254" i="16"/>
  <c r="AD254" i="16" s="1"/>
  <c r="AI254" i="15"/>
  <c r="AB249" i="16"/>
  <c r="AD249" i="16" s="1"/>
  <c r="AB246" i="16"/>
  <c r="AD246" i="16" s="1"/>
  <c r="AI246" i="15"/>
  <c r="AD212" i="14"/>
  <c r="AB212" i="15" s="1"/>
  <c r="AD212" i="15" s="1"/>
  <c r="AB212" i="16" s="1"/>
  <c r="AD212" i="16" s="1"/>
  <c r="AB203" i="16"/>
  <c r="AD203" i="16" s="1"/>
  <c r="AB182" i="16"/>
  <c r="AD182" i="16" s="1"/>
  <c r="AB99" i="16"/>
  <c r="AD99" i="16" s="1"/>
  <c r="AB87" i="16"/>
  <c r="AD87" i="16" s="1"/>
  <c r="AD74" i="14"/>
  <c r="AB230" i="16"/>
  <c r="AD230" i="16" s="1"/>
  <c r="AB179" i="16"/>
  <c r="AD179" i="16" s="1"/>
  <c r="AB137" i="16"/>
  <c r="AD137" i="16" s="1"/>
  <c r="AB129" i="16"/>
  <c r="AD129" i="16" s="1"/>
  <c r="AB102" i="16"/>
  <c r="AD102" i="16" s="1"/>
  <c r="AD93" i="14"/>
  <c r="AB31" i="16"/>
  <c r="J46" i="15"/>
  <c r="AI240" i="15"/>
  <c r="AB240" i="16"/>
  <c r="AD240" i="16" s="1"/>
  <c r="AD168" i="14"/>
  <c r="AB161" i="16"/>
  <c r="AD161" i="16" s="1"/>
  <c r="AI161" i="15"/>
  <c r="AI139" i="15"/>
  <c r="AB115" i="16"/>
  <c r="AD115" i="16" s="1"/>
  <c r="AD106" i="15"/>
  <c r="AB106" i="16" s="1"/>
  <c r="AD81" i="15"/>
  <c r="AB81" i="16" s="1"/>
  <c r="AD81" i="16" s="1"/>
  <c r="AI78" i="15"/>
  <c r="AD38" i="14"/>
  <c r="AB38" i="15" s="1"/>
  <c r="I82" i="16"/>
  <c r="X251" i="16"/>
  <c r="X137" i="16"/>
  <c r="AH137" i="16" s="1"/>
  <c r="X108" i="16"/>
  <c r="AB256" i="16"/>
  <c r="AD256" i="16" s="1"/>
  <c r="Z145" i="16" l="1"/>
  <c r="BQ17" i="15"/>
  <c r="P40" i="20" s="1"/>
  <c r="AF43" i="15"/>
  <c r="BQ14" i="15"/>
  <c r="P37" i="20" s="1"/>
  <c r="X127" i="15"/>
  <c r="AL196" i="14"/>
  <c r="AL195" i="14" s="1"/>
  <c r="Z145" i="13"/>
  <c r="AI70" i="13"/>
  <c r="Z43" i="12"/>
  <c r="AF220" i="13"/>
  <c r="BQ30" i="13" s="1"/>
  <c r="BK14" i="13" s="1"/>
  <c r="X200" i="16"/>
  <c r="AJ84" i="13"/>
  <c r="AL196" i="12"/>
  <c r="AL195" i="12" s="1"/>
  <c r="AC232" i="11"/>
  <c r="AC145" i="11"/>
  <c r="BR19" i="16"/>
  <c r="BQ14" i="11"/>
  <c r="AF43" i="11"/>
  <c r="AI54" i="12"/>
  <c r="AJ45" i="12"/>
  <c r="AH45" i="15"/>
  <c r="X200" i="12"/>
  <c r="X200" i="11"/>
  <c r="X200" i="13"/>
  <c r="X200" i="14"/>
  <c r="AI200" i="14" s="1"/>
  <c r="X200" i="15"/>
  <c r="AI200" i="15" s="1"/>
  <c r="AC232" i="10"/>
  <c r="AI236" i="12"/>
  <c r="Z145" i="10"/>
  <c r="BP18" i="15"/>
  <c r="AL196" i="11"/>
  <c r="AL195" i="11" s="1"/>
  <c r="I57" i="10"/>
  <c r="G69" i="9"/>
  <c r="AI78" i="12"/>
  <c r="AF196" i="9"/>
  <c r="AI156" i="15"/>
  <c r="Z90" i="9"/>
  <c r="AI32" i="15"/>
  <c r="AF43" i="9"/>
  <c r="AJ38" i="12"/>
  <c r="BD11" i="12"/>
  <c r="BD11" i="10"/>
  <c r="AJ156" i="13"/>
  <c r="BC18" i="11"/>
  <c r="AI190" i="13"/>
  <c r="AI190" i="12"/>
  <c r="AJ156" i="9"/>
  <c r="AI116" i="10"/>
  <c r="AI45" i="9"/>
  <c r="AI45" i="12"/>
  <c r="AI45" i="8"/>
  <c r="AH45" i="13"/>
  <c r="AH41" i="10"/>
  <c r="I63" i="10"/>
  <c r="I63" i="8"/>
  <c r="G63" i="9"/>
  <c r="G69" i="10"/>
  <c r="I69" i="8"/>
  <c r="I69" i="9"/>
  <c r="I69" i="10"/>
  <c r="Z145" i="9"/>
  <c r="AL43" i="7"/>
  <c r="AI215" i="5"/>
  <c r="AI143" i="5"/>
  <c r="AI76" i="5"/>
  <c r="BQ14" i="7"/>
  <c r="AH125" i="5"/>
  <c r="BN19" i="5"/>
  <c r="AL220" i="16"/>
  <c r="AL220" i="14"/>
  <c r="AB193" i="5"/>
  <c r="AB43" i="5"/>
  <c r="AJ95" i="13"/>
  <c r="Z145" i="12"/>
  <c r="AI78" i="13"/>
  <c r="Z145" i="7"/>
  <c r="BQ16" i="7"/>
  <c r="H39" i="20" s="1"/>
  <c r="BP18" i="13"/>
  <c r="AJ95" i="12"/>
  <c r="AE95" i="14"/>
  <c r="AG95" i="14" s="1"/>
  <c r="AJ95" i="14" s="1"/>
  <c r="AI84" i="13"/>
  <c r="AJ54" i="13"/>
  <c r="AI45" i="11"/>
  <c r="AJ38" i="13"/>
  <c r="H37" i="20"/>
  <c r="BK9" i="7"/>
  <c r="BO10" i="11"/>
  <c r="F80" i="7"/>
  <c r="N80" i="7" s="1"/>
  <c r="AY12" i="12"/>
  <c r="AY12" i="6"/>
  <c r="AY12" i="8"/>
  <c r="AY12" i="13"/>
  <c r="AJ120" i="5"/>
  <c r="AI238" i="5"/>
  <c r="AI137" i="5"/>
  <c r="AI98" i="5"/>
  <c r="AI67" i="5"/>
  <c r="AI31" i="5"/>
  <c r="AI19" i="5"/>
  <c r="AH55" i="5"/>
  <c r="N13" i="5"/>
  <c r="N37" i="5"/>
  <c r="M62" i="5"/>
  <c r="M46" i="5"/>
  <c r="AJ244" i="5"/>
  <c r="AJ19" i="5"/>
  <c r="AH168" i="5"/>
  <c r="AH126" i="5"/>
  <c r="AH93" i="5"/>
  <c r="AH53" i="5"/>
  <c r="C57" i="6"/>
  <c r="AI126" i="8"/>
  <c r="AB112" i="5"/>
  <c r="Y220" i="5"/>
  <c r="AJ188" i="5"/>
  <c r="AI119" i="5"/>
  <c r="AI40" i="5"/>
  <c r="N52" i="5"/>
  <c r="AH19" i="6"/>
  <c r="AI183" i="9"/>
  <c r="AH164" i="6"/>
  <c r="X105" i="8"/>
  <c r="C54" i="10"/>
  <c r="AS22" i="13"/>
  <c r="AX22" i="13" s="1"/>
  <c r="BP10" i="9"/>
  <c r="J25" i="6"/>
  <c r="BO19" i="16"/>
  <c r="BO11" i="16"/>
  <c r="C72" i="16"/>
  <c r="C66" i="16"/>
  <c r="C60" i="16"/>
  <c r="C54" i="16"/>
  <c r="C48" i="16"/>
  <c r="C42" i="16"/>
  <c r="C32" i="16"/>
  <c r="C25" i="16"/>
  <c r="X252" i="16"/>
  <c r="AH252" i="16" s="1"/>
  <c r="AI240" i="9"/>
  <c r="AL196" i="6"/>
  <c r="AL195" i="6" s="1"/>
  <c r="X33" i="15"/>
  <c r="AJ33" i="15" s="1"/>
  <c r="R41" i="20"/>
  <c r="BP18" i="8"/>
  <c r="BP18" i="9"/>
  <c r="AI156" i="12"/>
  <c r="BP18" i="16"/>
  <c r="AI156" i="9"/>
  <c r="BP18" i="11"/>
  <c r="BP18" i="7"/>
  <c r="BP18" i="10"/>
  <c r="BP18" i="14"/>
  <c r="BP18" i="12"/>
  <c r="AI139" i="12"/>
  <c r="BQ14" i="6"/>
  <c r="G37" i="20" s="1"/>
  <c r="BO11" i="15"/>
  <c r="BO11" i="7"/>
  <c r="BO11" i="11"/>
  <c r="AR22" i="9"/>
  <c r="AW22" i="9" s="1"/>
  <c r="AI45" i="15"/>
  <c r="BO10" i="6"/>
  <c r="BO26" i="5"/>
  <c r="I72" i="6"/>
  <c r="X88" i="11"/>
  <c r="X88" i="13"/>
  <c r="AJ88" i="13" s="1"/>
  <c r="X88" i="14"/>
  <c r="AH88" i="14" s="1"/>
  <c r="X88" i="15"/>
  <c r="AH88" i="15" s="1"/>
  <c r="AA222" i="5"/>
  <c r="AH223" i="5"/>
  <c r="BO31" i="5"/>
  <c r="BI15" i="5" s="1"/>
  <c r="AE205" i="6"/>
  <c r="AG205" i="6"/>
  <c r="Y205" i="10"/>
  <c r="AA205" i="13"/>
  <c r="AA205" i="10"/>
  <c r="AA197" i="5"/>
  <c r="BO23" i="5"/>
  <c r="AI165" i="11"/>
  <c r="AI165" i="15"/>
  <c r="AA157" i="5"/>
  <c r="AA155" i="5" s="1"/>
  <c r="AH163" i="5"/>
  <c r="AD157" i="5"/>
  <c r="AD155" i="5" s="1"/>
  <c r="BP17" i="5" s="1"/>
  <c r="BO18" i="6"/>
  <c r="BO18" i="9"/>
  <c r="BO18" i="10"/>
  <c r="BO18" i="11"/>
  <c r="AI153" i="9"/>
  <c r="BP31" i="5"/>
  <c r="BJ15" i="5" s="1"/>
  <c r="AD147" i="5"/>
  <c r="BQ16" i="5"/>
  <c r="F39" i="20" s="1"/>
  <c r="AA141" i="5"/>
  <c r="BO20" i="5" s="1"/>
  <c r="AA123" i="5"/>
  <c r="AA114" i="5"/>
  <c r="BO16" i="5" s="1"/>
  <c r="AA105" i="9"/>
  <c r="AA104" i="9" s="1"/>
  <c r="Y105" i="10"/>
  <c r="Y104" i="10" s="1"/>
  <c r="AD96" i="5"/>
  <c r="BQ14" i="5"/>
  <c r="F37" i="20" s="1"/>
  <c r="AH86" i="5"/>
  <c r="AD83" i="5"/>
  <c r="BP14" i="5" s="1"/>
  <c r="BJ9" i="5" s="1"/>
  <c r="AD69" i="5"/>
  <c r="AR22" i="5"/>
  <c r="AR22" i="8"/>
  <c r="AW22" i="8" s="1"/>
  <c r="BP10" i="5"/>
  <c r="AD65" i="5"/>
  <c r="AA58" i="5"/>
  <c r="AA57" i="5" s="1"/>
  <c r="AA35" i="5"/>
  <c r="BO14" i="5" s="1"/>
  <c r="BI9" i="5" s="1"/>
  <c r="AH26" i="5"/>
  <c r="AD20" i="5"/>
  <c r="AD16" i="5" s="1"/>
  <c r="AJ22" i="5"/>
  <c r="AH22" i="5"/>
  <c r="AA20" i="5"/>
  <c r="AA16" i="5" s="1"/>
  <c r="L78" i="5"/>
  <c r="J78" i="6"/>
  <c r="L72" i="5"/>
  <c r="N73" i="5"/>
  <c r="L25" i="5"/>
  <c r="AS8" i="5" s="1"/>
  <c r="AX8" i="5"/>
  <c r="X248" i="5"/>
  <c r="AH248" i="5" s="1"/>
  <c r="W235" i="5"/>
  <c r="W234" i="5" s="1"/>
  <c r="AI168" i="8"/>
  <c r="AJ168" i="6"/>
  <c r="AH153" i="8"/>
  <c r="W83" i="5"/>
  <c r="AI86" i="5"/>
  <c r="X36" i="5"/>
  <c r="AH36" i="5" s="1"/>
  <c r="F27" i="5"/>
  <c r="M27" i="5" s="1"/>
  <c r="M24" i="5"/>
  <c r="X256" i="5"/>
  <c r="AJ256" i="5" s="1"/>
  <c r="X207" i="5"/>
  <c r="AI207" i="5" s="1"/>
  <c r="AW9" i="5"/>
  <c r="I35" i="5"/>
  <c r="G75" i="6"/>
  <c r="G75" i="9"/>
  <c r="G75" i="7"/>
  <c r="I75" i="9"/>
  <c r="I75" i="7"/>
  <c r="BD12" i="5"/>
  <c r="AW7" i="5"/>
  <c r="L10" i="5"/>
  <c r="AS16" i="5" s="1"/>
  <c r="AX16" i="5" s="1"/>
  <c r="K10" i="5"/>
  <c r="BE7" i="5" s="1"/>
  <c r="I10" i="5"/>
  <c r="BD7" i="5" s="1"/>
  <c r="M15" i="5"/>
  <c r="J10" i="6"/>
  <c r="AI236" i="13"/>
  <c r="X190" i="14"/>
  <c r="AI188" i="5"/>
  <c r="U157" i="12"/>
  <c r="U155" i="12" s="1"/>
  <c r="AJ156" i="12"/>
  <c r="AI153" i="5"/>
  <c r="AJ148" i="5"/>
  <c r="AH148" i="5"/>
  <c r="BN18" i="5"/>
  <c r="AJ134" i="9"/>
  <c r="AH134" i="9"/>
  <c r="AI126" i="5"/>
  <c r="U105" i="12"/>
  <c r="U104" i="12" s="1"/>
  <c r="AI99" i="5"/>
  <c r="AH88" i="12"/>
  <c r="AJ86" i="5"/>
  <c r="AH84" i="12"/>
  <c r="AI84" i="12"/>
  <c r="AI72" i="5"/>
  <c r="U211" i="16"/>
  <c r="U210" i="16" s="1"/>
  <c r="U209" i="16" s="1"/>
  <c r="X248" i="16"/>
  <c r="AH248" i="16" s="1"/>
  <c r="F79" i="6"/>
  <c r="AJ223" i="5"/>
  <c r="AJ181" i="5"/>
  <c r="AJ137" i="5"/>
  <c r="AJ119" i="5"/>
  <c r="AJ72" i="5"/>
  <c r="AD185" i="5"/>
  <c r="AJ207" i="5"/>
  <c r="AJ159" i="5"/>
  <c r="AJ115" i="5"/>
  <c r="AJ36" i="5"/>
  <c r="AJ17" i="5"/>
  <c r="AD172" i="6"/>
  <c r="AJ215" i="5"/>
  <c r="AJ167" i="5"/>
  <c r="AJ133" i="5"/>
  <c r="AJ98" i="5"/>
  <c r="AJ40" i="5"/>
  <c r="AD211" i="5"/>
  <c r="AD210" i="5" s="1"/>
  <c r="AD209" i="5" s="1"/>
  <c r="AD176" i="5"/>
  <c r="AG141" i="6"/>
  <c r="AE149" i="6"/>
  <c r="AD104" i="6"/>
  <c r="AB91" i="6"/>
  <c r="AJ198" i="5"/>
  <c r="AJ163" i="5"/>
  <c r="AJ125" i="5"/>
  <c r="AJ93" i="5"/>
  <c r="AJ26" i="5"/>
  <c r="AG149" i="5"/>
  <c r="AD205" i="5"/>
  <c r="AD172" i="5"/>
  <c r="AJ143" i="5"/>
  <c r="AC43" i="6"/>
  <c r="AB235" i="6"/>
  <c r="AB234" i="6" s="1"/>
  <c r="C25" i="6"/>
  <c r="AJ99" i="5"/>
  <c r="AI244" i="5"/>
  <c r="AB206" i="7"/>
  <c r="AD205" i="6"/>
  <c r="AD174" i="7"/>
  <c r="AB172" i="7"/>
  <c r="AB97" i="7"/>
  <c r="AD96" i="6"/>
  <c r="AD85" i="6"/>
  <c r="AB85" i="7" s="1"/>
  <c r="AD85" i="7" s="1"/>
  <c r="AB85" i="8" s="1"/>
  <c r="AD85" i="8" s="1"/>
  <c r="AB85" i="9" s="1"/>
  <c r="AD85" i="9" s="1"/>
  <c r="AB85" i="10" s="1"/>
  <c r="AD85" i="10" s="1"/>
  <c r="AB83" i="6"/>
  <c r="AD71" i="6"/>
  <c r="AB69" i="6"/>
  <c r="AB65" i="6" s="1"/>
  <c r="AD46" i="6"/>
  <c r="AB44" i="6"/>
  <c r="L67" i="7"/>
  <c r="J66" i="7"/>
  <c r="L61" i="6"/>
  <c r="J60" i="6"/>
  <c r="L49" i="6"/>
  <c r="J48" i="6"/>
  <c r="AA238" i="6"/>
  <c r="Y238" i="7" s="1"/>
  <c r="AA238" i="7" s="1"/>
  <c r="Y238" i="8" s="1"/>
  <c r="AA238" i="8" s="1"/>
  <c r="Y238" i="9" s="1"/>
  <c r="AA238" i="9" s="1"/>
  <c r="Y238" i="10" s="1"/>
  <c r="AA238" i="10" s="1"/>
  <c r="Y238" i="11" s="1"/>
  <c r="AA238" i="11" s="1"/>
  <c r="Y238" i="12" s="1"/>
  <c r="AA238" i="12" s="1"/>
  <c r="Y238" i="13" s="1"/>
  <c r="AA238" i="13" s="1"/>
  <c r="Y238" i="14" s="1"/>
  <c r="AA238" i="14" s="1"/>
  <c r="Y238" i="15" s="1"/>
  <c r="AA238" i="15" s="1"/>
  <c r="Y238" i="16" s="1"/>
  <c r="AA238" i="16" s="1"/>
  <c r="Y235" i="6"/>
  <c r="Y234" i="6" s="1"/>
  <c r="AA229" i="7"/>
  <c r="Y227" i="7"/>
  <c r="Y215" i="7"/>
  <c r="AA211" i="6"/>
  <c r="AA210" i="6" s="1"/>
  <c r="AA209" i="6" s="1"/>
  <c r="BO27" i="6" s="1"/>
  <c r="Y177" i="7"/>
  <c r="AA176" i="6"/>
  <c r="Y98" i="7"/>
  <c r="AA96" i="6"/>
  <c r="AA93" i="6"/>
  <c r="Y91" i="6"/>
  <c r="I62" i="7"/>
  <c r="G60" i="7"/>
  <c r="I44" i="6"/>
  <c r="G42" i="6"/>
  <c r="W198" i="7"/>
  <c r="W198" i="8" s="1"/>
  <c r="X198" i="8" s="1"/>
  <c r="W197" i="6"/>
  <c r="W188" i="8"/>
  <c r="W188" i="9" s="1"/>
  <c r="W187" i="7"/>
  <c r="W185" i="7" s="1"/>
  <c r="W159" i="7"/>
  <c r="W157" i="6"/>
  <c r="W155" i="6" s="1"/>
  <c r="W152" i="7"/>
  <c r="W152" i="8" s="1"/>
  <c r="X152" i="8" s="1"/>
  <c r="AI152" i="8" s="1"/>
  <c r="W149" i="6"/>
  <c r="W147" i="6" s="1"/>
  <c r="W143" i="7"/>
  <c r="W141" i="6"/>
  <c r="W98" i="9"/>
  <c r="W96" i="8"/>
  <c r="W72" i="7"/>
  <c r="W69" i="6"/>
  <c r="W65" i="6" s="1"/>
  <c r="E79" i="7"/>
  <c r="E78" i="6"/>
  <c r="E67" i="7"/>
  <c r="E66" i="6"/>
  <c r="V223" i="7"/>
  <c r="X223" i="7" s="1"/>
  <c r="V222" i="6"/>
  <c r="V188" i="7"/>
  <c r="V187" i="6"/>
  <c r="D61" i="7"/>
  <c r="D60" i="6"/>
  <c r="AE17" i="14"/>
  <c r="AG17" i="14" s="1"/>
  <c r="AE17" i="15" s="1"/>
  <c r="AG17" i="15" s="1"/>
  <c r="AE17" i="16" s="1"/>
  <c r="AG17" i="16" s="1"/>
  <c r="AI132" i="13"/>
  <c r="BO10" i="12"/>
  <c r="BP10" i="8"/>
  <c r="N80" i="6"/>
  <c r="BO11" i="9"/>
  <c r="AS22" i="11"/>
  <c r="AX22" i="11" s="1"/>
  <c r="BO11" i="13"/>
  <c r="BO10" i="7"/>
  <c r="BO19" i="9"/>
  <c r="AE141" i="6"/>
  <c r="AD91" i="6"/>
  <c r="AB205" i="6"/>
  <c r="AB114" i="6"/>
  <c r="J42" i="6"/>
  <c r="AA149" i="6"/>
  <c r="AA147" i="6" s="1"/>
  <c r="AA49" i="6"/>
  <c r="I29" i="6"/>
  <c r="Y149" i="6"/>
  <c r="Y147" i="6" s="1"/>
  <c r="Y49" i="6"/>
  <c r="G72" i="6"/>
  <c r="F70" i="6"/>
  <c r="C69" i="6"/>
  <c r="AH246" i="8"/>
  <c r="AI246" i="8"/>
  <c r="AD151" i="6"/>
  <c r="AB149" i="6"/>
  <c r="AB147" i="6" s="1"/>
  <c r="AB124" i="8"/>
  <c r="AD123" i="7"/>
  <c r="AD21" i="6"/>
  <c r="AB20" i="6"/>
  <c r="AB16" i="6" s="1"/>
  <c r="L73" i="6"/>
  <c r="J72" i="6"/>
  <c r="L55" i="7"/>
  <c r="J54" i="7"/>
  <c r="AA152" i="8"/>
  <c r="Y149" i="8"/>
  <c r="Y147" i="8" s="1"/>
  <c r="AA59" i="6"/>
  <c r="Y58" i="6"/>
  <c r="Y47" i="7"/>
  <c r="AA44" i="6"/>
  <c r="I74" i="7"/>
  <c r="G72" i="7"/>
  <c r="E73" i="7"/>
  <c r="E72" i="6"/>
  <c r="E61" i="7"/>
  <c r="E60" i="6"/>
  <c r="E55" i="7"/>
  <c r="E55" i="8" s="1"/>
  <c r="E54" i="6"/>
  <c r="E49" i="7"/>
  <c r="E48" i="6"/>
  <c r="E43" i="7"/>
  <c r="E42" i="6"/>
  <c r="V59" i="7"/>
  <c r="V58" i="6"/>
  <c r="V57" i="6" s="1"/>
  <c r="D34" i="7"/>
  <c r="D32" i="6"/>
  <c r="X252" i="15"/>
  <c r="AI252" i="15" s="1"/>
  <c r="BO11" i="14"/>
  <c r="BO11" i="12"/>
  <c r="BP10" i="7"/>
  <c r="AS22" i="9"/>
  <c r="AX22" i="9" s="1"/>
  <c r="AS22" i="8"/>
  <c r="AX22" i="8" s="1"/>
  <c r="AS22" i="7"/>
  <c r="AX22" i="7" s="1"/>
  <c r="AR22" i="7"/>
  <c r="AW22" i="7" s="1"/>
  <c r="BP10" i="6"/>
  <c r="BO11" i="10"/>
  <c r="BO19" i="7"/>
  <c r="BO19" i="10"/>
  <c r="C29" i="6"/>
  <c r="AD123" i="6"/>
  <c r="L66" i="6"/>
  <c r="L54" i="6"/>
  <c r="L42" i="6"/>
  <c r="AB172" i="6"/>
  <c r="AB49" i="6"/>
  <c r="J54" i="6"/>
  <c r="AA227" i="6"/>
  <c r="AA187" i="6"/>
  <c r="AA185" i="6" s="1"/>
  <c r="I48" i="6"/>
  <c r="Y187" i="6"/>
  <c r="Y185" i="6" s="1"/>
  <c r="Y141" i="6"/>
  <c r="Y44" i="6"/>
  <c r="Y43" i="6" s="1"/>
  <c r="G29" i="6"/>
  <c r="AH120" i="6"/>
  <c r="AI120" i="6"/>
  <c r="W187" i="6"/>
  <c r="W185" i="6" s="1"/>
  <c r="W96" i="6"/>
  <c r="AG143" i="7"/>
  <c r="AE141" i="7"/>
  <c r="AB228" i="8"/>
  <c r="AD227" i="7"/>
  <c r="AB142" i="7"/>
  <c r="AD142" i="7" s="1"/>
  <c r="AB142" i="8" s="1"/>
  <c r="AD142" i="8" s="1"/>
  <c r="AB142" i="9" s="1"/>
  <c r="AD141" i="6"/>
  <c r="BP20" i="6" s="1"/>
  <c r="AB51" i="7"/>
  <c r="AD51" i="7" s="1"/>
  <c r="AB51" i="8" s="1"/>
  <c r="AD51" i="8" s="1"/>
  <c r="AB51" i="9" s="1"/>
  <c r="AD51" i="9" s="1"/>
  <c r="AB51" i="10" s="1"/>
  <c r="AD51" i="10" s="1"/>
  <c r="AB51" i="11" s="1"/>
  <c r="AD51" i="11" s="1"/>
  <c r="AB51" i="12" s="1"/>
  <c r="AD51" i="12" s="1"/>
  <c r="AB51" i="13" s="1"/>
  <c r="AD51" i="13" s="1"/>
  <c r="AB51" i="14" s="1"/>
  <c r="AD51" i="14" s="1"/>
  <c r="AB51" i="15" s="1"/>
  <c r="AD51" i="15" s="1"/>
  <c r="AB51" i="16" s="1"/>
  <c r="AD51" i="16" s="1"/>
  <c r="AD49" i="6"/>
  <c r="L79" i="7"/>
  <c r="J79" i="8" s="1"/>
  <c r="L79" i="8" s="1"/>
  <c r="J79" i="9" s="1"/>
  <c r="L79" i="9" s="1"/>
  <c r="J79" i="10" s="1"/>
  <c r="L79" i="10" s="1"/>
  <c r="J79" i="11" s="1"/>
  <c r="L79" i="11" s="1"/>
  <c r="J79" i="12" s="1"/>
  <c r="L79" i="12" s="1"/>
  <c r="J79" i="13" s="1"/>
  <c r="L79" i="13" s="1"/>
  <c r="J79" i="14" s="1"/>
  <c r="L79" i="14" s="1"/>
  <c r="J79" i="15" s="1"/>
  <c r="L79" i="15" s="1"/>
  <c r="J79" i="16" s="1"/>
  <c r="L79" i="16" s="1"/>
  <c r="J78" i="7"/>
  <c r="L78" i="7" s="1"/>
  <c r="L43" i="7"/>
  <c r="J42" i="7"/>
  <c r="L34" i="6"/>
  <c r="J32" i="6"/>
  <c r="AA198" i="6"/>
  <c r="Y197" i="6"/>
  <c r="AA159" i="6"/>
  <c r="Y157" i="6"/>
  <c r="Y155" i="6" s="1"/>
  <c r="Y143" i="7"/>
  <c r="AA143" i="7" s="1"/>
  <c r="AA141" i="6"/>
  <c r="BO20" i="6" s="1"/>
  <c r="AA125" i="6"/>
  <c r="Y123" i="6"/>
  <c r="AA115" i="6"/>
  <c r="Y114" i="6"/>
  <c r="I80" i="6"/>
  <c r="G80" i="7" s="1"/>
  <c r="G78" i="6"/>
  <c r="I78" i="6" s="1"/>
  <c r="I68" i="6"/>
  <c r="G66" i="6"/>
  <c r="I36" i="6"/>
  <c r="G35" i="6"/>
  <c r="W238" i="7"/>
  <c r="W235" i="6"/>
  <c r="W234" i="6" s="1"/>
  <c r="W229" i="7"/>
  <c r="W227" i="6"/>
  <c r="W115" i="7"/>
  <c r="W114" i="7" s="1"/>
  <c r="W114" i="6"/>
  <c r="W93" i="7"/>
  <c r="W91" i="6"/>
  <c r="W86" i="7"/>
  <c r="W83" i="6"/>
  <c r="W59" i="7"/>
  <c r="W59" i="8" s="1"/>
  <c r="W58" i="6"/>
  <c r="W57" i="6" s="1"/>
  <c r="D73" i="7"/>
  <c r="D72" i="7" s="1"/>
  <c r="D72" i="6"/>
  <c r="D27" i="7"/>
  <c r="D25" i="6"/>
  <c r="AI108" i="16"/>
  <c r="BO10" i="9"/>
  <c r="BO10" i="8"/>
  <c r="BO11" i="8"/>
  <c r="AX10" i="6"/>
  <c r="BO23" i="6"/>
  <c r="AS22" i="12"/>
  <c r="AX22" i="12" s="1"/>
  <c r="AS22" i="10"/>
  <c r="AX22" i="10" s="1"/>
  <c r="AS22" i="6"/>
  <c r="AX22" i="6" s="1"/>
  <c r="AR22" i="6"/>
  <c r="AW22" i="6" s="1"/>
  <c r="BO10" i="10"/>
  <c r="BO19" i="6"/>
  <c r="BO19" i="11"/>
  <c r="BO19" i="12"/>
  <c r="BO19" i="13"/>
  <c r="BO19" i="14"/>
  <c r="BO19" i="15"/>
  <c r="AJ76" i="5"/>
  <c r="U172" i="6"/>
  <c r="AJ19" i="6"/>
  <c r="AD185" i="6"/>
  <c r="AD114" i="6"/>
  <c r="AB141" i="6"/>
  <c r="AB96" i="6"/>
  <c r="AB90" i="6" s="1"/>
  <c r="J66" i="6"/>
  <c r="AA222" i="6"/>
  <c r="AA220" i="6" s="1"/>
  <c r="BO30" i="6" s="1"/>
  <c r="BI14" i="6" s="1"/>
  <c r="I60" i="6"/>
  <c r="Y227" i="6"/>
  <c r="Y176" i="6"/>
  <c r="Y170" i="6" s="1"/>
  <c r="G48" i="6"/>
  <c r="W222" i="6"/>
  <c r="W176" i="6"/>
  <c r="AI32" i="8"/>
  <c r="AH32" i="8"/>
  <c r="AI24" i="8"/>
  <c r="AH24" i="8"/>
  <c r="AH19" i="8"/>
  <c r="AJ19" i="8"/>
  <c r="U35" i="12"/>
  <c r="X256" i="6"/>
  <c r="X252" i="6"/>
  <c r="X248" i="6"/>
  <c r="X238" i="6"/>
  <c r="X229" i="6"/>
  <c r="X223" i="6"/>
  <c r="X215" i="6"/>
  <c r="X207" i="6"/>
  <c r="AI207" i="6" s="1"/>
  <c r="X202" i="6"/>
  <c r="X188" i="6"/>
  <c r="AI188" i="6" s="1"/>
  <c r="X181" i="6"/>
  <c r="X177" i="6"/>
  <c r="BN23" i="6" s="1"/>
  <c r="X167" i="6"/>
  <c r="X163" i="6"/>
  <c r="AJ163" i="6" s="1"/>
  <c r="X159" i="6"/>
  <c r="X152" i="6"/>
  <c r="X143" i="6"/>
  <c r="X137" i="6"/>
  <c r="X129" i="6"/>
  <c r="AJ129" i="6" s="1"/>
  <c r="X125" i="6"/>
  <c r="AI125" i="6" s="1"/>
  <c r="X119" i="6"/>
  <c r="X102" i="6"/>
  <c r="X98" i="6"/>
  <c r="AH98" i="6" s="1"/>
  <c r="X93" i="6"/>
  <c r="AI93" i="6" s="1"/>
  <c r="X86" i="6"/>
  <c r="X80" i="6"/>
  <c r="X76" i="6"/>
  <c r="X72" i="6"/>
  <c r="X67" i="6"/>
  <c r="X59" i="6"/>
  <c r="X52" i="6"/>
  <c r="X47" i="6"/>
  <c r="AH47" i="6" s="1"/>
  <c r="X40" i="6"/>
  <c r="X36" i="6"/>
  <c r="X30" i="6"/>
  <c r="X26" i="6"/>
  <c r="X22" i="6"/>
  <c r="X17" i="6"/>
  <c r="F73" i="6"/>
  <c r="C66" i="6"/>
  <c r="F61" i="6"/>
  <c r="C54" i="6"/>
  <c r="C48" i="6"/>
  <c r="C42" i="6"/>
  <c r="F34" i="6"/>
  <c r="F15" i="6"/>
  <c r="F15" i="9"/>
  <c r="X202" i="11"/>
  <c r="AI202" i="11" s="1"/>
  <c r="X181" i="11"/>
  <c r="X167" i="11"/>
  <c r="AH167" i="11" s="1"/>
  <c r="X163" i="11"/>
  <c r="AI163" i="11" s="1"/>
  <c r="X137" i="11"/>
  <c r="AH137" i="11" s="1"/>
  <c r="X129" i="11"/>
  <c r="X125" i="11"/>
  <c r="AI125" i="11" s="1"/>
  <c r="X119" i="11"/>
  <c r="AH119" i="11" s="1"/>
  <c r="X102" i="11"/>
  <c r="X67" i="11"/>
  <c r="AH67" i="11" s="1"/>
  <c r="X52" i="11"/>
  <c r="X47" i="11"/>
  <c r="AI47" i="11" s="1"/>
  <c r="AB104" i="6"/>
  <c r="C69" i="8"/>
  <c r="X67" i="9"/>
  <c r="BN11" i="9" s="1"/>
  <c r="X52" i="9"/>
  <c r="X47" i="9"/>
  <c r="X40" i="9"/>
  <c r="X36" i="9"/>
  <c r="AI36" i="9" s="1"/>
  <c r="X30" i="9"/>
  <c r="X26" i="9"/>
  <c r="AI26" i="9" s="1"/>
  <c r="X22" i="9"/>
  <c r="AH22" i="9" s="1"/>
  <c r="X17" i="9"/>
  <c r="AD185" i="7"/>
  <c r="X256" i="7"/>
  <c r="AJ256" i="7" s="1"/>
  <c r="X252" i="7"/>
  <c r="X248" i="7"/>
  <c r="X215" i="7"/>
  <c r="X202" i="7"/>
  <c r="X181" i="7"/>
  <c r="X163" i="7"/>
  <c r="AJ163" i="7" s="1"/>
  <c r="X159" i="7"/>
  <c r="AJ159" i="7" s="1"/>
  <c r="X143" i="7"/>
  <c r="X137" i="7"/>
  <c r="X129" i="7"/>
  <c r="X125" i="7"/>
  <c r="X119" i="7"/>
  <c r="X102" i="7"/>
  <c r="AI102" i="7" s="1"/>
  <c r="X98" i="7"/>
  <c r="X93" i="7"/>
  <c r="X80" i="7"/>
  <c r="X76" i="7"/>
  <c r="AJ76" i="7" s="1"/>
  <c r="X72" i="7"/>
  <c r="X67" i="7"/>
  <c r="X59" i="7"/>
  <c r="AI59" i="7" s="1"/>
  <c r="X52" i="7"/>
  <c r="AI52" i="7" s="1"/>
  <c r="X47" i="7"/>
  <c r="X40" i="7"/>
  <c r="X36" i="7"/>
  <c r="X256" i="8"/>
  <c r="AH256" i="8" s="1"/>
  <c r="X252" i="8"/>
  <c r="X248" i="8"/>
  <c r="AI248" i="8" s="1"/>
  <c r="X181" i="8"/>
  <c r="X167" i="8"/>
  <c r="BN19" i="8" s="1"/>
  <c r="X163" i="8"/>
  <c r="X137" i="8"/>
  <c r="X129" i="8"/>
  <c r="AI129" i="8" s="1"/>
  <c r="X125" i="8"/>
  <c r="X119" i="8"/>
  <c r="X102" i="8"/>
  <c r="X98" i="8"/>
  <c r="AI98" i="8" s="1"/>
  <c r="U83" i="8"/>
  <c r="X80" i="8"/>
  <c r="X76" i="8"/>
  <c r="X67" i="8"/>
  <c r="AI67" i="8" s="1"/>
  <c r="X52" i="8"/>
  <c r="X47" i="8"/>
  <c r="X40" i="8"/>
  <c r="X36" i="8"/>
  <c r="AI36" i="8" s="1"/>
  <c r="X30" i="8"/>
  <c r="AI30" i="8" s="1"/>
  <c r="X26" i="8"/>
  <c r="AI26" i="8" s="1"/>
  <c r="X17" i="8"/>
  <c r="F15" i="8"/>
  <c r="M15" i="8" s="1"/>
  <c r="C57" i="8"/>
  <c r="C45" i="8"/>
  <c r="C45" i="7"/>
  <c r="C29" i="7"/>
  <c r="AI67" i="7"/>
  <c r="AH67" i="7"/>
  <c r="AI60" i="5"/>
  <c r="AJ47" i="5"/>
  <c r="AI47" i="5"/>
  <c r="AJ45" i="8"/>
  <c r="AJ27" i="7"/>
  <c r="AI22" i="5"/>
  <c r="AH18" i="7"/>
  <c r="C35" i="7"/>
  <c r="C22" i="7"/>
  <c r="AC43" i="16"/>
  <c r="AC43" i="10"/>
  <c r="AF112" i="14"/>
  <c r="AF112" i="12"/>
  <c r="Z43" i="8"/>
  <c r="Z14" i="8" s="1"/>
  <c r="Z232" i="10"/>
  <c r="AM90" i="6"/>
  <c r="AM145" i="11"/>
  <c r="AM170" i="7"/>
  <c r="AT6" i="11"/>
  <c r="AS6" i="11"/>
  <c r="AR21" i="15"/>
  <c r="AL43" i="13"/>
  <c r="AR21" i="6"/>
  <c r="Y43" i="5"/>
  <c r="AJ164" i="5"/>
  <c r="AI248" i="5"/>
  <c r="AG44" i="6"/>
  <c r="BQ12" i="6"/>
  <c r="BQ9" i="6" s="1"/>
  <c r="AJ48" i="8"/>
  <c r="U172" i="9"/>
  <c r="C51" i="9"/>
  <c r="C48" i="7"/>
  <c r="BC19" i="11"/>
  <c r="BR18" i="16"/>
  <c r="BQ14" i="12"/>
  <c r="M37" i="20" s="1"/>
  <c r="Z90" i="10"/>
  <c r="Z63" i="10" s="1"/>
  <c r="Z196" i="12"/>
  <c r="Z195" i="12" s="1"/>
  <c r="Z220" i="8"/>
  <c r="Z232" i="11"/>
  <c r="AM112" i="11"/>
  <c r="AM170" i="10"/>
  <c r="AS21" i="15"/>
  <c r="AL90" i="16"/>
  <c r="AM43" i="6"/>
  <c r="U170" i="5"/>
  <c r="AJ216" i="5"/>
  <c r="AJ73" i="5"/>
  <c r="C60" i="6"/>
  <c r="AL170" i="11"/>
  <c r="BQ17" i="8"/>
  <c r="I40" i="20" s="1"/>
  <c r="BQ12" i="5"/>
  <c r="F35" i="20" s="1"/>
  <c r="F32" i="20" s="1"/>
  <c r="W172" i="13"/>
  <c r="AM220" i="12"/>
  <c r="AL112" i="15"/>
  <c r="AL220" i="13"/>
  <c r="AL193" i="6"/>
  <c r="AL112" i="6"/>
  <c r="AM90" i="11"/>
  <c r="AM145" i="9"/>
  <c r="AM170" i="11"/>
  <c r="AM220" i="15"/>
  <c r="AM220" i="7"/>
  <c r="AF43" i="14"/>
  <c r="AJ199" i="5"/>
  <c r="AJ60" i="5"/>
  <c r="AH68" i="5"/>
  <c r="AH18" i="5"/>
  <c r="AG157" i="5"/>
  <c r="AG155" i="5" s="1"/>
  <c r="AG35" i="5"/>
  <c r="Z232" i="6"/>
  <c r="C45" i="6"/>
  <c r="AI106" i="9"/>
  <c r="AG58" i="7"/>
  <c r="U235" i="16"/>
  <c r="U234" i="16" s="1"/>
  <c r="U222" i="16"/>
  <c r="U187" i="16"/>
  <c r="U185" i="16" s="1"/>
  <c r="U105" i="16"/>
  <c r="U104" i="16" s="1"/>
  <c r="U96" i="16"/>
  <c r="U90" i="16" s="1"/>
  <c r="U91" i="16"/>
  <c r="U49" i="16"/>
  <c r="AW4" i="12"/>
  <c r="BH5" i="12"/>
  <c r="AH129" i="5"/>
  <c r="AH116" i="5"/>
  <c r="N83" i="5"/>
  <c r="AM193" i="8"/>
  <c r="AJ229" i="5"/>
  <c r="AI229" i="5"/>
  <c r="BN26" i="5"/>
  <c r="AI212" i="5"/>
  <c r="AI177" i="5"/>
  <c r="AJ177" i="5"/>
  <c r="BN23" i="5"/>
  <c r="AH152" i="5"/>
  <c r="AJ152" i="5"/>
  <c r="AI80" i="5"/>
  <c r="AJ80" i="5"/>
  <c r="AH59" i="5"/>
  <c r="AH58" i="5" s="1"/>
  <c r="AJ59" i="5"/>
  <c r="AH37" i="5"/>
  <c r="AI37" i="5"/>
  <c r="M70" i="5"/>
  <c r="N70" i="5"/>
  <c r="N44" i="5"/>
  <c r="M44" i="5"/>
  <c r="BK15" i="5"/>
  <c r="AM112" i="10"/>
  <c r="AR16" i="5"/>
  <c r="AW16" i="5" s="1"/>
  <c r="BC5" i="5"/>
  <c r="BE3" i="5"/>
  <c r="BK3" i="5" s="1"/>
  <c r="BQ3" i="5" s="1"/>
  <c r="BN5" i="5" s="1"/>
  <c r="AW19" i="5"/>
  <c r="AS6" i="10"/>
  <c r="AS21" i="10"/>
  <c r="AT21" i="10"/>
  <c r="AM196" i="13"/>
  <c r="AM195" i="13" s="1"/>
  <c r="AM193" i="13" s="1"/>
  <c r="AM196" i="9"/>
  <c r="AM195" i="9" s="1"/>
  <c r="AM193" i="9" s="1"/>
  <c r="AJ129" i="5"/>
  <c r="AI252" i="5"/>
  <c r="AI239" i="5"/>
  <c r="AI152" i="5"/>
  <c r="AI134" i="5"/>
  <c r="AI59" i="5"/>
  <c r="AI58" i="5" s="1"/>
  <c r="AH229" i="5"/>
  <c r="AH212" i="5"/>
  <c r="AW19" i="10"/>
  <c r="BH5" i="10"/>
  <c r="AM193" i="15"/>
  <c r="V3" i="5"/>
  <c r="AM170" i="15"/>
  <c r="N33" i="20"/>
  <c r="BR10" i="16"/>
  <c r="Q34" i="20"/>
  <c r="BR11" i="16"/>
  <c r="AH202" i="5"/>
  <c r="AI202" i="5"/>
  <c r="AJ202" i="5"/>
  <c r="AH182" i="5"/>
  <c r="AI182" i="5"/>
  <c r="AH102" i="5"/>
  <c r="AI102" i="5"/>
  <c r="AH87" i="5"/>
  <c r="AI87" i="5"/>
  <c r="AI52" i="5"/>
  <c r="AH52" i="5"/>
  <c r="AJ52" i="5"/>
  <c r="AJ30" i="5"/>
  <c r="AI30" i="5"/>
  <c r="N56" i="5"/>
  <c r="M56" i="5"/>
  <c r="N50" i="5"/>
  <c r="M50" i="5"/>
  <c r="N34" i="5"/>
  <c r="M34" i="5"/>
  <c r="X183" i="15"/>
  <c r="AI183" i="15" s="1"/>
  <c r="W183" i="16"/>
  <c r="X183" i="16" s="1"/>
  <c r="AI183" i="16" s="1"/>
  <c r="BN11" i="5"/>
  <c r="AL170" i="7"/>
  <c r="AW4" i="16"/>
  <c r="BH5" i="16"/>
  <c r="AJ3" i="16"/>
  <c r="BE3" i="16"/>
  <c r="BK3" i="16" s="1"/>
  <c r="BQ3" i="16" s="1"/>
  <c r="AW19" i="16"/>
  <c r="AS21" i="14"/>
  <c r="AT21" i="14"/>
  <c r="AS6" i="14"/>
  <c r="AE33" i="16"/>
  <c r="AG33" i="16" s="1"/>
  <c r="AJ165" i="12"/>
  <c r="AE165" i="13"/>
  <c r="AG165" i="13" s="1"/>
  <c r="AE165" i="14" s="1"/>
  <c r="AG165" i="14" s="1"/>
  <c r="AJ165" i="14" s="1"/>
  <c r="AW4" i="5"/>
  <c r="AF14" i="11"/>
  <c r="AF112" i="13"/>
  <c r="AC112" i="10"/>
  <c r="AC232" i="14"/>
  <c r="Z90" i="14"/>
  <c r="AM90" i="10"/>
  <c r="AM90" i="14"/>
  <c r="AM63" i="14" s="1"/>
  <c r="AM12" i="14" s="1"/>
  <c r="AM170" i="9"/>
  <c r="AT6" i="10"/>
  <c r="AH177" i="5"/>
  <c r="AH160" i="5"/>
  <c r="AF196" i="8"/>
  <c r="AF196" i="15"/>
  <c r="AC43" i="11"/>
  <c r="AC14" i="11" s="1"/>
  <c r="BQ14" i="13"/>
  <c r="N37" i="20" s="1"/>
  <c r="Z145" i="14"/>
  <c r="AM170" i="8"/>
  <c r="AM170" i="16"/>
  <c r="AM193" i="16"/>
  <c r="AM220" i="6"/>
  <c r="AM220" i="14"/>
  <c r="C1" i="6"/>
  <c r="AL43" i="14"/>
  <c r="AL14" i="14" s="1"/>
  <c r="AL112" i="11"/>
  <c r="AL220" i="10"/>
  <c r="AL170" i="8"/>
  <c r="AL220" i="6"/>
  <c r="AH236" i="8"/>
  <c r="U243" i="8"/>
  <c r="U211" i="8"/>
  <c r="U210" i="8" s="1"/>
  <c r="U209" i="8" s="1"/>
  <c r="U197" i="8"/>
  <c r="U196" i="8" s="1"/>
  <c r="U195" i="8" s="1"/>
  <c r="U149" i="8"/>
  <c r="U147" i="8" s="1"/>
  <c r="U114" i="8"/>
  <c r="AG173" i="7"/>
  <c r="AE173" i="8" s="1"/>
  <c r="AE172" i="7"/>
  <c r="U58" i="11"/>
  <c r="U57" i="11" s="1"/>
  <c r="AF196" i="13"/>
  <c r="AC90" i="16"/>
  <c r="AC90" i="11"/>
  <c r="BQ16" i="10"/>
  <c r="K39" i="20" s="1"/>
  <c r="AF145" i="13"/>
  <c r="AF145" i="11"/>
  <c r="AF145" i="9"/>
  <c r="AC196" i="15"/>
  <c r="AC195" i="15" s="1"/>
  <c r="AC193" i="15" s="1"/>
  <c r="AF220" i="11"/>
  <c r="BQ30" i="11" s="1"/>
  <c r="BK14" i="11" s="1"/>
  <c r="AF232" i="9"/>
  <c r="BQ29" i="9" s="1"/>
  <c r="BK13" i="9" s="1"/>
  <c r="Z196" i="11"/>
  <c r="Z195" i="11" s="1"/>
  <c r="Z193" i="11" s="1"/>
  <c r="AM196" i="5"/>
  <c r="AM195" i="5" s="1"/>
  <c r="AM193" i="5" s="1"/>
  <c r="AR21" i="11"/>
  <c r="AT6" i="15"/>
  <c r="Y145" i="5"/>
  <c r="AM232" i="9"/>
  <c r="AJ253" i="5"/>
  <c r="AI203" i="5"/>
  <c r="AI106" i="5"/>
  <c r="U105" i="6"/>
  <c r="U104" i="6" s="1"/>
  <c r="AI183" i="8"/>
  <c r="U187" i="7"/>
  <c r="U185" i="7" s="1"/>
  <c r="AA223" i="7"/>
  <c r="Y222" i="7"/>
  <c r="Y220" i="7" s="1"/>
  <c r="AA188" i="7"/>
  <c r="Y187" i="7"/>
  <c r="Y185" i="7" s="1"/>
  <c r="Y141" i="7"/>
  <c r="AA52" i="7"/>
  <c r="Y49" i="7"/>
  <c r="Y36" i="10"/>
  <c r="AA36" i="10" s="1"/>
  <c r="Y36" i="11" s="1"/>
  <c r="AA36" i="11" s="1"/>
  <c r="Y36" i="12" s="1"/>
  <c r="AA36" i="12" s="1"/>
  <c r="Y36" i="13" s="1"/>
  <c r="AA36" i="13" s="1"/>
  <c r="Y36" i="14" s="1"/>
  <c r="AA36" i="14" s="1"/>
  <c r="Y36" i="15" s="1"/>
  <c r="AA36" i="15" s="1"/>
  <c r="Y36" i="16" s="1"/>
  <c r="AA36" i="16" s="1"/>
  <c r="AH36" i="9"/>
  <c r="I50" i="7"/>
  <c r="G48" i="7"/>
  <c r="U243" i="16"/>
  <c r="U176" i="16"/>
  <c r="U123" i="16"/>
  <c r="U69" i="16"/>
  <c r="U65" i="16" s="1"/>
  <c r="U20" i="16"/>
  <c r="U16" i="16" s="1"/>
  <c r="W238" i="8"/>
  <c r="W223" i="8"/>
  <c r="W222" i="7"/>
  <c r="W215" i="8"/>
  <c r="X215" i="8" s="1"/>
  <c r="W211" i="7"/>
  <c r="W210" i="7" s="1"/>
  <c r="W209" i="7" s="1"/>
  <c r="W197" i="7"/>
  <c r="W196" i="7" s="1"/>
  <c r="W195" i="7" s="1"/>
  <c r="AG149" i="6"/>
  <c r="AG147" i="6" s="1"/>
  <c r="AE44" i="6"/>
  <c r="Y222" i="6"/>
  <c r="Y220" i="6" s="1"/>
  <c r="AJ32" i="8"/>
  <c r="AI48" i="9"/>
  <c r="AD58" i="7"/>
  <c r="AD57" i="7" s="1"/>
  <c r="AA149" i="7"/>
  <c r="AA147" i="7" s="1"/>
  <c r="Y149" i="7"/>
  <c r="Y147" i="7" s="1"/>
  <c r="X202" i="8"/>
  <c r="U187" i="8"/>
  <c r="U185" i="8" s="1"/>
  <c r="AH36" i="8"/>
  <c r="X256" i="9"/>
  <c r="AH256" i="9" s="1"/>
  <c r="X252" i="9"/>
  <c r="AH252" i="9" s="1"/>
  <c r="X248" i="9"/>
  <c r="X202" i="9"/>
  <c r="AH202" i="9" s="1"/>
  <c r="X181" i="9"/>
  <c r="AH181" i="9" s="1"/>
  <c r="X167" i="9"/>
  <c r="X163" i="9"/>
  <c r="AJ163" i="9" s="1"/>
  <c r="X137" i="9"/>
  <c r="X129" i="9"/>
  <c r="X125" i="9"/>
  <c r="X119" i="9"/>
  <c r="X102" i="9"/>
  <c r="X98" i="9"/>
  <c r="X80" i="9"/>
  <c r="AH80" i="9" s="1"/>
  <c r="X76" i="9"/>
  <c r="C42" i="9"/>
  <c r="W149" i="7"/>
  <c r="W147" i="7" s="1"/>
  <c r="W58" i="7"/>
  <c r="W57" i="7" s="1"/>
  <c r="C45" i="10"/>
  <c r="X47" i="14"/>
  <c r="X40" i="14"/>
  <c r="AH40" i="14" s="1"/>
  <c r="X36" i="14"/>
  <c r="X30" i="14"/>
  <c r="X26" i="14"/>
  <c r="X22" i="14"/>
  <c r="AH22" i="14" s="1"/>
  <c r="X17" i="14"/>
  <c r="AD143" i="10"/>
  <c r="AB143" i="11" s="1"/>
  <c r="W177" i="8"/>
  <c r="W176" i="7"/>
  <c r="W143" i="8"/>
  <c r="W141" i="7"/>
  <c r="W93" i="8"/>
  <c r="X93" i="8" s="1"/>
  <c r="W91" i="7"/>
  <c r="E79" i="8"/>
  <c r="E78" i="7"/>
  <c r="E49" i="8"/>
  <c r="E48" i="7"/>
  <c r="V223" i="8"/>
  <c r="V222" i="7"/>
  <c r="D61" i="8"/>
  <c r="D60" i="7"/>
  <c r="AJ28" i="8"/>
  <c r="C35" i="8"/>
  <c r="C22" i="8"/>
  <c r="W187" i="8"/>
  <c r="W185" i="8" s="1"/>
  <c r="AJ78" i="9"/>
  <c r="W96" i="7"/>
  <c r="X47" i="15"/>
  <c r="X40" i="15"/>
  <c r="AH40" i="15" s="1"/>
  <c r="X36" i="15"/>
  <c r="X30" i="15"/>
  <c r="X26" i="15"/>
  <c r="AI26" i="15" s="1"/>
  <c r="AD173" i="10"/>
  <c r="F50" i="7"/>
  <c r="F44" i="7"/>
  <c r="F50" i="10"/>
  <c r="F44" i="10"/>
  <c r="F15" i="10"/>
  <c r="M15" i="10" s="1"/>
  <c r="AI24" i="11"/>
  <c r="C22" i="11"/>
  <c r="F15" i="13"/>
  <c r="M15" i="13" s="1"/>
  <c r="U147" i="16"/>
  <c r="AJ126" i="5"/>
  <c r="X30" i="7"/>
  <c r="AH30" i="7" s="1"/>
  <c r="X26" i="7"/>
  <c r="AI26" i="7" s="1"/>
  <c r="X22" i="7"/>
  <c r="X17" i="7"/>
  <c r="AH17" i="7" s="1"/>
  <c r="F61" i="7"/>
  <c r="F27" i="7"/>
  <c r="F15" i="7"/>
  <c r="M15" i="7" s="1"/>
  <c r="X256" i="10"/>
  <c r="AH256" i="10" s="1"/>
  <c r="X252" i="10"/>
  <c r="AH252" i="10" s="1"/>
  <c r="X248" i="10"/>
  <c r="X202" i="10"/>
  <c r="X181" i="10"/>
  <c r="AH181" i="10" s="1"/>
  <c r="X167" i="10"/>
  <c r="AJ167" i="10" s="1"/>
  <c r="X163" i="10"/>
  <c r="X137" i="10"/>
  <c r="X129" i="10"/>
  <c r="X125" i="10"/>
  <c r="AI125" i="10" s="1"/>
  <c r="X119" i="10"/>
  <c r="AH119" i="10" s="1"/>
  <c r="X102" i="10"/>
  <c r="X80" i="10"/>
  <c r="X76" i="10"/>
  <c r="AJ76" i="10" s="1"/>
  <c r="X67" i="10"/>
  <c r="BN11" i="10" s="1"/>
  <c r="X52" i="10"/>
  <c r="X47" i="10"/>
  <c r="X40" i="10"/>
  <c r="X36" i="10"/>
  <c r="AI36" i="10" s="1"/>
  <c r="X30" i="10"/>
  <c r="AH30" i="10" s="1"/>
  <c r="X26" i="10"/>
  <c r="X22" i="10"/>
  <c r="AH22" i="10" s="1"/>
  <c r="X17" i="10"/>
  <c r="AI37" i="11"/>
  <c r="F15" i="11"/>
  <c r="M15" i="11" s="1"/>
  <c r="X67" i="12"/>
  <c r="AH67" i="12" s="1"/>
  <c r="X47" i="12"/>
  <c r="X40" i="12"/>
  <c r="X36" i="12"/>
  <c r="AI36" i="12" s="1"/>
  <c r="X30" i="12"/>
  <c r="X26" i="12"/>
  <c r="AI26" i="12" s="1"/>
  <c r="X22" i="12"/>
  <c r="AH22" i="12" s="1"/>
  <c r="X17" i="12"/>
  <c r="AH17" i="12" s="1"/>
  <c r="C32" i="12"/>
  <c r="X40" i="11"/>
  <c r="X36" i="11"/>
  <c r="X30" i="11"/>
  <c r="X26" i="11"/>
  <c r="AI26" i="11" s="1"/>
  <c r="X22" i="11"/>
  <c r="AH22" i="11" s="1"/>
  <c r="X17" i="11"/>
  <c r="C51" i="13"/>
  <c r="AJ3" i="7"/>
  <c r="BC5" i="11"/>
  <c r="AW4" i="15"/>
  <c r="AW19" i="7"/>
  <c r="BC5" i="15"/>
  <c r="AW4" i="7"/>
  <c r="AW4" i="11"/>
  <c r="AW19" i="15"/>
  <c r="BH5" i="15"/>
  <c r="BE3" i="11"/>
  <c r="BK3" i="11" s="1"/>
  <c r="BQ3" i="11" s="1"/>
  <c r="BN5" i="11" s="1"/>
  <c r="BQ17" i="12"/>
  <c r="M40" i="20" s="1"/>
  <c r="Z170" i="12"/>
  <c r="AJ3" i="10"/>
  <c r="BC5" i="10"/>
  <c r="BE3" i="10"/>
  <c r="BK3" i="10" s="1"/>
  <c r="BQ3" i="10" s="1"/>
  <c r="BN5" i="10" s="1"/>
  <c r="AT21" i="16"/>
  <c r="AS6" i="16"/>
  <c r="AE131" i="14"/>
  <c r="AG131" i="14" s="1"/>
  <c r="AJ131" i="14" s="1"/>
  <c r="AJ19" i="14"/>
  <c r="BR23" i="16"/>
  <c r="BC5" i="13"/>
  <c r="AW19" i="9"/>
  <c r="BE3" i="9"/>
  <c r="BK3" i="9" s="1"/>
  <c r="BQ3" i="9" s="1"/>
  <c r="BN5" i="9" s="1"/>
  <c r="AW4" i="14"/>
  <c r="BH5" i="6"/>
  <c r="AF196" i="10"/>
  <c r="AC90" i="12"/>
  <c r="AC63" i="12" s="1"/>
  <c r="AC145" i="16"/>
  <c r="AC145" i="14"/>
  <c r="AF170" i="14"/>
  <c r="BQ24" i="14" s="1"/>
  <c r="AC220" i="15"/>
  <c r="AC232" i="15"/>
  <c r="AC232" i="12"/>
  <c r="AM14" i="14"/>
  <c r="AM112" i="8"/>
  <c r="AM145" i="15"/>
  <c r="AM110" i="15" s="1"/>
  <c r="AM145" i="10"/>
  <c r="AM193" i="7"/>
  <c r="BC5" i="6"/>
  <c r="AL193" i="9"/>
  <c r="AL193" i="8"/>
  <c r="AL112" i="8"/>
  <c r="AL43" i="8"/>
  <c r="AJ3" i="9"/>
  <c r="AW4" i="10"/>
  <c r="AW19" i="14"/>
  <c r="AZ11" i="7"/>
  <c r="AF145" i="16"/>
  <c r="AF196" i="14"/>
  <c r="AC112" i="8"/>
  <c r="BQ17" i="9"/>
  <c r="J40" i="20" s="1"/>
  <c r="AC193" i="10"/>
  <c r="Z43" i="10"/>
  <c r="Z14" i="10" s="1"/>
  <c r="Z112" i="10"/>
  <c r="Z112" i="9"/>
  <c r="AM145" i="12"/>
  <c r="AM193" i="6"/>
  <c r="BE3" i="6"/>
  <c r="BK3" i="6" s="1"/>
  <c r="BQ3" i="6" s="1"/>
  <c r="BN5" i="6" s="1"/>
  <c r="AL112" i="7"/>
  <c r="AC112" i="13"/>
  <c r="Z193" i="12"/>
  <c r="Z232" i="9"/>
  <c r="AM14" i="15"/>
  <c r="AM112" i="6"/>
  <c r="AM145" i="7"/>
  <c r="AT6" i="16"/>
  <c r="AR21" i="7"/>
  <c r="AT6" i="7"/>
  <c r="AS6" i="7"/>
  <c r="AS6" i="13"/>
  <c r="AT21" i="13"/>
  <c r="AT6" i="13"/>
  <c r="AS21" i="13"/>
  <c r="AF90" i="14"/>
  <c r="AJ67" i="5"/>
  <c r="AJ53" i="5"/>
  <c r="AJ41" i="5"/>
  <c r="AJ31" i="5"/>
  <c r="AJ23" i="5"/>
  <c r="AI55" i="5"/>
  <c r="AI36" i="5"/>
  <c r="AG114" i="5"/>
  <c r="AG44" i="5"/>
  <c r="M55" i="5"/>
  <c r="M54" i="5" s="1"/>
  <c r="U222" i="6"/>
  <c r="U58" i="6"/>
  <c r="U57" i="6" s="1"/>
  <c r="AG58" i="6"/>
  <c r="AG57" i="6" s="1"/>
  <c r="AF232" i="6"/>
  <c r="AE58" i="6"/>
  <c r="AE57" i="6" s="1"/>
  <c r="AD227" i="6"/>
  <c r="AD197" i="6"/>
  <c r="AD196" i="6" s="1"/>
  <c r="AB211" i="6"/>
  <c r="AB210" i="6" s="1"/>
  <c r="AB209" i="6" s="1"/>
  <c r="AJ18" i="8"/>
  <c r="AH67" i="8"/>
  <c r="AJ41" i="8"/>
  <c r="U58" i="9"/>
  <c r="U57" i="9" s="1"/>
  <c r="C66" i="9"/>
  <c r="U35" i="7"/>
  <c r="AF232" i="7"/>
  <c r="BQ29" i="7" s="1"/>
  <c r="AD235" i="7"/>
  <c r="AD234" i="7" s="1"/>
  <c r="AD197" i="7"/>
  <c r="AD91" i="7"/>
  <c r="AB222" i="7"/>
  <c r="AB114" i="7"/>
  <c r="J75" i="7"/>
  <c r="J63" i="7"/>
  <c r="AJ68" i="7"/>
  <c r="C66" i="7"/>
  <c r="C81" i="10"/>
  <c r="AI67" i="11"/>
  <c r="AA205" i="11"/>
  <c r="Y205" i="11"/>
  <c r="C51" i="11"/>
  <c r="C81" i="13"/>
  <c r="AL170" i="6"/>
  <c r="AL112" i="5"/>
  <c r="Y112" i="5"/>
  <c r="AJ48" i="5"/>
  <c r="AJ37" i="5"/>
  <c r="AJ27" i="5"/>
  <c r="AI245" i="5"/>
  <c r="AI216" i="5"/>
  <c r="AI189" i="5"/>
  <c r="AI164" i="5"/>
  <c r="AI138" i="5"/>
  <c r="AI120" i="5"/>
  <c r="AI94" i="5"/>
  <c r="AI73" i="5"/>
  <c r="AH256" i="5"/>
  <c r="AH207" i="5"/>
  <c r="AH159" i="5"/>
  <c r="AH115" i="5"/>
  <c r="AG222" i="5"/>
  <c r="AG58" i="5"/>
  <c r="AG57" i="5" s="1"/>
  <c r="AG20" i="5"/>
  <c r="AG16" i="5" s="1"/>
  <c r="N43" i="5"/>
  <c r="M68" i="5"/>
  <c r="C72" i="6"/>
  <c r="C10" i="6"/>
  <c r="AG35" i="6"/>
  <c r="AE35" i="6"/>
  <c r="AD211" i="6"/>
  <c r="AD210" i="6" s="1"/>
  <c r="AD209" i="6" s="1"/>
  <c r="AB227" i="6"/>
  <c r="AB197" i="6"/>
  <c r="Z145" i="6"/>
  <c r="C81" i="8"/>
  <c r="C10" i="8"/>
  <c r="AH30" i="8"/>
  <c r="AB187" i="8"/>
  <c r="AB185" i="8" s="1"/>
  <c r="AD58" i="9"/>
  <c r="AD57" i="9" s="1"/>
  <c r="AB58" i="9"/>
  <c r="AB57" i="9" s="1"/>
  <c r="AG35" i="7"/>
  <c r="AE58" i="7"/>
  <c r="AE57" i="7" s="1"/>
  <c r="AD222" i="7"/>
  <c r="AD114" i="7"/>
  <c r="AB235" i="7"/>
  <c r="AB234" i="7" s="1"/>
  <c r="AB197" i="7"/>
  <c r="AB141" i="7"/>
  <c r="AB91" i="7"/>
  <c r="AI41" i="10"/>
  <c r="C81" i="11"/>
  <c r="AB58" i="11"/>
  <c r="AB57" i="11" s="1"/>
  <c r="AA205" i="12"/>
  <c r="Y205" i="12"/>
  <c r="AA205" i="15"/>
  <c r="Y205" i="15"/>
  <c r="U227" i="16"/>
  <c r="AL193" i="16"/>
  <c r="AL193" i="15"/>
  <c r="AL145" i="11"/>
  <c r="AL110" i="11" s="1"/>
  <c r="AL193" i="10"/>
  <c r="AL43" i="10"/>
  <c r="AL220" i="9"/>
  <c r="AL112" i="9"/>
  <c r="AJ245" i="5"/>
  <c r="AJ224" i="5"/>
  <c r="AJ189" i="5"/>
  <c r="AJ168" i="5"/>
  <c r="AJ138" i="5"/>
  <c r="AJ94" i="5"/>
  <c r="AJ77" i="5"/>
  <c r="AJ68" i="5"/>
  <c r="AJ18" i="5"/>
  <c r="AG49" i="5"/>
  <c r="N82" i="5"/>
  <c r="M74" i="5"/>
  <c r="M49" i="5"/>
  <c r="AD235" i="5"/>
  <c r="AD234" i="5" s="1"/>
  <c r="U69" i="6"/>
  <c r="U65" i="6" s="1"/>
  <c r="C32" i="6"/>
  <c r="AJ93" i="6"/>
  <c r="AG227" i="6"/>
  <c r="AD235" i="6"/>
  <c r="AD234" i="6" s="1"/>
  <c r="AB222" i="6"/>
  <c r="AB187" i="6"/>
  <c r="AB185" i="6" s="1"/>
  <c r="AE35" i="8"/>
  <c r="AI161" i="9"/>
  <c r="U141" i="7"/>
  <c r="AE44" i="7"/>
  <c r="AB227" i="7"/>
  <c r="AB187" i="7"/>
  <c r="AB185" i="7" s="1"/>
  <c r="AB123" i="7"/>
  <c r="AB112" i="7" s="1"/>
  <c r="AB58" i="7"/>
  <c r="AB57" i="7" s="1"/>
  <c r="AI161" i="7"/>
  <c r="C10" i="7"/>
  <c r="AI239" i="11"/>
  <c r="AD58" i="11"/>
  <c r="AD57" i="11" s="1"/>
  <c r="AA205" i="14"/>
  <c r="Y205" i="14"/>
  <c r="N79" i="6"/>
  <c r="M79" i="6"/>
  <c r="AF170" i="16"/>
  <c r="BQ24" i="16" s="1"/>
  <c r="BQ22" i="16" s="1"/>
  <c r="BK11" i="16" s="1"/>
  <c r="AC196" i="16"/>
  <c r="AC195" i="16" s="1"/>
  <c r="AC193" i="16" s="1"/>
  <c r="AU11" i="6"/>
  <c r="AV11" i="6"/>
  <c r="AF112" i="16"/>
  <c r="BQ16" i="16"/>
  <c r="Q39" i="20" s="1"/>
  <c r="BQ16" i="11"/>
  <c r="AF112" i="11"/>
  <c r="AF110" i="11" s="1"/>
  <c r="AF145" i="14"/>
  <c r="AF145" i="12"/>
  <c r="N27" i="5"/>
  <c r="N59" i="5"/>
  <c r="N57" i="5" s="1"/>
  <c r="M59" i="5"/>
  <c r="F51" i="5"/>
  <c r="M53" i="5"/>
  <c r="N47" i="5"/>
  <c r="N45" i="5" s="1"/>
  <c r="M47" i="5"/>
  <c r="N41" i="5"/>
  <c r="M41" i="5"/>
  <c r="U235" i="6"/>
  <c r="U234" i="6" s="1"/>
  <c r="U123" i="6"/>
  <c r="AL193" i="11"/>
  <c r="AL145" i="10"/>
  <c r="AE193" i="5"/>
  <c r="N71" i="5"/>
  <c r="M71" i="5"/>
  <c r="M69" i="5" s="1"/>
  <c r="N65" i="5"/>
  <c r="M65" i="5"/>
  <c r="X198" i="6"/>
  <c r="AJ198" i="6" s="1"/>
  <c r="U197" i="6"/>
  <c r="AE239" i="6"/>
  <c r="AG239" i="6" s="1"/>
  <c r="AE239" i="7" s="1"/>
  <c r="AG239" i="7" s="1"/>
  <c r="AG235" i="5"/>
  <c r="AG234" i="5" s="1"/>
  <c r="AE224" i="7"/>
  <c r="AG222" i="6"/>
  <c r="AE212" i="6"/>
  <c r="AG211" i="5"/>
  <c r="AG210" i="5" s="1"/>
  <c r="AG209" i="5" s="1"/>
  <c r="AS29" i="5" s="1"/>
  <c r="AX29" i="5" s="1"/>
  <c r="AG189" i="6"/>
  <c r="AE187" i="6"/>
  <c r="AE185" i="6" s="1"/>
  <c r="AE178" i="6"/>
  <c r="AG176" i="5"/>
  <c r="AE164" i="7"/>
  <c r="AG164" i="7" s="1"/>
  <c r="AE164" i="8" s="1"/>
  <c r="AG164" i="8" s="1"/>
  <c r="AE164" i="9" s="1"/>
  <c r="AG164" i="9" s="1"/>
  <c r="AE164" i="10" s="1"/>
  <c r="AG164" i="10" s="1"/>
  <c r="AE164" i="11" s="1"/>
  <c r="AG164" i="11" s="1"/>
  <c r="AE164" i="12" s="1"/>
  <c r="AG164" i="12" s="1"/>
  <c r="AE164" i="13" s="1"/>
  <c r="AG164" i="13" s="1"/>
  <c r="AE164" i="14" s="1"/>
  <c r="AG164" i="14" s="1"/>
  <c r="AE164" i="15" s="1"/>
  <c r="AG164" i="15" s="1"/>
  <c r="AE164" i="16" s="1"/>
  <c r="AG164" i="16" s="1"/>
  <c r="AJ164" i="6"/>
  <c r="AG160" i="6"/>
  <c r="AE157" i="6"/>
  <c r="AE155" i="6" s="1"/>
  <c r="AE126" i="6"/>
  <c r="AG123" i="5"/>
  <c r="AG112" i="5" s="1"/>
  <c r="AG116" i="6"/>
  <c r="AE114" i="6"/>
  <c r="AG106" i="6"/>
  <c r="AE105" i="6"/>
  <c r="AE104" i="6" s="1"/>
  <c r="AE99" i="6"/>
  <c r="AG96" i="5"/>
  <c r="AE94" i="6"/>
  <c r="AG91" i="5"/>
  <c r="AG87" i="6"/>
  <c r="AE83" i="6"/>
  <c r="W51" i="7"/>
  <c r="W49" i="6"/>
  <c r="W46" i="7"/>
  <c r="W44" i="6"/>
  <c r="W39" i="7"/>
  <c r="W35" i="6"/>
  <c r="W21" i="7"/>
  <c r="W20" i="6"/>
  <c r="W16" i="6" s="1"/>
  <c r="E83" i="7"/>
  <c r="E81" i="6"/>
  <c r="E77" i="7"/>
  <c r="E75" i="6"/>
  <c r="E71" i="7"/>
  <c r="E69" i="6"/>
  <c r="E65" i="7"/>
  <c r="F65" i="7" s="1"/>
  <c r="N65" i="7" s="1"/>
  <c r="E63" i="6"/>
  <c r="E59" i="7"/>
  <c r="E57" i="6"/>
  <c r="E53" i="7"/>
  <c r="E51" i="6"/>
  <c r="E47" i="7"/>
  <c r="E45" i="6"/>
  <c r="E33" i="7"/>
  <c r="E33" i="8" s="1"/>
  <c r="E32" i="6"/>
  <c r="E26" i="7"/>
  <c r="E25" i="6"/>
  <c r="E14" i="7"/>
  <c r="F14" i="7" s="1"/>
  <c r="M14" i="7" s="1"/>
  <c r="E10" i="6"/>
  <c r="V237" i="7"/>
  <c r="V235" i="6"/>
  <c r="V234" i="6" s="1"/>
  <c r="V228" i="7"/>
  <c r="V227" i="6"/>
  <c r="V214" i="7"/>
  <c r="X214" i="7" s="1"/>
  <c r="V211" i="6"/>
  <c r="V210" i="6" s="1"/>
  <c r="V209" i="6" s="1"/>
  <c r="V206" i="7"/>
  <c r="V205" i="6"/>
  <c r="V201" i="7"/>
  <c r="X201" i="7" s="1"/>
  <c r="V197" i="6"/>
  <c r="V180" i="7"/>
  <c r="V180" i="8" s="1"/>
  <c r="V180" i="9" s="1"/>
  <c r="V180" i="10" s="1"/>
  <c r="V180" i="11" s="1"/>
  <c r="V180" i="12" s="1"/>
  <c r="V180" i="13" s="1"/>
  <c r="V180" i="14" s="1"/>
  <c r="V180" i="15" s="1"/>
  <c r="V180" i="16" s="1"/>
  <c r="X180" i="16" s="1"/>
  <c r="V176" i="6"/>
  <c r="V158" i="7"/>
  <c r="X158" i="7" s="1"/>
  <c r="AJ158" i="7" s="1"/>
  <c r="V157" i="6"/>
  <c r="V155" i="6" s="1"/>
  <c r="V151" i="7"/>
  <c r="V149" i="6"/>
  <c r="V147" i="6" s="1"/>
  <c r="V142" i="7"/>
  <c r="X142" i="7" s="1"/>
  <c r="V141" i="6"/>
  <c r="V124" i="7"/>
  <c r="V124" i="8" s="1"/>
  <c r="V124" i="9" s="1"/>
  <c r="V124" i="10" s="1"/>
  <c r="V124" i="11" s="1"/>
  <c r="V124" i="12" s="1"/>
  <c r="V124" i="13" s="1"/>
  <c r="V124" i="14" s="1"/>
  <c r="V124" i="15" s="1"/>
  <c r="V124" i="16" s="1"/>
  <c r="X124" i="16" s="1"/>
  <c r="V123" i="6"/>
  <c r="V118" i="6"/>
  <c r="X118" i="6" s="1"/>
  <c r="V114" i="5"/>
  <c r="V97" i="7"/>
  <c r="V96" i="6"/>
  <c r="V92" i="7"/>
  <c r="V91" i="6"/>
  <c r="V85" i="6"/>
  <c r="X85" i="6" s="1"/>
  <c r="V83" i="5"/>
  <c r="V71" i="7"/>
  <c r="V69" i="6"/>
  <c r="V65" i="6" s="1"/>
  <c r="V51" i="7"/>
  <c r="V49" i="6"/>
  <c r="V46" i="6"/>
  <c r="X46" i="6" s="1"/>
  <c r="V44" i="5"/>
  <c r="V43" i="5" s="1"/>
  <c r="V39" i="7"/>
  <c r="V35" i="6"/>
  <c r="V25" i="9"/>
  <c r="V25" i="10" s="1"/>
  <c r="V25" i="11" s="1"/>
  <c r="V25" i="12" s="1"/>
  <c r="V25" i="13" s="1"/>
  <c r="V25" i="14" s="1"/>
  <c r="X25" i="8"/>
  <c r="AJ25" i="8" s="1"/>
  <c r="V21" i="7"/>
  <c r="V20" i="6"/>
  <c r="V16" i="6" s="1"/>
  <c r="D83" i="8"/>
  <c r="D81" i="7"/>
  <c r="D79" i="7"/>
  <c r="D78" i="6"/>
  <c r="D76" i="6"/>
  <c r="F76" i="6" s="1"/>
  <c r="F76" i="5"/>
  <c r="D75" i="5"/>
  <c r="D71" i="7"/>
  <c r="D69" i="6"/>
  <c r="D67" i="7"/>
  <c r="D67" i="8" s="1"/>
  <c r="D67" i="9" s="1"/>
  <c r="D67" i="10" s="1"/>
  <c r="D66" i="6"/>
  <c r="D64" i="6"/>
  <c r="F64" i="5"/>
  <c r="D63" i="5"/>
  <c r="D59" i="7"/>
  <c r="D57" i="6"/>
  <c r="D55" i="7"/>
  <c r="D54" i="6"/>
  <c r="D52" i="7"/>
  <c r="D51" i="6"/>
  <c r="D49" i="8"/>
  <c r="D48" i="7"/>
  <c r="D46" i="7"/>
  <c r="D45" i="6"/>
  <c r="D43" i="7"/>
  <c r="D42" i="6"/>
  <c r="D36" i="6"/>
  <c r="F36" i="5"/>
  <c r="D35" i="5"/>
  <c r="D30" i="6"/>
  <c r="F30" i="6" s="1"/>
  <c r="F30" i="5"/>
  <c r="D23" i="6"/>
  <c r="F23" i="5"/>
  <c r="D22" i="5"/>
  <c r="D12" i="6"/>
  <c r="F12" i="5"/>
  <c r="BQ17" i="16"/>
  <c r="BQ15" i="16" s="1"/>
  <c r="BK10" i="16" s="1"/>
  <c r="BQ17" i="14"/>
  <c r="O40" i="20" s="1"/>
  <c r="AC145" i="15"/>
  <c r="AC145" i="13"/>
  <c r="AC110" i="13" s="1"/>
  <c r="AF220" i="15"/>
  <c r="BQ30" i="15" s="1"/>
  <c r="AF232" i="12"/>
  <c r="BQ29" i="12" s="1"/>
  <c r="Z112" i="11"/>
  <c r="Z196" i="9"/>
  <c r="Z195" i="9" s="1"/>
  <c r="Z193" i="9" s="1"/>
  <c r="Z220" i="10"/>
  <c r="Z232" i="14"/>
  <c r="Z232" i="13"/>
  <c r="AM63" i="13"/>
  <c r="AM112" i="7"/>
  <c r="AM112" i="13"/>
  <c r="AM112" i="14"/>
  <c r="AM193" i="11"/>
  <c r="AM220" i="8"/>
  <c r="AW19" i="6"/>
  <c r="BH5" i="14"/>
  <c r="BE3" i="14"/>
  <c r="BK3" i="14" s="1"/>
  <c r="BQ3" i="14" s="1"/>
  <c r="BN5" i="14" s="1"/>
  <c r="BC5" i="14"/>
  <c r="AR21" i="9"/>
  <c r="AT6" i="9"/>
  <c r="AR21" i="13"/>
  <c r="AL220" i="8"/>
  <c r="AL232" i="6"/>
  <c r="AM232" i="6"/>
  <c r="W44" i="5"/>
  <c r="E75" i="5"/>
  <c r="E63" i="5"/>
  <c r="E51" i="5"/>
  <c r="V185" i="5"/>
  <c r="V149" i="5"/>
  <c r="V147" i="5" s="1"/>
  <c r="AJ230" i="5"/>
  <c r="AJ203" i="5"/>
  <c r="AJ178" i="5"/>
  <c r="AJ153" i="5"/>
  <c r="AJ130" i="5"/>
  <c r="AJ106" i="5"/>
  <c r="AJ81" i="5"/>
  <c r="AG197" i="5"/>
  <c r="AG147" i="5"/>
  <c r="AG83" i="5"/>
  <c r="AS24" i="5" s="1"/>
  <c r="AX24" i="5" s="1"/>
  <c r="X255" i="5"/>
  <c r="X251" i="5"/>
  <c r="X247" i="5"/>
  <c r="X241" i="5"/>
  <c r="X237" i="5"/>
  <c r="X228" i="5"/>
  <c r="X218" i="5"/>
  <c r="X214" i="5"/>
  <c r="X211" i="5" s="1"/>
  <c r="X206" i="5"/>
  <c r="X201" i="5"/>
  <c r="X191" i="5"/>
  <c r="X186" i="5"/>
  <c r="X180" i="5"/>
  <c r="X174" i="5"/>
  <c r="X166" i="5"/>
  <c r="X162" i="5"/>
  <c r="X158" i="5"/>
  <c r="X151" i="5"/>
  <c r="X142" i="5"/>
  <c r="X141" i="5" s="1"/>
  <c r="BN20" i="5" s="1"/>
  <c r="X136" i="5"/>
  <c r="X132" i="5"/>
  <c r="X128" i="5"/>
  <c r="X124" i="5"/>
  <c r="X118" i="5"/>
  <c r="X114" i="5" s="1"/>
  <c r="X108" i="5"/>
  <c r="X101" i="5"/>
  <c r="X97" i="5"/>
  <c r="X92" i="5"/>
  <c r="X91" i="5" s="1"/>
  <c r="X85" i="5"/>
  <c r="X79" i="5"/>
  <c r="X75" i="5"/>
  <c r="X71" i="5"/>
  <c r="X66" i="5"/>
  <c r="X51" i="5"/>
  <c r="X46" i="5"/>
  <c r="X39" i="5"/>
  <c r="X33" i="5"/>
  <c r="X29" i="5"/>
  <c r="X25" i="5"/>
  <c r="X21" i="5"/>
  <c r="AH21" i="5" s="1"/>
  <c r="F77" i="5"/>
  <c r="F26" i="5"/>
  <c r="N26" i="5" s="1"/>
  <c r="U187" i="6"/>
  <c r="U185" i="6" s="1"/>
  <c r="AJ120" i="6"/>
  <c r="AE227" i="6"/>
  <c r="X255" i="6"/>
  <c r="X251" i="6"/>
  <c r="AI251" i="6" s="1"/>
  <c r="X247" i="6"/>
  <c r="X241" i="6"/>
  <c r="X237" i="6"/>
  <c r="X228" i="6"/>
  <c r="X218" i="6"/>
  <c r="X214" i="6"/>
  <c r="X206" i="6"/>
  <c r="X205" i="6" s="1"/>
  <c r="U205" i="6"/>
  <c r="X201" i="6"/>
  <c r="X191" i="6"/>
  <c r="X186" i="6"/>
  <c r="X180" i="6"/>
  <c r="AJ180" i="6" s="1"/>
  <c r="X174" i="6"/>
  <c r="X166" i="6"/>
  <c r="X162" i="6"/>
  <c r="X158" i="6"/>
  <c r="AJ158" i="6" s="1"/>
  <c r="U157" i="6"/>
  <c r="U155" i="6" s="1"/>
  <c r="X151" i="6"/>
  <c r="U149" i="6"/>
  <c r="U147" i="6" s="1"/>
  <c r="X142" i="6"/>
  <c r="X136" i="6"/>
  <c r="X132" i="6"/>
  <c r="X128" i="6"/>
  <c r="X124" i="6"/>
  <c r="AH124" i="6" s="1"/>
  <c r="X108" i="6"/>
  <c r="X101" i="6"/>
  <c r="AH101" i="6" s="1"/>
  <c r="X97" i="6"/>
  <c r="AH97" i="6" s="1"/>
  <c r="U96" i="6"/>
  <c r="X92" i="6"/>
  <c r="U83" i="6"/>
  <c r="X79" i="6"/>
  <c r="X75" i="6"/>
  <c r="AJ75" i="6" s="1"/>
  <c r="X71" i="6"/>
  <c r="X66" i="6"/>
  <c r="AH66" i="6" s="1"/>
  <c r="X55" i="6"/>
  <c r="X51" i="6"/>
  <c r="AH51" i="6" s="1"/>
  <c r="X39" i="6"/>
  <c r="U35" i="6"/>
  <c r="X33" i="6"/>
  <c r="X29" i="6"/>
  <c r="X25" i="6"/>
  <c r="X21" i="6"/>
  <c r="U20" i="6"/>
  <c r="U16" i="6" s="1"/>
  <c r="F83" i="6"/>
  <c r="D48" i="6"/>
  <c r="V104" i="8"/>
  <c r="AF196" i="12"/>
  <c r="BQ28" i="12" s="1"/>
  <c r="AF196" i="16"/>
  <c r="AC43" i="12"/>
  <c r="AC14" i="12" s="1"/>
  <c r="AC112" i="16"/>
  <c r="AC145" i="9"/>
  <c r="AC170" i="15"/>
  <c r="AC220" i="11"/>
  <c r="Z43" i="9"/>
  <c r="Z196" i="15"/>
  <c r="Z195" i="15" s="1"/>
  <c r="Z193" i="15" s="1"/>
  <c r="Z232" i="16"/>
  <c r="Z232" i="15"/>
  <c r="AM193" i="14"/>
  <c r="AJ3" i="6"/>
  <c r="AT21" i="9"/>
  <c r="AS21" i="9"/>
  <c r="AL43" i="9"/>
  <c r="AL145" i="7"/>
  <c r="AL110" i="7" s="1"/>
  <c r="AL193" i="5"/>
  <c r="AL145" i="5"/>
  <c r="AM43" i="16"/>
  <c r="AM232" i="13"/>
  <c r="Q28" i="10"/>
  <c r="K28" i="11"/>
  <c r="K21" i="11" s="1"/>
  <c r="K19" i="11" s="1"/>
  <c r="K17" i="11" s="1"/>
  <c r="K8" i="11" s="1"/>
  <c r="Q28" i="15"/>
  <c r="W35" i="5"/>
  <c r="E32" i="5"/>
  <c r="E28" i="5" s="1"/>
  <c r="E10" i="5"/>
  <c r="V211" i="5"/>
  <c r="V210" i="5" s="1"/>
  <c r="V209" i="5" s="1"/>
  <c r="V176" i="5"/>
  <c r="V170" i="5" s="1"/>
  <c r="V141" i="5"/>
  <c r="AJ252" i="5"/>
  <c r="AJ239" i="5"/>
  <c r="AJ212" i="5"/>
  <c r="AJ182" i="5"/>
  <c r="AJ160" i="5"/>
  <c r="AJ134" i="5"/>
  <c r="AJ116" i="5"/>
  <c r="AJ87" i="5"/>
  <c r="AG227" i="5"/>
  <c r="AG187" i="5"/>
  <c r="AG185" i="5" s="1"/>
  <c r="AG69" i="5"/>
  <c r="AG65" i="5" s="1"/>
  <c r="AS23" i="5" s="1"/>
  <c r="AX23" i="5" s="1"/>
  <c r="BQ17" i="5"/>
  <c r="F40" i="20" s="1"/>
  <c r="AH254" i="5"/>
  <c r="AI254" i="5"/>
  <c r="AJ254" i="5"/>
  <c r="AH250" i="5"/>
  <c r="AI250" i="5"/>
  <c r="AJ250" i="5"/>
  <c r="AH246" i="5"/>
  <c r="AI246" i="5"/>
  <c r="AJ246" i="5"/>
  <c r="AH240" i="5"/>
  <c r="AI240" i="5"/>
  <c r="AJ240" i="5"/>
  <c r="AH236" i="5"/>
  <c r="AI236" i="5"/>
  <c r="AJ236" i="5"/>
  <c r="AH225" i="5"/>
  <c r="AH222" i="5" s="1"/>
  <c r="AI225" i="5"/>
  <c r="AJ225" i="5"/>
  <c r="AH217" i="5"/>
  <c r="AI217" i="5"/>
  <c r="AJ217" i="5"/>
  <c r="AH213" i="5"/>
  <c r="AI213" i="5"/>
  <c r="AJ213" i="5"/>
  <c r="AH204" i="5"/>
  <c r="AI204" i="5"/>
  <c r="AJ204" i="5"/>
  <c r="AH200" i="5"/>
  <c r="AI200" i="5"/>
  <c r="AJ200" i="5"/>
  <c r="AH190" i="5"/>
  <c r="AH187" i="5" s="1"/>
  <c r="AI190" i="5"/>
  <c r="AJ190" i="5"/>
  <c r="AH183" i="5"/>
  <c r="AI183" i="5"/>
  <c r="AJ183" i="5"/>
  <c r="AH179" i="5"/>
  <c r="AI179" i="5"/>
  <c r="AJ179" i="5"/>
  <c r="AH173" i="5"/>
  <c r="AI173" i="5"/>
  <c r="AJ173" i="5"/>
  <c r="AH165" i="5"/>
  <c r="AI165" i="5"/>
  <c r="AJ165" i="5"/>
  <c r="AH161" i="5"/>
  <c r="AI161" i="5"/>
  <c r="AJ161" i="5"/>
  <c r="AH156" i="5"/>
  <c r="AI156" i="5"/>
  <c r="AJ156" i="5"/>
  <c r="AH150" i="5"/>
  <c r="AI150" i="5"/>
  <c r="AJ150" i="5"/>
  <c r="AH139" i="5"/>
  <c r="AI139" i="5"/>
  <c r="AJ139" i="5"/>
  <c r="AH135" i="5"/>
  <c r="AI135" i="5"/>
  <c r="AJ135" i="5"/>
  <c r="AH131" i="5"/>
  <c r="AI131" i="5"/>
  <c r="AJ131" i="5"/>
  <c r="AH127" i="5"/>
  <c r="AI127" i="5"/>
  <c r="AJ127" i="5"/>
  <c r="AH121" i="5"/>
  <c r="AI121" i="5"/>
  <c r="AJ121" i="5"/>
  <c r="AH117" i="5"/>
  <c r="AI117" i="5"/>
  <c r="AJ117" i="5"/>
  <c r="AH107" i="5"/>
  <c r="AI107" i="5"/>
  <c r="AI105" i="5" s="1"/>
  <c r="AJ107" i="5"/>
  <c r="AH100" i="5"/>
  <c r="AI100" i="5"/>
  <c r="AJ100" i="5"/>
  <c r="AH95" i="5"/>
  <c r="AI95" i="5"/>
  <c r="AJ95" i="5"/>
  <c r="AH88" i="5"/>
  <c r="AI88" i="5"/>
  <c r="AJ88" i="5"/>
  <c r="AH84" i="5"/>
  <c r="AI84" i="5"/>
  <c r="AJ84" i="5"/>
  <c r="AH78" i="5"/>
  <c r="AI78" i="5"/>
  <c r="AJ78" i="5"/>
  <c r="AH74" i="5"/>
  <c r="AI74" i="5"/>
  <c r="AJ74" i="5"/>
  <c r="AH70" i="5"/>
  <c r="AI70" i="5"/>
  <c r="AJ70" i="5"/>
  <c r="AH61" i="5"/>
  <c r="AI61" i="5"/>
  <c r="AJ61" i="5"/>
  <c r="AH54" i="5"/>
  <c r="AI54" i="5"/>
  <c r="AJ54" i="5"/>
  <c r="AH50" i="5"/>
  <c r="AI50" i="5"/>
  <c r="AJ50" i="5"/>
  <c r="AH45" i="5"/>
  <c r="AI45" i="5"/>
  <c r="AJ45" i="5"/>
  <c r="AH38" i="5"/>
  <c r="AI38" i="5"/>
  <c r="AJ38" i="5"/>
  <c r="AH32" i="5"/>
  <c r="AI32" i="5"/>
  <c r="AJ32" i="5"/>
  <c r="AH28" i="5"/>
  <c r="AI28" i="5"/>
  <c r="AJ28" i="5"/>
  <c r="AH24" i="5"/>
  <c r="AI24" i="5"/>
  <c r="AJ24" i="5"/>
  <c r="F14" i="5"/>
  <c r="F33" i="5"/>
  <c r="F32" i="5" s="1"/>
  <c r="AE222" i="6"/>
  <c r="D81" i="6"/>
  <c r="L78" i="6"/>
  <c r="V104" i="6"/>
  <c r="Z220" i="5"/>
  <c r="Z43" i="5"/>
  <c r="AE147" i="6"/>
  <c r="F36" i="6"/>
  <c r="F12" i="6"/>
  <c r="U243" i="9"/>
  <c r="X212" i="9"/>
  <c r="AI212" i="9" s="1"/>
  <c r="U211" i="9"/>
  <c r="U210" i="9" s="1"/>
  <c r="U209" i="9" s="1"/>
  <c r="AI203" i="9"/>
  <c r="AH203" i="9"/>
  <c r="AH182" i="9"/>
  <c r="AI182" i="9"/>
  <c r="AI168" i="9"/>
  <c r="AJ168" i="9"/>
  <c r="AH168" i="9"/>
  <c r="AI87" i="9"/>
  <c r="AH87" i="9"/>
  <c r="AJ37" i="9"/>
  <c r="AI37" i="9"/>
  <c r="C32" i="9"/>
  <c r="F52" i="6"/>
  <c r="M52" i="6" s="1"/>
  <c r="F46" i="6"/>
  <c r="X66" i="8"/>
  <c r="X55" i="8"/>
  <c r="AJ55" i="8" s="1"/>
  <c r="X33" i="8"/>
  <c r="AJ33" i="8" s="1"/>
  <c r="X29" i="8"/>
  <c r="AI29" i="8" s="1"/>
  <c r="C78" i="8"/>
  <c r="V104" i="10"/>
  <c r="X255" i="12"/>
  <c r="X251" i="12"/>
  <c r="X247" i="12"/>
  <c r="X241" i="12"/>
  <c r="X218" i="12"/>
  <c r="X191" i="12"/>
  <c r="X180" i="12"/>
  <c r="AH180" i="12" s="1"/>
  <c r="X166" i="12"/>
  <c r="X136" i="12"/>
  <c r="X132" i="12"/>
  <c r="X128" i="12"/>
  <c r="X124" i="12"/>
  <c r="X108" i="12"/>
  <c r="X101" i="12"/>
  <c r="X79" i="12"/>
  <c r="X66" i="12"/>
  <c r="X55" i="12"/>
  <c r="X33" i="12"/>
  <c r="AI33" i="12" s="1"/>
  <c r="X29" i="12"/>
  <c r="AI29" i="12" s="1"/>
  <c r="U176" i="8"/>
  <c r="AH53" i="8"/>
  <c r="AI53" i="8"/>
  <c r="AI48" i="8"/>
  <c r="AH48" i="8"/>
  <c r="AI27" i="8"/>
  <c r="AJ27" i="8"/>
  <c r="U176" i="9"/>
  <c r="C60" i="9"/>
  <c r="C54" i="9"/>
  <c r="C48" i="9"/>
  <c r="X70" i="7"/>
  <c r="U69" i="7"/>
  <c r="U65" i="7" s="1"/>
  <c r="F46" i="7"/>
  <c r="X255" i="11"/>
  <c r="X251" i="11"/>
  <c r="X247" i="11"/>
  <c r="X241" i="11"/>
  <c r="AI241" i="11" s="1"/>
  <c r="X218" i="11"/>
  <c r="X191" i="11"/>
  <c r="X166" i="11"/>
  <c r="AI166" i="11" s="1"/>
  <c r="X162" i="11"/>
  <c r="X136" i="11"/>
  <c r="AH136" i="11" s="1"/>
  <c r="X132" i="11"/>
  <c r="AH132" i="11" s="1"/>
  <c r="X128" i="11"/>
  <c r="AH128" i="11" s="1"/>
  <c r="X124" i="11"/>
  <c r="X108" i="11"/>
  <c r="X101" i="11"/>
  <c r="AH101" i="11" s="1"/>
  <c r="X79" i="11"/>
  <c r="X66" i="11"/>
  <c r="BN10" i="11" s="1"/>
  <c r="X55" i="11"/>
  <c r="AH55" i="11" s="1"/>
  <c r="X33" i="11"/>
  <c r="X29" i="11"/>
  <c r="AI29" i="11" s="1"/>
  <c r="F77" i="6"/>
  <c r="F75" i="6" s="1"/>
  <c r="F71" i="6"/>
  <c r="F69" i="6" s="1"/>
  <c r="F65" i="6"/>
  <c r="F59" i="6"/>
  <c r="F53" i="6"/>
  <c r="F47" i="6"/>
  <c r="F33" i="6"/>
  <c r="F26" i="6"/>
  <c r="F14" i="6"/>
  <c r="F10" i="6" s="1"/>
  <c r="V185" i="6"/>
  <c r="X255" i="8"/>
  <c r="X251" i="8"/>
  <c r="AI251" i="8" s="1"/>
  <c r="X247" i="8"/>
  <c r="X241" i="8"/>
  <c r="U227" i="8"/>
  <c r="X218" i="8"/>
  <c r="X191" i="8"/>
  <c r="X186" i="8"/>
  <c r="X180" i="8"/>
  <c r="X166" i="8"/>
  <c r="X162" i="8"/>
  <c r="AH162" i="8" s="1"/>
  <c r="X136" i="8"/>
  <c r="X132" i="8"/>
  <c r="X128" i="8"/>
  <c r="X124" i="8"/>
  <c r="X108" i="8"/>
  <c r="X104" i="8" s="1"/>
  <c r="X101" i="8"/>
  <c r="X79" i="8"/>
  <c r="AI79" i="8" s="1"/>
  <c r="AH18" i="8"/>
  <c r="AI18" i="8"/>
  <c r="C29" i="8"/>
  <c r="X255" i="9"/>
  <c r="X251" i="9"/>
  <c r="X247" i="9"/>
  <c r="X241" i="9"/>
  <c r="AI241" i="9" s="1"/>
  <c r="X218" i="9"/>
  <c r="X191" i="9"/>
  <c r="X180" i="9"/>
  <c r="AH180" i="9" s="1"/>
  <c r="X166" i="9"/>
  <c r="X162" i="9"/>
  <c r="U141" i="12"/>
  <c r="X136" i="9"/>
  <c r="X132" i="9"/>
  <c r="X128" i="9"/>
  <c r="AH128" i="9" s="1"/>
  <c r="X124" i="9"/>
  <c r="X108" i="9"/>
  <c r="X101" i="9"/>
  <c r="X79" i="9"/>
  <c r="X66" i="9"/>
  <c r="X55" i="9"/>
  <c r="AI55" i="9" s="1"/>
  <c r="X33" i="9"/>
  <c r="X29" i="9"/>
  <c r="X25" i="9"/>
  <c r="AI25" i="9" s="1"/>
  <c r="U227" i="7"/>
  <c r="F49" i="7"/>
  <c r="V104" i="7"/>
  <c r="C75" i="11"/>
  <c r="C57" i="11"/>
  <c r="C29" i="11"/>
  <c r="X33" i="13"/>
  <c r="AJ33" i="13" s="1"/>
  <c r="X29" i="13"/>
  <c r="AH29" i="13" s="1"/>
  <c r="G33" i="12"/>
  <c r="I33" i="12" s="1"/>
  <c r="G33" i="13" s="1"/>
  <c r="I33" i="13" s="1"/>
  <c r="G33" i="14" s="1"/>
  <c r="I33" i="14" s="1"/>
  <c r="G33" i="15" s="1"/>
  <c r="I33" i="15" s="1"/>
  <c r="G33" i="16" s="1"/>
  <c r="I33" i="16" s="1"/>
  <c r="I32" i="11"/>
  <c r="U157" i="16"/>
  <c r="U155" i="16" s="1"/>
  <c r="X33" i="16"/>
  <c r="AJ33" i="16" s="1"/>
  <c r="X29" i="16"/>
  <c r="W50" i="11"/>
  <c r="V213" i="11"/>
  <c r="X213" i="11" s="1"/>
  <c r="V150" i="11"/>
  <c r="V50" i="11"/>
  <c r="D74" i="11"/>
  <c r="F67" i="6"/>
  <c r="N67" i="6" s="1"/>
  <c r="F55" i="6"/>
  <c r="F49" i="6"/>
  <c r="F43" i="6"/>
  <c r="BC16" i="6" s="1"/>
  <c r="F33" i="8"/>
  <c r="C63" i="9"/>
  <c r="C10" i="9"/>
  <c r="V104" i="9"/>
  <c r="C54" i="7"/>
  <c r="BQ12" i="7"/>
  <c r="H35" i="20" s="1"/>
  <c r="H32" i="20" s="1"/>
  <c r="AC232" i="7"/>
  <c r="AC196" i="7"/>
  <c r="AC195" i="7" s="1"/>
  <c r="AC193" i="7" s="1"/>
  <c r="X255" i="7"/>
  <c r="AI255" i="7" s="1"/>
  <c r="X251" i="7"/>
  <c r="X247" i="7"/>
  <c r="AJ247" i="7" s="1"/>
  <c r="X241" i="7"/>
  <c r="X218" i="7"/>
  <c r="X191" i="7"/>
  <c r="X166" i="7"/>
  <c r="X162" i="7"/>
  <c r="AJ162" i="7" s="1"/>
  <c r="X151" i="7"/>
  <c r="X136" i="7"/>
  <c r="AH136" i="7" s="1"/>
  <c r="X132" i="7"/>
  <c r="AI132" i="7" s="1"/>
  <c r="X128" i="7"/>
  <c r="AI128" i="7" s="1"/>
  <c r="X108" i="7"/>
  <c r="X101" i="7"/>
  <c r="AI101" i="7" s="1"/>
  <c r="X79" i="7"/>
  <c r="X66" i="7"/>
  <c r="X55" i="7"/>
  <c r="X33" i="7"/>
  <c r="AJ33" i="7" s="1"/>
  <c r="X29" i="7"/>
  <c r="X25" i="7"/>
  <c r="X21" i="7"/>
  <c r="X255" i="10"/>
  <c r="AI255" i="10" s="1"/>
  <c r="X251" i="10"/>
  <c r="X247" i="10"/>
  <c r="AJ247" i="10" s="1"/>
  <c r="X241" i="10"/>
  <c r="AI241" i="10" s="1"/>
  <c r="X218" i="10"/>
  <c r="AI218" i="10" s="1"/>
  <c r="X191" i="10"/>
  <c r="X180" i="10"/>
  <c r="AH180" i="10" s="1"/>
  <c r="X166" i="10"/>
  <c r="X162" i="10"/>
  <c r="AH162" i="10" s="1"/>
  <c r="X136" i="10"/>
  <c r="X132" i="10"/>
  <c r="AH132" i="10" s="1"/>
  <c r="X128" i="10"/>
  <c r="AJ128" i="10" s="1"/>
  <c r="X124" i="10"/>
  <c r="X108" i="10"/>
  <c r="X101" i="10"/>
  <c r="AH101" i="10" s="1"/>
  <c r="X79" i="10"/>
  <c r="AH79" i="10" s="1"/>
  <c r="X66" i="10"/>
  <c r="AH66" i="10" s="1"/>
  <c r="X55" i="10"/>
  <c r="AJ55" i="10" s="1"/>
  <c r="X33" i="10"/>
  <c r="X29" i="10"/>
  <c r="I76" i="10"/>
  <c r="G75" i="10"/>
  <c r="I70" i="11"/>
  <c r="G69" i="11"/>
  <c r="I64" i="12"/>
  <c r="I63" i="12" s="1"/>
  <c r="G63" i="12"/>
  <c r="U197" i="16"/>
  <c r="U196" i="16" s="1"/>
  <c r="U195" i="16" s="1"/>
  <c r="U193" i="16" s="1"/>
  <c r="X173" i="16"/>
  <c r="U114" i="16"/>
  <c r="U83" i="16"/>
  <c r="U35" i="16"/>
  <c r="C10" i="16"/>
  <c r="W212" i="11"/>
  <c r="W212" i="12" s="1"/>
  <c r="W212" i="13" s="1"/>
  <c r="W178" i="11"/>
  <c r="W178" i="12" s="1"/>
  <c r="W178" i="13" s="1"/>
  <c r="W178" i="14" s="1"/>
  <c r="W178" i="15" s="1"/>
  <c r="W178" i="16" s="1"/>
  <c r="W106" i="13"/>
  <c r="W105" i="12"/>
  <c r="W104" i="12" s="1"/>
  <c r="W94" i="11"/>
  <c r="X94" i="11" s="1"/>
  <c r="X254" i="10"/>
  <c r="X250" i="10"/>
  <c r="AH250" i="10" s="1"/>
  <c r="X246" i="10"/>
  <c r="X240" i="10"/>
  <c r="X236" i="10"/>
  <c r="X217" i="10"/>
  <c r="AH217" i="10" s="1"/>
  <c r="X213" i="10"/>
  <c r="X204" i="10"/>
  <c r="X200" i="10"/>
  <c r="X190" i="10"/>
  <c r="AI190" i="10" s="1"/>
  <c r="X183" i="10"/>
  <c r="X173" i="10"/>
  <c r="AH173" i="10" s="1"/>
  <c r="X165" i="10"/>
  <c r="AI165" i="10" s="1"/>
  <c r="X161" i="10"/>
  <c r="AI161" i="10" s="1"/>
  <c r="X156" i="10"/>
  <c r="BN18" i="10" s="1"/>
  <c r="X150" i="10"/>
  <c r="X139" i="10"/>
  <c r="AJ139" i="10" s="1"/>
  <c r="X131" i="10"/>
  <c r="AJ131" i="10" s="1"/>
  <c r="X127" i="10"/>
  <c r="AH127" i="10" s="1"/>
  <c r="X121" i="10"/>
  <c r="AH121" i="10" s="1"/>
  <c r="X117" i="10"/>
  <c r="X107" i="10"/>
  <c r="X105" i="10" s="1"/>
  <c r="X104" i="10" s="1"/>
  <c r="X100" i="10"/>
  <c r="X95" i="10"/>
  <c r="X88" i="10"/>
  <c r="AJ88" i="10" s="1"/>
  <c r="X84" i="10"/>
  <c r="AH84" i="10" s="1"/>
  <c r="X78" i="10"/>
  <c r="X70" i="10"/>
  <c r="X61" i="10"/>
  <c r="X54" i="10"/>
  <c r="AI54" i="10" s="1"/>
  <c r="X50" i="10"/>
  <c r="X45" i="10"/>
  <c r="AH45" i="10" s="1"/>
  <c r="X38" i="10"/>
  <c r="X32" i="10"/>
  <c r="X28" i="10"/>
  <c r="X24" i="10"/>
  <c r="X19" i="10"/>
  <c r="F15" i="12"/>
  <c r="M15" i="12" s="1"/>
  <c r="X33" i="14"/>
  <c r="AJ33" i="14" s="1"/>
  <c r="X29" i="14"/>
  <c r="AJ18" i="6"/>
  <c r="AH18" i="6"/>
  <c r="AI18" i="6"/>
  <c r="BN11" i="6"/>
  <c r="I55" i="6"/>
  <c r="G54" i="6"/>
  <c r="AH181" i="6"/>
  <c r="AJ181" i="6"/>
  <c r="AI181" i="6"/>
  <c r="AI22" i="6"/>
  <c r="AJ22" i="6"/>
  <c r="AH22" i="6"/>
  <c r="BQ16" i="13"/>
  <c r="AC145" i="8"/>
  <c r="AC220" i="10"/>
  <c r="AF232" i="13"/>
  <c r="BQ29" i="13" s="1"/>
  <c r="AF232" i="14"/>
  <c r="BQ29" i="14" s="1"/>
  <c r="T244" i="9"/>
  <c r="T244" i="10" s="1"/>
  <c r="T244" i="11" s="1"/>
  <c r="T244" i="12" s="1"/>
  <c r="T244" i="13" s="1"/>
  <c r="T244" i="14" s="1"/>
  <c r="T244" i="15" s="1"/>
  <c r="T244" i="16" s="1"/>
  <c r="T33" i="8"/>
  <c r="T246" i="9"/>
  <c r="T246" i="10" s="1"/>
  <c r="T246" i="11" s="1"/>
  <c r="T246" i="12" s="1"/>
  <c r="T246" i="13" s="1"/>
  <c r="T246" i="14" s="1"/>
  <c r="T246" i="15" s="1"/>
  <c r="T246" i="16" s="1"/>
  <c r="T248" i="9"/>
  <c r="T248" i="10" s="1"/>
  <c r="T248" i="11" s="1"/>
  <c r="T248" i="12" s="1"/>
  <c r="T248" i="13" s="1"/>
  <c r="T248" i="14" s="1"/>
  <c r="T248" i="15" s="1"/>
  <c r="T248" i="16" s="1"/>
  <c r="T250" i="9"/>
  <c r="T250" i="10" s="1"/>
  <c r="T250" i="11" s="1"/>
  <c r="T250" i="12" s="1"/>
  <c r="T250" i="13" s="1"/>
  <c r="T250" i="14" s="1"/>
  <c r="T250" i="15" s="1"/>
  <c r="T250" i="16" s="1"/>
  <c r="T252" i="9"/>
  <c r="T252" i="10" s="1"/>
  <c r="T252" i="11" s="1"/>
  <c r="T252" i="12" s="1"/>
  <c r="T252" i="13" s="1"/>
  <c r="T252" i="14" s="1"/>
  <c r="T252" i="15" s="1"/>
  <c r="T252" i="16" s="1"/>
  <c r="T254" i="9"/>
  <c r="T254" i="10" s="1"/>
  <c r="T254" i="11" s="1"/>
  <c r="T254" i="12" s="1"/>
  <c r="T254" i="13" s="1"/>
  <c r="T254" i="14" s="1"/>
  <c r="T254" i="15" s="1"/>
  <c r="T254" i="16" s="1"/>
  <c r="T256" i="9"/>
  <c r="T256" i="10" s="1"/>
  <c r="T256" i="11" s="1"/>
  <c r="T256" i="12" s="1"/>
  <c r="T256" i="13" s="1"/>
  <c r="T256" i="14" s="1"/>
  <c r="T256" i="15" s="1"/>
  <c r="T256" i="16" s="1"/>
  <c r="AL232" i="14"/>
  <c r="AL232" i="10"/>
  <c r="AM232" i="16"/>
  <c r="AM232" i="12"/>
  <c r="K28" i="10"/>
  <c r="K21" i="10" s="1"/>
  <c r="K19" i="10" s="1"/>
  <c r="K17" i="10" s="1"/>
  <c r="K8" i="10" s="1"/>
  <c r="AF220" i="5"/>
  <c r="BQ30" i="5" s="1"/>
  <c r="N23" i="5"/>
  <c r="BP16" i="5"/>
  <c r="AC220" i="5"/>
  <c r="AC170" i="5"/>
  <c r="AC145" i="5"/>
  <c r="F60" i="5"/>
  <c r="U243" i="6"/>
  <c r="U211" i="6"/>
  <c r="U210" i="6" s="1"/>
  <c r="U209" i="6" s="1"/>
  <c r="U176" i="6"/>
  <c r="U141" i="6"/>
  <c r="U91" i="6"/>
  <c r="U90" i="6" s="1"/>
  <c r="U49" i="6"/>
  <c r="C75" i="6"/>
  <c r="C63" i="6"/>
  <c r="C51" i="6"/>
  <c r="C35" i="6"/>
  <c r="C22" i="6"/>
  <c r="U235" i="8"/>
  <c r="U234" i="8" s="1"/>
  <c r="U157" i="8"/>
  <c r="U155" i="8" s="1"/>
  <c r="U145" i="8" s="1"/>
  <c r="U105" i="8"/>
  <c r="U104" i="8" s="1"/>
  <c r="C75" i="8"/>
  <c r="C51" i="8"/>
  <c r="AJ61" i="8"/>
  <c r="AI200" i="8"/>
  <c r="AH41" i="8"/>
  <c r="C35" i="9"/>
  <c r="AI213" i="9"/>
  <c r="AI80" i="9"/>
  <c r="U149" i="7"/>
  <c r="U147" i="7" s="1"/>
  <c r="U58" i="7"/>
  <c r="U57" i="7" s="1"/>
  <c r="C60" i="7"/>
  <c r="C42" i="7"/>
  <c r="AC112" i="7"/>
  <c r="Z220" i="7"/>
  <c r="C81" i="12"/>
  <c r="U172" i="12"/>
  <c r="AE244" i="6"/>
  <c r="AG243" i="5"/>
  <c r="AB244" i="6"/>
  <c r="AD243" i="5"/>
  <c r="AD232" i="5" s="1"/>
  <c r="W244" i="6"/>
  <c r="W243" i="5"/>
  <c r="W232" i="5" s="1"/>
  <c r="AC43" i="13"/>
  <c r="AC14" i="13" s="1"/>
  <c r="AC170" i="12"/>
  <c r="Z90" i="13"/>
  <c r="Z112" i="8"/>
  <c r="Z110" i="8" s="1"/>
  <c r="Z112" i="13"/>
  <c r="Z110" i="13" s="1"/>
  <c r="Z220" i="9"/>
  <c r="Z234" i="8"/>
  <c r="Z232" i="8" s="1"/>
  <c r="AM145" i="13"/>
  <c r="AL43" i="16"/>
  <c r="AL14" i="16" s="1"/>
  <c r="AL90" i="15"/>
  <c r="AL193" i="14"/>
  <c r="AL112" i="13"/>
  <c r="AL90" i="9"/>
  <c r="AL90" i="7"/>
  <c r="AL63" i="7" s="1"/>
  <c r="AL220" i="5"/>
  <c r="Y193" i="5"/>
  <c r="S244" i="9"/>
  <c r="S244" i="10" s="1"/>
  <c r="S244" i="11" s="1"/>
  <c r="S244" i="12" s="1"/>
  <c r="S244" i="13" s="1"/>
  <c r="S244" i="14" s="1"/>
  <c r="S244" i="15" s="1"/>
  <c r="S244" i="16" s="1"/>
  <c r="T245" i="9"/>
  <c r="T245" i="10" s="1"/>
  <c r="T245" i="11" s="1"/>
  <c r="T245" i="12" s="1"/>
  <c r="T245" i="13" s="1"/>
  <c r="T245" i="14" s="1"/>
  <c r="T245" i="15" s="1"/>
  <c r="T245" i="16" s="1"/>
  <c r="S247" i="9"/>
  <c r="S247" i="10" s="1"/>
  <c r="S247" i="11" s="1"/>
  <c r="S247" i="12" s="1"/>
  <c r="S247" i="13" s="1"/>
  <c r="S247" i="14" s="1"/>
  <c r="S247" i="15" s="1"/>
  <c r="S247" i="16" s="1"/>
  <c r="S249" i="9"/>
  <c r="S249" i="10" s="1"/>
  <c r="S249" i="11" s="1"/>
  <c r="S249" i="12" s="1"/>
  <c r="S249" i="13" s="1"/>
  <c r="S249" i="14" s="1"/>
  <c r="S249" i="15" s="1"/>
  <c r="S249" i="16" s="1"/>
  <c r="S251" i="9"/>
  <c r="S251" i="10" s="1"/>
  <c r="S251" i="11" s="1"/>
  <c r="S251" i="12" s="1"/>
  <c r="S251" i="13" s="1"/>
  <c r="S251" i="14" s="1"/>
  <c r="S251" i="15" s="1"/>
  <c r="S251" i="16" s="1"/>
  <c r="S253" i="9"/>
  <c r="S253" i="10" s="1"/>
  <c r="S253" i="11" s="1"/>
  <c r="S253" i="12" s="1"/>
  <c r="S253" i="13" s="1"/>
  <c r="S253" i="14" s="1"/>
  <c r="S253" i="15" s="1"/>
  <c r="S253" i="16" s="1"/>
  <c r="S255" i="9"/>
  <c r="S255" i="10" s="1"/>
  <c r="S255" i="11" s="1"/>
  <c r="S255" i="12" s="1"/>
  <c r="S255" i="13" s="1"/>
  <c r="S255" i="14" s="1"/>
  <c r="S255" i="15" s="1"/>
  <c r="S255" i="16" s="1"/>
  <c r="AL232" i="13"/>
  <c r="AL232" i="9"/>
  <c r="AM232" i="15"/>
  <c r="AM232" i="7"/>
  <c r="V244" i="6"/>
  <c r="V243" i="5"/>
  <c r="V232" i="5" s="1"/>
  <c r="AF232" i="15"/>
  <c r="BQ29" i="15" s="1"/>
  <c r="AF234" i="11"/>
  <c r="AF232" i="11" s="1"/>
  <c r="BQ29" i="11" s="1"/>
  <c r="AF232" i="16"/>
  <c r="BQ29" i="16" s="1"/>
  <c r="AL193" i="7"/>
  <c r="AL112" i="14"/>
  <c r="T257" i="9"/>
  <c r="T257" i="10" s="1"/>
  <c r="T257" i="11" s="1"/>
  <c r="T257" i="12" s="1"/>
  <c r="T257" i="13" s="1"/>
  <c r="T257" i="14" s="1"/>
  <c r="T257" i="15" s="1"/>
  <c r="T257" i="16" s="1"/>
  <c r="T243" i="9"/>
  <c r="T243" i="10" s="1"/>
  <c r="T243" i="11" s="1"/>
  <c r="T243" i="12" s="1"/>
  <c r="T243" i="13" s="1"/>
  <c r="T243" i="14" s="1"/>
  <c r="T243" i="15" s="1"/>
  <c r="T243" i="16" s="1"/>
  <c r="S245" i="9"/>
  <c r="S245" i="10" s="1"/>
  <c r="S245" i="11" s="1"/>
  <c r="S245" i="12" s="1"/>
  <c r="S245" i="13" s="1"/>
  <c r="S245" i="14" s="1"/>
  <c r="S245" i="15" s="1"/>
  <c r="S245" i="16" s="1"/>
  <c r="T247" i="9"/>
  <c r="T247" i="10" s="1"/>
  <c r="T247" i="11" s="1"/>
  <c r="T247" i="12" s="1"/>
  <c r="T247" i="13" s="1"/>
  <c r="T247" i="14" s="1"/>
  <c r="T247" i="15" s="1"/>
  <c r="T247" i="16" s="1"/>
  <c r="T249" i="9"/>
  <c r="T249" i="10" s="1"/>
  <c r="T249" i="11" s="1"/>
  <c r="T249" i="12" s="1"/>
  <c r="T249" i="13" s="1"/>
  <c r="T249" i="14" s="1"/>
  <c r="T249" i="15" s="1"/>
  <c r="T249" i="16" s="1"/>
  <c r="T251" i="9"/>
  <c r="T251" i="10" s="1"/>
  <c r="T251" i="11" s="1"/>
  <c r="T251" i="12" s="1"/>
  <c r="T251" i="13" s="1"/>
  <c r="T251" i="14" s="1"/>
  <c r="T251" i="15" s="1"/>
  <c r="T251" i="16" s="1"/>
  <c r="T253" i="9"/>
  <c r="T253" i="10" s="1"/>
  <c r="T253" i="11" s="1"/>
  <c r="T253" i="12" s="1"/>
  <c r="T253" i="13" s="1"/>
  <c r="T253" i="14" s="1"/>
  <c r="T253" i="15" s="1"/>
  <c r="T253" i="16" s="1"/>
  <c r="T255" i="9"/>
  <c r="T255" i="10" s="1"/>
  <c r="T255" i="11" s="1"/>
  <c r="T255" i="12" s="1"/>
  <c r="T255" i="13" s="1"/>
  <c r="T255" i="14" s="1"/>
  <c r="T255" i="15" s="1"/>
  <c r="T255" i="16" s="1"/>
  <c r="AL232" i="16"/>
  <c r="AL232" i="12"/>
  <c r="AM232" i="14"/>
  <c r="AM232" i="10"/>
  <c r="K28" i="8"/>
  <c r="K21" i="8" s="1"/>
  <c r="K19" i="8" s="1"/>
  <c r="K17" i="8" s="1"/>
  <c r="K28" i="13"/>
  <c r="Q28" i="16"/>
  <c r="U232" i="5"/>
  <c r="N53" i="5"/>
  <c r="AC196" i="5"/>
  <c r="AC195" i="5" s="1"/>
  <c r="AC193" i="5" s="1"/>
  <c r="AC112" i="5"/>
  <c r="Z196" i="5"/>
  <c r="Z195" i="5" s="1"/>
  <c r="Z193" i="5" s="1"/>
  <c r="Z90" i="5"/>
  <c r="X222" i="5"/>
  <c r="U227" i="6"/>
  <c r="AF112" i="6"/>
  <c r="AC234" i="6"/>
  <c r="AC232" i="6" s="1"/>
  <c r="AC112" i="6"/>
  <c r="Y196" i="6"/>
  <c r="Y195" i="6" s="1"/>
  <c r="Y193" i="6" s="1"/>
  <c r="U222" i="8"/>
  <c r="U220" i="8" s="1"/>
  <c r="U141" i="8"/>
  <c r="U58" i="8"/>
  <c r="U57" i="8" s="1"/>
  <c r="C63" i="8"/>
  <c r="AJ24" i="8"/>
  <c r="AI217" i="8"/>
  <c r="U222" i="9"/>
  <c r="U141" i="9"/>
  <c r="AI236" i="9"/>
  <c r="U105" i="7"/>
  <c r="U104" i="7" s="1"/>
  <c r="BQ17" i="7"/>
  <c r="Z232" i="7"/>
  <c r="Z90" i="7"/>
  <c r="Z63" i="7" s="1"/>
  <c r="Z43" i="7"/>
  <c r="Z14" i="7" s="1"/>
  <c r="X58" i="7"/>
  <c r="X57" i="7" s="1"/>
  <c r="AH138" i="10"/>
  <c r="C69" i="11"/>
  <c r="C63" i="11"/>
  <c r="C45" i="11"/>
  <c r="C35" i="11"/>
  <c r="Y244" i="6"/>
  <c r="AA243" i="5"/>
  <c r="AA232" i="5" s="1"/>
  <c r="AC43" i="9"/>
  <c r="AC90" i="13"/>
  <c r="AC63" i="13" s="1"/>
  <c r="AC90" i="9"/>
  <c r="AC63" i="9" s="1"/>
  <c r="AC112" i="9"/>
  <c r="AC145" i="12"/>
  <c r="AC193" i="14"/>
  <c r="AF220" i="10"/>
  <c r="BQ30" i="10" s="1"/>
  <c r="BK14" i="10" s="1"/>
  <c r="AC232" i="9"/>
  <c r="Z145" i="15"/>
  <c r="Z232" i="12"/>
  <c r="AM145" i="16"/>
  <c r="AM170" i="12"/>
  <c r="AM170" i="14"/>
  <c r="AM220" i="5"/>
  <c r="AL145" i="16"/>
  <c r="AL145" i="15"/>
  <c r="AL110" i="15" s="1"/>
  <c r="AL145" i="13"/>
  <c r="AL193" i="12"/>
  <c r="AL90" i="12"/>
  <c r="AL43" i="12"/>
  <c r="AL14" i="12" s="1"/>
  <c r="AL90" i="6"/>
  <c r="AB90" i="5"/>
  <c r="AB63" i="5" s="1"/>
  <c r="S257" i="9"/>
  <c r="S257" i="10" s="1"/>
  <c r="S257" i="11" s="1"/>
  <c r="S257" i="12" s="1"/>
  <c r="S257" i="13" s="1"/>
  <c r="S257" i="14" s="1"/>
  <c r="S257" i="15" s="1"/>
  <c r="S257" i="16" s="1"/>
  <c r="S243" i="9"/>
  <c r="S243" i="10" s="1"/>
  <c r="S243" i="11" s="1"/>
  <c r="S243" i="12" s="1"/>
  <c r="S243" i="13" s="1"/>
  <c r="S243" i="14" s="1"/>
  <c r="S243" i="15" s="1"/>
  <c r="S243" i="16" s="1"/>
  <c r="AM193" i="12"/>
  <c r="S246" i="9"/>
  <c r="S246" i="10" s="1"/>
  <c r="S246" i="11" s="1"/>
  <c r="S246" i="12" s="1"/>
  <c r="S246" i="13" s="1"/>
  <c r="S246" i="14" s="1"/>
  <c r="S246" i="15" s="1"/>
  <c r="S246" i="16" s="1"/>
  <c r="S248" i="9"/>
  <c r="S248" i="10" s="1"/>
  <c r="S248" i="11" s="1"/>
  <c r="S248" i="12" s="1"/>
  <c r="S248" i="13" s="1"/>
  <c r="S248" i="14" s="1"/>
  <c r="S248" i="15" s="1"/>
  <c r="S248" i="16" s="1"/>
  <c r="S250" i="9"/>
  <c r="S250" i="10" s="1"/>
  <c r="S250" i="11" s="1"/>
  <c r="S250" i="12" s="1"/>
  <c r="S250" i="13" s="1"/>
  <c r="S250" i="14" s="1"/>
  <c r="S250" i="15" s="1"/>
  <c r="S250" i="16" s="1"/>
  <c r="S252" i="9"/>
  <c r="S252" i="10" s="1"/>
  <c r="S252" i="11" s="1"/>
  <c r="S252" i="12" s="1"/>
  <c r="S252" i="13" s="1"/>
  <c r="S252" i="14" s="1"/>
  <c r="S252" i="15" s="1"/>
  <c r="S252" i="16" s="1"/>
  <c r="S254" i="9"/>
  <c r="S254" i="10" s="1"/>
  <c r="S254" i="11" s="1"/>
  <c r="S254" i="12" s="1"/>
  <c r="S254" i="13" s="1"/>
  <c r="S254" i="14" s="1"/>
  <c r="S254" i="15" s="1"/>
  <c r="S254" i="16" s="1"/>
  <c r="S256" i="9"/>
  <c r="S256" i="10" s="1"/>
  <c r="S256" i="11" s="1"/>
  <c r="S256" i="12" s="1"/>
  <c r="S256" i="13" s="1"/>
  <c r="S256" i="14" s="1"/>
  <c r="S256" i="15" s="1"/>
  <c r="S256" i="16" s="1"/>
  <c r="AL232" i="15"/>
  <c r="AL232" i="11"/>
  <c r="AL232" i="7"/>
  <c r="AH78" i="11"/>
  <c r="AF90" i="16"/>
  <c r="AF63" i="16" s="1"/>
  <c r="AF43" i="16"/>
  <c r="AF14" i="16" s="1"/>
  <c r="Z43" i="16"/>
  <c r="Z14" i="16" s="1"/>
  <c r="AL170" i="16"/>
  <c r="AL112" i="16"/>
  <c r="Z196" i="16"/>
  <c r="Z195" i="16" s="1"/>
  <c r="Z193" i="16" s="1"/>
  <c r="AM220" i="16"/>
  <c r="K28" i="16"/>
  <c r="AF14" i="15"/>
  <c r="Z43" i="15"/>
  <c r="AL63" i="15"/>
  <c r="AL43" i="15"/>
  <c r="AC112" i="15"/>
  <c r="Z112" i="15"/>
  <c r="AL170" i="15"/>
  <c r="AM63" i="15"/>
  <c r="AM12" i="15" s="1"/>
  <c r="Z220" i="16"/>
  <c r="Z112" i="16"/>
  <c r="Z110" i="16" s="1"/>
  <c r="Z112" i="14"/>
  <c r="Z110" i="14" s="1"/>
  <c r="Z43" i="14"/>
  <c r="AL90" i="14"/>
  <c r="AL63" i="14" s="1"/>
  <c r="AC112" i="14"/>
  <c r="Z220" i="14"/>
  <c r="Z90" i="15"/>
  <c r="Z63" i="15" s="1"/>
  <c r="AC90" i="15"/>
  <c r="AC63" i="15" s="1"/>
  <c r="AC170" i="13"/>
  <c r="P28" i="13"/>
  <c r="C35" i="13"/>
  <c r="AL170" i="13"/>
  <c r="AF43" i="13"/>
  <c r="C54" i="13"/>
  <c r="C57" i="14"/>
  <c r="AF90" i="13"/>
  <c r="AF63" i="13" s="1"/>
  <c r="C75" i="13"/>
  <c r="C22" i="13"/>
  <c r="AF63" i="14"/>
  <c r="C66" i="14"/>
  <c r="C48" i="14"/>
  <c r="X252" i="14"/>
  <c r="AH252" i="14" s="1"/>
  <c r="U105" i="14"/>
  <c r="C29" i="14"/>
  <c r="AF220" i="14"/>
  <c r="BQ30" i="14" s="1"/>
  <c r="BK14" i="14" s="1"/>
  <c r="C25" i="13"/>
  <c r="AL220" i="12"/>
  <c r="AL112" i="12"/>
  <c r="C69" i="12"/>
  <c r="C22" i="12"/>
  <c r="U91" i="13"/>
  <c r="C72" i="13"/>
  <c r="C66" i="13"/>
  <c r="C60" i="13"/>
  <c r="C48" i="13"/>
  <c r="AJ61" i="14"/>
  <c r="AJ38" i="14"/>
  <c r="X68" i="16"/>
  <c r="AI68" i="16" s="1"/>
  <c r="X249" i="16"/>
  <c r="AH249" i="16" s="1"/>
  <c r="X230" i="16"/>
  <c r="X81" i="16"/>
  <c r="AH81" i="16" s="1"/>
  <c r="F70" i="16"/>
  <c r="N70" i="16" s="1"/>
  <c r="F58" i="16"/>
  <c r="N58" i="16" s="1"/>
  <c r="AC220" i="12"/>
  <c r="Z14" i="12"/>
  <c r="U235" i="12"/>
  <c r="U234" i="12" s="1"/>
  <c r="U227" i="12"/>
  <c r="U211" i="12"/>
  <c r="U210" i="12" s="1"/>
  <c r="U209" i="12" s="1"/>
  <c r="U58" i="12"/>
  <c r="U57" i="12" s="1"/>
  <c r="C72" i="12"/>
  <c r="C60" i="12"/>
  <c r="AH255" i="16"/>
  <c r="AI255" i="16"/>
  <c r="AJ3" i="12"/>
  <c r="BC5" i="12"/>
  <c r="AW19" i="12"/>
  <c r="AS21" i="12"/>
  <c r="AS6" i="12"/>
  <c r="AR21" i="12"/>
  <c r="AT6" i="12"/>
  <c r="AT21" i="12"/>
  <c r="AI78" i="14"/>
  <c r="AJ78" i="14"/>
  <c r="AH45" i="14"/>
  <c r="AI45" i="14"/>
  <c r="AB177" i="13"/>
  <c r="AD177" i="13" s="1"/>
  <c r="BP23" i="12"/>
  <c r="AB131" i="13"/>
  <c r="AD131" i="13" s="1"/>
  <c r="AI131" i="12"/>
  <c r="AB121" i="13"/>
  <c r="AD121" i="13" s="1"/>
  <c r="AB121" i="14" s="1"/>
  <c r="AD121" i="14" s="1"/>
  <c r="AI121" i="12"/>
  <c r="AB95" i="13"/>
  <c r="AD95" i="13" s="1"/>
  <c r="AB95" i="14" s="1"/>
  <c r="AD95" i="14" s="1"/>
  <c r="AI95" i="12"/>
  <c r="AB33" i="14"/>
  <c r="AD33" i="14" s="1"/>
  <c r="AB29" i="13"/>
  <c r="AD29" i="13" s="1"/>
  <c r="AB29" i="14" s="1"/>
  <c r="AD29" i="14" s="1"/>
  <c r="AB29" i="15" s="1"/>
  <c r="AD29" i="15" s="1"/>
  <c r="AB25" i="13"/>
  <c r="AD25" i="13" s="1"/>
  <c r="AB25" i="14" s="1"/>
  <c r="AD25" i="14" s="1"/>
  <c r="AB25" i="15" s="1"/>
  <c r="AD25" i="15" s="1"/>
  <c r="Y254" i="13"/>
  <c r="AA254" i="13" s="1"/>
  <c r="Y254" i="14" s="1"/>
  <c r="AA254" i="14" s="1"/>
  <c r="Y254" i="15" s="1"/>
  <c r="AA254" i="15" s="1"/>
  <c r="Y254" i="16" s="1"/>
  <c r="AA254" i="16" s="1"/>
  <c r="AH254" i="12"/>
  <c r="Y250" i="14"/>
  <c r="AA250" i="14" s="1"/>
  <c r="Y250" i="15" s="1"/>
  <c r="AA250" i="15" s="1"/>
  <c r="AH250" i="13"/>
  <c r="Y240" i="13"/>
  <c r="AA240" i="13" s="1"/>
  <c r="AH240" i="12"/>
  <c r="Y217" i="16"/>
  <c r="AA217" i="16" s="1"/>
  <c r="AH217" i="15"/>
  <c r="Y204" i="16"/>
  <c r="AA204" i="16" s="1"/>
  <c r="AH204" i="15"/>
  <c r="Y156" i="13"/>
  <c r="AA156" i="13" s="1"/>
  <c r="AH156" i="13" s="1"/>
  <c r="AH156" i="12"/>
  <c r="BO18" i="12"/>
  <c r="Y139" i="13"/>
  <c r="AA139" i="13" s="1"/>
  <c r="Y139" i="14" s="1"/>
  <c r="AA139" i="14" s="1"/>
  <c r="Y139" i="15" s="1"/>
  <c r="AA139" i="15" s="1"/>
  <c r="AH139" i="12"/>
  <c r="Y131" i="13"/>
  <c r="AA131" i="13" s="1"/>
  <c r="Y131" i="14" s="1"/>
  <c r="AA131" i="14" s="1"/>
  <c r="Y131" i="15" s="1"/>
  <c r="AA131" i="15" s="1"/>
  <c r="Y131" i="16" s="1"/>
  <c r="AA131" i="16" s="1"/>
  <c r="AH131" i="16" s="1"/>
  <c r="AH131" i="12"/>
  <c r="Y121" i="16"/>
  <c r="AA121" i="16" s="1"/>
  <c r="AH121" i="15"/>
  <c r="Y84" i="14"/>
  <c r="AA84" i="14" s="1"/>
  <c r="Y84" i="15" s="1"/>
  <c r="AA84" i="15" s="1"/>
  <c r="AH84" i="13"/>
  <c r="Y78" i="14"/>
  <c r="AA78" i="14" s="1"/>
  <c r="Y78" i="15" s="1"/>
  <c r="AA78" i="15" s="1"/>
  <c r="Y78" i="16" s="1"/>
  <c r="AA78" i="16" s="1"/>
  <c r="AH78" i="13"/>
  <c r="Y66" i="13"/>
  <c r="AA66" i="13" s="1"/>
  <c r="Y55" i="13"/>
  <c r="AA55" i="13" s="1"/>
  <c r="Y55" i="14" s="1"/>
  <c r="AA55" i="14" s="1"/>
  <c r="Y55" i="15" s="1"/>
  <c r="AA55" i="15" s="1"/>
  <c r="Y55" i="16" s="1"/>
  <c r="AA55" i="16" s="1"/>
  <c r="Y39" i="13"/>
  <c r="AA39" i="13" s="1"/>
  <c r="Y33" i="14"/>
  <c r="AA33" i="14" s="1"/>
  <c r="AH33" i="13"/>
  <c r="Y29" i="16"/>
  <c r="AA29" i="16" s="1"/>
  <c r="AH29" i="16" s="1"/>
  <c r="AH29" i="15"/>
  <c r="Y25" i="13"/>
  <c r="AA25" i="13" s="1"/>
  <c r="Y25" i="14" s="1"/>
  <c r="AA25" i="14" s="1"/>
  <c r="Y25" i="15" s="1"/>
  <c r="AA25" i="15" s="1"/>
  <c r="V224" i="15"/>
  <c r="X224" i="14"/>
  <c r="V212" i="13"/>
  <c r="X212" i="12"/>
  <c r="AJ153" i="12"/>
  <c r="AI138" i="14"/>
  <c r="AJ45" i="13"/>
  <c r="AE45" i="14"/>
  <c r="AG45" i="14" s="1"/>
  <c r="AC196" i="12"/>
  <c r="AC195" i="12" s="1"/>
  <c r="AC193" i="12" s="1"/>
  <c r="AM112" i="12"/>
  <c r="U197" i="12"/>
  <c r="X125" i="12"/>
  <c r="U123" i="12"/>
  <c r="U69" i="12"/>
  <c r="U65" i="12" s="1"/>
  <c r="AI47" i="12"/>
  <c r="AH183" i="14"/>
  <c r="AM90" i="12"/>
  <c r="AM63" i="12" s="1"/>
  <c r="AF43" i="12"/>
  <c r="AF14" i="12" s="1"/>
  <c r="X67" i="13"/>
  <c r="X253" i="14"/>
  <c r="AI253" i="14" s="1"/>
  <c r="X249" i="14"/>
  <c r="AH249" i="14" s="1"/>
  <c r="X239" i="14"/>
  <c r="AH239" i="14" s="1"/>
  <c r="X230" i="14"/>
  <c r="X216" i="14"/>
  <c r="AH216" i="14" s="1"/>
  <c r="X203" i="14"/>
  <c r="AH203" i="14" s="1"/>
  <c r="X182" i="14"/>
  <c r="AI182" i="14" s="1"/>
  <c r="X168" i="14"/>
  <c r="AI168" i="14" s="1"/>
  <c r="X164" i="14"/>
  <c r="X153" i="14"/>
  <c r="AI153" i="14" s="1"/>
  <c r="X148" i="14"/>
  <c r="BN18" i="14" s="1"/>
  <c r="X130" i="14"/>
  <c r="AH130" i="14" s="1"/>
  <c r="X126" i="14"/>
  <c r="AI126" i="14" s="1"/>
  <c r="X120" i="14"/>
  <c r="X81" i="14"/>
  <c r="X77" i="14"/>
  <c r="AI77" i="14" s="1"/>
  <c r="X68" i="14"/>
  <c r="X41" i="14"/>
  <c r="AJ41" i="14" s="1"/>
  <c r="X31" i="14"/>
  <c r="AH31" i="14" s="1"/>
  <c r="X27" i="14"/>
  <c r="AI27" i="14" s="1"/>
  <c r="X18" i="14"/>
  <c r="AJ18" i="14" s="1"/>
  <c r="AL170" i="12"/>
  <c r="AF90" i="12"/>
  <c r="AF63" i="12" s="1"/>
  <c r="BQ12" i="12"/>
  <c r="AH236" i="16"/>
  <c r="AL145" i="12"/>
  <c r="AL63" i="12"/>
  <c r="AA230" i="13"/>
  <c r="I83" i="13"/>
  <c r="G81" i="13"/>
  <c r="G77" i="14"/>
  <c r="I71" i="13"/>
  <c r="I65" i="13"/>
  <c r="I59" i="13"/>
  <c r="G57" i="13"/>
  <c r="G34" i="14"/>
  <c r="W206" i="15"/>
  <c r="W205" i="14"/>
  <c r="V152" i="14"/>
  <c r="V143" i="15"/>
  <c r="G81" i="12"/>
  <c r="G57" i="12"/>
  <c r="AH38" i="12"/>
  <c r="U205" i="12"/>
  <c r="I81" i="12"/>
  <c r="I57" i="12"/>
  <c r="G32" i="12"/>
  <c r="U44" i="12"/>
  <c r="C66" i="12"/>
  <c r="C54" i="12"/>
  <c r="C48" i="12"/>
  <c r="W205" i="12"/>
  <c r="W205" i="13"/>
  <c r="F15" i="14"/>
  <c r="M15" i="14" s="1"/>
  <c r="F15" i="15"/>
  <c r="M15" i="15" s="1"/>
  <c r="F15" i="16"/>
  <c r="M15" i="16" s="1"/>
  <c r="X137" i="13"/>
  <c r="X129" i="13"/>
  <c r="AH129" i="13" s="1"/>
  <c r="X125" i="13"/>
  <c r="X119" i="13"/>
  <c r="AI119" i="13" s="1"/>
  <c r="X102" i="13"/>
  <c r="AJ102" i="13" s="1"/>
  <c r="X80" i="13"/>
  <c r="X76" i="13"/>
  <c r="X47" i="13"/>
  <c r="X40" i="13"/>
  <c r="X36" i="13"/>
  <c r="X30" i="13"/>
  <c r="AI30" i="13" s="1"/>
  <c r="X26" i="13"/>
  <c r="AI26" i="13" s="1"/>
  <c r="X22" i="13"/>
  <c r="X17" i="13"/>
  <c r="AI17" i="13" s="1"/>
  <c r="X255" i="14"/>
  <c r="AH255" i="14" s="1"/>
  <c r="X251" i="14"/>
  <c r="AH251" i="14" s="1"/>
  <c r="X247" i="14"/>
  <c r="AH247" i="14" s="1"/>
  <c r="X241" i="14"/>
  <c r="AI241" i="14" s="1"/>
  <c r="X218" i="14"/>
  <c r="AH218" i="14" s="1"/>
  <c r="X191" i="14"/>
  <c r="X166" i="14"/>
  <c r="AJ166" i="14" s="1"/>
  <c r="X136" i="14"/>
  <c r="AH136" i="14" s="1"/>
  <c r="X128" i="14"/>
  <c r="X108" i="14"/>
  <c r="AH108" i="14" s="1"/>
  <c r="X101" i="14"/>
  <c r="AJ101" i="14" s="1"/>
  <c r="X79" i="14"/>
  <c r="AH79" i="14" s="1"/>
  <c r="X66" i="14"/>
  <c r="BN10" i="14" s="1"/>
  <c r="X55" i="14"/>
  <c r="X255" i="15"/>
  <c r="X251" i="15"/>
  <c r="X247" i="15"/>
  <c r="X241" i="15"/>
  <c r="X218" i="15"/>
  <c r="X191" i="15"/>
  <c r="X166" i="15"/>
  <c r="X136" i="15"/>
  <c r="X128" i="15"/>
  <c r="X108" i="15"/>
  <c r="AJ108" i="15" s="1"/>
  <c r="X101" i="15"/>
  <c r="AH101" i="15" s="1"/>
  <c r="X79" i="15"/>
  <c r="AH79" i="15" s="1"/>
  <c r="X66" i="15"/>
  <c r="AJ66" i="15" s="1"/>
  <c r="X55" i="15"/>
  <c r="X255" i="13"/>
  <c r="X251" i="13"/>
  <c r="X247" i="13"/>
  <c r="AH247" i="13" s="1"/>
  <c r="X241" i="13"/>
  <c r="AH241" i="13" s="1"/>
  <c r="X218" i="13"/>
  <c r="X191" i="13"/>
  <c r="X166" i="13"/>
  <c r="AH166" i="13" s="1"/>
  <c r="X136" i="13"/>
  <c r="AJ136" i="13" s="1"/>
  <c r="X128" i="13"/>
  <c r="AJ128" i="13" s="1"/>
  <c r="X108" i="13"/>
  <c r="X101" i="13"/>
  <c r="AJ101" i="13" s="1"/>
  <c r="X79" i="13"/>
  <c r="X66" i="13"/>
  <c r="X55" i="13"/>
  <c r="AH54" i="14"/>
  <c r="AH38" i="14"/>
  <c r="AH54" i="15"/>
  <c r="AH38" i="15"/>
  <c r="AH19" i="15"/>
  <c r="AF170" i="13"/>
  <c r="BQ24" i="13" s="1"/>
  <c r="U96" i="12"/>
  <c r="U49" i="12"/>
  <c r="U141" i="11"/>
  <c r="AM110" i="11"/>
  <c r="U96" i="11"/>
  <c r="AC112" i="11"/>
  <c r="AC110" i="11" s="1"/>
  <c r="AF196" i="11"/>
  <c r="AF195" i="11" s="1"/>
  <c r="AF193" i="11" s="1"/>
  <c r="AC63" i="11"/>
  <c r="Z90" i="11"/>
  <c r="M43" i="20"/>
  <c r="Z220" i="12"/>
  <c r="AJ132" i="13"/>
  <c r="Z90" i="12"/>
  <c r="Z63" i="12" s="1"/>
  <c r="C42" i="11"/>
  <c r="C32" i="11"/>
  <c r="C25" i="11"/>
  <c r="BK9" i="12"/>
  <c r="AJ166" i="11"/>
  <c r="AM14" i="10"/>
  <c r="C63" i="10"/>
  <c r="C35" i="10"/>
  <c r="U235" i="11"/>
  <c r="U234" i="11" s="1"/>
  <c r="U20" i="11"/>
  <c r="U16" i="11" s="1"/>
  <c r="AL170" i="10"/>
  <c r="AM220" i="10"/>
  <c r="C22" i="10"/>
  <c r="BK15" i="10"/>
  <c r="AF43" i="10"/>
  <c r="C10" i="11"/>
  <c r="Z193" i="10"/>
  <c r="AF90" i="10"/>
  <c r="AF63" i="10" s="1"/>
  <c r="AM193" i="10"/>
  <c r="C42" i="10"/>
  <c r="AI153" i="12"/>
  <c r="AH183" i="15"/>
  <c r="X162" i="13"/>
  <c r="Z220" i="11"/>
  <c r="AH132" i="14"/>
  <c r="AU12" i="11"/>
  <c r="AV12" i="11"/>
  <c r="Z170" i="11"/>
  <c r="U35" i="10"/>
  <c r="U149" i="11"/>
  <c r="U147" i="11" s="1"/>
  <c r="U105" i="11"/>
  <c r="U104" i="11" s="1"/>
  <c r="U69" i="11"/>
  <c r="U65" i="11" s="1"/>
  <c r="U35" i="11"/>
  <c r="C72" i="11"/>
  <c r="C60" i="11"/>
  <c r="C48" i="11"/>
  <c r="AD59" i="12"/>
  <c r="AB58" i="12"/>
  <c r="AB57" i="12" s="1"/>
  <c r="AB36" i="15"/>
  <c r="AD36" i="15" s="1"/>
  <c r="AB36" i="16" s="1"/>
  <c r="AD36" i="16" s="1"/>
  <c r="AA51" i="12"/>
  <c r="W52" i="13"/>
  <c r="X52" i="13" s="1"/>
  <c r="AI52" i="13" s="1"/>
  <c r="W48" i="12"/>
  <c r="E80" i="13"/>
  <c r="F80" i="13" s="1"/>
  <c r="E74" i="12"/>
  <c r="E56" i="12"/>
  <c r="E50" i="12"/>
  <c r="V199" i="12"/>
  <c r="X199" i="12" s="1"/>
  <c r="V160" i="12"/>
  <c r="V116" i="12"/>
  <c r="X116" i="12" s="1"/>
  <c r="V106" i="12"/>
  <c r="V105" i="11"/>
  <c r="V104" i="11" s="1"/>
  <c r="V99" i="13"/>
  <c r="X99" i="13" s="1"/>
  <c r="V94" i="12"/>
  <c r="V87" i="12"/>
  <c r="X87" i="12" s="1"/>
  <c r="V60" i="12"/>
  <c r="X60" i="12" s="1"/>
  <c r="V53" i="13"/>
  <c r="X53" i="13" s="1"/>
  <c r="AI53" i="13" s="1"/>
  <c r="V48" i="12"/>
  <c r="V37" i="12"/>
  <c r="V23" i="12"/>
  <c r="D65" i="12"/>
  <c r="D65" i="13" s="1"/>
  <c r="D65" i="14" s="1"/>
  <c r="D65" i="15" s="1"/>
  <c r="D65" i="16" s="1"/>
  <c r="D50" i="12"/>
  <c r="D50" i="13" s="1"/>
  <c r="D50" i="14" s="1"/>
  <c r="D50" i="15" s="1"/>
  <c r="D50" i="16" s="1"/>
  <c r="D33" i="13"/>
  <c r="D26" i="12"/>
  <c r="AC170" i="11"/>
  <c r="AC196" i="11"/>
  <c r="AC195" i="11" s="1"/>
  <c r="AC193" i="11" s="1"/>
  <c r="C66" i="10"/>
  <c r="AD58" i="10"/>
  <c r="AD57" i="10" s="1"/>
  <c r="AB58" i="10"/>
  <c r="AB57" i="10" s="1"/>
  <c r="Y172" i="10"/>
  <c r="U222" i="10"/>
  <c r="C75" i="10"/>
  <c r="C69" i="10"/>
  <c r="C57" i="10"/>
  <c r="C51" i="10"/>
  <c r="C29" i="10"/>
  <c r="C10" i="10"/>
  <c r="U205" i="11"/>
  <c r="U123" i="11"/>
  <c r="U91" i="11"/>
  <c r="U49" i="11"/>
  <c r="C66" i="11"/>
  <c r="C54" i="11"/>
  <c r="X256" i="11"/>
  <c r="X252" i="11"/>
  <c r="X248" i="11"/>
  <c r="X202" i="13"/>
  <c r="X181" i="13"/>
  <c r="AH181" i="13" s="1"/>
  <c r="X167" i="13"/>
  <c r="AJ167" i="13" s="1"/>
  <c r="X163" i="13"/>
  <c r="AI163" i="13" s="1"/>
  <c r="U205" i="10"/>
  <c r="AJ41" i="10"/>
  <c r="AJ138" i="10"/>
  <c r="U172" i="11"/>
  <c r="U114" i="11"/>
  <c r="U83" i="11"/>
  <c r="U44" i="11"/>
  <c r="AJ128" i="11"/>
  <c r="AH166" i="11"/>
  <c r="U227" i="11"/>
  <c r="U187" i="11"/>
  <c r="U185" i="11" s="1"/>
  <c r="U176" i="11"/>
  <c r="X216" i="11"/>
  <c r="X212" i="11"/>
  <c r="X203" i="11"/>
  <c r="AH203" i="11" s="1"/>
  <c r="X199" i="11"/>
  <c r="AH199" i="11" s="1"/>
  <c r="X182" i="11"/>
  <c r="X168" i="11"/>
  <c r="X164" i="11"/>
  <c r="AI164" i="11" s="1"/>
  <c r="X160" i="11"/>
  <c r="X153" i="11"/>
  <c r="X148" i="11"/>
  <c r="BN18" i="11" s="1"/>
  <c r="X138" i="11"/>
  <c r="X130" i="11"/>
  <c r="X126" i="11"/>
  <c r="X120" i="11"/>
  <c r="AH120" i="11" s="1"/>
  <c r="X116" i="11"/>
  <c r="AH116" i="11" s="1"/>
  <c r="X106" i="11"/>
  <c r="X99" i="11"/>
  <c r="X87" i="11"/>
  <c r="X81" i="11"/>
  <c r="X77" i="11"/>
  <c r="X253" i="12"/>
  <c r="X249" i="12"/>
  <c r="X239" i="12"/>
  <c r="X230" i="12"/>
  <c r="X224" i="12"/>
  <c r="X216" i="12"/>
  <c r="AH216" i="12" s="1"/>
  <c r="X203" i="12"/>
  <c r="AI203" i="12" s="1"/>
  <c r="X182" i="12"/>
  <c r="X168" i="12"/>
  <c r="X164" i="12"/>
  <c r="X148" i="12"/>
  <c r="X138" i="12"/>
  <c r="AJ138" i="12" s="1"/>
  <c r="X130" i="12"/>
  <c r="AI130" i="12" s="1"/>
  <c r="X126" i="12"/>
  <c r="X120" i="12"/>
  <c r="X99" i="12"/>
  <c r="X81" i="12"/>
  <c r="X77" i="12"/>
  <c r="AH77" i="12" s="1"/>
  <c r="X68" i="12"/>
  <c r="X53" i="12"/>
  <c r="X41" i="12"/>
  <c r="X31" i="12"/>
  <c r="X27" i="12"/>
  <c r="X18" i="12"/>
  <c r="X256" i="12"/>
  <c r="X252" i="12"/>
  <c r="X248" i="12"/>
  <c r="AH248" i="12" s="1"/>
  <c r="X202" i="12"/>
  <c r="X181" i="12"/>
  <c r="AH181" i="12" s="1"/>
  <c r="X167" i="12"/>
  <c r="X163" i="12"/>
  <c r="X137" i="12"/>
  <c r="X129" i="12"/>
  <c r="X119" i="12"/>
  <c r="X102" i="12"/>
  <c r="X80" i="12"/>
  <c r="X76" i="12"/>
  <c r="X52" i="12"/>
  <c r="F70" i="13"/>
  <c r="N70" i="13" s="1"/>
  <c r="F58" i="13"/>
  <c r="X27" i="11"/>
  <c r="X23" i="11"/>
  <c r="AI23" i="11" s="1"/>
  <c r="X18" i="11"/>
  <c r="BN11" i="11" s="1"/>
  <c r="F62" i="11"/>
  <c r="F50" i="11"/>
  <c r="F44" i="11"/>
  <c r="X253" i="13"/>
  <c r="AH253" i="13" s="1"/>
  <c r="X249" i="13"/>
  <c r="AH249" i="13" s="1"/>
  <c r="X239" i="13"/>
  <c r="AI239" i="13" s="1"/>
  <c r="X230" i="13"/>
  <c r="AI230" i="13" s="1"/>
  <c r="X216" i="13"/>
  <c r="AH216" i="13" s="1"/>
  <c r="X203" i="13"/>
  <c r="AI203" i="13" s="1"/>
  <c r="X182" i="13"/>
  <c r="X168" i="13"/>
  <c r="AJ168" i="13" s="1"/>
  <c r="X164" i="13"/>
  <c r="X153" i="13"/>
  <c r="AJ153" i="13" s="1"/>
  <c r="X148" i="13"/>
  <c r="AI148" i="13" s="1"/>
  <c r="X138" i="13"/>
  <c r="X130" i="13"/>
  <c r="X126" i="13"/>
  <c r="AI126" i="13" s="1"/>
  <c r="X120" i="13"/>
  <c r="X81" i="13"/>
  <c r="AJ81" i="13" s="1"/>
  <c r="X77" i="13"/>
  <c r="AJ77" i="13" s="1"/>
  <c r="X68" i="13"/>
  <c r="AJ68" i="13" s="1"/>
  <c r="X41" i="13"/>
  <c r="AJ41" i="13" s="1"/>
  <c r="X31" i="13"/>
  <c r="X27" i="13"/>
  <c r="AJ27" i="13" s="1"/>
  <c r="X18" i="13"/>
  <c r="AH18" i="13" s="1"/>
  <c r="X253" i="15"/>
  <c r="AH253" i="15" s="1"/>
  <c r="X249" i="15"/>
  <c r="X239" i="15"/>
  <c r="AH239" i="15" s="1"/>
  <c r="X230" i="15"/>
  <c r="X216" i="15"/>
  <c r="X203" i="15"/>
  <c r="X182" i="15"/>
  <c r="X168" i="15"/>
  <c r="AJ168" i="15" s="1"/>
  <c r="X164" i="15"/>
  <c r="X153" i="15"/>
  <c r="AH153" i="15" s="1"/>
  <c r="X148" i="15"/>
  <c r="BN18" i="15" s="1"/>
  <c r="X130" i="15"/>
  <c r="AH130" i="15" s="1"/>
  <c r="X126" i="15"/>
  <c r="AI126" i="15" s="1"/>
  <c r="X120" i="15"/>
  <c r="AJ120" i="15" s="1"/>
  <c r="X81" i="15"/>
  <c r="X77" i="15"/>
  <c r="X68" i="15"/>
  <c r="X18" i="15"/>
  <c r="AH18" i="15" s="1"/>
  <c r="U222" i="11"/>
  <c r="U243" i="11"/>
  <c r="U211" i="11"/>
  <c r="U210" i="11" s="1"/>
  <c r="U209" i="11" s="1"/>
  <c r="Z43" i="11"/>
  <c r="Z14" i="11" s="1"/>
  <c r="U197" i="11"/>
  <c r="U105" i="10"/>
  <c r="U104" i="10" s="1"/>
  <c r="AF90" i="9"/>
  <c r="AF63" i="9" s="1"/>
  <c r="C32" i="10"/>
  <c r="BQ27" i="9"/>
  <c r="J50" i="20" s="1"/>
  <c r="P28" i="9"/>
  <c r="C57" i="9"/>
  <c r="C29" i="9"/>
  <c r="C22" i="9"/>
  <c r="U69" i="10"/>
  <c r="U65" i="10" s="1"/>
  <c r="C72" i="10"/>
  <c r="C60" i="10"/>
  <c r="C48" i="10"/>
  <c r="AI249" i="10"/>
  <c r="AI106" i="10"/>
  <c r="AI131" i="11"/>
  <c r="U187" i="10"/>
  <c r="U185" i="10" s="1"/>
  <c r="U172" i="10"/>
  <c r="BQ28" i="9"/>
  <c r="J51" i="20" s="1"/>
  <c r="AF195" i="9"/>
  <c r="AF193" i="9" s="1"/>
  <c r="AM90" i="9"/>
  <c r="AM63" i="9" s="1"/>
  <c r="AF14" i="9"/>
  <c r="C45" i="9"/>
  <c r="U149" i="10"/>
  <c r="U147" i="10" s="1"/>
  <c r="AJ132" i="11"/>
  <c r="AL170" i="9"/>
  <c r="AM43" i="9"/>
  <c r="AM14" i="9" s="1"/>
  <c r="BQ12" i="9"/>
  <c r="U243" i="10"/>
  <c r="AC170" i="10"/>
  <c r="U187" i="9"/>
  <c r="U185" i="9" s="1"/>
  <c r="U235" i="10"/>
  <c r="U234" i="10" s="1"/>
  <c r="U123" i="10"/>
  <c r="U91" i="10"/>
  <c r="U49" i="10"/>
  <c r="Z170" i="10"/>
  <c r="U227" i="9"/>
  <c r="U227" i="10"/>
  <c r="U197" i="10"/>
  <c r="U196" i="10" s="1"/>
  <c r="U195" i="10" s="1"/>
  <c r="U157" i="10"/>
  <c r="U155" i="10" s="1"/>
  <c r="U114" i="10"/>
  <c r="U83" i="10"/>
  <c r="AJ37" i="11"/>
  <c r="AI128" i="11"/>
  <c r="U211" i="10"/>
  <c r="U210" i="10" s="1"/>
  <c r="U209" i="10" s="1"/>
  <c r="U176" i="10"/>
  <c r="U141" i="10"/>
  <c r="U96" i="10"/>
  <c r="U58" i="10"/>
  <c r="U57" i="10" s="1"/>
  <c r="AF232" i="8"/>
  <c r="AS22" i="14"/>
  <c r="AX22" i="14" s="1"/>
  <c r="AE156" i="14"/>
  <c r="AG156" i="14" s="1"/>
  <c r="AE156" i="15" s="1"/>
  <c r="AG156" i="15" s="1"/>
  <c r="AE156" i="16" s="1"/>
  <c r="AG156" i="16" s="1"/>
  <c r="T10" i="18" s="1"/>
  <c r="AE60" i="14"/>
  <c r="AG60" i="14" s="1"/>
  <c r="BQ20" i="8"/>
  <c r="AF112" i="8"/>
  <c r="AJ3" i="8"/>
  <c r="BE3" i="8"/>
  <c r="BK3" i="8" s="1"/>
  <c r="BQ3" i="8" s="1"/>
  <c r="BN5" i="8" s="1"/>
  <c r="BC5" i="8"/>
  <c r="AW19" i="8"/>
  <c r="AW4" i="8"/>
  <c r="AR21" i="8"/>
  <c r="AT6" i="8"/>
  <c r="AT21" i="8"/>
  <c r="AS6" i="8"/>
  <c r="AS21" i="8"/>
  <c r="AH108" i="16"/>
  <c r="AE174" i="11"/>
  <c r="BH5" i="8"/>
  <c r="AF220" i="8"/>
  <c r="BQ30" i="8" s="1"/>
  <c r="AM14" i="8"/>
  <c r="AH199" i="9"/>
  <c r="AI199" i="9"/>
  <c r="X150" i="9"/>
  <c r="U149" i="9"/>
  <c r="U147" i="9" s="1"/>
  <c r="X127" i="9"/>
  <c r="U123" i="9"/>
  <c r="X117" i="9"/>
  <c r="U114" i="9"/>
  <c r="X107" i="9"/>
  <c r="X105" i="9" s="1"/>
  <c r="U105" i="9"/>
  <c r="U104" i="9" s="1"/>
  <c r="X95" i="9"/>
  <c r="U91" i="9"/>
  <c r="X84" i="9"/>
  <c r="AJ84" i="9" s="1"/>
  <c r="U83" i="9"/>
  <c r="X70" i="9"/>
  <c r="AI70" i="9" s="1"/>
  <c r="U69" i="9"/>
  <c r="U65" i="9" s="1"/>
  <c r="X50" i="9"/>
  <c r="AH50" i="9" s="1"/>
  <c r="U49" i="9"/>
  <c r="X38" i="9"/>
  <c r="U35" i="9"/>
  <c r="X24" i="9"/>
  <c r="AH24" i="9" s="1"/>
  <c r="U20" i="9"/>
  <c r="U16" i="9" s="1"/>
  <c r="C75" i="9"/>
  <c r="F70" i="9"/>
  <c r="N70" i="9" s="1"/>
  <c r="C69" i="9"/>
  <c r="BE10" i="8"/>
  <c r="BE9" i="8" s="1"/>
  <c r="BE8" i="8" s="1"/>
  <c r="BQ14" i="8"/>
  <c r="BK9" i="8" s="1"/>
  <c r="BQ16" i="8"/>
  <c r="Z170" i="8"/>
  <c r="AF43" i="8"/>
  <c r="AF14" i="8" s="1"/>
  <c r="AI173" i="8"/>
  <c r="AJ165" i="8"/>
  <c r="AH165" i="8"/>
  <c r="AI165" i="8"/>
  <c r="AJ100" i="8"/>
  <c r="X74" i="8"/>
  <c r="AI74" i="8" s="1"/>
  <c r="U69" i="8"/>
  <c r="U65" i="8" s="1"/>
  <c r="U49" i="8"/>
  <c r="U35" i="8"/>
  <c r="X22" i="8"/>
  <c r="U20" i="8"/>
  <c r="U16" i="8" s="1"/>
  <c r="AH17" i="8"/>
  <c r="AI17" i="8"/>
  <c r="C72" i="8"/>
  <c r="C66" i="8"/>
  <c r="C60" i="8"/>
  <c r="C54" i="8"/>
  <c r="C48" i="8"/>
  <c r="C42" i="8"/>
  <c r="C32" i="8"/>
  <c r="U197" i="9"/>
  <c r="AI181" i="9"/>
  <c r="AI163" i="9"/>
  <c r="AH163" i="9"/>
  <c r="X160" i="9"/>
  <c r="U157" i="9"/>
  <c r="U155" i="9" s="1"/>
  <c r="U145" i="9" s="1"/>
  <c r="AG152" i="8"/>
  <c r="AE149" i="8"/>
  <c r="AE147" i="8" s="1"/>
  <c r="AE137" i="12"/>
  <c r="AG137" i="12" s="1"/>
  <c r="AJ137" i="11"/>
  <c r="AE129" i="9"/>
  <c r="AG129" i="9" s="1"/>
  <c r="AJ129" i="8"/>
  <c r="AE119" i="10"/>
  <c r="AG119" i="10" s="1"/>
  <c r="AE119" i="11" s="1"/>
  <c r="AG119" i="11" s="1"/>
  <c r="AE119" i="12" s="1"/>
  <c r="AG119" i="12" s="1"/>
  <c r="AG115" i="8"/>
  <c r="AG98" i="8"/>
  <c r="AE93" i="9"/>
  <c r="AG86" i="8"/>
  <c r="AE67" i="9"/>
  <c r="AG67" i="9" s="1"/>
  <c r="AE67" i="10" s="1"/>
  <c r="AG67" i="10" s="1"/>
  <c r="AE67" i="11" s="1"/>
  <c r="AG67" i="11" s="1"/>
  <c r="AJ67" i="8"/>
  <c r="AG59" i="8"/>
  <c r="AE58" i="8"/>
  <c r="AE57" i="8" s="1"/>
  <c r="AG47" i="8"/>
  <c r="AE44" i="8"/>
  <c r="AE40" i="11"/>
  <c r="AG40" i="11" s="1"/>
  <c r="AE40" i="12" s="1"/>
  <c r="AG40" i="12" s="1"/>
  <c r="AE36" i="9"/>
  <c r="AJ36" i="8"/>
  <c r="AG35" i="8"/>
  <c r="AE30" i="9"/>
  <c r="AG30" i="9" s="1"/>
  <c r="AE30" i="10" s="1"/>
  <c r="AG30" i="10" s="1"/>
  <c r="AE30" i="11" s="1"/>
  <c r="AG30" i="11" s="1"/>
  <c r="AE30" i="12" s="1"/>
  <c r="AG30" i="12" s="1"/>
  <c r="AJ30" i="8"/>
  <c r="AE26" i="9"/>
  <c r="AG26" i="9" s="1"/>
  <c r="AJ26" i="8"/>
  <c r="AE22" i="10"/>
  <c r="AG22" i="10" s="1"/>
  <c r="AE22" i="11" s="1"/>
  <c r="AG22" i="11" s="1"/>
  <c r="AE22" i="12" s="1"/>
  <c r="AG22" i="12" s="1"/>
  <c r="AJ22" i="9"/>
  <c r="AD238" i="8"/>
  <c r="AB235" i="8"/>
  <c r="AB229" i="9"/>
  <c r="AD223" i="8"/>
  <c r="AB222" i="8"/>
  <c r="AB215" i="9"/>
  <c r="AD215" i="9" s="1"/>
  <c r="AB215" i="10" s="1"/>
  <c r="AD215" i="10" s="1"/>
  <c r="AD198" i="8"/>
  <c r="AB197" i="8"/>
  <c r="AB188" i="9"/>
  <c r="AD187" i="8"/>
  <c r="AD185" i="8" s="1"/>
  <c r="AB181" i="11"/>
  <c r="AD181" i="11" s="1"/>
  <c r="AB181" i="12" s="1"/>
  <c r="AD181" i="12" s="1"/>
  <c r="AI181" i="10"/>
  <c r="AD150" i="8"/>
  <c r="AB127" i="9"/>
  <c r="AD117" i="8"/>
  <c r="AB114" i="8"/>
  <c r="AD100" i="8"/>
  <c r="AI100" i="8" s="1"/>
  <c r="AD92" i="8"/>
  <c r="AB91" i="8"/>
  <c r="AB85" i="11"/>
  <c r="AD85" i="11" s="1"/>
  <c r="AB79" i="9"/>
  <c r="AD79" i="9" s="1"/>
  <c r="AB66" i="10"/>
  <c r="AD66" i="10" s="1"/>
  <c r="AI66" i="9"/>
  <c r="AB55" i="10"/>
  <c r="AD55" i="10" s="1"/>
  <c r="AB55" i="11" s="1"/>
  <c r="AD55" i="11" s="1"/>
  <c r="AB55" i="12" s="1"/>
  <c r="AD55" i="12" s="1"/>
  <c r="AD22" i="8"/>
  <c r="L80" i="8"/>
  <c r="J80" i="9" s="1"/>
  <c r="J78" i="8"/>
  <c r="L78" i="8" s="1"/>
  <c r="J74" i="9"/>
  <c r="L68" i="8"/>
  <c r="L62" i="8"/>
  <c r="N62" i="8" s="1"/>
  <c r="L56" i="8"/>
  <c r="J50" i="9"/>
  <c r="L44" i="8"/>
  <c r="L36" i="8"/>
  <c r="J35" i="8"/>
  <c r="L30" i="8"/>
  <c r="J29" i="8"/>
  <c r="Q28" i="8"/>
  <c r="Q21" i="8" s="1"/>
  <c r="Q19" i="8" s="1"/>
  <c r="Q17" i="8" s="1"/>
  <c r="Q8" i="8" s="1"/>
  <c r="U96" i="8"/>
  <c r="U44" i="8"/>
  <c r="AH173" i="8"/>
  <c r="AH253" i="8"/>
  <c r="AI253" i="8"/>
  <c r="AH212" i="8"/>
  <c r="AI212" i="8"/>
  <c r="U235" i="9"/>
  <c r="U234" i="9" s="1"/>
  <c r="U205" i="9"/>
  <c r="U172" i="8"/>
  <c r="U123" i="8"/>
  <c r="U91" i="8"/>
  <c r="U96" i="9"/>
  <c r="AI240" i="11"/>
  <c r="AH240" i="11"/>
  <c r="AI183" i="11"/>
  <c r="AH183" i="11"/>
  <c r="AH139" i="11"/>
  <c r="AI139" i="11"/>
  <c r="AJ107" i="11"/>
  <c r="AH17" i="11"/>
  <c r="AJ17" i="11"/>
  <c r="Y246" i="11"/>
  <c r="AA225" i="10"/>
  <c r="Y213" i="11"/>
  <c r="AA200" i="10"/>
  <c r="AA190" i="10"/>
  <c r="Y179" i="11"/>
  <c r="Y173" i="11"/>
  <c r="AA172" i="10"/>
  <c r="AA150" i="10"/>
  <c r="AH150" i="10" s="1"/>
  <c r="Y117" i="11"/>
  <c r="Y107" i="11"/>
  <c r="AA105" i="10"/>
  <c r="AA104" i="10" s="1"/>
  <c r="AA100" i="10"/>
  <c r="AA95" i="10"/>
  <c r="AH99" i="11"/>
  <c r="AI99" i="11"/>
  <c r="AH108" i="10"/>
  <c r="AA46" i="12"/>
  <c r="W52" i="14"/>
  <c r="X52" i="14" s="1"/>
  <c r="AI52" i="14" s="1"/>
  <c r="W37" i="12"/>
  <c r="W23" i="12"/>
  <c r="E68" i="12"/>
  <c r="E62" i="12"/>
  <c r="F62" i="12" s="1"/>
  <c r="E44" i="12"/>
  <c r="E30" i="12"/>
  <c r="E30" i="13" s="1"/>
  <c r="E30" i="14" s="1"/>
  <c r="E30" i="15" s="1"/>
  <c r="E30" i="16" s="1"/>
  <c r="E29" i="11"/>
  <c r="X256" i="14"/>
  <c r="X248" i="14"/>
  <c r="X202" i="14"/>
  <c r="X181" i="14"/>
  <c r="AJ17" i="10"/>
  <c r="X256" i="13"/>
  <c r="AI256" i="13" s="1"/>
  <c r="X252" i="13"/>
  <c r="X248" i="13"/>
  <c r="X80" i="11"/>
  <c r="AH80" i="11" s="1"/>
  <c r="X76" i="11"/>
  <c r="AI76" i="11" s="1"/>
  <c r="AH165" i="12"/>
  <c r="AH121" i="12"/>
  <c r="AH236" i="13"/>
  <c r="AH204" i="13"/>
  <c r="AH236" i="14"/>
  <c r="AH217" i="14"/>
  <c r="X167" i="14"/>
  <c r="X163" i="14"/>
  <c r="AJ163" i="14" s="1"/>
  <c r="X137" i="14"/>
  <c r="X129" i="14"/>
  <c r="X125" i="14"/>
  <c r="AJ125" i="14" s="1"/>
  <c r="X119" i="14"/>
  <c r="AI119" i="14" s="1"/>
  <c r="X102" i="14"/>
  <c r="AJ102" i="14" s="1"/>
  <c r="X80" i="14"/>
  <c r="X76" i="14"/>
  <c r="AJ76" i="14" s="1"/>
  <c r="X67" i="14"/>
  <c r="AI67" i="14" s="1"/>
  <c r="X256" i="15"/>
  <c r="AH256" i="15" s="1"/>
  <c r="X248" i="15"/>
  <c r="X202" i="15"/>
  <c r="AH202" i="15" s="1"/>
  <c r="X181" i="15"/>
  <c r="X167" i="15"/>
  <c r="AH167" i="15" s="1"/>
  <c r="X163" i="15"/>
  <c r="AJ163" i="15" s="1"/>
  <c r="X137" i="15"/>
  <c r="X129" i="15"/>
  <c r="X125" i="15"/>
  <c r="X119" i="15"/>
  <c r="X102" i="15"/>
  <c r="X80" i="15"/>
  <c r="X76" i="15"/>
  <c r="X67" i="15"/>
  <c r="X80" i="16"/>
  <c r="AH80" i="16" s="1"/>
  <c r="X76" i="16"/>
  <c r="AH165" i="14"/>
  <c r="AH127" i="14"/>
  <c r="AH121" i="14"/>
  <c r="F70" i="14"/>
  <c r="N70" i="14" s="1"/>
  <c r="F58" i="14"/>
  <c r="AH236" i="15"/>
  <c r="AH165" i="15"/>
  <c r="AH127" i="15"/>
  <c r="AH162" i="9"/>
  <c r="AI162" i="9"/>
  <c r="BK15" i="8"/>
  <c r="AC196" i="8"/>
  <c r="AC195" i="8" s="1"/>
  <c r="AC193" i="8" s="1"/>
  <c r="Z196" i="8"/>
  <c r="Z195" i="8" s="1"/>
  <c r="Z193" i="8" s="1"/>
  <c r="AL145" i="8"/>
  <c r="AI99" i="9"/>
  <c r="AH99" i="9"/>
  <c r="AB158" i="16"/>
  <c r="AD158" i="16" s="1"/>
  <c r="AI252" i="9"/>
  <c r="AE150" i="16"/>
  <c r="AG150" i="16" s="1"/>
  <c r="W172" i="15"/>
  <c r="W174" i="16"/>
  <c r="W172" i="16" s="1"/>
  <c r="Y50" i="14"/>
  <c r="AA50" i="14" s="1"/>
  <c r="AB76" i="14"/>
  <c r="AD76" i="14" s="1"/>
  <c r="AE142" i="15"/>
  <c r="AG142" i="15" s="1"/>
  <c r="AI255" i="9"/>
  <c r="AH255" i="9"/>
  <c r="AH252" i="15"/>
  <c r="AB236" i="14"/>
  <c r="AH132" i="13"/>
  <c r="BQ16" i="9"/>
  <c r="J39" i="20" s="1"/>
  <c r="AE117" i="14"/>
  <c r="AG117" i="14" s="1"/>
  <c r="AE117" i="15" s="1"/>
  <c r="AG117" i="15" s="1"/>
  <c r="AJ88" i="9"/>
  <c r="AH88" i="9"/>
  <c r="AH248" i="9"/>
  <c r="AI248" i="9"/>
  <c r="AH131" i="9"/>
  <c r="AI131" i="9"/>
  <c r="AJ131" i="9"/>
  <c r="AC220" i="9"/>
  <c r="AF220" i="9"/>
  <c r="BQ30" i="9" s="1"/>
  <c r="BK14" i="9" s="1"/>
  <c r="AH212" i="7"/>
  <c r="AI212" i="7"/>
  <c r="AF220" i="7"/>
  <c r="BQ30" i="7" s="1"/>
  <c r="H53" i="20" s="1"/>
  <c r="AF43" i="7"/>
  <c r="AJ127" i="8"/>
  <c r="AH127" i="8"/>
  <c r="AI127" i="8"/>
  <c r="AC43" i="7"/>
  <c r="AC14" i="7" s="1"/>
  <c r="AM63" i="7"/>
  <c r="AF90" i="7"/>
  <c r="U172" i="7"/>
  <c r="Z112" i="7"/>
  <c r="Z110" i="7" s="1"/>
  <c r="AC170" i="7"/>
  <c r="AH163" i="7"/>
  <c r="AH217" i="7"/>
  <c r="AI217" i="7"/>
  <c r="AH160" i="7"/>
  <c r="AI160" i="7"/>
  <c r="AH181" i="7"/>
  <c r="AI181" i="7"/>
  <c r="AH158" i="7"/>
  <c r="AI158" i="7"/>
  <c r="AI183" i="7"/>
  <c r="AH183" i="7"/>
  <c r="AH203" i="7"/>
  <c r="AI203" i="7"/>
  <c r="AI240" i="8"/>
  <c r="Z90" i="8"/>
  <c r="Z63" i="8" s="1"/>
  <c r="U232" i="8"/>
  <c r="AI213" i="8"/>
  <c r="AC90" i="8"/>
  <c r="AC63" i="8" s="1"/>
  <c r="AC220" i="8"/>
  <c r="T26" i="7"/>
  <c r="T26" i="8" s="1"/>
  <c r="T26" i="9" s="1"/>
  <c r="T26" i="10" s="1"/>
  <c r="T26" i="11" s="1"/>
  <c r="T26" i="12" s="1"/>
  <c r="T26" i="13" s="1"/>
  <c r="T26" i="14" s="1"/>
  <c r="T26" i="15" s="1"/>
  <c r="T26" i="16" s="1"/>
  <c r="AC145" i="6"/>
  <c r="AH224" i="7"/>
  <c r="AI224" i="7"/>
  <c r="AF196" i="6"/>
  <c r="AF195" i="6" s="1"/>
  <c r="AF193" i="6" s="1"/>
  <c r="BK15" i="6"/>
  <c r="AF43" i="6"/>
  <c r="AF14" i="6" s="1"/>
  <c r="Z90" i="6"/>
  <c r="Z63" i="6" s="1"/>
  <c r="AJ79" i="6"/>
  <c r="AI79" i="6"/>
  <c r="AH79" i="6"/>
  <c r="C78" i="6"/>
  <c r="AH223" i="6"/>
  <c r="AI153" i="6"/>
  <c r="AJ153" i="6"/>
  <c r="AH153" i="6"/>
  <c r="AI237" i="6"/>
  <c r="AJ237" i="6"/>
  <c r="AI159" i="6"/>
  <c r="AJ159" i="6"/>
  <c r="AH159" i="6"/>
  <c r="AI86" i="6"/>
  <c r="AJ86" i="6"/>
  <c r="AH86" i="6"/>
  <c r="AH80" i="6"/>
  <c r="AI77" i="6"/>
  <c r="AJ77" i="6"/>
  <c r="AH77" i="6"/>
  <c r="AH240" i="6"/>
  <c r="AI240" i="6"/>
  <c r="AJ240" i="6"/>
  <c r="AI217" i="6"/>
  <c r="AH217" i="6"/>
  <c r="AJ213" i="6"/>
  <c r="AI213" i="6"/>
  <c r="AH213" i="6"/>
  <c r="AH162" i="6"/>
  <c r="AH118" i="6"/>
  <c r="AI72" i="6"/>
  <c r="AJ72" i="6"/>
  <c r="AH72" i="6"/>
  <c r="F81" i="6"/>
  <c r="AJ249" i="6"/>
  <c r="AH249" i="6"/>
  <c r="AI249" i="6"/>
  <c r="AH181" i="8"/>
  <c r="AI181" i="8"/>
  <c r="AJ107" i="8"/>
  <c r="AH107" i="8"/>
  <c r="AH105" i="8" s="1"/>
  <c r="AJ88" i="8"/>
  <c r="AH88" i="8"/>
  <c r="AJ74" i="8"/>
  <c r="AH55" i="8"/>
  <c r="C69" i="7"/>
  <c r="AI68" i="7"/>
  <c r="X167" i="7"/>
  <c r="U157" i="7"/>
  <c r="U155" i="7" s="1"/>
  <c r="AI240" i="10"/>
  <c r="AH240" i="10"/>
  <c r="AH87" i="10"/>
  <c r="AI87" i="10"/>
  <c r="AI60" i="10"/>
  <c r="AJ60" i="10"/>
  <c r="AJ50" i="10"/>
  <c r="AH50" i="10"/>
  <c r="AH254" i="9"/>
  <c r="AI254" i="9"/>
  <c r="AJ180" i="9"/>
  <c r="AI94" i="9"/>
  <c r="AI78" i="9"/>
  <c r="AH78" i="9"/>
  <c r="AI32" i="9"/>
  <c r="AH32" i="9"/>
  <c r="AJ28" i="9"/>
  <c r="AI28" i="9"/>
  <c r="U243" i="7"/>
  <c r="X236" i="7"/>
  <c r="AH236" i="7" s="1"/>
  <c r="U235" i="7"/>
  <c r="U234" i="7" s="1"/>
  <c r="AI225" i="7"/>
  <c r="AH225" i="7"/>
  <c r="X213" i="7"/>
  <c r="AJ213" i="7" s="1"/>
  <c r="U211" i="7"/>
  <c r="U210" i="7" s="1"/>
  <c r="U209" i="7" s="1"/>
  <c r="X206" i="7"/>
  <c r="U205" i="7"/>
  <c r="X198" i="7"/>
  <c r="BN26" i="7" s="1"/>
  <c r="U197" i="7"/>
  <c r="AH182" i="7"/>
  <c r="AI182" i="7"/>
  <c r="X180" i="7"/>
  <c r="AH180" i="7" s="1"/>
  <c r="U176" i="7"/>
  <c r="AH255" i="11"/>
  <c r="AI255" i="11"/>
  <c r="AH181" i="11"/>
  <c r="AH102" i="11"/>
  <c r="AJ102" i="11"/>
  <c r="AI102" i="11"/>
  <c r="AH24" i="11"/>
  <c r="AJ24" i="11"/>
  <c r="R42" i="20"/>
  <c r="AH60" i="7"/>
  <c r="AI60" i="7"/>
  <c r="AJ60" i="7"/>
  <c r="X50" i="7"/>
  <c r="U49" i="7"/>
  <c r="X45" i="7"/>
  <c r="AH45" i="7" s="1"/>
  <c r="U44" i="7"/>
  <c r="U43" i="7" s="1"/>
  <c r="X24" i="7"/>
  <c r="AJ24" i="7" s="1"/>
  <c r="U20" i="7"/>
  <c r="U16" i="7" s="1"/>
  <c r="C75" i="7"/>
  <c r="C63" i="7"/>
  <c r="F52" i="7"/>
  <c r="N52" i="7" s="1"/>
  <c r="C51" i="7"/>
  <c r="AJ17" i="8"/>
  <c r="AH212" i="9"/>
  <c r="U222" i="7"/>
  <c r="C57" i="7"/>
  <c r="AI136" i="7"/>
  <c r="X124" i="7"/>
  <c r="U123" i="7"/>
  <c r="U114" i="7"/>
  <c r="X97" i="7"/>
  <c r="AJ97" i="7" s="1"/>
  <c r="U96" i="7"/>
  <c r="X92" i="7"/>
  <c r="AJ92" i="7" s="1"/>
  <c r="U91" i="7"/>
  <c r="U83" i="7"/>
  <c r="AI137" i="11"/>
  <c r="AJ121" i="9"/>
  <c r="AH48" i="9"/>
  <c r="AG57" i="7"/>
  <c r="AF112" i="7"/>
  <c r="AF110" i="7" s="1"/>
  <c r="AE35" i="7"/>
  <c r="K28" i="7"/>
  <c r="K21" i="7" s="1"/>
  <c r="K19" i="7" s="1"/>
  <c r="K17" i="7" s="1"/>
  <c r="Z170" i="7"/>
  <c r="AJ139" i="11"/>
  <c r="AJ131" i="11"/>
  <c r="AI121" i="9"/>
  <c r="AG149" i="7"/>
  <c r="AG147" i="7" s="1"/>
  <c r="AG44" i="7"/>
  <c r="AC220" i="7"/>
  <c r="AI246" i="11"/>
  <c r="AJ139" i="12"/>
  <c r="AI250" i="13"/>
  <c r="AF196" i="7"/>
  <c r="AE149" i="7"/>
  <c r="AE147" i="7" s="1"/>
  <c r="AJ78" i="11"/>
  <c r="AJ27" i="6"/>
  <c r="AI27" i="6"/>
  <c r="AI61" i="11"/>
  <c r="AJ61" i="11"/>
  <c r="AH24" i="13"/>
  <c r="AJ24" i="13"/>
  <c r="AH240" i="7"/>
  <c r="AI240" i="7"/>
  <c r="AE217" i="7"/>
  <c r="AG217" i="7" s="1"/>
  <c r="AJ217" i="6"/>
  <c r="AH24" i="6"/>
  <c r="AI24" i="6"/>
  <c r="AJ24" i="6"/>
  <c r="AE207" i="7"/>
  <c r="AG207" i="7" s="1"/>
  <c r="AE207" i="8" s="1"/>
  <c r="AG207" i="8" s="1"/>
  <c r="AE207" i="9" s="1"/>
  <c r="AG207" i="9" s="1"/>
  <c r="AH29" i="6"/>
  <c r="AJ29" i="6"/>
  <c r="AI29" i="6"/>
  <c r="M76" i="6"/>
  <c r="N76" i="6"/>
  <c r="AI60" i="9"/>
  <c r="AJ60" i="9"/>
  <c r="AH60" i="9"/>
  <c r="AH117" i="7"/>
  <c r="AI117" i="7"/>
  <c r="AJ117" i="7"/>
  <c r="AE145" i="5"/>
  <c r="AB220" i="5"/>
  <c r="AE43" i="5"/>
  <c r="AE14" i="5" s="1"/>
  <c r="AR21" i="5"/>
  <c r="AF196" i="5"/>
  <c r="AF195" i="5" s="1"/>
  <c r="AF193" i="5" s="1"/>
  <c r="U205" i="14"/>
  <c r="C42" i="15"/>
  <c r="U227" i="15"/>
  <c r="U172" i="15"/>
  <c r="U104" i="14"/>
  <c r="U243" i="14"/>
  <c r="C42" i="14"/>
  <c r="AB251" i="15"/>
  <c r="AI251" i="14"/>
  <c r="AI190" i="14"/>
  <c r="AE101" i="16"/>
  <c r="AG101" i="16" s="1"/>
  <c r="AA151" i="15"/>
  <c r="AI224" i="13"/>
  <c r="AH73" i="6"/>
  <c r="AI73" i="6"/>
  <c r="AJ73" i="6"/>
  <c r="AI30" i="6"/>
  <c r="AJ30" i="6"/>
  <c r="AH30" i="6"/>
  <c r="AH165" i="9"/>
  <c r="AI165" i="9"/>
  <c r="AJ165" i="9"/>
  <c r="AI239" i="7"/>
  <c r="AH239" i="7"/>
  <c r="AI166" i="7"/>
  <c r="AG202" i="6"/>
  <c r="AE197" i="6"/>
  <c r="AE196" i="6" s="1"/>
  <c r="AE195" i="6" s="1"/>
  <c r="F16" i="20"/>
  <c r="BF16" i="7"/>
  <c r="BF16" i="10" s="1"/>
  <c r="BF16" i="13" s="1"/>
  <c r="BF16" i="16" s="1"/>
  <c r="AI98" i="6"/>
  <c r="AJ98" i="6"/>
  <c r="AH53" i="9"/>
  <c r="AI53" i="9"/>
  <c r="AH241" i="7"/>
  <c r="AI241" i="7"/>
  <c r="AI165" i="7"/>
  <c r="AJ165" i="7"/>
  <c r="AH165" i="7"/>
  <c r="AI212" i="10"/>
  <c r="AH212" i="10"/>
  <c r="AG212" i="6"/>
  <c r="AJ212" i="6" s="1"/>
  <c r="AE211" i="6"/>
  <c r="AE210" i="6" s="1"/>
  <c r="AE209" i="6" s="1"/>
  <c r="Y61" i="7"/>
  <c r="AA61" i="7" s="1"/>
  <c r="BO31" i="6"/>
  <c r="BI15" i="6" s="1"/>
  <c r="AB84" i="15"/>
  <c r="AD84" i="15" s="1"/>
  <c r="AI84" i="14"/>
  <c r="AE39" i="16"/>
  <c r="AG39" i="16" s="1"/>
  <c r="AH236" i="12"/>
  <c r="N80" i="5"/>
  <c r="M80" i="5"/>
  <c r="AH78" i="6"/>
  <c r="AI78" i="6"/>
  <c r="AJ78" i="6"/>
  <c r="AH23" i="6"/>
  <c r="AI23" i="6"/>
  <c r="AH246" i="9"/>
  <c r="AI246" i="9"/>
  <c r="AI27" i="10"/>
  <c r="AJ27" i="10"/>
  <c r="AH224" i="11"/>
  <c r="AI224" i="11"/>
  <c r="AG241" i="6"/>
  <c r="AE235" i="6"/>
  <c r="AE234" i="6" s="1"/>
  <c r="Y68" i="8"/>
  <c r="AA68" i="8" s="1"/>
  <c r="Y68" i="9" s="1"/>
  <c r="AA68" i="9" s="1"/>
  <c r="Y68" i="10" s="1"/>
  <c r="AA68" i="10" s="1"/>
  <c r="Y68" i="11" s="1"/>
  <c r="AA68" i="11" s="1"/>
  <c r="Y68" i="12" s="1"/>
  <c r="AA68" i="12" s="1"/>
  <c r="AH68" i="7"/>
  <c r="AD31" i="16"/>
  <c r="AH186" i="12"/>
  <c r="AI186" i="12"/>
  <c r="W190" i="15"/>
  <c r="AD98" i="13"/>
  <c r="AB118" i="15"/>
  <c r="AI250" i="16"/>
  <c r="AE21" i="14"/>
  <c r="AG21" i="14" s="1"/>
  <c r="AE21" i="15" s="1"/>
  <c r="AE84" i="14"/>
  <c r="AG84" i="14" s="1"/>
  <c r="AE84" i="15" s="1"/>
  <c r="N79" i="5"/>
  <c r="AI28" i="6"/>
  <c r="AJ28" i="6"/>
  <c r="AH160" i="10"/>
  <c r="AI160" i="10"/>
  <c r="AA85" i="6"/>
  <c r="Y83" i="6"/>
  <c r="Y76" i="9"/>
  <c r="AA76" i="9" s="1"/>
  <c r="Y76" i="10" s="1"/>
  <c r="AA76" i="10" s="1"/>
  <c r="Y76" i="11" s="1"/>
  <c r="AA76" i="11" s="1"/>
  <c r="Y76" i="12" s="1"/>
  <c r="AA76" i="12" s="1"/>
  <c r="AH76" i="8"/>
  <c r="Y26" i="9"/>
  <c r="AA26" i="9" s="1"/>
  <c r="Y26" i="10" s="1"/>
  <c r="AA26" i="10" s="1"/>
  <c r="Y26" i="11" s="1"/>
  <c r="AA26" i="11" s="1"/>
  <c r="Y26" i="12" s="1"/>
  <c r="AA26" i="12" s="1"/>
  <c r="AH26" i="8"/>
  <c r="Y57" i="6"/>
  <c r="C45" i="15"/>
  <c r="F45" i="5"/>
  <c r="U222" i="12"/>
  <c r="U197" i="13"/>
  <c r="U35" i="14"/>
  <c r="U172" i="13"/>
  <c r="C78" i="13"/>
  <c r="C32" i="13"/>
  <c r="U141" i="15"/>
  <c r="AI54" i="9"/>
  <c r="AJ54" i="9"/>
  <c r="AH54" i="9"/>
  <c r="Y28" i="7"/>
  <c r="AA28" i="7" s="1"/>
  <c r="Y28" i="8" s="1"/>
  <c r="AA28" i="8" s="1"/>
  <c r="Y28" i="9" s="1"/>
  <c r="AA28" i="9" s="1"/>
  <c r="AH28" i="6"/>
  <c r="AH70" i="6"/>
  <c r="AI70" i="6"/>
  <c r="AJ26" i="6"/>
  <c r="AH26" i="6"/>
  <c r="AI26" i="6"/>
  <c r="AH167" i="9"/>
  <c r="BN19" i="9"/>
  <c r="AJ167" i="9"/>
  <c r="AI136" i="9"/>
  <c r="AA37" i="6"/>
  <c r="Y35" i="6"/>
  <c r="AE53" i="9"/>
  <c r="AG53" i="9" s="1"/>
  <c r="AJ53" i="8"/>
  <c r="Y70" i="9"/>
  <c r="AA70" i="9" s="1"/>
  <c r="AH70" i="8"/>
  <c r="AI61" i="9"/>
  <c r="AJ61" i="9"/>
  <c r="AI52" i="9"/>
  <c r="AI230" i="7"/>
  <c r="AJ230" i="7"/>
  <c r="AH230" i="7"/>
  <c r="C54" i="14"/>
  <c r="C32" i="14"/>
  <c r="C60" i="15"/>
  <c r="AA90" i="5"/>
  <c r="AA63" i="5" s="1"/>
  <c r="BO12" i="5"/>
  <c r="BO9" i="5" s="1"/>
  <c r="AI23" i="10"/>
  <c r="AH23" i="10"/>
  <c r="AG52" i="6"/>
  <c r="AE49" i="6"/>
  <c r="AD167" i="6"/>
  <c r="AI167" i="6" s="1"/>
  <c r="AB157" i="6"/>
  <c r="AB155" i="6" s="1"/>
  <c r="AD39" i="6"/>
  <c r="AB35" i="6"/>
  <c r="W133" i="7"/>
  <c r="X133" i="7" s="1"/>
  <c r="AJ133" i="7" s="1"/>
  <c r="W123" i="6"/>
  <c r="W112" i="6" s="1"/>
  <c r="F78" i="5"/>
  <c r="M78" i="5" s="1"/>
  <c r="N62" i="6"/>
  <c r="M62" i="6"/>
  <c r="AH217" i="9"/>
  <c r="AI217" i="9"/>
  <c r="AH213" i="7"/>
  <c r="AG70" i="6"/>
  <c r="AE69" i="6"/>
  <c r="AE65" i="6" s="1"/>
  <c r="AD180" i="6"/>
  <c r="AB176" i="6"/>
  <c r="AA27" i="6"/>
  <c r="Y20" i="6"/>
  <c r="Y16" i="6" s="1"/>
  <c r="AI78" i="8"/>
  <c r="AH78" i="8"/>
  <c r="AJ78" i="8"/>
  <c r="AI215" i="7"/>
  <c r="AI137" i="7"/>
  <c r="AJ137" i="7"/>
  <c r="AH137" i="7"/>
  <c r="AA71" i="6"/>
  <c r="Y69" i="6"/>
  <c r="Y65" i="6" s="1"/>
  <c r="M65" i="6"/>
  <c r="N65" i="6"/>
  <c r="AH166" i="9"/>
  <c r="AI156" i="7"/>
  <c r="AJ156" i="7"/>
  <c r="AH156" i="7"/>
  <c r="AG23" i="6"/>
  <c r="AE20" i="6"/>
  <c r="AE16" i="6" s="1"/>
  <c r="AJ17" i="14"/>
  <c r="F116" i="12"/>
  <c r="D116" i="13"/>
  <c r="D113" i="12"/>
  <c r="D115" i="13"/>
  <c r="F115" i="12"/>
  <c r="N124" i="12"/>
  <c r="M124" i="12"/>
  <c r="F120" i="13"/>
  <c r="D120" i="14"/>
  <c r="F123" i="14"/>
  <c r="D123" i="15"/>
  <c r="X133" i="6"/>
  <c r="AH133" i="6" s="1"/>
  <c r="AH77" i="11"/>
  <c r="U187" i="13"/>
  <c r="U185" i="13" s="1"/>
  <c r="N122" i="13"/>
  <c r="M122" i="13"/>
  <c r="D118" i="14"/>
  <c r="F118" i="13"/>
  <c r="BC20" i="11"/>
  <c r="F113" i="11"/>
  <c r="AQ15" i="11" s="1"/>
  <c r="D124" i="14"/>
  <c r="F124" i="13"/>
  <c r="M120" i="12"/>
  <c r="N120" i="12"/>
  <c r="M123" i="13"/>
  <c r="N123" i="13"/>
  <c r="C63" i="13"/>
  <c r="U149" i="14"/>
  <c r="U147" i="14" s="1"/>
  <c r="C45" i="14"/>
  <c r="U44" i="15"/>
  <c r="N117" i="11"/>
  <c r="M117" i="11"/>
  <c r="D122" i="15"/>
  <c r="F122" i="14"/>
  <c r="N118" i="12"/>
  <c r="M118" i="12"/>
  <c r="D119" i="13"/>
  <c r="F119" i="12"/>
  <c r="N121" i="11"/>
  <c r="M121" i="11"/>
  <c r="U205" i="15"/>
  <c r="F117" i="12"/>
  <c r="D117" i="13"/>
  <c r="M116" i="11"/>
  <c r="N116" i="11"/>
  <c r="BD20" i="9"/>
  <c r="G115" i="10"/>
  <c r="I113" i="9"/>
  <c r="AR15" i="9" s="1"/>
  <c r="AW15" i="9" s="1"/>
  <c r="M115" i="9"/>
  <c r="M113" i="9" s="1"/>
  <c r="N119" i="11"/>
  <c r="M119" i="11"/>
  <c r="D121" i="13"/>
  <c r="F121" i="12"/>
  <c r="L115" i="10"/>
  <c r="J113" i="10"/>
  <c r="E115" i="14"/>
  <c r="E113" i="13"/>
  <c r="AI121" i="6"/>
  <c r="AJ121" i="6"/>
  <c r="AH121" i="6"/>
  <c r="U114" i="6"/>
  <c r="AI168" i="6"/>
  <c r="AJ168" i="8"/>
  <c r="AI246" i="10"/>
  <c r="AH246" i="10"/>
  <c r="AI246" i="6"/>
  <c r="AJ246" i="6"/>
  <c r="AH246" i="6"/>
  <c r="AJ180" i="7"/>
  <c r="AI164" i="7"/>
  <c r="AJ164" i="7"/>
  <c r="AH164" i="7"/>
  <c r="AJ150" i="6"/>
  <c r="AH150" i="6"/>
  <c r="AI150" i="6"/>
  <c r="X115" i="6"/>
  <c r="AJ101" i="7"/>
  <c r="AJ95" i="11"/>
  <c r="AI95" i="11"/>
  <c r="AI47" i="9"/>
  <c r="U44" i="16"/>
  <c r="AI45" i="13"/>
  <c r="AJ45" i="6"/>
  <c r="AJ45" i="9"/>
  <c r="U44" i="10"/>
  <c r="AI45" i="6"/>
  <c r="U44" i="6"/>
  <c r="U43" i="6" s="1"/>
  <c r="U44" i="9"/>
  <c r="U20" i="10"/>
  <c r="U16" i="10" s="1"/>
  <c r="U20" i="13"/>
  <c r="U16" i="13" s="1"/>
  <c r="AI17" i="11"/>
  <c r="C78" i="9"/>
  <c r="C66" i="15"/>
  <c r="C25" i="14"/>
  <c r="BK13" i="10"/>
  <c r="K52" i="20"/>
  <c r="BK15" i="12"/>
  <c r="M54" i="20"/>
  <c r="BQ28" i="11"/>
  <c r="BQ27" i="14"/>
  <c r="BQ12" i="14"/>
  <c r="AF14" i="14"/>
  <c r="AI165" i="6"/>
  <c r="AH165" i="6"/>
  <c r="AJ165" i="6"/>
  <c r="AH117" i="6"/>
  <c r="AJ117" i="6"/>
  <c r="AI117" i="6"/>
  <c r="M61" i="6"/>
  <c r="N61" i="6"/>
  <c r="AI255" i="8"/>
  <c r="AH255" i="8"/>
  <c r="AI121" i="8"/>
  <c r="AJ121" i="8"/>
  <c r="AH121" i="8"/>
  <c r="N54" i="20"/>
  <c r="BK15" i="13"/>
  <c r="AH253" i="6"/>
  <c r="AJ253" i="6"/>
  <c r="AI253" i="6"/>
  <c r="AH167" i="6"/>
  <c r="AJ167" i="6"/>
  <c r="AI119" i="6"/>
  <c r="AH119" i="6"/>
  <c r="AJ119" i="6"/>
  <c r="Q40" i="20"/>
  <c r="BK14" i="12"/>
  <c r="M53" i="20"/>
  <c r="AI252" i="6"/>
  <c r="AJ76" i="6"/>
  <c r="AI76" i="6"/>
  <c r="AH76" i="6"/>
  <c r="AI119" i="8"/>
  <c r="AJ119" i="8"/>
  <c r="AH119" i="8"/>
  <c r="BK15" i="7"/>
  <c r="H54" i="20"/>
  <c r="BQ27" i="6"/>
  <c r="G50" i="20" s="1"/>
  <c r="AI75" i="6"/>
  <c r="AH75" i="6"/>
  <c r="AJ31" i="6"/>
  <c r="AI31" i="6"/>
  <c r="AH31" i="6"/>
  <c r="AI17" i="6"/>
  <c r="M56" i="6"/>
  <c r="N56" i="6"/>
  <c r="BK13" i="13"/>
  <c r="N52" i="20"/>
  <c r="BK15" i="16"/>
  <c r="Q54" i="20"/>
  <c r="BF12" i="7"/>
  <c r="BF12" i="10" s="1"/>
  <c r="BF12" i="13" s="1"/>
  <c r="BF12" i="16" s="1"/>
  <c r="M46" i="20"/>
  <c r="K49" i="20"/>
  <c r="AC43" i="15"/>
  <c r="AC14" i="15" s="1"/>
  <c r="AC112" i="12"/>
  <c r="AC110" i="12" s="1"/>
  <c r="BQ17" i="10"/>
  <c r="K40" i="20" s="1"/>
  <c r="AC145" i="10"/>
  <c r="AC170" i="16"/>
  <c r="AC170" i="8"/>
  <c r="AC196" i="9"/>
  <c r="AC195" i="9" s="1"/>
  <c r="AC193" i="9" s="1"/>
  <c r="AC220" i="13"/>
  <c r="AC232" i="8"/>
  <c r="Z63" i="13"/>
  <c r="Z170" i="9"/>
  <c r="Z196" i="14"/>
  <c r="Z195" i="14" s="1"/>
  <c r="Z193" i="14" s="1"/>
  <c r="Z220" i="13"/>
  <c r="AM14" i="7"/>
  <c r="AM63" i="11"/>
  <c r="AM63" i="10"/>
  <c r="AL145" i="14"/>
  <c r="AL110" i="14" s="1"/>
  <c r="AL90" i="11"/>
  <c r="AL63" i="11" s="1"/>
  <c r="AL90" i="10"/>
  <c r="AL63" i="10" s="1"/>
  <c r="AL90" i="8"/>
  <c r="AL63" i="8" s="1"/>
  <c r="AL145" i="6"/>
  <c r="AL110" i="6" s="1"/>
  <c r="BK15" i="9"/>
  <c r="J54" i="20"/>
  <c r="AF90" i="15"/>
  <c r="AF90" i="11"/>
  <c r="W90" i="5"/>
  <c r="W63" i="5" s="1"/>
  <c r="AA145" i="5"/>
  <c r="AA43" i="5"/>
  <c r="AF90" i="6"/>
  <c r="AF63" i="6" s="1"/>
  <c r="AC196" i="6"/>
  <c r="AC195" i="6" s="1"/>
  <c r="AC193" i="6" s="1"/>
  <c r="Z112" i="6"/>
  <c r="Z110" i="6" s="1"/>
  <c r="AJ125" i="7"/>
  <c r="AJ18" i="10"/>
  <c r="AH18" i="10"/>
  <c r="AI18" i="10"/>
  <c r="AH204" i="12"/>
  <c r="AI204" i="12"/>
  <c r="AI200" i="12"/>
  <c r="AE162" i="8"/>
  <c r="AG162" i="8" s="1"/>
  <c r="AE162" i="9" s="1"/>
  <c r="AG162" i="9" s="1"/>
  <c r="AG124" i="7"/>
  <c r="V237" i="8"/>
  <c r="X237" i="8" s="1"/>
  <c r="AI237" i="8" s="1"/>
  <c r="X237" i="7"/>
  <c r="AI237" i="7" s="1"/>
  <c r="V235" i="7"/>
  <c r="V234" i="7" s="1"/>
  <c r="V228" i="8"/>
  <c r="X228" i="7"/>
  <c r="V227" i="7"/>
  <c r="V174" i="8"/>
  <c r="X174" i="8" s="1"/>
  <c r="X172" i="8" s="1"/>
  <c r="V172" i="7"/>
  <c r="X174" i="7"/>
  <c r="X172" i="7" s="1"/>
  <c r="V75" i="8"/>
  <c r="V75" i="9" s="1"/>
  <c r="X75" i="7"/>
  <c r="D16" i="20"/>
  <c r="J52" i="20"/>
  <c r="BK9" i="14"/>
  <c r="BE10" i="10"/>
  <c r="BE9" i="10" s="1"/>
  <c r="BE8" i="10" s="1"/>
  <c r="BK9" i="9"/>
  <c r="H46" i="20"/>
  <c r="AF170" i="11"/>
  <c r="BQ24" i="11" s="1"/>
  <c r="AC14" i="16"/>
  <c r="AC14" i="10"/>
  <c r="BQ14" i="16"/>
  <c r="BQ16" i="14"/>
  <c r="BQ16" i="15"/>
  <c r="AF145" i="10"/>
  <c r="AF145" i="8"/>
  <c r="AF110" i="8" s="1"/>
  <c r="AF145" i="15"/>
  <c r="BQ17" i="13"/>
  <c r="N40" i="20" s="1"/>
  <c r="AF170" i="8"/>
  <c r="BQ24" i="8" s="1"/>
  <c r="AC196" i="13"/>
  <c r="AC195" i="13" s="1"/>
  <c r="AC193" i="13" s="1"/>
  <c r="BK14" i="7"/>
  <c r="Z14" i="9"/>
  <c r="Z112" i="12"/>
  <c r="Z110" i="12" s="1"/>
  <c r="Z170" i="14"/>
  <c r="Z170" i="16"/>
  <c r="Z196" i="13"/>
  <c r="Z195" i="13" s="1"/>
  <c r="Z193" i="13" s="1"/>
  <c r="AM14" i="13"/>
  <c r="AM110" i="9"/>
  <c r="AM145" i="8"/>
  <c r="AM110" i="8" s="1"/>
  <c r="AM145" i="6"/>
  <c r="AM145" i="14"/>
  <c r="AM112" i="16"/>
  <c r="AL63" i="16"/>
  <c r="AL12" i="16" s="1"/>
  <c r="AL14" i="15"/>
  <c r="AL170" i="14"/>
  <c r="AL90" i="13"/>
  <c r="AL63" i="13" s="1"/>
  <c r="AL112" i="10"/>
  <c r="AL110" i="10" s="1"/>
  <c r="AL145" i="9"/>
  <c r="AM14" i="6"/>
  <c r="BQ12" i="15"/>
  <c r="BQ12" i="13"/>
  <c r="BQ12" i="10"/>
  <c r="M60" i="5"/>
  <c r="AC90" i="5"/>
  <c r="F54" i="5"/>
  <c r="BQ17" i="6"/>
  <c r="G40" i="20" s="1"/>
  <c r="AC90" i="6"/>
  <c r="AC63" i="6" s="1"/>
  <c r="AI129" i="9"/>
  <c r="AH129" i="9"/>
  <c r="AH166" i="10"/>
  <c r="AJ166" i="10"/>
  <c r="AI166" i="10"/>
  <c r="AJ38" i="10"/>
  <c r="AI217" i="11"/>
  <c r="AH217" i="11"/>
  <c r="AI213" i="11"/>
  <c r="AH19" i="13"/>
  <c r="AI19" i="13"/>
  <c r="AG161" i="7"/>
  <c r="AD75" i="7"/>
  <c r="V179" i="8"/>
  <c r="V179" i="9" s="1"/>
  <c r="V179" i="10" s="1"/>
  <c r="V179" i="11" s="1"/>
  <c r="V179" i="12" s="1"/>
  <c r="V179" i="13" s="1"/>
  <c r="V179" i="14" s="1"/>
  <c r="V179" i="15" s="1"/>
  <c r="V179" i="16" s="1"/>
  <c r="X179" i="16" s="1"/>
  <c r="X179" i="7"/>
  <c r="V135" i="8"/>
  <c r="V123" i="7"/>
  <c r="X135" i="7"/>
  <c r="AC170" i="9"/>
  <c r="BK14" i="15"/>
  <c r="P53" i="20"/>
  <c r="BK14" i="16"/>
  <c r="Q53" i="20"/>
  <c r="Z63" i="11"/>
  <c r="AM14" i="12"/>
  <c r="AM63" i="16"/>
  <c r="AM14" i="11"/>
  <c r="AL90" i="5"/>
  <c r="AL63" i="5" s="1"/>
  <c r="Q28" i="14"/>
  <c r="Q21" i="14" s="1"/>
  <c r="Q19" i="14" s="1"/>
  <c r="Q17" i="14" s="1"/>
  <c r="Q8" i="14" s="1"/>
  <c r="R34" i="20"/>
  <c r="X172" i="5"/>
  <c r="Z43" i="6"/>
  <c r="Z14" i="6" s="1"/>
  <c r="X228" i="8"/>
  <c r="AH228" i="8" s="1"/>
  <c r="AI164" i="9"/>
  <c r="AH164" i="9"/>
  <c r="AI127" i="7"/>
  <c r="AH127" i="7"/>
  <c r="AJ127" i="7"/>
  <c r="AH216" i="11"/>
  <c r="AH40" i="13"/>
  <c r="AI40" i="13"/>
  <c r="AD216" i="7"/>
  <c r="AB211" i="7"/>
  <c r="AB210" i="7" s="1"/>
  <c r="AB209" i="7" s="1"/>
  <c r="Y161" i="8"/>
  <c r="AA161" i="8" s="1"/>
  <c r="Y161" i="9" s="1"/>
  <c r="AA161" i="9" s="1"/>
  <c r="AH161" i="7"/>
  <c r="V178" i="8"/>
  <c r="V178" i="9" s="1"/>
  <c r="X178" i="7"/>
  <c r="V73" i="8"/>
  <c r="V69" i="7"/>
  <c r="V65" i="7" s="1"/>
  <c r="AV11" i="7"/>
  <c r="BK13" i="7"/>
  <c r="H52" i="20"/>
  <c r="BK15" i="15"/>
  <c r="BK15" i="11"/>
  <c r="BK15" i="14"/>
  <c r="O54" i="20"/>
  <c r="BQ22" i="14"/>
  <c r="BK11" i="14" s="1"/>
  <c r="O47" i="20"/>
  <c r="O45" i="20" s="1"/>
  <c r="BK9" i="10"/>
  <c r="BK9" i="11"/>
  <c r="L37" i="20"/>
  <c r="BK9" i="15"/>
  <c r="AF170" i="12"/>
  <c r="BQ24" i="12" s="1"/>
  <c r="M47" i="20" s="1"/>
  <c r="J49" i="20"/>
  <c r="BR26" i="16"/>
  <c r="N49" i="20"/>
  <c r="AC43" i="8"/>
  <c r="AC14" i="8" s="1"/>
  <c r="AC90" i="14"/>
  <c r="AC63" i="14" s="1"/>
  <c r="N39" i="20"/>
  <c r="AF170" i="15"/>
  <c r="BQ24" i="15" s="1"/>
  <c r="AF170" i="9"/>
  <c r="BQ24" i="9" s="1"/>
  <c r="Z43" i="13"/>
  <c r="Z14" i="13" s="1"/>
  <c r="Z12" i="13" s="1"/>
  <c r="Z63" i="14"/>
  <c r="Z63" i="16"/>
  <c r="Z145" i="11"/>
  <c r="Z170" i="15"/>
  <c r="AM43" i="5"/>
  <c r="AM63" i="8"/>
  <c r="AL220" i="15"/>
  <c r="AL43" i="11"/>
  <c r="AL14" i="11" s="1"/>
  <c r="AL14" i="8"/>
  <c r="AL14" i="7"/>
  <c r="AL43" i="6"/>
  <c r="AL14" i="6" s="1"/>
  <c r="B24" i="7"/>
  <c r="K128" i="7" s="1"/>
  <c r="BE21" i="6"/>
  <c r="G24" i="20" s="1"/>
  <c r="P128" i="6"/>
  <c r="H128" i="6"/>
  <c r="Q128" i="6"/>
  <c r="K128" i="6"/>
  <c r="BE21" i="5"/>
  <c r="F24" i="20" s="1"/>
  <c r="Q28" i="12"/>
  <c r="Q21" i="12" s="1"/>
  <c r="Q19" i="12" s="1"/>
  <c r="Q17" i="12" s="1"/>
  <c r="Q28" i="13"/>
  <c r="Q21" i="13" s="1"/>
  <c r="Q19" i="13" s="1"/>
  <c r="Q17" i="13" s="1"/>
  <c r="Q8" i="13" s="1"/>
  <c r="AF90" i="8"/>
  <c r="AF63" i="8" s="1"/>
  <c r="F75" i="5"/>
  <c r="Z196" i="6"/>
  <c r="Z195" i="6" s="1"/>
  <c r="Z193" i="6" s="1"/>
  <c r="X135" i="8"/>
  <c r="AI135" i="8" s="1"/>
  <c r="AH31" i="11"/>
  <c r="AJ31" i="11"/>
  <c r="AI31" i="11"/>
  <c r="AG80" i="7"/>
  <c r="V238" i="8"/>
  <c r="V229" i="8"/>
  <c r="V229" i="9" s="1"/>
  <c r="V229" i="10" s="1"/>
  <c r="V229" i="11" s="1"/>
  <c r="V229" i="12" s="1"/>
  <c r="V229" i="13" s="1"/>
  <c r="V229" i="14" s="1"/>
  <c r="V229" i="15" s="1"/>
  <c r="V229" i="16" s="1"/>
  <c r="X229" i="7"/>
  <c r="V207" i="8"/>
  <c r="V207" i="9" s="1"/>
  <c r="V207" i="10" s="1"/>
  <c r="V207" i="11" s="1"/>
  <c r="V207" i="12" s="1"/>
  <c r="X207" i="12" s="1"/>
  <c r="X207" i="7"/>
  <c r="V188" i="8"/>
  <c r="X188" i="8" s="1"/>
  <c r="V187" i="7"/>
  <c r="V185" i="7" s="1"/>
  <c r="V177" i="8"/>
  <c r="V176" i="7"/>
  <c r="X177" i="7"/>
  <c r="AF14" i="7"/>
  <c r="X188" i="7"/>
  <c r="AI188" i="7" s="1"/>
  <c r="X73" i="7"/>
  <c r="AJ73" i="7" s="1"/>
  <c r="X189" i="10"/>
  <c r="AH189" i="10" s="1"/>
  <c r="X186" i="11"/>
  <c r="AI186" i="11" s="1"/>
  <c r="X189" i="12"/>
  <c r="AH189" i="12" s="1"/>
  <c r="U222" i="13"/>
  <c r="U123" i="13"/>
  <c r="X186" i="13"/>
  <c r="U141" i="14"/>
  <c r="C69" i="14"/>
  <c r="AI156" i="14"/>
  <c r="X186" i="14"/>
  <c r="AH186" i="14" s="1"/>
  <c r="U58" i="15"/>
  <c r="U57" i="15" s="1"/>
  <c r="AI19" i="15"/>
  <c r="U222" i="15"/>
  <c r="X189" i="15"/>
  <c r="AH189" i="15" s="1"/>
  <c r="J41" i="6"/>
  <c r="L41" i="6" s="1"/>
  <c r="AX14" i="5"/>
  <c r="K10" i="7"/>
  <c r="F110" i="12"/>
  <c r="D110" i="13"/>
  <c r="N108" i="11"/>
  <c r="M108" i="11"/>
  <c r="F95" i="12"/>
  <c r="D95" i="13"/>
  <c r="D94" i="12"/>
  <c r="N107" i="11"/>
  <c r="M107" i="11"/>
  <c r="N102" i="11"/>
  <c r="M102" i="11"/>
  <c r="N91" i="12"/>
  <c r="M91" i="12"/>
  <c r="D96" i="13"/>
  <c r="F96" i="12"/>
  <c r="D98" i="13"/>
  <c r="F98" i="12"/>
  <c r="I95" i="9"/>
  <c r="BD18" i="9" s="1"/>
  <c r="G94" i="9"/>
  <c r="D105" i="13"/>
  <c r="F105" i="12"/>
  <c r="D104" i="12"/>
  <c r="N109" i="12"/>
  <c r="M109" i="12"/>
  <c r="N87" i="12"/>
  <c r="M87" i="12"/>
  <c r="F97" i="14"/>
  <c r="D97" i="15"/>
  <c r="X186" i="9"/>
  <c r="C25" i="9"/>
  <c r="AF170" i="7"/>
  <c r="BQ24" i="7" s="1"/>
  <c r="H47" i="20" s="1"/>
  <c r="AC90" i="7"/>
  <c r="AC63" i="7" s="1"/>
  <c r="Z196" i="7"/>
  <c r="Z195" i="7" s="1"/>
  <c r="Z193" i="7" s="1"/>
  <c r="X186" i="7"/>
  <c r="C78" i="7"/>
  <c r="X74" i="10"/>
  <c r="X74" i="14"/>
  <c r="AI74" i="14" s="1"/>
  <c r="BD17" i="5"/>
  <c r="AW14" i="5"/>
  <c r="F108" i="12"/>
  <c r="D108" i="13"/>
  <c r="D88" i="13"/>
  <c r="F88" i="12"/>
  <c r="F94" i="11"/>
  <c r="J95" i="10"/>
  <c r="L94" i="9"/>
  <c r="N95" i="9"/>
  <c r="N94" i="9" s="1"/>
  <c r="N90" i="12"/>
  <c r="M90" i="12"/>
  <c r="E105" i="13"/>
  <c r="E104" i="12"/>
  <c r="M89" i="13"/>
  <c r="N89" i="13"/>
  <c r="F104" i="11"/>
  <c r="D109" i="14"/>
  <c r="F109" i="13"/>
  <c r="V220" i="7"/>
  <c r="X186" i="10"/>
  <c r="X189" i="11"/>
  <c r="X74" i="11"/>
  <c r="AI74" i="11" s="1"/>
  <c r="X74" i="12"/>
  <c r="AJ74" i="12" s="1"/>
  <c r="U58" i="13"/>
  <c r="U57" i="13" s="1"/>
  <c r="X189" i="13"/>
  <c r="AI189" i="13" s="1"/>
  <c r="U69" i="14"/>
  <c r="U65" i="14" s="1"/>
  <c r="C60" i="14"/>
  <c r="AI161" i="14"/>
  <c r="X189" i="14"/>
  <c r="U157" i="15"/>
  <c r="U155" i="15" s="1"/>
  <c r="U35" i="15"/>
  <c r="X186" i="15"/>
  <c r="AH186" i="15" s="1"/>
  <c r="L12" i="6"/>
  <c r="E95" i="14"/>
  <c r="E94" i="13"/>
  <c r="M86" i="11"/>
  <c r="F85" i="11"/>
  <c r="I105" i="9"/>
  <c r="BD19" i="9" s="1"/>
  <c r="G104" i="9"/>
  <c r="F106" i="13"/>
  <c r="D106" i="14"/>
  <c r="M92" i="11"/>
  <c r="N92" i="11"/>
  <c r="E86" i="13"/>
  <c r="E85" i="12"/>
  <c r="D90" i="14"/>
  <c r="F90" i="13"/>
  <c r="F99" i="12"/>
  <c r="D99" i="13"/>
  <c r="L105" i="9"/>
  <c r="J104" i="9"/>
  <c r="F89" i="14"/>
  <c r="D89" i="15"/>
  <c r="M101" i="13"/>
  <c r="N101" i="13"/>
  <c r="N111" i="11"/>
  <c r="M111" i="11"/>
  <c r="L86" i="9"/>
  <c r="J85" i="9"/>
  <c r="N100" i="12"/>
  <c r="M100" i="12"/>
  <c r="X207" i="9"/>
  <c r="X189" i="9"/>
  <c r="X74" i="9"/>
  <c r="AI74" i="9" s="1"/>
  <c r="X189" i="7"/>
  <c r="X74" i="7"/>
  <c r="AH74" i="7" s="1"/>
  <c r="C32" i="7"/>
  <c r="C28" i="7" s="1"/>
  <c r="X207" i="11"/>
  <c r="AH207" i="11" s="1"/>
  <c r="X74" i="13"/>
  <c r="AI250" i="14"/>
  <c r="X74" i="15"/>
  <c r="N110" i="11"/>
  <c r="M110" i="11"/>
  <c r="D86" i="13"/>
  <c r="F86" i="12"/>
  <c r="D85" i="12"/>
  <c r="N106" i="12"/>
  <c r="M106" i="12"/>
  <c r="F92" i="12"/>
  <c r="D92" i="13"/>
  <c r="D107" i="13"/>
  <c r="F107" i="12"/>
  <c r="D102" i="13"/>
  <c r="F102" i="12"/>
  <c r="F91" i="13"/>
  <c r="D91" i="14"/>
  <c r="M96" i="11"/>
  <c r="N96" i="11"/>
  <c r="N98" i="11"/>
  <c r="M98" i="11"/>
  <c r="M99" i="11"/>
  <c r="N99" i="11"/>
  <c r="F101" i="14"/>
  <c r="D101" i="15"/>
  <c r="F111" i="12"/>
  <c r="D111" i="13"/>
  <c r="F87" i="13"/>
  <c r="D87" i="14"/>
  <c r="N97" i="13"/>
  <c r="M97" i="13"/>
  <c r="D100" i="14"/>
  <c r="F100" i="13"/>
  <c r="AI74" i="6"/>
  <c r="AJ74" i="6"/>
  <c r="AH74" i="6"/>
  <c r="AI246" i="13"/>
  <c r="X176" i="5"/>
  <c r="U157" i="11"/>
  <c r="U155" i="11" s="1"/>
  <c r="X149" i="5"/>
  <c r="X147" i="5" s="1"/>
  <c r="AI132" i="6"/>
  <c r="X105" i="5"/>
  <c r="X104" i="5" s="1"/>
  <c r="U90" i="5"/>
  <c r="U63" i="5" s="1"/>
  <c r="AH79" i="13"/>
  <c r="AJ79" i="13"/>
  <c r="X69" i="6"/>
  <c r="AI36" i="11"/>
  <c r="AH21" i="6"/>
  <c r="AJ21" i="6"/>
  <c r="AI21" i="6"/>
  <c r="C72" i="14"/>
  <c r="F72" i="5"/>
  <c r="C72" i="9"/>
  <c r="C72" i="7"/>
  <c r="BC17" i="5"/>
  <c r="F69" i="5"/>
  <c r="F42" i="5"/>
  <c r="AQ10" i="5" s="1"/>
  <c r="BC21" i="5"/>
  <c r="F22" i="5"/>
  <c r="AQ7" i="5" s="1"/>
  <c r="G24" i="6"/>
  <c r="BD21" i="5"/>
  <c r="C25" i="15"/>
  <c r="C25" i="7"/>
  <c r="L27" i="6"/>
  <c r="J128" i="6"/>
  <c r="G27" i="6"/>
  <c r="G88" i="10"/>
  <c r="M88" i="9"/>
  <c r="M85" i="9" s="1"/>
  <c r="I85" i="9"/>
  <c r="F27" i="6"/>
  <c r="C128" i="6"/>
  <c r="C25" i="10"/>
  <c r="C25" i="8"/>
  <c r="AV11" i="5"/>
  <c r="BE10" i="14"/>
  <c r="BE9" i="14" s="1"/>
  <c r="BE8" i="14" s="1"/>
  <c r="L10" i="20"/>
  <c r="L9" i="20" s="1"/>
  <c r="I10" i="20"/>
  <c r="I9" i="20" s="1"/>
  <c r="P28" i="16"/>
  <c r="H28" i="16"/>
  <c r="H21" i="16" s="1"/>
  <c r="H19" i="16" s="1"/>
  <c r="H17" i="16" s="1"/>
  <c r="H8" i="16" s="1"/>
  <c r="K28" i="15"/>
  <c r="K21" i="15" s="1"/>
  <c r="K19" i="15" s="1"/>
  <c r="K17" i="15" s="1"/>
  <c r="K8" i="15" s="1"/>
  <c r="P28" i="15"/>
  <c r="P21" i="15" s="1"/>
  <c r="P19" i="15" s="1"/>
  <c r="P17" i="15" s="1"/>
  <c r="P8" i="15" s="1"/>
  <c r="H28" i="15"/>
  <c r="Q21" i="15"/>
  <c r="Q19" i="15" s="1"/>
  <c r="Q17" i="15" s="1"/>
  <c r="Q8" i="15" s="1"/>
  <c r="K28" i="14"/>
  <c r="P28" i="14"/>
  <c r="P21" i="14" s="1"/>
  <c r="P19" i="14" s="1"/>
  <c r="P17" i="14" s="1"/>
  <c r="P8" i="14" s="1"/>
  <c r="H28" i="14"/>
  <c r="H21" i="14" s="1"/>
  <c r="H19" i="14" s="1"/>
  <c r="H17" i="14" s="1"/>
  <c r="H8" i="14" s="1"/>
  <c r="K21" i="13"/>
  <c r="K19" i="13" s="1"/>
  <c r="K17" i="13" s="1"/>
  <c r="K8" i="13" s="1"/>
  <c r="P21" i="13"/>
  <c r="P19" i="13" s="1"/>
  <c r="P17" i="13" s="1"/>
  <c r="P8" i="13" s="1"/>
  <c r="H28" i="13"/>
  <c r="H21" i="13" s="1"/>
  <c r="H19" i="13" s="1"/>
  <c r="H17" i="13" s="1"/>
  <c r="H8" i="13" s="1"/>
  <c r="BF20" i="13"/>
  <c r="BF20" i="16" s="1"/>
  <c r="BF19" i="13"/>
  <c r="BF19" i="16" s="1"/>
  <c r="R22" i="20"/>
  <c r="H28" i="12"/>
  <c r="H21" i="12" s="1"/>
  <c r="H19" i="12" s="1"/>
  <c r="H17" i="12" s="1"/>
  <c r="H8" i="12" s="1"/>
  <c r="P28" i="12"/>
  <c r="M10" i="20"/>
  <c r="M9" i="20" s="1"/>
  <c r="K28" i="12"/>
  <c r="K21" i="12" s="1"/>
  <c r="K19" i="12" s="1"/>
  <c r="K17" i="12" s="1"/>
  <c r="K8" i="12" s="1"/>
  <c r="Q28" i="11"/>
  <c r="Q21" i="11" s="1"/>
  <c r="Q19" i="11" s="1"/>
  <c r="Q17" i="11" s="1"/>
  <c r="Q8" i="11" s="1"/>
  <c r="BE10" i="11"/>
  <c r="BE9" i="11" s="1"/>
  <c r="BE8" i="11" s="1"/>
  <c r="H28" i="11"/>
  <c r="H21" i="11" s="1"/>
  <c r="H19" i="11" s="1"/>
  <c r="H17" i="11" s="1"/>
  <c r="H8" i="11" s="1"/>
  <c r="P28" i="11"/>
  <c r="P21" i="11" s="1"/>
  <c r="P19" i="11" s="1"/>
  <c r="P17" i="11" s="1"/>
  <c r="P8" i="11" s="1"/>
  <c r="H28" i="10"/>
  <c r="H21" i="10" s="1"/>
  <c r="H19" i="10" s="1"/>
  <c r="H17" i="10" s="1"/>
  <c r="H8" i="10" s="1"/>
  <c r="P28" i="10"/>
  <c r="P21" i="10" s="1"/>
  <c r="P19" i="10" s="1"/>
  <c r="P17" i="10" s="1"/>
  <c r="P8" i="10" s="1"/>
  <c r="J23" i="15"/>
  <c r="L23" i="15" s="1"/>
  <c r="J23" i="16" s="1"/>
  <c r="L23" i="16" s="1"/>
  <c r="H28" i="9"/>
  <c r="H21" i="9" s="1"/>
  <c r="H19" i="9" s="1"/>
  <c r="H17" i="9" s="1"/>
  <c r="G73" i="16"/>
  <c r="I73" i="16" s="1"/>
  <c r="G61" i="10"/>
  <c r="I61" i="10" s="1"/>
  <c r="E82" i="10"/>
  <c r="E82" i="11" s="1"/>
  <c r="E82" i="12" s="1"/>
  <c r="E82" i="13" s="1"/>
  <c r="E82" i="14" s="1"/>
  <c r="E82" i="15" s="1"/>
  <c r="E82" i="16" s="1"/>
  <c r="F82" i="16" s="1"/>
  <c r="F82" i="9"/>
  <c r="E37" i="10"/>
  <c r="E35" i="9"/>
  <c r="E31" i="13"/>
  <c r="J37" i="10"/>
  <c r="L31" i="10"/>
  <c r="BF18" i="10"/>
  <c r="BF18" i="13" s="1"/>
  <c r="BF18" i="16" s="1"/>
  <c r="K28" i="9"/>
  <c r="K21" i="9" s="1"/>
  <c r="K19" i="9" s="1"/>
  <c r="K17" i="9" s="1"/>
  <c r="Q28" i="9"/>
  <c r="Q21" i="9" s="1"/>
  <c r="Q19" i="9" s="1"/>
  <c r="Q17" i="9" s="1"/>
  <c r="Q8" i="9" s="1"/>
  <c r="F58" i="9"/>
  <c r="F70" i="12"/>
  <c r="F58" i="12"/>
  <c r="F70" i="15"/>
  <c r="F58" i="15"/>
  <c r="F70" i="10"/>
  <c r="F58" i="10"/>
  <c r="F70" i="11"/>
  <c r="F58" i="11"/>
  <c r="H21" i="8"/>
  <c r="H19" i="8" s="1"/>
  <c r="H17" i="8" s="1"/>
  <c r="H8" i="8" s="1"/>
  <c r="H126" i="8" s="1"/>
  <c r="H130" i="8" s="1"/>
  <c r="P28" i="8"/>
  <c r="P21" i="8" s="1"/>
  <c r="P19" i="8" s="1"/>
  <c r="P17" i="8" s="1"/>
  <c r="J77" i="8"/>
  <c r="L75" i="7"/>
  <c r="E83" i="8"/>
  <c r="E81" i="7"/>
  <c r="F83" i="7"/>
  <c r="E71" i="8"/>
  <c r="E69" i="7"/>
  <c r="E59" i="8"/>
  <c r="E57" i="7"/>
  <c r="E33" i="9"/>
  <c r="F33" i="9" s="1"/>
  <c r="E32" i="8"/>
  <c r="E28" i="8" s="1"/>
  <c r="D37" i="8"/>
  <c r="F37" i="8" s="1"/>
  <c r="J83" i="8"/>
  <c r="L81" i="7"/>
  <c r="J65" i="8"/>
  <c r="L63" i="7"/>
  <c r="J59" i="8"/>
  <c r="L57" i="7"/>
  <c r="J53" i="8"/>
  <c r="L51" i="7"/>
  <c r="J47" i="8"/>
  <c r="L45" i="7"/>
  <c r="J33" i="8"/>
  <c r="G74" i="8"/>
  <c r="I72" i="7"/>
  <c r="G62" i="8"/>
  <c r="I60" i="7"/>
  <c r="G52" i="8"/>
  <c r="I51" i="7"/>
  <c r="M52" i="7"/>
  <c r="G46" i="8"/>
  <c r="I45" i="7"/>
  <c r="G37" i="8"/>
  <c r="D68" i="8"/>
  <c r="F68" i="8" s="1"/>
  <c r="D66" i="7"/>
  <c r="D56" i="8"/>
  <c r="F56" i="8" s="1"/>
  <c r="D54" i="7"/>
  <c r="D13" i="8"/>
  <c r="BD15" i="7"/>
  <c r="J71" i="8"/>
  <c r="L69" i="7"/>
  <c r="J26" i="8"/>
  <c r="E77" i="8"/>
  <c r="E75" i="7"/>
  <c r="E53" i="8"/>
  <c r="F53" i="8" s="1"/>
  <c r="M53" i="8" s="1"/>
  <c r="E51" i="7"/>
  <c r="F53" i="7"/>
  <c r="E47" i="8"/>
  <c r="F47" i="8" s="1"/>
  <c r="M47" i="8" s="1"/>
  <c r="E45" i="7"/>
  <c r="E26" i="8"/>
  <c r="E25" i="7"/>
  <c r="D31" i="8"/>
  <c r="F31" i="8" s="1"/>
  <c r="E32" i="7"/>
  <c r="E28" i="7" s="1"/>
  <c r="H14" i="20"/>
  <c r="H10" i="20" s="1"/>
  <c r="H9" i="20" s="1"/>
  <c r="BF14" i="7"/>
  <c r="BF14" i="10" s="1"/>
  <c r="BF14" i="13" s="1"/>
  <c r="BF14" i="16" s="1"/>
  <c r="Q28" i="7"/>
  <c r="Q21" i="7" s="1"/>
  <c r="Q19" i="7" s="1"/>
  <c r="Q17" i="7" s="1"/>
  <c r="Q8" i="7" s="1"/>
  <c r="F71" i="7"/>
  <c r="F59" i="7"/>
  <c r="R16" i="20"/>
  <c r="H28" i="7"/>
  <c r="H21" i="7" s="1"/>
  <c r="H19" i="7" s="1"/>
  <c r="H17" i="7" s="1"/>
  <c r="F47" i="7"/>
  <c r="F33" i="7"/>
  <c r="F26" i="7"/>
  <c r="F68" i="7"/>
  <c r="N68" i="7" s="1"/>
  <c r="F56" i="7"/>
  <c r="N56" i="7" s="1"/>
  <c r="F37" i="7"/>
  <c r="F31" i="7"/>
  <c r="F13" i="7"/>
  <c r="P28" i="7"/>
  <c r="P21" i="7" s="1"/>
  <c r="P19" i="7" s="1"/>
  <c r="P17" i="7" s="1"/>
  <c r="P8" i="7" s="1"/>
  <c r="F77" i="7"/>
  <c r="N77" i="7" s="1"/>
  <c r="BF11" i="7"/>
  <c r="BF11" i="10" s="1"/>
  <c r="BF11" i="13" s="1"/>
  <c r="BF11" i="16" s="1"/>
  <c r="L14" i="6"/>
  <c r="J14" i="7" s="1"/>
  <c r="L14" i="7" s="1"/>
  <c r="J14" i="8" s="1"/>
  <c r="L14" i="8" s="1"/>
  <c r="J14" i="9" s="1"/>
  <c r="L14" i="9" s="1"/>
  <c r="D24" i="7"/>
  <c r="D128" i="6"/>
  <c r="J24" i="7"/>
  <c r="L15" i="6"/>
  <c r="J15" i="7" s="1"/>
  <c r="L15" i="7" s="1"/>
  <c r="E24" i="7"/>
  <c r="E128" i="6"/>
  <c r="P28" i="6"/>
  <c r="P21" i="6" s="1"/>
  <c r="P19" i="6" s="1"/>
  <c r="P17" i="6" s="1"/>
  <c r="P8" i="6" s="1"/>
  <c r="Q28" i="6"/>
  <c r="Q21" i="6" s="1"/>
  <c r="Q19" i="6" s="1"/>
  <c r="Q17" i="6" s="1"/>
  <c r="Q8" i="6" s="1"/>
  <c r="L13" i="6"/>
  <c r="N13" i="6" s="1"/>
  <c r="AQ13" i="9"/>
  <c r="AQ11" i="10"/>
  <c r="AQ13" i="11"/>
  <c r="AQ11" i="11"/>
  <c r="AV11" i="11" s="1"/>
  <c r="AQ13" i="8"/>
  <c r="AQ13" i="12"/>
  <c r="AZ12" i="6"/>
  <c r="AH251" i="6"/>
  <c r="AH95" i="8"/>
  <c r="AJ95" i="8"/>
  <c r="AI95" i="8"/>
  <c r="AB88" i="7"/>
  <c r="BP31" i="6"/>
  <c r="BJ15" i="6" s="1"/>
  <c r="AD83" i="6"/>
  <c r="AH161" i="6"/>
  <c r="AI161" i="6"/>
  <c r="AJ161" i="6"/>
  <c r="AH253" i="9"/>
  <c r="AI253" i="9"/>
  <c r="AI148" i="9"/>
  <c r="AJ148" i="9"/>
  <c r="AH148" i="9"/>
  <c r="BN18" i="9"/>
  <c r="AH139" i="10"/>
  <c r="AE43" i="6"/>
  <c r="AC14" i="6"/>
  <c r="AH190" i="8"/>
  <c r="AI190" i="8"/>
  <c r="AI24" i="15"/>
  <c r="AH24" i="15"/>
  <c r="Y237" i="7"/>
  <c r="AH237" i="6"/>
  <c r="AA235" i="6"/>
  <c r="AA234" i="6" s="1"/>
  <c r="AI225" i="9"/>
  <c r="AH225" i="9"/>
  <c r="AH138" i="9"/>
  <c r="AI138" i="9"/>
  <c r="AJ138" i="9"/>
  <c r="AJ160" i="6"/>
  <c r="AH160" i="6"/>
  <c r="AI160" i="6"/>
  <c r="AH250" i="9"/>
  <c r="AI250" i="9"/>
  <c r="AH218" i="10"/>
  <c r="AI250" i="12"/>
  <c r="AH250" i="12"/>
  <c r="AE118" i="15"/>
  <c r="AG118" i="15" s="1"/>
  <c r="AE118" i="16" s="1"/>
  <c r="AG118" i="16" s="1"/>
  <c r="AH250" i="6"/>
  <c r="AI250" i="6"/>
  <c r="AJ250" i="6"/>
  <c r="AH136" i="6"/>
  <c r="AI136" i="6"/>
  <c r="AJ136" i="6"/>
  <c r="AH38" i="8"/>
  <c r="AI38" i="8"/>
  <c r="AJ38" i="8"/>
  <c r="AE81" i="15"/>
  <c r="AG81" i="15" s="1"/>
  <c r="AE81" i="16" s="1"/>
  <c r="AG81" i="16" s="1"/>
  <c r="AM145" i="5"/>
  <c r="AH32" i="6"/>
  <c r="AI32" i="6"/>
  <c r="AJ32" i="6"/>
  <c r="AI139" i="8"/>
  <c r="AJ139" i="8"/>
  <c r="AH139" i="8"/>
  <c r="AJ137" i="9"/>
  <c r="AH137" i="9"/>
  <c r="AI137" i="9"/>
  <c r="AH41" i="9"/>
  <c r="AI41" i="9"/>
  <c r="AJ41" i="9"/>
  <c r="AH129" i="7"/>
  <c r="AI129" i="7"/>
  <c r="AJ129" i="7"/>
  <c r="AI95" i="10"/>
  <c r="AJ95" i="10"/>
  <c r="AI202" i="8"/>
  <c r="AH202" i="8"/>
  <c r="AJ139" i="9"/>
  <c r="AH139" i="9"/>
  <c r="AI139" i="9"/>
  <c r="AI204" i="7"/>
  <c r="AH204" i="7"/>
  <c r="M74" i="7"/>
  <c r="N74" i="7"/>
  <c r="AI249" i="9"/>
  <c r="AH249" i="9"/>
  <c r="AJ249" i="9"/>
  <c r="AI224" i="9"/>
  <c r="AH224" i="9"/>
  <c r="AH246" i="7"/>
  <c r="AI246" i="7"/>
  <c r="AH202" i="10"/>
  <c r="AI202" i="10"/>
  <c r="AH129" i="10"/>
  <c r="AI129" i="10"/>
  <c r="AH116" i="6"/>
  <c r="AI116" i="6"/>
  <c r="AJ116" i="6"/>
  <c r="AH251" i="9"/>
  <c r="AI251" i="9"/>
  <c r="AH38" i="9"/>
  <c r="AH77" i="7"/>
  <c r="AI77" i="7"/>
  <c r="AJ77" i="7"/>
  <c r="AI239" i="10"/>
  <c r="AH239" i="10"/>
  <c r="AL43" i="5"/>
  <c r="AF43" i="5"/>
  <c r="M51" i="5"/>
  <c r="AA196" i="5"/>
  <c r="Z63" i="5"/>
  <c r="X49" i="5"/>
  <c r="F57" i="5"/>
  <c r="U197" i="15"/>
  <c r="U123" i="15"/>
  <c r="C48" i="15"/>
  <c r="C10" i="15"/>
  <c r="Q128" i="5"/>
  <c r="D128" i="5"/>
  <c r="P128" i="5"/>
  <c r="K128" i="5"/>
  <c r="C128" i="5"/>
  <c r="J128" i="5"/>
  <c r="F128" i="5"/>
  <c r="I128" i="5"/>
  <c r="E128" i="5"/>
  <c r="L128" i="5"/>
  <c r="H128" i="5"/>
  <c r="G128" i="5"/>
  <c r="X96" i="5"/>
  <c r="C72" i="15"/>
  <c r="AE90" i="5"/>
  <c r="AE63" i="5" s="1"/>
  <c r="W196" i="5"/>
  <c r="W195" i="5" s="1"/>
  <c r="W193" i="5" s="1"/>
  <c r="AG220" i="5"/>
  <c r="F48" i="5"/>
  <c r="Y90" i="6"/>
  <c r="V90" i="5"/>
  <c r="F25" i="5"/>
  <c r="AQ8" i="5" s="1"/>
  <c r="AZ8" i="5" s="1"/>
  <c r="X41" i="16"/>
  <c r="AI41" i="16" s="1"/>
  <c r="X31" i="16"/>
  <c r="X27" i="16"/>
  <c r="AI27" i="16" s="1"/>
  <c r="X18" i="16"/>
  <c r="X61" i="15"/>
  <c r="X22" i="15"/>
  <c r="X17" i="15"/>
  <c r="X202" i="16"/>
  <c r="AH202" i="16" s="1"/>
  <c r="X167" i="16"/>
  <c r="AH167" i="16" s="1"/>
  <c r="X67" i="16"/>
  <c r="X47" i="16"/>
  <c r="X17" i="16"/>
  <c r="AI17" i="16" s="1"/>
  <c r="G41" i="6"/>
  <c r="I41" i="6" s="1"/>
  <c r="X241" i="16"/>
  <c r="AH241" i="16" s="1"/>
  <c r="X166" i="16"/>
  <c r="AH166" i="16" s="1"/>
  <c r="X41" i="15"/>
  <c r="X31" i="15"/>
  <c r="X27" i="15"/>
  <c r="AI27" i="15" s="1"/>
  <c r="X95" i="16"/>
  <c r="X88" i="16"/>
  <c r="AH88" i="16" s="1"/>
  <c r="X84" i="16"/>
  <c r="X54" i="16"/>
  <c r="AH54" i="16" s="1"/>
  <c r="AE88" i="15"/>
  <c r="AG88" i="15" s="1"/>
  <c r="AE72" i="16"/>
  <c r="AG72" i="16" s="1"/>
  <c r="AB253" i="16"/>
  <c r="AD253" i="16" s="1"/>
  <c r="AI253" i="15"/>
  <c r="N71" i="6"/>
  <c r="AI249" i="8"/>
  <c r="AJ249" i="8"/>
  <c r="AH249" i="8"/>
  <c r="AH117" i="8"/>
  <c r="AI117" i="8"/>
  <c r="AJ117" i="8"/>
  <c r="AI230" i="16"/>
  <c r="AH255" i="6"/>
  <c r="AI255" i="6"/>
  <c r="AJ255" i="6"/>
  <c r="AI158" i="6"/>
  <c r="M70" i="6"/>
  <c r="N70" i="6"/>
  <c r="AH166" i="8"/>
  <c r="AH131" i="8"/>
  <c r="AI131" i="8"/>
  <c r="AJ131" i="8"/>
  <c r="AH50" i="8"/>
  <c r="AJ50" i="8"/>
  <c r="AI225" i="6"/>
  <c r="AJ225" i="6"/>
  <c r="AH225" i="6"/>
  <c r="N74" i="6"/>
  <c r="M74" i="6"/>
  <c r="M68" i="6"/>
  <c r="N68" i="6"/>
  <c r="AH224" i="8"/>
  <c r="AI224" i="8"/>
  <c r="AH150" i="8"/>
  <c r="AI150" i="8"/>
  <c r="AJ150" i="8"/>
  <c r="X227" i="6"/>
  <c r="AI230" i="6"/>
  <c r="AJ230" i="6"/>
  <c r="AH230" i="6"/>
  <c r="M73" i="6"/>
  <c r="F72" i="6"/>
  <c r="AI47" i="8"/>
  <c r="N50" i="8"/>
  <c r="AF220" i="6"/>
  <c r="BQ30" i="6" s="1"/>
  <c r="AA43" i="6"/>
  <c r="AI131" i="7"/>
  <c r="AJ131" i="7"/>
  <c r="AH131" i="7"/>
  <c r="AH79" i="7"/>
  <c r="AI79" i="7"/>
  <c r="AJ79" i="7"/>
  <c r="AJ66" i="7"/>
  <c r="N70" i="7"/>
  <c r="M70" i="7"/>
  <c r="AH224" i="10"/>
  <c r="AI224" i="10"/>
  <c r="AH79" i="11"/>
  <c r="AJ79" i="11"/>
  <c r="AH38" i="11"/>
  <c r="AJ38" i="11"/>
  <c r="AI38" i="11"/>
  <c r="AJ100" i="12"/>
  <c r="V134" i="11"/>
  <c r="X134" i="11" s="1"/>
  <c r="C28" i="6"/>
  <c r="AF170" i="6"/>
  <c r="BQ24" i="6" s="1"/>
  <c r="AH119" i="7"/>
  <c r="AI119" i="7"/>
  <c r="AJ119" i="7"/>
  <c r="AJ84" i="11"/>
  <c r="AI84" i="11"/>
  <c r="AI68" i="14"/>
  <c r="AI70" i="15"/>
  <c r="AD50" i="7"/>
  <c r="AB49" i="7"/>
  <c r="AB196" i="6"/>
  <c r="AB195" i="6" s="1"/>
  <c r="AI87" i="7"/>
  <c r="AH87" i="7"/>
  <c r="M61" i="7"/>
  <c r="AI47" i="10"/>
  <c r="AI31" i="10"/>
  <c r="AH31" i="10"/>
  <c r="AJ31" i="10"/>
  <c r="AD107" i="7"/>
  <c r="AI107" i="7" s="1"/>
  <c r="AB105" i="7"/>
  <c r="AB104" i="7" s="1"/>
  <c r="AA133" i="7"/>
  <c r="V225" i="11"/>
  <c r="X225" i="11" s="1"/>
  <c r="Z220" i="6"/>
  <c r="AJ151" i="7"/>
  <c r="AH151" i="7"/>
  <c r="AI121" i="7"/>
  <c r="AJ121" i="7"/>
  <c r="AH121" i="7"/>
  <c r="AH182" i="11"/>
  <c r="AI182" i="11"/>
  <c r="AH23" i="11"/>
  <c r="I56" i="7"/>
  <c r="V245" i="8"/>
  <c r="X245" i="8" s="1"/>
  <c r="X245" i="7"/>
  <c r="C78" i="15"/>
  <c r="X225" i="10"/>
  <c r="X134" i="10"/>
  <c r="AH134" i="10" s="1"/>
  <c r="U211" i="14"/>
  <c r="U210" i="14" s="1"/>
  <c r="U209" i="14" s="1"/>
  <c r="U172" i="14"/>
  <c r="AQ11" i="9"/>
  <c r="AY11" i="9" s="1"/>
  <c r="AQ11" i="8"/>
  <c r="AZ11" i="8" s="1"/>
  <c r="AU11" i="7"/>
  <c r="AH254" i="6"/>
  <c r="AI254" i="6"/>
  <c r="AJ254" i="6"/>
  <c r="AH202" i="6"/>
  <c r="AI202" i="6"/>
  <c r="AJ202" i="6"/>
  <c r="AH256" i="6"/>
  <c r="AI256" i="6"/>
  <c r="AJ256" i="6"/>
  <c r="M34" i="6"/>
  <c r="N34" i="6"/>
  <c r="AE139" i="15"/>
  <c r="AG139" i="15" s="1"/>
  <c r="AJ139" i="15" s="1"/>
  <c r="AJ139" i="14"/>
  <c r="BQ28" i="6"/>
  <c r="G51" i="20" s="1"/>
  <c r="G48" i="20" s="1"/>
  <c r="AH128" i="6"/>
  <c r="AI128" i="6"/>
  <c r="AJ128" i="6"/>
  <c r="AH68" i="6"/>
  <c r="AI68" i="6"/>
  <c r="AJ68" i="6"/>
  <c r="AH248" i="6"/>
  <c r="AI248" i="6"/>
  <c r="AJ248" i="6"/>
  <c r="AH156" i="6"/>
  <c r="AI156" i="6"/>
  <c r="AJ156" i="6"/>
  <c r="AY12" i="10"/>
  <c r="AY12" i="7"/>
  <c r="AL170" i="5"/>
  <c r="W220" i="5"/>
  <c r="W170" i="5"/>
  <c r="V220" i="5"/>
  <c r="AG43" i="5"/>
  <c r="N81" i="5"/>
  <c r="N66" i="5"/>
  <c r="AA220" i="5"/>
  <c r="BO30" i="5" s="1"/>
  <c r="BI14" i="5" s="1"/>
  <c r="BO17" i="5"/>
  <c r="F66" i="5"/>
  <c r="AH30" i="9"/>
  <c r="AI30" i="9"/>
  <c r="AH128" i="7"/>
  <c r="AJ128" i="7"/>
  <c r="AI76" i="7"/>
  <c r="AH253" i="10"/>
  <c r="AI253" i="10"/>
  <c r="AJ121" i="10"/>
  <c r="AJ79" i="10"/>
  <c r="BK9" i="5"/>
  <c r="F11" i="20"/>
  <c r="AM90" i="5"/>
  <c r="AE220" i="5"/>
  <c r="AF90" i="5"/>
  <c r="AF63" i="5" s="1"/>
  <c r="X227" i="5"/>
  <c r="AI130" i="7"/>
  <c r="AJ130" i="7"/>
  <c r="AH130" i="7"/>
  <c r="AH78" i="7"/>
  <c r="AI78" i="7"/>
  <c r="AJ78" i="7"/>
  <c r="AH54" i="7"/>
  <c r="AI54" i="7"/>
  <c r="AJ54" i="7"/>
  <c r="AH216" i="10"/>
  <c r="AH204" i="10"/>
  <c r="AI204" i="10"/>
  <c r="AJ117" i="10"/>
  <c r="AH117" i="10"/>
  <c r="U220" i="5"/>
  <c r="AI222" i="5"/>
  <c r="AF145" i="5"/>
  <c r="N48" i="5"/>
  <c r="X197" i="5"/>
  <c r="X187" i="5"/>
  <c r="X83" i="5"/>
  <c r="F81" i="5"/>
  <c r="F63" i="5"/>
  <c r="AH79" i="9"/>
  <c r="AJ79" i="9"/>
  <c r="AH132" i="7"/>
  <c r="AI124" i="7"/>
  <c r="AI80" i="7"/>
  <c r="AJ80" i="7"/>
  <c r="AH80" i="7"/>
  <c r="AI72" i="7"/>
  <c r="AJ72" i="7"/>
  <c r="AH72" i="7"/>
  <c r="AI41" i="7"/>
  <c r="AJ41" i="7"/>
  <c r="AH41" i="7"/>
  <c r="AI248" i="10"/>
  <c r="AH248" i="10"/>
  <c r="AI200" i="10"/>
  <c r="AJ100" i="10"/>
  <c r="AH77" i="10"/>
  <c r="AJ77" i="10"/>
  <c r="AI77" i="10"/>
  <c r="AY7" i="5"/>
  <c r="Y110" i="5"/>
  <c r="AE112" i="5"/>
  <c r="Y90" i="5"/>
  <c r="Y63" i="5" s="1"/>
  <c r="V196" i="5"/>
  <c r="V195" i="5" s="1"/>
  <c r="V193" i="5" s="1"/>
  <c r="AG145" i="5"/>
  <c r="X35" i="5"/>
  <c r="W220" i="6"/>
  <c r="AI116" i="9"/>
  <c r="AH116" i="9"/>
  <c r="AH202" i="7"/>
  <c r="AI202" i="7"/>
  <c r="AI134" i="7"/>
  <c r="AJ134" i="7"/>
  <c r="AH134" i="7"/>
  <c r="AI126" i="7"/>
  <c r="AH126" i="7"/>
  <c r="AI74" i="7"/>
  <c r="AI61" i="7"/>
  <c r="AJ61" i="7"/>
  <c r="AH61" i="7"/>
  <c r="AH183" i="10"/>
  <c r="AI183" i="10"/>
  <c r="AH164" i="10"/>
  <c r="AI164" i="10"/>
  <c r="AJ150" i="10"/>
  <c r="AJ137" i="10"/>
  <c r="AI137" i="10"/>
  <c r="AH137" i="10"/>
  <c r="AJ127" i="10"/>
  <c r="AH230" i="12"/>
  <c r="AI230" i="12"/>
  <c r="AI128" i="13"/>
  <c r="AH128" i="13"/>
  <c r="AI28" i="13"/>
  <c r="AH22" i="13"/>
  <c r="AG158" i="11"/>
  <c r="AD220" i="7"/>
  <c r="W90" i="7"/>
  <c r="AH30" i="13"/>
  <c r="AH203" i="13"/>
  <c r="AH183" i="13"/>
  <c r="AI183" i="13"/>
  <c r="AH165" i="13"/>
  <c r="AI165" i="13"/>
  <c r="AG127" i="11"/>
  <c r="AJ127" i="11" s="1"/>
  <c r="U187" i="12"/>
  <c r="U185" i="12" s="1"/>
  <c r="U83" i="12"/>
  <c r="C45" i="12"/>
  <c r="U235" i="13"/>
  <c r="U234" i="13" s="1"/>
  <c r="U149" i="13"/>
  <c r="U147" i="13" s="1"/>
  <c r="U105" i="13"/>
  <c r="U104" i="13" s="1"/>
  <c r="U69" i="13"/>
  <c r="U65" i="13" s="1"/>
  <c r="U44" i="13"/>
  <c r="C69" i="13"/>
  <c r="C57" i="13"/>
  <c r="C45" i="13"/>
  <c r="C29" i="13"/>
  <c r="AI24" i="13"/>
  <c r="U222" i="14"/>
  <c r="U176" i="14"/>
  <c r="U123" i="14"/>
  <c r="U91" i="14"/>
  <c r="U49" i="14"/>
  <c r="C75" i="14"/>
  <c r="C63" i="14"/>
  <c r="C51" i="14"/>
  <c r="C35" i="14"/>
  <c r="C22" i="14"/>
  <c r="C78" i="14"/>
  <c r="U149" i="15"/>
  <c r="U147" i="15" s="1"/>
  <c r="U20" i="15"/>
  <c r="U16" i="15" s="1"/>
  <c r="C69" i="15"/>
  <c r="C54" i="15"/>
  <c r="C32" i="15"/>
  <c r="U243" i="12"/>
  <c r="U176" i="12"/>
  <c r="U114" i="12"/>
  <c r="C57" i="12"/>
  <c r="C35" i="12"/>
  <c r="C28" i="12" s="1"/>
  <c r="C10" i="12"/>
  <c r="U227" i="13"/>
  <c r="U205" i="13"/>
  <c r="U176" i="13"/>
  <c r="U96" i="13"/>
  <c r="U35" i="13"/>
  <c r="C42" i="13"/>
  <c r="AI240" i="13"/>
  <c r="U114" i="14"/>
  <c r="U83" i="14"/>
  <c r="U44" i="14"/>
  <c r="C10" i="14"/>
  <c r="AI70" i="14"/>
  <c r="U243" i="15"/>
  <c r="U49" i="15"/>
  <c r="U176" i="15"/>
  <c r="U149" i="12"/>
  <c r="U147" i="12" s="1"/>
  <c r="U145" i="12" s="1"/>
  <c r="U91" i="12"/>
  <c r="U90" i="12" s="1"/>
  <c r="U20" i="12"/>
  <c r="U16" i="12" s="1"/>
  <c r="C63" i="12"/>
  <c r="C25" i="12"/>
  <c r="AH203" i="12"/>
  <c r="U243" i="13"/>
  <c r="U211" i="13"/>
  <c r="U210" i="13" s="1"/>
  <c r="U209" i="13" s="1"/>
  <c r="U157" i="13"/>
  <c r="U155" i="13" s="1"/>
  <c r="U114" i="13"/>
  <c r="U83" i="13"/>
  <c r="U49" i="13"/>
  <c r="C10" i="13"/>
  <c r="U235" i="14"/>
  <c r="U234" i="14" s="1"/>
  <c r="U187" i="14"/>
  <c r="U185" i="14" s="1"/>
  <c r="U96" i="14"/>
  <c r="U58" i="14"/>
  <c r="U57" i="14" s="1"/>
  <c r="U20" i="14"/>
  <c r="U16" i="14" s="1"/>
  <c r="C81" i="14"/>
  <c r="AI246" i="14"/>
  <c r="U91" i="15"/>
  <c r="C57" i="15"/>
  <c r="AI54" i="15"/>
  <c r="X70" i="16"/>
  <c r="AH254" i="15"/>
  <c r="AH216" i="15"/>
  <c r="X77" i="16"/>
  <c r="AI77" i="16" s="1"/>
  <c r="X189" i="16"/>
  <c r="AH189" i="16" s="1"/>
  <c r="X168" i="16"/>
  <c r="X164" i="16"/>
  <c r="AH164" i="16" s="1"/>
  <c r="X153" i="16"/>
  <c r="AH153" i="16" s="1"/>
  <c r="X61" i="16"/>
  <c r="AJ61" i="16" s="1"/>
  <c r="X79" i="16"/>
  <c r="AH79" i="16" s="1"/>
  <c r="X246" i="16"/>
  <c r="AB76" i="15"/>
  <c r="AD76" i="15" s="1"/>
  <c r="AD38" i="15"/>
  <c r="AE50" i="16"/>
  <c r="AG50" i="16" s="1"/>
  <c r="AE179" i="15"/>
  <c r="AG179" i="15" s="1"/>
  <c r="AE179" i="16" s="1"/>
  <c r="AG179" i="16" s="1"/>
  <c r="AD186" i="16"/>
  <c r="AD214" i="14"/>
  <c r="AA174" i="16"/>
  <c r="BQ28" i="5"/>
  <c r="F51" i="20" s="1"/>
  <c r="AD106" i="16"/>
  <c r="AI38" i="14"/>
  <c r="AI249" i="16"/>
  <c r="AF14" i="5"/>
  <c r="AE18" i="15"/>
  <c r="AG18" i="15" s="1"/>
  <c r="AJ78" i="15"/>
  <c r="AB168" i="15"/>
  <c r="AJ29" i="14"/>
  <c r="AI132" i="14"/>
  <c r="AJ117" i="13"/>
  <c r="AY12" i="9"/>
  <c r="F49" i="20"/>
  <c r="AM112" i="5"/>
  <c r="AE170" i="5"/>
  <c r="AB170" i="5"/>
  <c r="AB145" i="5"/>
  <c r="AB110" i="5" s="1"/>
  <c r="J28" i="5"/>
  <c r="J21" i="5" s="1"/>
  <c r="J19" i="5" s="1"/>
  <c r="J17" i="5" s="1"/>
  <c r="J8" i="5" s="1"/>
  <c r="AZ12" i="8"/>
  <c r="AH105" i="5"/>
  <c r="AG196" i="5"/>
  <c r="AG195" i="5" s="1"/>
  <c r="AF170" i="5"/>
  <c r="BQ24" i="5" s="1"/>
  <c r="N72" i="5"/>
  <c r="N51" i="5"/>
  <c r="M57" i="5"/>
  <c r="AD220" i="5"/>
  <c r="AD145" i="5"/>
  <c r="AD112" i="5"/>
  <c r="AH183" i="6"/>
  <c r="AI183" i="6"/>
  <c r="AJ183" i="6"/>
  <c r="AI134" i="6"/>
  <c r="AJ134" i="6"/>
  <c r="AH134" i="6"/>
  <c r="AH100" i="6"/>
  <c r="AI100" i="6"/>
  <c r="AJ100" i="6"/>
  <c r="AH40" i="6"/>
  <c r="AI40" i="6"/>
  <c r="AJ40" i="6"/>
  <c r="AH36" i="6"/>
  <c r="AI36" i="6"/>
  <c r="AJ36" i="6"/>
  <c r="AH254" i="8"/>
  <c r="AI254" i="8"/>
  <c r="AI230" i="8"/>
  <c r="AJ230" i="8"/>
  <c r="AH230" i="8"/>
  <c r="AH225" i="8"/>
  <c r="AI225" i="8"/>
  <c r="AH203" i="8"/>
  <c r="AI203" i="8"/>
  <c r="AJ180" i="8"/>
  <c r="AH180" i="8"/>
  <c r="AJ148" i="8"/>
  <c r="AH148" i="8"/>
  <c r="AI148" i="8"/>
  <c r="AJ101" i="8"/>
  <c r="AH101" i="8"/>
  <c r="AI101" i="8"/>
  <c r="AH77" i="8"/>
  <c r="AI77" i="8"/>
  <c r="AJ77" i="8"/>
  <c r="AH68" i="8"/>
  <c r="AI68" i="8"/>
  <c r="AJ68" i="8"/>
  <c r="AI52" i="8"/>
  <c r="AJ29" i="8"/>
  <c r="AH29" i="8"/>
  <c r="AI23" i="8"/>
  <c r="AH23" i="8"/>
  <c r="N44" i="8"/>
  <c r="AZ12" i="10"/>
  <c r="BH5" i="5"/>
  <c r="AJ3" i="5"/>
  <c r="AT6" i="5"/>
  <c r="Y170" i="5"/>
  <c r="G28" i="5"/>
  <c r="G21" i="5" s="1"/>
  <c r="G19" i="5" s="1"/>
  <c r="G17" i="5" s="1"/>
  <c r="G8" i="5" s="1"/>
  <c r="U196" i="5"/>
  <c r="U195" i="5" s="1"/>
  <c r="U193" i="5" s="1"/>
  <c r="W112" i="5"/>
  <c r="V112" i="5"/>
  <c r="P28" i="5"/>
  <c r="P21" i="5" s="1"/>
  <c r="P19" i="5" s="1"/>
  <c r="P17" i="5" s="1"/>
  <c r="P8" i="5" s="1"/>
  <c r="AF112" i="5"/>
  <c r="N60" i="5"/>
  <c r="N54" i="5"/>
  <c r="N22" i="5"/>
  <c r="M81" i="5"/>
  <c r="M72" i="5"/>
  <c r="M66" i="5"/>
  <c r="M45" i="5"/>
  <c r="AD90" i="5"/>
  <c r="AJ215" i="6"/>
  <c r="AH215" i="6"/>
  <c r="AI215" i="6"/>
  <c r="AI204" i="6"/>
  <c r="AJ204" i="6"/>
  <c r="AH204" i="6"/>
  <c r="AI179" i="6"/>
  <c r="AJ179" i="6"/>
  <c r="AH179" i="6"/>
  <c r="AJ130" i="6"/>
  <c r="AH130" i="6"/>
  <c r="AI130" i="6"/>
  <c r="AI95" i="6"/>
  <c r="AJ95" i="6"/>
  <c r="AH95" i="6"/>
  <c r="AH60" i="6"/>
  <c r="AI60" i="6"/>
  <c r="AJ60" i="6"/>
  <c r="AH39" i="6"/>
  <c r="AJ39" i="6"/>
  <c r="M50" i="6"/>
  <c r="N50" i="6"/>
  <c r="AH248" i="8"/>
  <c r="AH182" i="8"/>
  <c r="AI182" i="8"/>
  <c r="AJ136" i="8"/>
  <c r="AH136" i="8"/>
  <c r="AI136" i="8"/>
  <c r="AJ120" i="8"/>
  <c r="AH120" i="8"/>
  <c r="AI120" i="8"/>
  <c r="AH84" i="8"/>
  <c r="AI84" i="8"/>
  <c r="AJ84" i="8"/>
  <c r="N70" i="8"/>
  <c r="M70" i="8"/>
  <c r="BK14" i="5"/>
  <c r="F53" i="20"/>
  <c r="AM63" i="5"/>
  <c r="Y14" i="5"/>
  <c r="AI245" i="6"/>
  <c r="AJ245" i="6"/>
  <c r="AH245" i="6"/>
  <c r="AH200" i="6"/>
  <c r="AI200" i="6"/>
  <c r="AJ200" i="6"/>
  <c r="AH88" i="6"/>
  <c r="AI88" i="6"/>
  <c r="AJ88" i="6"/>
  <c r="AH53" i="6"/>
  <c r="AI53" i="6"/>
  <c r="AJ53" i="6"/>
  <c r="AJ38" i="6"/>
  <c r="AH38" i="6"/>
  <c r="AI38" i="6"/>
  <c r="F42" i="6"/>
  <c r="AQ10" i="6" s="1"/>
  <c r="M43" i="6"/>
  <c r="N43" i="6"/>
  <c r="AH250" i="8"/>
  <c r="AI250" i="8"/>
  <c r="AI239" i="8"/>
  <c r="AH239" i="8"/>
  <c r="AH199" i="8"/>
  <c r="AI199" i="8"/>
  <c r="AJ138" i="8"/>
  <c r="AH138" i="8"/>
  <c r="AI138" i="8"/>
  <c r="AH130" i="8"/>
  <c r="AI130" i="8"/>
  <c r="AJ130" i="8"/>
  <c r="AH108" i="8"/>
  <c r="AI108" i="8"/>
  <c r="AJ108" i="8"/>
  <c r="AH87" i="8"/>
  <c r="AI87" i="8"/>
  <c r="AI54" i="8"/>
  <c r="AJ54" i="8"/>
  <c r="AH54" i="8"/>
  <c r="AH40" i="8"/>
  <c r="AI40" i="8"/>
  <c r="AJ40" i="8"/>
  <c r="AH31" i="8"/>
  <c r="AI31" i="8"/>
  <c r="AJ31" i="8"/>
  <c r="N74" i="8"/>
  <c r="F43" i="20"/>
  <c r="AM14" i="5"/>
  <c r="U145" i="5"/>
  <c r="U112" i="5"/>
  <c r="U43" i="5"/>
  <c r="U14" i="5" s="1"/>
  <c r="C28" i="5"/>
  <c r="C21" i="5" s="1"/>
  <c r="C19" i="5" s="1"/>
  <c r="C17" i="5" s="1"/>
  <c r="W43" i="5"/>
  <c r="D28" i="5"/>
  <c r="AJ58" i="5"/>
  <c r="AJ57" i="5" s="1"/>
  <c r="AI187" i="5"/>
  <c r="Q28" i="5"/>
  <c r="Q21" i="5" s="1"/>
  <c r="Q19" i="5" s="1"/>
  <c r="Q17" i="5" s="1"/>
  <c r="Q8" i="5" s="1"/>
  <c r="AG170" i="5"/>
  <c r="AS27" i="5" s="1"/>
  <c r="AX27" i="5" s="1"/>
  <c r="M48" i="5"/>
  <c r="M42" i="5"/>
  <c r="AD196" i="5"/>
  <c r="AD170" i="5"/>
  <c r="AD43" i="5"/>
  <c r="L28" i="5"/>
  <c r="AS9" i="5" s="1"/>
  <c r="AH247" i="6"/>
  <c r="AI247" i="6"/>
  <c r="AJ247" i="6"/>
  <c r="AI239" i="6"/>
  <c r="AJ239" i="6"/>
  <c r="AH239" i="6"/>
  <c r="AI190" i="6"/>
  <c r="AJ190" i="6"/>
  <c r="AH190" i="6"/>
  <c r="AJ138" i="6"/>
  <c r="AH138" i="6"/>
  <c r="AI138" i="6"/>
  <c r="AH41" i="6"/>
  <c r="AI41" i="6"/>
  <c r="AJ41" i="6"/>
  <c r="AH37" i="6"/>
  <c r="AI37" i="6"/>
  <c r="AJ37" i="6"/>
  <c r="M53" i="6"/>
  <c r="N53" i="6"/>
  <c r="M47" i="6"/>
  <c r="N47" i="6"/>
  <c r="AI252" i="8"/>
  <c r="AH252" i="8"/>
  <c r="AH241" i="8"/>
  <c r="AI241" i="8"/>
  <c r="AJ132" i="8"/>
  <c r="AH132" i="8"/>
  <c r="AI132" i="8"/>
  <c r="AH116" i="8"/>
  <c r="AI116" i="8"/>
  <c r="AH99" i="8"/>
  <c r="AI99" i="8"/>
  <c r="AH66" i="8"/>
  <c r="AC63" i="5"/>
  <c r="AA170" i="5"/>
  <c r="BO24" i="5" s="1"/>
  <c r="BO22" i="5" s="1"/>
  <c r="Z170" i="5"/>
  <c r="AJ48" i="9"/>
  <c r="AJ32" i="9"/>
  <c r="AI254" i="7"/>
  <c r="AH254" i="7"/>
  <c r="AI250" i="7"/>
  <c r="AH250" i="7"/>
  <c r="AI200" i="7"/>
  <c r="AH200" i="7"/>
  <c r="AI190" i="7"/>
  <c r="AH190" i="7"/>
  <c r="AI94" i="7"/>
  <c r="AH94" i="7"/>
  <c r="AI213" i="10"/>
  <c r="AH213" i="10"/>
  <c r="AH191" i="10"/>
  <c r="AI191" i="10"/>
  <c r="AH136" i="10"/>
  <c r="AI136" i="10"/>
  <c r="AJ136" i="10"/>
  <c r="AI120" i="10"/>
  <c r="AJ120" i="10"/>
  <c r="AH120" i="10"/>
  <c r="AI99" i="10"/>
  <c r="AH99" i="10"/>
  <c r="AI80" i="10"/>
  <c r="AH80" i="10"/>
  <c r="AI32" i="10"/>
  <c r="AH24" i="10"/>
  <c r="AI24" i="10"/>
  <c r="AJ24" i="10"/>
  <c r="AC43" i="5"/>
  <c r="AC14" i="5" s="1"/>
  <c r="Z112" i="5"/>
  <c r="X44" i="5"/>
  <c r="X58" i="6"/>
  <c r="X57" i="6" s="1"/>
  <c r="W90" i="6"/>
  <c r="W63" i="6" s="1"/>
  <c r="AH253" i="7"/>
  <c r="AI253" i="7"/>
  <c r="AH199" i="7"/>
  <c r="AI199" i="7"/>
  <c r="AI37" i="7"/>
  <c r="AJ37" i="7"/>
  <c r="AI252" i="10"/>
  <c r="AH230" i="10"/>
  <c r="AI230" i="10"/>
  <c r="AI199" i="10"/>
  <c r="AH199" i="10"/>
  <c r="AH163" i="10"/>
  <c r="AI163" i="10"/>
  <c r="AJ163" i="10"/>
  <c r="AJ101" i="10"/>
  <c r="AH53" i="10"/>
  <c r="AI53" i="10"/>
  <c r="AI26" i="10"/>
  <c r="F29" i="5"/>
  <c r="W170" i="6"/>
  <c r="AH256" i="7"/>
  <c r="AI252" i="7"/>
  <c r="AH252" i="7"/>
  <c r="AH107" i="7"/>
  <c r="AJ107" i="7"/>
  <c r="AH254" i="10"/>
  <c r="AI254" i="10"/>
  <c r="AH165" i="10"/>
  <c r="AI126" i="10"/>
  <c r="AH126" i="10"/>
  <c r="AI94" i="10"/>
  <c r="AH94" i="10"/>
  <c r="AI76" i="10"/>
  <c r="AI28" i="10"/>
  <c r="AJ28" i="10"/>
  <c r="AH19" i="10"/>
  <c r="AI19" i="10"/>
  <c r="AJ19" i="10"/>
  <c r="K28" i="5"/>
  <c r="I28" i="5"/>
  <c r="AR9" i="5" s="1"/>
  <c r="Z145" i="5"/>
  <c r="H28" i="5"/>
  <c r="H21" i="5" s="1"/>
  <c r="H19" i="5" s="1"/>
  <c r="H17" i="5" s="1"/>
  <c r="H8" i="5" s="1"/>
  <c r="X58" i="5"/>
  <c r="X57" i="5" s="1"/>
  <c r="AD220" i="6"/>
  <c r="AB43" i="6"/>
  <c r="AH255" i="7"/>
  <c r="AI251" i="7"/>
  <c r="AH251" i="7"/>
  <c r="AH201" i="7"/>
  <c r="AI201" i="7"/>
  <c r="AH191" i="7"/>
  <c r="AI191" i="7"/>
  <c r="AH106" i="7"/>
  <c r="AI106" i="7"/>
  <c r="AI203" i="10"/>
  <c r="AH203" i="10"/>
  <c r="AI182" i="10"/>
  <c r="AH182" i="10"/>
  <c r="AH148" i="10"/>
  <c r="AI148" i="10"/>
  <c r="AJ148" i="10"/>
  <c r="AI128" i="10"/>
  <c r="AH128" i="10"/>
  <c r="AH78" i="10"/>
  <c r="AI78" i="10"/>
  <c r="AJ78" i="10"/>
  <c r="AI70" i="10"/>
  <c r="AH48" i="10"/>
  <c r="AI48" i="10"/>
  <c r="AJ48" i="10"/>
  <c r="AI30" i="10"/>
  <c r="U196" i="7"/>
  <c r="U195" i="7" s="1"/>
  <c r="U193" i="7" s="1"/>
  <c r="AI78" i="11"/>
  <c r="AI249" i="13"/>
  <c r="AI125" i="13"/>
  <c r="AH241" i="14"/>
  <c r="U220" i="7"/>
  <c r="C78" i="10"/>
  <c r="AJ32" i="12"/>
  <c r="AI32" i="12"/>
  <c r="AH32" i="12"/>
  <c r="AH217" i="13"/>
  <c r="AI217" i="13"/>
  <c r="AH127" i="13"/>
  <c r="AH119" i="13"/>
  <c r="AI102" i="13"/>
  <c r="AH102" i="13"/>
  <c r="AI41" i="13"/>
  <c r="AH41" i="13"/>
  <c r="AH78" i="12"/>
  <c r="AJ78" i="12"/>
  <c r="AH121" i="13"/>
  <c r="U227" i="14"/>
  <c r="U197" i="14"/>
  <c r="U196" i="14" s="1"/>
  <c r="U195" i="14" s="1"/>
  <c r="U157" i="14"/>
  <c r="U155" i="14" s="1"/>
  <c r="U145" i="14" s="1"/>
  <c r="U235" i="15"/>
  <c r="U234" i="15" s="1"/>
  <c r="U187" i="15"/>
  <c r="U185" i="15" s="1"/>
  <c r="U105" i="15"/>
  <c r="U104" i="15" s="1"/>
  <c r="U69" i="15"/>
  <c r="U65" i="15" s="1"/>
  <c r="C29" i="15"/>
  <c r="AH32" i="15"/>
  <c r="U96" i="15"/>
  <c r="U90" i="15" s="1"/>
  <c r="C78" i="12"/>
  <c r="U211" i="15"/>
  <c r="U210" i="15" s="1"/>
  <c r="U209" i="15" s="1"/>
  <c r="U114" i="15"/>
  <c r="U83" i="15"/>
  <c r="C28" i="16"/>
  <c r="U43" i="16"/>
  <c r="BD13" i="5"/>
  <c r="X217" i="16"/>
  <c r="X117" i="16"/>
  <c r="X100" i="16"/>
  <c r="X253" i="16"/>
  <c r="AH253" i="16" s="1"/>
  <c r="X203" i="16"/>
  <c r="AH203" i="16" s="1"/>
  <c r="M39" i="8"/>
  <c r="N39" i="8"/>
  <c r="F40" i="9"/>
  <c r="D40" i="10"/>
  <c r="D39" i="10"/>
  <c r="F39" i="9"/>
  <c r="N40" i="8"/>
  <c r="M40" i="8"/>
  <c r="M38" i="7"/>
  <c r="N38" i="7"/>
  <c r="D38" i="9"/>
  <c r="F38" i="8"/>
  <c r="AJ79" i="14"/>
  <c r="AE79" i="15"/>
  <c r="AG79" i="15" s="1"/>
  <c r="AE177" i="14"/>
  <c r="AG177" i="14" s="1"/>
  <c r="AE153" i="16"/>
  <c r="AG153" i="16" s="1"/>
  <c r="AI200" i="16"/>
  <c r="W162" i="15"/>
  <c r="X162" i="14"/>
  <c r="AA251" i="15"/>
  <c r="AE166" i="16"/>
  <c r="AG166" i="16" s="1"/>
  <c r="AJ24" i="14"/>
  <c r="L46" i="15"/>
  <c r="AB93" i="15"/>
  <c r="AD93" i="15" s="1"/>
  <c r="AE130" i="15"/>
  <c r="AG130" i="15" s="1"/>
  <c r="AE130" i="16" s="1"/>
  <c r="AG130" i="16" s="1"/>
  <c r="AI162" i="12"/>
  <c r="AJ54" i="14"/>
  <c r="AE54" i="15"/>
  <c r="AG54" i="15" s="1"/>
  <c r="AE19" i="16"/>
  <c r="AG19" i="16" s="1"/>
  <c r="AJ19" i="15"/>
  <c r="AJ29" i="15"/>
  <c r="AE29" i="16"/>
  <c r="AG29" i="16" s="1"/>
  <c r="AJ29" i="16" s="1"/>
  <c r="AD130" i="14"/>
  <c r="W212" i="14"/>
  <c r="AB86" i="15"/>
  <c r="AD86" i="15" s="1"/>
  <c r="AE76" i="15"/>
  <c r="AG76" i="15" s="1"/>
  <c r="AE125" i="15"/>
  <c r="AG125" i="15" s="1"/>
  <c r="AE136" i="15"/>
  <c r="AG136" i="15" s="1"/>
  <c r="AE48" i="15"/>
  <c r="Y72" i="16"/>
  <c r="W172" i="14"/>
  <c r="AE108" i="16"/>
  <c r="AG108" i="16" s="1"/>
  <c r="AJ108" i="16" s="1"/>
  <c r="AB74" i="15"/>
  <c r="AE167" i="15"/>
  <c r="AG167" i="15" s="1"/>
  <c r="I26" i="15"/>
  <c r="AA21" i="16"/>
  <c r="AA53" i="13"/>
  <c r="Y53" i="14" s="1"/>
  <c r="AB101" i="16"/>
  <c r="AD101" i="16" s="1"/>
  <c r="AE128" i="16"/>
  <c r="AG128" i="16" s="1"/>
  <c r="AJ128" i="15"/>
  <c r="AE85" i="15"/>
  <c r="AG85" i="15" s="1"/>
  <c r="AE92" i="14"/>
  <c r="AE32" i="15"/>
  <c r="AG32" i="15" s="1"/>
  <c r="AJ32" i="14"/>
  <c r="W132" i="15"/>
  <c r="W138" i="16"/>
  <c r="X138" i="16" s="1"/>
  <c r="AH138" i="16" s="1"/>
  <c r="X138" i="15"/>
  <c r="AE68" i="15"/>
  <c r="AG68" i="15" s="1"/>
  <c r="AE68" i="16" s="1"/>
  <c r="AG68" i="16" s="1"/>
  <c r="AJ68" i="14"/>
  <c r="AE148" i="15"/>
  <c r="AG148" i="15" s="1"/>
  <c r="AI137" i="16"/>
  <c r="AY12" i="11"/>
  <c r="AY11" i="7"/>
  <c r="BK9" i="6"/>
  <c r="BK14" i="6"/>
  <c r="AI191" i="6"/>
  <c r="AH191" i="6"/>
  <c r="AJ191" i="6"/>
  <c r="AH180" i="6"/>
  <c r="AH177" i="6"/>
  <c r="AJ177" i="6"/>
  <c r="AI177" i="6"/>
  <c r="AI133" i="6"/>
  <c r="AJ124" i="6"/>
  <c r="AI124" i="6"/>
  <c r="AI107" i="6"/>
  <c r="AH107" i="6"/>
  <c r="AJ107" i="6"/>
  <c r="AI94" i="6"/>
  <c r="AH94" i="6"/>
  <c r="AI52" i="6"/>
  <c r="AJ52" i="6"/>
  <c r="AH52" i="6"/>
  <c r="N52" i="6"/>
  <c r="M15" i="6"/>
  <c r="AH224" i="6"/>
  <c r="AI224" i="6"/>
  <c r="AJ224" i="6"/>
  <c r="AI212" i="6"/>
  <c r="AH212" i="6"/>
  <c r="AJ199" i="6"/>
  <c r="AI199" i="6"/>
  <c r="AH199" i="6"/>
  <c r="AI182" i="6"/>
  <c r="AH182" i="6"/>
  <c r="AJ182" i="6"/>
  <c r="AJ143" i="6"/>
  <c r="AI143" i="6"/>
  <c r="AH143" i="6"/>
  <c r="AI135" i="6"/>
  <c r="AH135" i="6"/>
  <c r="AJ135" i="6"/>
  <c r="AI127" i="6"/>
  <c r="AH127" i="6"/>
  <c r="AJ127" i="6"/>
  <c r="AJ54" i="6"/>
  <c r="AH54" i="6"/>
  <c r="AI54" i="6"/>
  <c r="AJ51" i="6"/>
  <c r="AQ13" i="6"/>
  <c r="AY13" i="6" s="1"/>
  <c r="AZ12" i="11"/>
  <c r="AZ12" i="9"/>
  <c r="AZ11" i="6"/>
  <c r="AH236" i="6"/>
  <c r="AI236" i="6"/>
  <c r="X235" i="6"/>
  <c r="X234" i="6" s="1"/>
  <c r="AJ236" i="6"/>
  <c r="AH214" i="6"/>
  <c r="AJ214" i="6"/>
  <c r="AI214" i="6"/>
  <c r="AI201" i="6"/>
  <c r="AH201" i="6"/>
  <c r="AJ201" i="6"/>
  <c r="AH137" i="6"/>
  <c r="AJ137" i="6"/>
  <c r="AI137" i="6"/>
  <c r="AI129" i="6"/>
  <c r="AI126" i="6"/>
  <c r="AH126" i="6"/>
  <c r="BN19" i="6"/>
  <c r="AI99" i="6"/>
  <c r="AH99" i="6"/>
  <c r="AH87" i="6"/>
  <c r="AJ87" i="6"/>
  <c r="AI87" i="6"/>
  <c r="AJ66" i="6"/>
  <c r="AJ50" i="6"/>
  <c r="AH50" i="6"/>
  <c r="AI50" i="6"/>
  <c r="E34" i="20"/>
  <c r="AJ238" i="6"/>
  <c r="AH238" i="6"/>
  <c r="AI238" i="6"/>
  <c r="X211" i="6"/>
  <c r="X210" i="6" s="1"/>
  <c r="X209" i="6" s="1"/>
  <c r="AQ29" i="6" s="1"/>
  <c r="AJ216" i="6"/>
  <c r="AI216" i="6"/>
  <c r="AH216" i="6"/>
  <c r="AJ203" i="6"/>
  <c r="AI203" i="6"/>
  <c r="AH203" i="6"/>
  <c r="AI178" i="6"/>
  <c r="AH178" i="6"/>
  <c r="AI139" i="6"/>
  <c r="AH139" i="6"/>
  <c r="AJ139" i="6"/>
  <c r="AI131" i="6"/>
  <c r="AH131" i="6"/>
  <c r="AJ131" i="6"/>
  <c r="AJ125" i="6"/>
  <c r="AI101" i="6"/>
  <c r="AH61" i="6"/>
  <c r="AJ61" i="6"/>
  <c r="AI61" i="6"/>
  <c r="F48" i="6"/>
  <c r="N49" i="6"/>
  <c r="M49" i="6"/>
  <c r="M48" i="6" s="1"/>
  <c r="F32" i="6"/>
  <c r="N33" i="6"/>
  <c r="M33" i="6"/>
  <c r="M13" i="6"/>
  <c r="B41" i="8"/>
  <c r="B41" i="9"/>
  <c r="B41" i="10" s="1"/>
  <c r="B41" i="11" s="1"/>
  <c r="B41" i="12" s="1"/>
  <c r="B41" i="13" s="1"/>
  <c r="B41" i="14" s="1"/>
  <c r="B41" i="15" s="1"/>
  <c r="B41" i="16" s="1"/>
  <c r="AZ12" i="12"/>
  <c r="AC220" i="6"/>
  <c r="AC170" i="6"/>
  <c r="J28" i="6"/>
  <c r="J21" i="6" s="1"/>
  <c r="J19" i="6" s="1"/>
  <c r="J17" i="6" s="1"/>
  <c r="J8" i="6" s="1"/>
  <c r="H28" i="6"/>
  <c r="H21" i="6" s="1"/>
  <c r="H19" i="6" s="1"/>
  <c r="H17" i="6" s="1"/>
  <c r="X222" i="6"/>
  <c r="X49" i="6"/>
  <c r="V220" i="6"/>
  <c r="AJ230" i="9"/>
  <c r="AI230" i="9"/>
  <c r="AH230" i="9"/>
  <c r="AJ107" i="9"/>
  <c r="AI76" i="9"/>
  <c r="AJ76" i="9"/>
  <c r="AI67" i="9"/>
  <c r="AH67" i="9"/>
  <c r="AH25" i="9"/>
  <c r="AJ18" i="9"/>
  <c r="AH18" i="9"/>
  <c r="AI18" i="9"/>
  <c r="AH248" i="7"/>
  <c r="AI248" i="7"/>
  <c r="AH52" i="7"/>
  <c r="AI47" i="7"/>
  <c r="AJ47" i="7"/>
  <c r="M31" i="7"/>
  <c r="X157" i="6"/>
  <c r="X155" i="6" s="1"/>
  <c r="F60" i="6"/>
  <c r="W196" i="6"/>
  <c r="W195" i="6" s="1"/>
  <c r="W193" i="6" s="1"/>
  <c r="E28" i="6"/>
  <c r="AH200" i="9"/>
  <c r="AI200" i="9"/>
  <c r="AI173" i="9"/>
  <c r="AH173" i="9"/>
  <c r="AJ27" i="9"/>
  <c r="AI27" i="9"/>
  <c r="AJ17" i="9"/>
  <c r="AH17" i="9"/>
  <c r="AI17" i="9"/>
  <c r="AJ100" i="7"/>
  <c r="AH100" i="7"/>
  <c r="AI100" i="7"/>
  <c r="AH92" i="7"/>
  <c r="AB112" i="6"/>
  <c r="Z170" i="6"/>
  <c r="G28" i="6"/>
  <c r="V170" i="6"/>
  <c r="M33" i="8"/>
  <c r="AI239" i="9"/>
  <c r="AH239" i="9"/>
  <c r="AI202" i="9"/>
  <c r="AH190" i="9"/>
  <c r="AI190" i="9"/>
  <c r="AI120" i="9"/>
  <c r="AJ120" i="9"/>
  <c r="AH120" i="9"/>
  <c r="AJ100" i="9"/>
  <c r="AH100" i="9"/>
  <c r="AH40" i="9"/>
  <c r="AI40" i="9"/>
  <c r="AJ40" i="9"/>
  <c r="AH29" i="9"/>
  <c r="AI29" i="9"/>
  <c r="AJ29" i="9"/>
  <c r="M15" i="9"/>
  <c r="AJ102" i="7"/>
  <c r="AH99" i="7"/>
  <c r="AI99" i="7"/>
  <c r="N44" i="7"/>
  <c r="K28" i="6"/>
  <c r="K21" i="6" s="1"/>
  <c r="K19" i="6" s="1"/>
  <c r="K17" i="6" s="1"/>
  <c r="W145" i="6"/>
  <c r="AH204" i="9"/>
  <c r="AI204" i="9"/>
  <c r="AH84" i="9"/>
  <c r="AH77" i="9"/>
  <c r="AJ77" i="9"/>
  <c r="AI77" i="9"/>
  <c r="AH74" i="9"/>
  <c r="AJ74" i="9"/>
  <c r="AH68" i="9"/>
  <c r="AJ68" i="9"/>
  <c r="AI68" i="9"/>
  <c r="AJ31" i="9"/>
  <c r="AH31" i="9"/>
  <c r="AI31" i="9"/>
  <c r="AH23" i="9"/>
  <c r="AI23" i="9"/>
  <c r="AI19" i="9"/>
  <c r="AJ19" i="9"/>
  <c r="AH19" i="9"/>
  <c r="AI98" i="7"/>
  <c r="AJ98" i="7"/>
  <c r="AH48" i="7"/>
  <c r="AJ48" i="7"/>
  <c r="AI48" i="7"/>
  <c r="M49" i="7"/>
  <c r="AH60" i="10"/>
  <c r="AH253" i="11"/>
  <c r="AI253" i="11"/>
  <c r="AI250" i="11"/>
  <c r="AH250" i="11"/>
  <c r="AI236" i="11"/>
  <c r="AH236" i="11"/>
  <c r="AH126" i="11"/>
  <c r="AI126" i="11"/>
  <c r="AI81" i="13"/>
  <c r="F60" i="7"/>
  <c r="AH116" i="10"/>
  <c r="AJ125" i="11"/>
  <c r="AJ55" i="11"/>
  <c r="AJ41" i="11"/>
  <c r="AH41" i="11"/>
  <c r="AI41" i="11"/>
  <c r="AH29" i="11"/>
  <c r="AJ29" i="11"/>
  <c r="AH127" i="12"/>
  <c r="X105" i="7"/>
  <c r="W170" i="7"/>
  <c r="AH124" i="11"/>
  <c r="AJ74" i="11"/>
  <c r="AJ54" i="11"/>
  <c r="AI54" i="11"/>
  <c r="AH54" i="11"/>
  <c r="AH217" i="12"/>
  <c r="AI217" i="12"/>
  <c r="AI54" i="13"/>
  <c r="AH54" i="13"/>
  <c r="AH251" i="11"/>
  <c r="AI251" i="11"/>
  <c r="AI190" i="11"/>
  <c r="AH130" i="11"/>
  <c r="AI130" i="11"/>
  <c r="AJ130" i="11"/>
  <c r="AH127" i="11"/>
  <c r="AI121" i="11"/>
  <c r="AJ121" i="11"/>
  <c r="AH121" i="11"/>
  <c r="AH60" i="11"/>
  <c r="AJ60" i="11"/>
  <c r="AI60" i="11"/>
  <c r="AH53" i="11"/>
  <c r="AI53" i="11"/>
  <c r="AI255" i="13"/>
  <c r="AH255" i="13"/>
  <c r="AI128" i="14"/>
  <c r="AI54" i="14"/>
  <c r="AH30" i="14"/>
  <c r="AI30" i="14"/>
  <c r="AI26" i="14"/>
  <c r="AH17" i="14"/>
  <c r="AI17" i="14"/>
  <c r="C78" i="11"/>
  <c r="AH29" i="14"/>
  <c r="C28" i="11"/>
  <c r="AI165" i="14"/>
  <c r="AI61" i="14"/>
  <c r="AH32" i="14"/>
  <c r="AI32" i="14"/>
  <c r="AI28" i="14"/>
  <c r="AH24" i="14"/>
  <c r="AI24" i="14"/>
  <c r="AH19" i="14"/>
  <c r="AI19" i="14"/>
  <c r="C75" i="15"/>
  <c r="C63" i="15"/>
  <c r="C51" i="15"/>
  <c r="C35" i="15"/>
  <c r="C22" i="15"/>
  <c r="U220" i="16"/>
  <c r="X239" i="16"/>
  <c r="X181" i="16"/>
  <c r="X163" i="16"/>
  <c r="BD13" i="6"/>
  <c r="X254" i="16"/>
  <c r="X240" i="16"/>
  <c r="X204" i="16"/>
  <c r="X161" i="16"/>
  <c r="X218" i="16"/>
  <c r="AH218" i="16" s="1"/>
  <c r="X191" i="16"/>
  <c r="X186" i="16"/>
  <c r="X136" i="16"/>
  <c r="AH136" i="16" s="1"/>
  <c r="X101" i="16"/>
  <c r="X74" i="16"/>
  <c r="X45" i="16"/>
  <c r="X38" i="16"/>
  <c r="X32" i="16"/>
  <c r="AH32" i="16" s="1"/>
  <c r="X28" i="16"/>
  <c r="X24" i="16"/>
  <c r="X19" i="16"/>
  <c r="C78" i="16"/>
  <c r="X128" i="16"/>
  <c r="AH128" i="16" s="1"/>
  <c r="X216" i="16"/>
  <c r="AH216" i="16" s="1"/>
  <c r="X182" i="16"/>
  <c r="AH182" i="16" s="1"/>
  <c r="X148" i="16"/>
  <c r="X130" i="16"/>
  <c r="AH130" i="16" s="1"/>
  <c r="X126" i="16"/>
  <c r="X78" i="16"/>
  <c r="X66" i="16"/>
  <c r="X55" i="16"/>
  <c r="AJ55" i="16" s="1"/>
  <c r="X40" i="16"/>
  <c r="X36" i="16"/>
  <c r="X30" i="16"/>
  <c r="X26" i="16"/>
  <c r="X22" i="16"/>
  <c r="X247" i="16"/>
  <c r="AH247" i="16" s="1"/>
  <c r="R23" i="20"/>
  <c r="E41" i="16"/>
  <c r="D41" i="7"/>
  <c r="F41" i="6"/>
  <c r="Q10" i="20"/>
  <c r="Q9" i="20" s="1"/>
  <c r="J10" i="20"/>
  <c r="J9" i="20" s="1"/>
  <c r="R17" i="20"/>
  <c r="R13" i="20"/>
  <c r="B12" i="9"/>
  <c r="I12" i="6"/>
  <c r="G10" i="6"/>
  <c r="N10" i="20"/>
  <c r="N9" i="20" s="1"/>
  <c r="R12" i="20"/>
  <c r="O10" i="20"/>
  <c r="O9" i="20" s="1"/>
  <c r="P10" i="20"/>
  <c r="P9" i="20" s="1"/>
  <c r="K10" i="20"/>
  <c r="K9" i="20" s="1"/>
  <c r="R14" i="20"/>
  <c r="R33" i="20"/>
  <c r="G10" i="20"/>
  <c r="G9" i="20" s="1"/>
  <c r="R18" i="20"/>
  <c r="R20" i="20"/>
  <c r="R19" i="20"/>
  <c r="AE37" i="16"/>
  <c r="AE120" i="16"/>
  <c r="AG120" i="16" s="1"/>
  <c r="AB202" i="16"/>
  <c r="AE28" i="15"/>
  <c r="AG28" i="15" s="1"/>
  <c r="AJ28" i="14"/>
  <c r="AE121" i="15"/>
  <c r="AG121" i="15" s="1"/>
  <c r="AJ121" i="14"/>
  <c r="AE97" i="15"/>
  <c r="AE77" i="15"/>
  <c r="AG77" i="15" s="1"/>
  <c r="AE159" i="15"/>
  <c r="AB207" i="16"/>
  <c r="AD207" i="16" s="1"/>
  <c r="AE74" i="16"/>
  <c r="AG74" i="16" s="1"/>
  <c r="AE27" i="15"/>
  <c r="AG27" i="15" s="1"/>
  <c r="AJ27" i="14"/>
  <c r="AE41" i="15"/>
  <c r="AG41" i="15" s="1"/>
  <c r="AE133" i="15"/>
  <c r="AE73" i="15"/>
  <c r="AG73" i="15" s="1"/>
  <c r="AE135" i="15"/>
  <c r="AG135" i="15" s="1"/>
  <c r="AE151" i="15"/>
  <c r="B13" i="15"/>
  <c r="AI252" i="16"/>
  <c r="AE38" i="16"/>
  <c r="AG38" i="16" s="1"/>
  <c r="AJ38" i="15"/>
  <c r="AE102" i="15"/>
  <c r="AG102" i="15" s="1"/>
  <c r="AE71" i="15"/>
  <c r="B14" i="14"/>
  <c r="AJ24" i="15"/>
  <c r="AE24" i="16"/>
  <c r="AG24" i="16" s="1"/>
  <c r="AJ100" i="14"/>
  <c r="AE100" i="15"/>
  <c r="AG100" i="15" s="1"/>
  <c r="AE163" i="16"/>
  <c r="AG163" i="16" s="1"/>
  <c r="AE46" i="16"/>
  <c r="AE138" i="15"/>
  <c r="AG138" i="15" s="1"/>
  <c r="AJ138" i="14"/>
  <c r="AI217" i="15"/>
  <c r="AB217" i="16"/>
  <c r="AE31" i="15"/>
  <c r="AG31" i="15" s="1"/>
  <c r="AE66" i="16"/>
  <c r="AE134" i="15"/>
  <c r="AG134" i="15" s="1"/>
  <c r="AE25" i="15"/>
  <c r="AG25" i="15" s="1"/>
  <c r="AE107" i="15"/>
  <c r="AJ107" i="14"/>
  <c r="AE51" i="15"/>
  <c r="AC14" i="14"/>
  <c r="AC12" i="14" s="1"/>
  <c r="R15" i="20"/>
  <c r="Z14" i="14"/>
  <c r="AM12" i="7"/>
  <c r="AL14" i="9"/>
  <c r="BQ28" i="16"/>
  <c r="Q51" i="20" s="1"/>
  <c r="AF195" i="16"/>
  <c r="AF193" i="16" s="1"/>
  <c r="AC63" i="10"/>
  <c r="AC63" i="16"/>
  <c r="AC170" i="14"/>
  <c r="BQ27" i="16"/>
  <c r="Q50" i="20" s="1"/>
  <c r="BQ27" i="13"/>
  <c r="AM110" i="6"/>
  <c r="AL110" i="12"/>
  <c r="AL14" i="10"/>
  <c r="AL63" i="9"/>
  <c r="AL63" i="6"/>
  <c r="L21" i="5"/>
  <c r="AF195" i="15"/>
  <c r="AF193" i="15" s="1"/>
  <c r="BQ28" i="15"/>
  <c r="AC14" i="9"/>
  <c r="AF170" i="10"/>
  <c r="BQ24" i="10" s="1"/>
  <c r="Z14" i="15"/>
  <c r="Z63" i="9"/>
  <c r="Z110" i="9"/>
  <c r="Z170" i="13"/>
  <c r="AM12" i="8"/>
  <c r="AM10" i="8" s="1"/>
  <c r="AM8" i="8" s="1"/>
  <c r="AM63" i="6"/>
  <c r="AM12" i="6" s="1"/>
  <c r="AM170" i="5"/>
  <c r="AL14" i="13"/>
  <c r="AL12" i="13" s="1"/>
  <c r="AL14" i="5"/>
  <c r="AL12" i="5" s="1"/>
  <c r="AB14" i="5"/>
  <c r="AM12" i="11"/>
  <c r="AM10" i="11" s="1"/>
  <c r="AM8" i="11" s="1"/>
  <c r="BQ27" i="8"/>
  <c r="AV8" i="5"/>
  <c r="BE10" i="15"/>
  <c r="BE9" i="15" s="1"/>
  <c r="BE8" i="15" s="1"/>
  <c r="BF13" i="7"/>
  <c r="BF13" i="10" s="1"/>
  <c r="BF13" i="13" s="1"/>
  <c r="BF13" i="16" s="1"/>
  <c r="BF15" i="7"/>
  <c r="BF15" i="10" s="1"/>
  <c r="BF15" i="13" s="1"/>
  <c r="BF15" i="16" s="1"/>
  <c r="AF112" i="10"/>
  <c r="AF112" i="9"/>
  <c r="BF17" i="7"/>
  <c r="BF17" i="10" s="1"/>
  <c r="BF17" i="13" s="1"/>
  <c r="BF17" i="16" s="1"/>
  <c r="AZ13" i="5"/>
  <c r="AZ12" i="5"/>
  <c r="AF145" i="6"/>
  <c r="BQ16" i="6"/>
  <c r="G39" i="20" s="1"/>
  <c r="AJ106" i="6"/>
  <c r="X105" i="6"/>
  <c r="X104" i="6" s="1"/>
  <c r="AH106" i="6"/>
  <c r="AI106" i="6"/>
  <c r="AH84" i="6"/>
  <c r="AI84" i="6"/>
  <c r="AJ84" i="6"/>
  <c r="M58" i="6"/>
  <c r="N58" i="6"/>
  <c r="M37" i="6"/>
  <c r="N37" i="6"/>
  <c r="AH164" i="8"/>
  <c r="AI164" i="8"/>
  <c r="AJ164" i="8"/>
  <c r="AH160" i="8"/>
  <c r="AI160" i="8"/>
  <c r="BR31" i="16"/>
  <c r="AU12" i="10"/>
  <c r="AV12" i="10"/>
  <c r="AV12" i="9"/>
  <c r="AU12" i="9"/>
  <c r="AY11" i="6"/>
  <c r="AU12" i="5"/>
  <c r="AV12" i="5"/>
  <c r="AV13" i="5"/>
  <c r="AU13" i="5"/>
  <c r="BE10" i="7"/>
  <c r="BE9" i="7" s="1"/>
  <c r="BE8" i="7" s="1"/>
  <c r="BE10" i="12"/>
  <c r="BE9" i="12" s="1"/>
  <c r="BE8" i="12" s="1"/>
  <c r="BE10" i="16"/>
  <c r="AW22" i="5"/>
  <c r="BE10" i="5"/>
  <c r="AY11" i="5"/>
  <c r="AM14" i="16"/>
  <c r="BQ12" i="16"/>
  <c r="Q35" i="20" s="1"/>
  <c r="BQ12" i="8"/>
  <c r="I35" i="20" s="1"/>
  <c r="V145" i="5"/>
  <c r="AI152" i="6"/>
  <c r="AJ152" i="6"/>
  <c r="AH152" i="6"/>
  <c r="AH148" i="6"/>
  <c r="AI148" i="6"/>
  <c r="AJ148" i="6"/>
  <c r="BN18" i="6"/>
  <c r="AH55" i="6"/>
  <c r="AI55" i="6"/>
  <c r="AJ55" i="6"/>
  <c r="F35" i="6"/>
  <c r="N36" i="6"/>
  <c r="M36" i="6"/>
  <c r="AI247" i="8"/>
  <c r="AJ247" i="8"/>
  <c r="AH247" i="8"/>
  <c r="AH163" i="8"/>
  <c r="AI163" i="8"/>
  <c r="AJ163" i="8"/>
  <c r="AI37" i="8"/>
  <c r="AJ37" i="8"/>
  <c r="AZ7" i="5"/>
  <c r="BE10" i="9"/>
  <c r="BE9" i="9" s="1"/>
  <c r="BE8" i="9" s="1"/>
  <c r="BE10" i="13"/>
  <c r="BE10" i="6"/>
  <c r="BE9" i="6" s="1"/>
  <c r="BE8" i="6" s="1"/>
  <c r="AF112" i="15"/>
  <c r="AZ11" i="5"/>
  <c r="AY13" i="5"/>
  <c r="AY12" i="5"/>
  <c r="BQ13" i="9"/>
  <c r="J36" i="20" s="1"/>
  <c r="W14" i="5"/>
  <c r="V14" i="5"/>
  <c r="Z14" i="5"/>
  <c r="AH206" i="6"/>
  <c r="AH205" i="6" s="1"/>
  <c r="AJ174" i="6"/>
  <c r="AH174" i="6"/>
  <c r="AI174" i="6"/>
  <c r="X149" i="6"/>
  <c r="X147" i="6" s="1"/>
  <c r="AH151" i="6"/>
  <c r="AI151" i="6"/>
  <c r="AJ151" i="6"/>
  <c r="F45" i="6"/>
  <c r="M46" i="6"/>
  <c r="N46" i="6"/>
  <c r="N31" i="6"/>
  <c r="M31" i="6"/>
  <c r="AH186" i="8"/>
  <c r="AI186" i="8"/>
  <c r="AJ162" i="8"/>
  <c r="BQ12" i="11"/>
  <c r="L35" i="20" s="1"/>
  <c r="L32" i="20" s="1"/>
  <c r="W145" i="5"/>
  <c r="X172" i="6"/>
  <c r="AH173" i="6"/>
  <c r="AI173" i="6"/>
  <c r="AJ173" i="6"/>
  <c r="M77" i="6"/>
  <c r="M75" i="6" s="1"/>
  <c r="N77" i="6"/>
  <c r="N55" i="6"/>
  <c r="N54" i="6" s="1"/>
  <c r="M55" i="6"/>
  <c r="M54" i="6" s="1"/>
  <c r="F54" i="6"/>
  <c r="M44" i="6"/>
  <c r="N44" i="6"/>
  <c r="AH189" i="8"/>
  <c r="AI189" i="8"/>
  <c r="AH161" i="8"/>
  <c r="AI161" i="8"/>
  <c r="AH156" i="8"/>
  <c r="AI156" i="8"/>
  <c r="AJ156" i="8"/>
  <c r="BN18" i="8"/>
  <c r="Q21" i="16"/>
  <c r="Q19" i="16" s="1"/>
  <c r="Q17" i="16" s="1"/>
  <c r="Q8" i="16" s="1"/>
  <c r="AV12" i="13"/>
  <c r="AU12" i="13"/>
  <c r="K21" i="5"/>
  <c r="AC145" i="7"/>
  <c r="AC110" i="7" s="1"/>
  <c r="AH148" i="7"/>
  <c r="AI148" i="7"/>
  <c r="AJ148" i="7"/>
  <c r="AH138" i="7"/>
  <c r="AI138" i="7"/>
  <c r="AJ138" i="7"/>
  <c r="AJ88" i="7"/>
  <c r="AH88" i="7"/>
  <c r="AH32" i="7"/>
  <c r="AI32" i="7"/>
  <c r="AJ32" i="7"/>
  <c r="AH26" i="7"/>
  <c r="M62" i="7"/>
  <c r="N62" i="7"/>
  <c r="AH131" i="10"/>
  <c r="AI131" i="10"/>
  <c r="AI68" i="10"/>
  <c r="AJ68" i="10"/>
  <c r="AJ61" i="10"/>
  <c r="AI61" i="10"/>
  <c r="AH254" i="11"/>
  <c r="AI254" i="11"/>
  <c r="AI200" i="11"/>
  <c r="AI119" i="11"/>
  <c r="AI87" i="11"/>
  <c r="AJ76" i="11"/>
  <c r="AI68" i="11"/>
  <c r="AJ68" i="11"/>
  <c r="AI28" i="11"/>
  <c r="AJ28" i="11"/>
  <c r="AI161" i="13"/>
  <c r="AI137" i="13"/>
  <c r="AH137" i="13"/>
  <c r="AH88" i="13"/>
  <c r="AI230" i="14"/>
  <c r="AH164" i="14"/>
  <c r="AI164" i="14"/>
  <c r="AE253" i="8"/>
  <c r="AG253" i="8" s="1"/>
  <c r="AJ253" i="7"/>
  <c r="AE250" i="8"/>
  <c r="AG250" i="8" s="1"/>
  <c r="AJ250" i="7"/>
  <c r="AE245" i="11"/>
  <c r="AG245" i="11" s="1"/>
  <c r="AE236" i="8"/>
  <c r="AE230" i="11"/>
  <c r="AG230" i="11" s="1"/>
  <c r="AJ230" i="10"/>
  <c r="AG224" i="7"/>
  <c r="AG222" i="7" s="1"/>
  <c r="AE222" i="7"/>
  <c r="AE214" i="8"/>
  <c r="AG214" i="8" s="1"/>
  <c r="AE205" i="7"/>
  <c r="AG206" i="7"/>
  <c r="AG198" i="7"/>
  <c r="AJ188" i="7"/>
  <c r="AE188" i="8"/>
  <c r="AG186" i="7"/>
  <c r="P21" i="9"/>
  <c r="P19" i="9" s="1"/>
  <c r="P17" i="9" s="1"/>
  <c r="P8" i="9" s="1"/>
  <c r="P21" i="12"/>
  <c r="P19" i="12" s="1"/>
  <c r="P17" i="12" s="1"/>
  <c r="P8" i="12" s="1"/>
  <c r="H21" i="15"/>
  <c r="H19" i="15" s="1"/>
  <c r="H17" i="15" s="1"/>
  <c r="H8" i="15" s="1"/>
  <c r="AU12" i="12"/>
  <c r="AV12" i="12"/>
  <c r="AH173" i="7"/>
  <c r="AI173" i="7"/>
  <c r="AJ173" i="7"/>
  <c r="AI93" i="7"/>
  <c r="AJ93" i="7"/>
  <c r="AH53" i="7"/>
  <c r="AI53" i="7"/>
  <c r="AJ53" i="7"/>
  <c r="AH36" i="7"/>
  <c r="AI36" i="7"/>
  <c r="AJ36" i="7"/>
  <c r="AJ28" i="7"/>
  <c r="AI28" i="7"/>
  <c r="AJ19" i="7"/>
  <c r="AH19" i="7"/>
  <c r="AI19" i="7"/>
  <c r="N58" i="7"/>
  <c r="M58" i="7"/>
  <c r="AJ153" i="10"/>
  <c r="AI153" i="10"/>
  <c r="AH130" i="10"/>
  <c r="AI130" i="10"/>
  <c r="AJ130" i="10"/>
  <c r="AJ81" i="10"/>
  <c r="AI81" i="10"/>
  <c r="AH249" i="11"/>
  <c r="AI249" i="11"/>
  <c r="AH230" i="11"/>
  <c r="AI230" i="11"/>
  <c r="AI156" i="11"/>
  <c r="AH156" i="11"/>
  <c r="AJ156" i="11"/>
  <c r="AJ136" i="11"/>
  <c r="AI136" i="11"/>
  <c r="AI52" i="11"/>
  <c r="AH32" i="11"/>
  <c r="AJ32" i="11"/>
  <c r="AI32" i="11"/>
  <c r="AI136" i="13"/>
  <c r="AH254" i="14"/>
  <c r="AI254" i="14"/>
  <c r="AI240" i="14"/>
  <c r="AE256" i="8"/>
  <c r="AG256" i="8" s="1"/>
  <c r="AE255" i="8"/>
  <c r="AG255" i="8" s="1"/>
  <c r="AJ255" i="7"/>
  <c r="AJ248" i="7"/>
  <c r="AE248" i="8"/>
  <c r="AG248" i="8" s="1"/>
  <c r="AE247" i="11"/>
  <c r="AG247" i="11" s="1"/>
  <c r="AJ239" i="7"/>
  <c r="AE239" i="8"/>
  <c r="AG239" i="8" s="1"/>
  <c r="AE238" i="8"/>
  <c r="AG238" i="8" s="1"/>
  <c r="AG229" i="7"/>
  <c r="AG227" i="7" s="1"/>
  <c r="AE227" i="7"/>
  <c r="AJ217" i="7"/>
  <c r="AE217" i="8"/>
  <c r="AG217" i="8" s="1"/>
  <c r="AE216" i="8"/>
  <c r="AG216" i="8" s="1"/>
  <c r="AJ216" i="7"/>
  <c r="AE204" i="8"/>
  <c r="AG204" i="8" s="1"/>
  <c r="AJ204" i="7"/>
  <c r="AE199" i="8"/>
  <c r="AG199" i="8" s="1"/>
  <c r="AJ199" i="7"/>
  <c r="AJ191" i="7"/>
  <c r="AE191" i="8"/>
  <c r="AG191" i="8" s="1"/>
  <c r="AE190" i="8"/>
  <c r="AG190" i="8" s="1"/>
  <c r="AJ190" i="7"/>
  <c r="AE182" i="8"/>
  <c r="AG182" i="8" s="1"/>
  <c r="AJ182" i="7"/>
  <c r="AG181" i="7"/>
  <c r="Q21" i="10"/>
  <c r="Q19" i="10" s="1"/>
  <c r="Q17" i="10" s="1"/>
  <c r="Q8" i="10" s="1"/>
  <c r="K21" i="14"/>
  <c r="K19" i="14" s="1"/>
  <c r="K17" i="14" s="1"/>
  <c r="K8" i="14" s="1"/>
  <c r="K21" i="16"/>
  <c r="K19" i="16" s="1"/>
  <c r="K17" i="16" s="1"/>
  <c r="K8" i="16" s="1"/>
  <c r="AI247" i="7"/>
  <c r="AI95" i="7"/>
  <c r="AJ95" i="7"/>
  <c r="AH95" i="7"/>
  <c r="AJ38" i="7"/>
  <c r="AH38" i="7"/>
  <c r="AI38" i="7"/>
  <c r="AJ22" i="7"/>
  <c r="AH22" i="7"/>
  <c r="AI22" i="7"/>
  <c r="N50" i="7"/>
  <c r="F48" i="7"/>
  <c r="M50" i="7"/>
  <c r="N46" i="7"/>
  <c r="M46" i="7"/>
  <c r="AI45" i="10"/>
  <c r="AJ45" i="10"/>
  <c r="AJ37" i="10"/>
  <c r="AI37" i="10"/>
  <c r="AH204" i="11"/>
  <c r="AI204" i="11"/>
  <c r="AJ100" i="11"/>
  <c r="AH48" i="11"/>
  <c r="AI48" i="11"/>
  <c r="AJ48" i="11"/>
  <c r="AH19" i="11"/>
  <c r="AI19" i="11"/>
  <c r="AJ19" i="11"/>
  <c r="AI200" i="13"/>
  <c r="AI156" i="13"/>
  <c r="AI139" i="13"/>
  <c r="AH38" i="13"/>
  <c r="AI38" i="13"/>
  <c r="AI239" i="14"/>
  <c r="AI204" i="14"/>
  <c r="AH204" i="14"/>
  <c r="AI139" i="14"/>
  <c r="AH126" i="15"/>
  <c r="AI68" i="15"/>
  <c r="AE254" i="8"/>
  <c r="AG254" i="8" s="1"/>
  <c r="AJ254" i="7"/>
  <c r="AJ249" i="10"/>
  <c r="AE249" i="11"/>
  <c r="AG249" i="11" s="1"/>
  <c r="AE246" i="8"/>
  <c r="AG246" i="8" s="1"/>
  <c r="AJ246" i="7"/>
  <c r="AE240" i="8"/>
  <c r="AG240" i="8" s="1"/>
  <c r="AJ240" i="7"/>
  <c r="AG237" i="7"/>
  <c r="AE223" i="8"/>
  <c r="AE218" i="11"/>
  <c r="AG218" i="11" s="1"/>
  <c r="AJ218" i="10"/>
  <c r="AE215" i="8"/>
  <c r="AG215" i="8" s="1"/>
  <c r="AJ215" i="7"/>
  <c r="AJ201" i="7"/>
  <c r="AE201" i="8"/>
  <c r="AG201" i="8" s="1"/>
  <c r="AE183" i="8"/>
  <c r="AG183" i="8" s="1"/>
  <c r="AJ183" i="7"/>
  <c r="AE180" i="11"/>
  <c r="AJ180" i="10"/>
  <c r="P21" i="16"/>
  <c r="P19" i="16" s="1"/>
  <c r="P17" i="16" s="1"/>
  <c r="P8" i="16" s="1"/>
  <c r="AU12" i="6"/>
  <c r="AV12" i="6"/>
  <c r="AV12" i="8"/>
  <c r="AU12" i="8"/>
  <c r="AZ12" i="13"/>
  <c r="AJ249" i="7"/>
  <c r="AH249" i="7"/>
  <c r="AI249" i="7"/>
  <c r="AH150" i="7"/>
  <c r="AI150" i="7"/>
  <c r="AJ150" i="7"/>
  <c r="AJ139" i="7"/>
  <c r="AH139" i="7"/>
  <c r="AI139" i="7"/>
  <c r="AJ40" i="7"/>
  <c r="AH40" i="7"/>
  <c r="AI40" i="7"/>
  <c r="AJ30" i="7"/>
  <c r="AI168" i="10"/>
  <c r="AJ168" i="10"/>
  <c r="AI132" i="10"/>
  <c r="AJ132" i="10"/>
  <c r="AJ102" i="10"/>
  <c r="AI102" i="10"/>
  <c r="AH102" i="10"/>
  <c r="AJ165" i="11"/>
  <c r="AH165" i="11"/>
  <c r="AH160" i="11"/>
  <c r="AI160" i="11"/>
  <c r="AH88" i="11"/>
  <c r="AJ88" i="11"/>
  <c r="AI70" i="11"/>
  <c r="AI40" i="11"/>
  <c r="AH40" i="11"/>
  <c r="AJ40" i="11"/>
  <c r="AI254" i="13"/>
  <c r="AH254" i="13"/>
  <c r="AI32" i="13"/>
  <c r="AH32" i="13"/>
  <c r="AJ252" i="7"/>
  <c r="AE252" i="8"/>
  <c r="AG252" i="8" s="1"/>
  <c r="AE251" i="8"/>
  <c r="AG251" i="8" s="1"/>
  <c r="AJ251" i="7"/>
  <c r="AJ228" i="7"/>
  <c r="AE228" i="8"/>
  <c r="AE225" i="8"/>
  <c r="AG225" i="8" s="1"/>
  <c r="AJ225" i="7"/>
  <c r="AE213" i="8"/>
  <c r="AG213" i="8" s="1"/>
  <c r="AE203" i="8"/>
  <c r="AG203" i="8" s="1"/>
  <c r="AJ203" i="7"/>
  <c r="AE200" i="8"/>
  <c r="AG200" i="8" s="1"/>
  <c r="AJ200" i="7"/>
  <c r="AS13" i="6"/>
  <c r="G30" i="7"/>
  <c r="X256" i="16"/>
  <c r="BD12" i="6"/>
  <c r="G23" i="7"/>
  <c r="X156" i="16"/>
  <c r="X129" i="16"/>
  <c r="X121" i="16"/>
  <c r="X139" i="16"/>
  <c r="X120" i="16"/>
  <c r="X107" i="16"/>
  <c r="X165" i="16"/>
  <c r="X125" i="16"/>
  <c r="X119" i="16"/>
  <c r="X127" i="16"/>
  <c r="X102" i="16"/>
  <c r="Q32" i="20" l="1"/>
  <c r="AC12" i="16"/>
  <c r="Z110" i="15"/>
  <c r="AF110" i="15"/>
  <c r="AC110" i="15"/>
  <c r="AF110" i="14"/>
  <c r="BQ13" i="14"/>
  <c r="O36" i="20" s="1"/>
  <c r="AF12" i="14"/>
  <c r="N53" i="20"/>
  <c r="AF195" i="12"/>
  <c r="AF193" i="12" s="1"/>
  <c r="BQ15" i="12"/>
  <c r="BK10" i="12" s="1"/>
  <c r="AF110" i="12"/>
  <c r="AC12" i="12"/>
  <c r="AC10" i="12" s="1"/>
  <c r="AC8" i="12" s="1"/>
  <c r="Z12" i="12"/>
  <c r="AF110" i="13"/>
  <c r="X124" i="15"/>
  <c r="AH124" i="15" s="1"/>
  <c r="X180" i="15"/>
  <c r="AH180" i="15" s="1"/>
  <c r="X124" i="14"/>
  <c r="AH124" i="14" s="1"/>
  <c r="X180" i="14"/>
  <c r="AH180" i="14" s="1"/>
  <c r="X180" i="13"/>
  <c r="AH180" i="13" s="1"/>
  <c r="AJ81" i="16"/>
  <c r="R46" i="20"/>
  <c r="AH131" i="14"/>
  <c r="AI40" i="14"/>
  <c r="X124" i="13"/>
  <c r="AH124" i="13" s="1"/>
  <c r="AI203" i="14"/>
  <c r="AI108" i="14"/>
  <c r="AH81" i="13"/>
  <c r="AI18" i="14"/>
  <c r="AI67" i="12"/>
  <c r="AQ22" i="14"/>
  <c r="AZ22" i="14" s="1"/>
  <c r="Z110" i="11"/>
  <c r="Z10" i="11" s="1"/>
  <c r="Z8" i="11" s="1"/>
  <c r="Z12" i="11"/>
  <c r="X180" i="11"/>
  <c r="AH180" i="11" s="1"/>
  <c r="K53" i="20"/>
  <c r="Z110" i="10"/>
  <c r="AE131" i="15"/>
  <c r="AG131" i="15" s="1"/>
  <c r="AJ131" i="15" s="1"/>
  <c r="K38" i="20"/>
  <c r="AF110" i="9"/>
  <c r="J38" i="20"/>
  <c r="AI95" i="13"/>
  <c r="AJ18" i="11"/>
  <c r="AI132" i="11"/>
  <c r="AH167" i="10"/>
  <c r="AJ165" i="13"/>
  <c r="AJ167" i="11"/>
  <c r="X25" i="12"/>
  <c r="AJ25" i="12" s="1"/>
  <c r="AI249" i="14"/>
  <c r="AI18" i="11"/>
  <c r="AH164" i="11"/>
  <c r="AC110" i="10"/>
  <c r="AI241" i="13"/>
  <c r="AJ125" i="10"/>
  <c r="D42" i="20"/>
  <c r="AI189" i="10"/>
  <c r="AH18" i="11"/>
  <c r="AH77" i="13"/>
  <c r="AH131" i="15"/>
  <c r="AH131" i="13"/>
  <c r="AI253" i="13"/>
  <c r="AI217" i="10"/>
  <c r="AI250" i="10"/>
  <c r="AJ164" i="10"/>
  <c r="X179" i="11"/>
  <c r="BN11" i="12"/>
  <c r="AL110" i="9"/>
  <c r="AC110" i="8"/>
  <c r="AD141" i="8"/>
  <c r="BP20" i="8" s="1"/>
  <c r="AE95" i="15"/>
  <c r="AG95" i="15" s="1"/>
  <c r="AE95" i="16" s="1"/>
  <c r="AG95" i="16" s="1"/>
  <c r="AJ95" i="16" s="1"/>
  <c r="BQ13" i="8"/>
  <c r="I36" i="20" s="1"/>
  <c r="AF12" i="8"/>
  <c r="AF10" i="8" s="1"/>
  <c r="AI29" i="14"/>
  <c r="Z12" i="8"/>
  <c r="Z10" i="8" s="1"/>
  <c r="Z8" i="8" s="1"/>
  <c r="I32" i="12"/>
  <c r="G32" i="13"/>
  <c r="I32" i="13"/>
  <c r="AJ88" i="14"/>
  <c r="BP15" i="5"/>
  <c r="BJ10" i="5" s="1"/>
  <c r="D34" i="20"/>
  <c r="BQ9" i="7"/>
  <c r="AC12" i="7"/>
  <c r="AH26" i="10"/>
  <c r="AJ165" i="10"/>
  <c r="AC110" i="5"/>
  <c r="N25" i="5"/>
  <c r="AH93" i="6"/>
  <c r="AR23" i="5"/>
  <c r="AW23" i="5" s="1"/>
  <c r="Y112" i="6"/>
  <c r="AH57" i="5"/>
  <c r="X222" i="7"/>
  <c r="AJ223" i="7"/>
  <c r="AH223" i="7"/>
  <c r="AI223" i="7"/>
  <c r="AJ214" i="7"/>
  <c r="X211" i="7"/>
  <c r="X210" i="7" s="1"/>
  <c r="X209" i="7" s="1"/>
  <c r="AQ29" i="7" s="1"/>
  <c r="U193" i="14"/>
  <c r="X25" i="13"/>
  <c r="E21" i="6"/>
  <c r="E19" i="6" s="1"/>
  <c r="E17" i="6" s="1"/>
  <c r="E8" i="6" s="1"/>
  <c r="AG220" i="6"/>
  <c r="AB220" i="7"/>
  <c r="U112" i="16"/>
  <c r="N73" i="6"/>
  <c r="U220" i="13"/>
  <c r="U170" i="16"/>
  <c r="M42" i="6"/>
  <c r="BE22" i="6"/>
  <c r="X25" i="10"/>
  <c r="X25" i="11"/>
  <c r="AJ164" i="9"/>
  <c r="X152" i="7"/>
  <c r="W193" i="7"/>
  <c r="AI156" i="10"/>
  <c r="AJ156" i="10"/>
  <c r="AH156" i="10"/>
  <c r="V196" i="6"/>
  <c r="V195" i="6" s="1"/>
  <c r="V193" i="6" s="1"/>
  <c r="AI33" i="13"/>
  <c r="E41" i="20"/>
  <c r="AD141" i="7"/>
  <c r="BP20" i="7" s="1"/>
  <c r="AB141" i="8"/>
  <c r="AF110" i="6"/>
  <c r="AD90" i="6"/>
  <c r="G35" i="20"/>
  <c r="G32" i="20" s="1"/>
  <c r="BQ13" i="6"/>
  <c r="G36" i="20" s="1"/>
  <c r="G31" i="20" s="1"/>
  <c r="G30" i="20" s="1"/>
  <c r="AH36" i="11"/>
  <c r="AH36" i="15"/>
  <c r="AH36" i="14"/>
  <c r="AJ22" i="10"/>
  <c r="AH222" i="7"/>
  <c r="X220" i="5"/>
  <c r="AH102" i="7"/>
  <c r="AL12" i="7"/>
  <c r="AI173" i="10"/>
  <c r="AI55" i="10"/>
  <c r="AI256" i="7"/>
  <c r="M71" i="6"/>
  <c r="AJ241" i="6"/>
  <c r="Y145" i="6"/>
  <c r="Y110" i="6" s="1"/>
  <c r="AB145" i="6"/>
  <c r="AD112" i="6"/>
  <c r="F38" i="20"/>
  <c r="BO15" i="5"/>
  <c r="BI10" i="5" s="1"/>
  <c r="AA112" i="5"/>
  <c r="AA110" i="5" s="1"/>
  <c r="AB63" i="6"/>
  <c r="AR24" i="5"/>
  <c r="AW24" i="5" s="1"/>
  <c r="AD63" i="5"/>
  <c r="BP12" i="5"/>
  <c r="BP9" i="5" s="1"/>
  <c r="AE14" i="6"/>
  <c r="AG14" i="5"/>
  <c r="AB14" i="6"/>
  <c r="BQ9" i="5"/>
  <c r="AI248" i="16"/>
  <c r="AJ248" i="5"/>
  <c r="AH247" i="7"/>
  <c r="AI139" i="10"/>
  <c r="W110" i="5"/>
  <c r="E63" i="7"/>
  <c r="E65" i="8"/>
  <c r="F65" i="8" s="1"/>
  <c r="AI256" i="8"/>
  <c r="AI256" i="5"/>
  <c r="AI241" i="6"/>
  <c r="AH241" i="10"/>
  <c r="AH241" i="9"/>
  <c r="AH241" i="6"/>
  <c r="AH235" i="6" s="1"/>
  <c r="AH234" i="6" s="1"/>
  <c r="AH241" i="11"/>
  <c r="BD10" i="5"/>
  <c r="BD9" i="5" s="1"/>
  <c r="E10" i="7"/>
  <c r="M14" i="6"/>
  <c r="E14" i="8"/>
  <c r="F14" i="8" s="1"/>
  <c r="M14" i="8" s="1"/>
  <c r="AI248" i="12"/>
  <c r="AJ222" i="5"/>
  <c r="U220" i="14"/>
  <c r="AH207" i="6"/>
  <c r="AJ207" i="6"/>
  <c r="AJ206" i="6"/>
  <c r="AJ205" i="6" s="1"/>
  <c r="AI206" i="6"/>
  <c r="AI205" i="6" s="1"/>
  <c r="AI199" i="11"/>
  <c r="X197" i="6"/>
  <c r="X196" i="6" s="1"/>
  <c r="X195" i="6" s="1"/>
  <c r="AH190" i="10"/>
  <c r="AI187" i="6"/>
  <c r="AI166" i="14"/>
  <c r="AI163" i="7"/>
  <c r="AH163" i="11"/>
  <c r="AJ163" i="11"/>
  <c r="AI162" i="8"/>
  <c r="X157" i="7"/>
  <c r="X155" i="7" s="1"/>
  <c r="AI159" i="7"/>
  <c r="U145" i="6"/>
  <c r="U145" i="16"/>
  <c r="U145" i="11"/>
  <c r="AJ132" i="7"/>
  <c r="AH129" i="8"/>
  <c r="AH129" i="6"/>
  <c r="U112" i="6"/>
  <c r="AI128" i="9"/>
  <c r="AJ128" i="9"/>
  <c r="AH125" i="6"/>
  <c r="U112" i="13"/>
  <c r="U112" i="12"/>
  <c r="U110" i="12" s="1"/>
  <c r="AI121" i="10"/>
  <c r="AI105" i="6"/>
  <c r="AJ101" i="11"/>
  <c r="AI101" i="10"/>
  <c r="AI101" i="11"/>
  <c r="AJ101" i="6"/>
  <c r="AI101" i="13"/>
  <c r="AH101" i="13"/>
  <c r="AJ97" i="6"/>
  <c r="X96" i="6"/>
  <c r="AI97" i="6"/>
  <c r="U90" i="9"/>
  <c r="U63" i="9" s="1"/>
  <c r="AH88" i="10"/>
  <c r="U63" i="6"/>
  <c r="U63" i="16"/>
  <c r="AH74" i="8"/>
  <c r="AH85" i="6"/>
  <c r="AJ85" i="6"/>
  <c r="X83" i="6"/>
  <c r="AI85" i="6"/>
  <c r="V170" i="7"/>
  <c r="Y14" i="6"/>
  <c r="U232" i="16"/>
  <c r="AI58" i="7"/>
  <c r="AI57" i="7" s="1"/>
  <c r="AG90" i="5"/>
  <c r="AR29" i="5"/>
  <c r="AW29" i="5" s="1"/>
  <c r="BP27" i="5"/>
  <c r="M51" i="6"/>
  <c r="AH167" i="8"/>
  <c r="AB193" i="6"/>
  <c r="Y240" i="14"/>
  <c r="AA240" i="14" s="1"/>
  <c r="AH240" i="13"/>
  <c r="AI38" i="10"/>
  <c r="AH38" i="10"/>
  <c r="AH236" i="10"/>
  <c r="AI236" i="10"/>
  <c r="AJ25" i="6"/>
  <c r="AI25" i="6"/>
  <c r="AJ132" i="6"/>
  <c r="AH132" i="6"/>
  <c r="AJ76" i="8"/>
  <c r="AI76" i="8"/>
  <c r="AH102" i="8"/>
  <c r="AJ102" i="8"/>
  <c r="AI102" i="8"/>
  <c r="AI137" i="8"/>
  <c r="AJ137" i="8"/>
  <c r="AH137" i="8"/>
  <c r="AJ55" i="12"/>
  <c r="AH55" i="12"/>
  <c r="AI30" i="11"/>
  <c r="AH30" i="11"/>
  <c r="AJ167" i="8"/>
  <c r="AH76" i="7"/>
  <c r="AI198" i="8"/>
  <c r="AI168" i="13"/>
  <c r="AH168" i="13"/>
  <c r="AH252" i="12"/>
  <c r="AI252" i="12"/>
  <c r="AJ33" i="10"/>
  <c r="AI33" i="10"/>
  <c r="AH33" i="10"/>
  <c r="AH136" i="9"/>
  <c r="AJ136" i="9"/>
  <c r="AH247" i="11"/>
  <c r="AI247" i="11"/>
  <c r="AH30" i="15"/>
  <c r="AI30" i="15"/>
  <c r="AI125" i="7"/>
  <c r="AH152" i="7"/>
  <c r="AH149" i="7" s="1"/>
  <c r="AH147" i="7" s="1"/>
  <c r="AJ152" i="7"/>
  <c r="AQ22" i="6"/>
  <c r="AY22" i="6" s="1"/>
  <c r="AH17" i="6"/>
  <c r="AJ17" i="6"/>
  <c r="AH59" i="6"/>
  <c r="AI59" i="6"/>
  <c r="AI58" i="6" s="1"/>
  <c r="AI57" i="6" s="1"/>
  <c r="AJ59" i="6"/>
  <c r="AJ58" i="6" s="1"/>
  <c r="AJ57" i="6" s="1"/>
  <c r="AI80" i="6"/>
  <c r="AJ80" i="6"/>
  <c r="AJ102" i="6"/>
  <c r="AI102" i="6"/>
  <c r="AH102" i="6"/>
  <c r="AI163" i="6"/>
  <c r="AH163" i="6"/>
  <c r="AJ188" i="6"/>
  <c r="AH188" i="6"/>
  <c r="AH187" i="6" s="1"/>
  <c r="X187" i="6"/>
  <c r="X185" i="6" s="1"/>
  <c r="AJ223" i="6"/>
  <c r="AI223" i="6"/>
  <c r="AI222" i="6" s="1"/>
  <c r="AH252" i="6"/>
  <c r="AJ252" i="6"/>
  <c r="F73" i="7"/>
  <c r="M73" i="7" s="1"/>
  <c r="D73" i="8"/>
  <c r="W86" i="8"/>
  <c r="W86" i="9" s="1"/>
  <c r="X86" i="7"/>
  <c r="W83" i="7"/>
  <c r="X115" i="7"/>
  <c r="W115" i="8"/>
  <c r="X115" i="8" s="1"/>
  <c r="AI115" i="8" s="1"/>
  <c r="W235" i="7"/>
  <c r="W234" i="7" s="1"/>
  <c r="X238" i="7"/>
  <c r="X235" i="7" s="1"/>
  <c r="X234" i="7" s="1"/>
  <c r="G68" i="7"/>
  <c r="I66" i="6"/>
  <c r="Y115" i="7"/>
  <c r="AA114" i="6"/>
  <c r="Y198" i="7"/>
  <c r="BO26" i="6"/>
  <c r="AA197" i="6"/>
  <c r="AA196" i="6" s="1"/>
  <c r="AA195" i="6" s="1"/>
  <c r="AA193" i="6" s="1"/>
  <c r="AH198" i="6"/>
  <c r="AH197" i="6" s="1"/>
  <c r="J43" i="8"/>
  <c r="L42" i="7"/>
  <c r="AS10" i="7" s="1"/>
  <c r="AX10" i="7"/>
  <c r="AD228" i="8"/>
  <c r="AB227" i="8"/>
  <c r="D34" i="8"/>
  <c r="D32" i="7"/>
  <c r="F34" i="7"/>
  <c r="E43" i="8"/>
  <c r="E42" i="7"/>
  <c r="F43" i="7"/>
  <c r="E73" i="8"/>
  <c r="E72" i="7"/>
  <c r="AA47" i="7"/>
  <c r="Y44" i="7"/>
  <c r="Y43" i="7" s="1"/>
  <c r="Y152" i="9"/>
  <c r="AA149" i="8"/>
  <c r="AA147" i="8" s="1"/>
  <c r="AH152" i="8"/>
  <c r="J73" i="7"/>
  <c r="L72" i="6"/>
  <c r="AD124" i="8"/>
  <c r="AB123" i="8"/>
  <c r="AB112" i="8" s="1"/>
  <c r="AA170" i="6"/>
  <c r="BO24" i="6" s="1"/>
  <c r="BO22" i="6" s="1"/>
  <c r="BI11" i="6" s="1"/>
  <c r="AJ222" i="6"/>
  <c r="AH28" i="7"/>
  <c r="AH163" i="14"/>
  <c r="N14" i="7"/>
  <c r="AH105" i="6"/>
  <c r="U232" i="15"/>
  <c r="AH58" i="6"/>
  <c r="AJ24" i="9"/>
  <c r="N60" i="6"/>
  <c r="AH202" i="11"/>
  <c r="BN26" i="8"/>
  <c r="AJ76" i="13"/>
  <c r="AI76" i="13"/>
  <c r="AH40" i="10"/>
  <c r="AI40" i="10"/>
  <c r="AJ40" i="10"/>
  <c r="E54" i="7"/>
  <c r="AH119" i="9"/>
  <c r="AI119" i="9"/>
  <c r="AJ119" i="9"/>
  <c r="F78" i="6"/>
  <c r="N78" i="6" s="1"/>
  <c r="U170" i="8"/>
  <c r="AI36" i="15"/>
  <c r="X223" i="8"/>
  <c r="X222" i="8" s="1"/>
  <c r="AH80" i="8"/>
  <c r="AI80" i="8"/>
  <c r="AJ59" i="7"/>
  <c r="AJ58" i="7" s="1"/>
  <c r="AJ57" i="7" s="1"/>
  <c r="BN11" i="8"/>
  <c r="AI67" i="6"/>
  <c r="AJ67" i="6"/>
  <c r="AH67" i="6"/>
  <c r="AI229" i="6"/>
  <c r="AH229" i="6"/>
  <c r="AJ229" i="6"/>
  <c r="W98" i="10"/>
  <c r="W96" i="9"/>
  <c r="W152" i="9"/>
  <c r="W149" i="8"/>
  <c r="W147" i="8" s="1"/>
  <c r="W188" i="10"/>
  <c r="W187" i="9"/>
  <c r="W185" i="9" s="1"/>
  <c r="G44" i="7"/>
  <c r="I42" i="6"/>
  <c r="AW10" i="6"/>
  <c r="AY10" i="6" s="1"/>
  <c r="Y93" i="7"/>
  <c r="AA91" i="6"/>
  <c r="AA90" i="6" s="1"/>
  <c r="AA177" i="7"/>
  <c r="Y176" i="7"/>
  <c r="Y170" i="7" s="1"/>
  <c r="Y229" i="8"/>
  <c r="AA227" i="7"/>
  <c r="J49" i="7"/>
  <c r="L48" i="6"/>
  <c r="J67" i="8"/>
  <c r="L66" i="7"/>
  <c r="AB71" i="7"/>
  <c r="AD69" i="6"/>
  <c r="AD65" i="6" s="1"/>
  <c r="AD63" i="6" s="1"/>
  <c r="AD97" i="7"/>
  <c r="AI97" i="7" s="1"/>
  <c r="AI96" i="7" s="1"/>
  <c r="AB96" i="7"/>
  <c r="AB90" i="7" s="1"/>
  <c r="AD206" i="7"/>
  <c r="AB205" i="7"/>
  <c r="AB196" i="7" s="1"/>
  <c r="AB195" i="7" s="1"/>
  <c r="AB193" i="7" s="1"/>
  <c r="AJ207" i="7"/>
  <c r="AB170" i="6"/>
  <c r="U220" i="12"/>
  <c r="AB220" i="8"/>
  <c r="BN31" i="6"/>
  <c r="BH15" i="6" s="1"/>
  <c r="V90" i="6"/>
  <c r="V145" i="6"/>
  <c r="AJ125" i="8"/>
  <c r="AI125" i="8"/>
  <c r="BN11" i="7"/>
  <c r="AJ67" i="7"/>
  <c r="AH129" i="11"/>
  <c r="AI129" i="11"/>
  <c r="AJ47" i="6"/>
  <c r="AI47" i="6"/>
  <c r="D27" i="8"/>
  <c r="D25" i="7"/>
  <c r="W59" i="9"/>
  <c r="W58" i="8"/>
  <c r="W57" i="8" s="1"/>
  <c r="W229" i="8"/>
  <c r="W227" i="7"/>
  <c r="W220" i="7" s="1"/>
  <c r="G36" i="7"/>
  <c r="I35" i="6"/>
  <c r="I28" i="6" s="1"/>
  <c r="I80" i="7"/>
  <c r="G78" i="7"/>
  <c r="I78" i="7" s="1"/>
  <c r="Y125" i="7"/>
  <c r="AA123" i="6"/>
  <c r="Y159" i="7"/>
  <c r="AA157" i="6"/>
  <c r="AA155" i="6" s="1"/>
  <c r="AA145" i="6" s="1"/>
  <c r="J34" i="7"/>
  <c r="AX9" i="6"/>
  <c r="L32" i="6"/>
  <c r="L28" i="6" s="1"/>
  <c r="AS9" i="6" s="1"/>
  <c r="AD142" i="9"/>
  <c r="AB141" i="9"/>
  <c r="AE143" i="8"/>
  <c r="AG141" i="7"/>
  <c r="V59" i="8"/>
  <c r="V58" i="7"/>
  <c r="V57" i="7" s="1"/>
  <c r="E61" i="8"/>
  <c r="E60" i="7"/>
  <c r="Y59" i="7"/>
  <c r="AA58" i="6"/>
  <c r="AA57" i="6" s="1"/>
  <c r="BO13" i="6" s="1"/>
  <c r="J55" i="8"/>
  <c r="L54" i="7"/>
  <c r="AB21" i="7"/>
  <c r="AD20" i="6"/>
  <c r="AD16" i="6" s="1"/>
  <c r="AB151" i="7"/>
  <c r="AD149" i="6"/>
  <c r="AD147" i="6" s="1"/>
  <c r="BP16" i="6" s="1"/>
  <c r="M80" i="6"/>
  <c r="U145" i="7"/>
  <c r="AH200" i="10"/>
  <c r="U220" i="9"/>
  <c r="U193" i="8"/>
  <c r="AJ143" i="7"/>
  <c r="AI143" i="7"/>
  <c r="E67" i="8"/>
  <c r="E66" i="7"/>
  <c r="W72" i="8"/>
  <c r="W69" i="7"/>
  <c r="W65" i="7" s="1"/>
  <c r="W159" i="8"/>
  <c r="W157" i="7"/>
  <c r="W155" i="7" s="1"/>
  <c r="W145" i="7" s="1"/>
  <c r="AA98" i="7"/>
  <c r="Y96" i="7"/>
  <c r="AA215" i="7"/>
  <c r="Y211" i="7"/>
  <c r="Y210" i="7" s="1"/>
  <c r="Y209" i="7" s="1"/>
  <c r="J61" i="7"/>
  <c r="L60" i="6"/>
  <c r="AB46" i="7"/>
  <c r="AD44" i="6"/>
  <c r="AD43" i="6" s="1"/>
  <c r="AR25" i="6" s="1"/>
  <c r="AW25" i="6" s="1"/>
  <c r="AB174" i="8"/>
  <c r="AD172" i="7"/>
  <c r="AW9" i="6"/>
  <c r="AH67" i="10"/>
  <c r="AI67" i="10"/>
  <c r="AJ66" i="10"/>
  <c r="AQ22" i="11"/>
  <c r="AJ66" i="14"/>
  <c r="AH66" i="11"/>
  <c r="AI66" i="10"/>
  <c r="AH55" i="10"/>
  <c r="AI55" i="8"/>
  <c r="X43" i="5"/>
  <c r="U43" i="9"/>
  <c r="U14" i="9" s="1"/>
  <c r="AJ45" i="7"/>
  <c r="AI45" i="7"/>
  <c r="AJ26" i="7"/>
  <c r="AH18" i="14"/>
  <c r="U14" i="16"/>
  <c r="U14" i="6"/>
  <c r="AJ17" i="7"/>
  <c r="AI17" i="7"/>
  <c r="AQ22" i="12"/>
  <c r="N78" i="5"/>
  <c r="M70" i="9"/>
  <c r="C21" i="7"/>
  <c r="C19" i="7" s="1"/>
  <c r="C17" i="7" s="1"/>
  <c r="C8" i="7" s="1"/>
  <c r="AI93" i="8"/>
  <c r="AJ93" i="8"/>
  <c r="BC19" i="12"/>
  <c r="BC18" i="12"/>
  <c r="U232" i="10"/>
  <c r="X39" i="7"/>
  <c r="X51" i="7"/>
  <c r="U193" i="10"/>
  <c r="F51" i="6"/>
  <c r="U112" i="7"/>
  <c r="AB220" i="6"/>
  <c r="AJ30" i="11"/>
  <c r="N42" i="5"/>
  <c r="AI223" i="8"/>
  <c r="AI222" i="8" s="1"/>
  <c r="AC110" i="9"/>
  <c r="X123" i="5"/>
  <c r="X112" i="5" s="1"/>
  <c r="X243" i="5"/>
  <c r="AM110" i="13"/>
  <c r="AM110" i="10"/>
  <c r="N69" i="5"/>
  <c r="Q38" i="20"/>
  <c r="X44" i="6"/>
  <c r="X43" i="6" s="1"/>
  <c r="AI46" i="6"/>
  <c r="AI44" i="6" s="1"/>
  <c r="AJ46" i="6"/>
  <c r="AH46" i="6"/>
  <c r="AH44" i="6" s="1"/>
  <c r="BC13" i="6"/>
  <c r="F29" i="6"/>
  <c r="F28" i="6" s="1"/>
  <c r="AQ9" i="6" s="1"/>
  <c r="M30" i="6"/>
  <c r="N30" i="6"/>
  <c r="AM12" i="5"/>
  <c r="AI213" i="7"/>
  <c r="AI236" i="7"/>
  <c r="L53" i="20"/>
  <c r="AF195" i="10"/>
  <c r="AF193" i="10" s="1"/>
  <c r="BQ28" i="10"/>
  <c r="AJ17" i="12"/>
  <c r="AI17" i="12"/>
  <c r="BN10" i="12"/>
  <c r="AB173" i="11"/>
  <c r="AG173" i="8"/>
  <c r="AE172" i="8"/>
  <c r="V160" i="13"/>
  <c r="X160" i="13" s="1"/>
  <c r="AH160" i="13" s="1"/>
  <c r="X160" i="12"/>
  <c r="D67" i="11"/>
  <c r="D67" i="12" s="1"/>
  <c r="D61" i="9"/>
  <c r="D60" i="8"/>
  <c r="F61" i="8"/>
  <c r="F60" i="8" s="1"/>
  <c r="E49" i="9"/>
  <c r="E48" i="8"/>
  <c r="W143" i="9"/>
  <c r="W141" i="8"/>
  <c r="X143" i="8"/>
  <c r="AF195" i="13"/>
  <c r="AF193" i="13" s="1"/>
  <c r="BQ28" i="13"/>
  <c r="N51" i="20" s="1"/>
  <c r="AI30" i="7"/>
  <c r="AJ149" i="7"/>
  <c r="AI189" i="15"/>
  <c r="AU13" i="6"/>
  <c r="AJ236" i="7"/>
  <c r="Z12" i="5"/>
  <c r="AU11" i="9"/>
  <c r="AL12" i="10"/>
  <c r="Z12" i="14"/>
  <c r="Z10" i="14" s="1"/>
  <c r="Z8" i="14" s="1"/>
  <c r="F72" i="7"/>
  <c r="AI74" i="12"/>
  <c r="AH26" i="11"/>
  <c r="X96" i="7"/>
  <c r="AJ25" i="9"/>
  <c r="AI51" i="6"/>
  <c r="AJ133" i="6"/>
  <c r="AI256" i="10"/>
  <c r="D21" i="5"/>
  <c r="D19" i="5" s="1"/>
  <c r="D17" i="5" s="1"/>
  <c r="D8" i="5" s="1"/>
  <c r="AH183" i="16"/>
  <c r="U90" i="14"/>
  <c r="U63" i="14" s="1"/>
  <c r="AH255" i="10"/>
  <c r="AI52" i="10"/>
  <c r="AI162" i="10"/>
  <c r="AI148" i="11"/>
  <c r="M77" i="7"/>
  <c r="AI119" i="10"/>
  <c r="U220" i="15"/>
  <c r="Q47" i="20"/>
  <c r="Q45" i="20" s="1"/>
  <c r="M60" i="6"/>
  <c r="AH101" i="7"/>
  <c r="AG172" i="7"/>
  <c r="U90" i="7"/>
  <c r="U63" i="7" s="1"/>
  <c r="AJ136" i="7"/>
  <c r="AI25" i="8"/>
  <c r="AI36" i="14"/>
  <c r="BN19" i="10"/>
  <c r="AH36" i="12"/>
  <c r="AI214" i="7"/>
  <c r="AH214" i="7"/>
  <c r="AJ66" i="12"/>
  <c r="AH66" i="12"/>
  <c r="AI162" i="6"/>
  <c r="AJ162" i="6"/>
  <c r="AM110" i="7"/>
  <c r="AM10" i="7" s="1"/>
  <c r="AM8" i="7" s="1"/>
  <c r="F49" i="8"/>
  <c r="D55" i="8"/>
  <c r="F55" i="7"/>
  <c r="N55" i="7" s="1"/>
  <c r="V25" i="15"/>
  <c r="V25" i="16" s="1"/>
  <c r="X25" i="16" s="1"/>
  <c r="X25" i="14"/>
  <c r="V71" i="8"/>
  <c r="X71" i="7"/>
  <c r="AI118" i="6"/>
  <c r="AJ118" i="6"/>
  <c r="BN26" i="6"/>
  <c r="AI198" i="6"/>
  <c r="AI197" i="6" s="1"/>
  <c r="AI196" i="6" s="1"/>
  <c r="AI195" i="6" s="1"/>
  <c r="BK9" i="13"/>
  <c r="AI40" i="15"/>
  <c r="AI102" i="9"/>
  <c r="AH102" i="9"/>
  <c r="AJ102" i="9"/>
  <c r="AI215" i="8"/>
  <c r="W215" i="9"/>
  <c r="W211" i="8"/>
  <c r="W210" i="8" s="1"/>
  <c r="W209" i="8" s="1"/>
  <c r="Z110" i="5"/>
  <c r="AL12" i="14"/>
  <c r="E73" i="9"/>
  <c r="E72" i="8"/>
  <c r="F73" i="8"/>
  <c r="M73" i="8" s="1"/>
  <c r="W177" i="9"/>
  <c r="W176" i="8"/>
  <c r="W170" i="8" s="1"/>
  <c r="Z12" i="9"/>
  <c r="Z10" i="9" s="1"/>
  <c r="N41" i="6"/>
  <c r="X104" i="7"/>
  <c r="AH74" i="12"/>
  <c r="AJ66" i="11"/>
  <c r="AH124" i="10"/>
  <c r="AI57" i="5"/>
  <c r="AI47" i="15"/>
  <c r="J53" i="20"/>
  <c r="AM110" i="16"/>
  <c r="AH167" i="13"/>
  <c r="AI256" i="9"/>
  <c r="AH25" i="8"/>
  <c r="AH251" i="8"/>
  <c r="X23" i="12"/>
  <c r="AI23" i="12" s="1"/>
  <c r="F67" i="8"/>
  <c r="U220" i="6"/>
  <c r="U170" i="6"/>
  <c r="AQ22" i="10"/>
  <c r="BN10" i="10"/>
  <c r="AJ108" i="10"/>
  <c r="AI108" i="10"/>
  <c r="AH162" i="7"/>
  <c r="AI162" i="7"/>
  <c r="M83" i="6"/>
  <c r="M81" i="6" s="1"/>
  <c r="N83" i="6"/>
  <c r="N81" i="6" s="1"/>
  <c r="AI30" i="12"/>
  <c r="AH30" i="12"/>
  <c r="Y52" i="8"/>
  <c r="AA49" i="7"/>
  <c r="Y188" i="8"/>
  <c r="AA187" i="7"/>
  <c r="AA185" i="7" s="1"/>
  <c r="U90" i="8"/>
  <c r="U63" i="8" s="1"/>
  <c r="U196" i="9"/>
  <c r="U195" i="9" s="1"/>
  <c r="U193" i="9" s="1"/>
  <c r="U43" i="8"/>
  <c r="U14" i="8" s="1"/>
  <c r="X104" i="9"/>
  <c r="AJ164" i="15"/>
  <c r="AI81" i="16"/>
  <c r="M38" i="20"/>
  <c r="AJ164" i="14"/>
  <c r="BC15" i="7"/>
  <c r="F10" i="5"/>
  <c r="BC13" i="5"/>
  <c r="W43" i="6"/>
  <c r="W14" i="6" s="1"/>
  <c r="W12" i="6" s="1"/>
  <c r="AG232" i="5"/>
  <c r="AS30" i="5" s="1"/>
  <c r="AX30" i="5" s="1"/>
  <c r="AJ187" i="5"/>
  <c r="AL110" i="5"/>
  <c r="AF110" i="16"/>
  <c r="AC110" i="16"/>
  <c r="AI40" i="12"/>
  <c r="AH40" i="12"/>
  <c r="AH17" i="10"/>
  <c r="AI17" i="10"/>
  <c r="AH36" i="10"/>
  <c r="AI47" i="14"/>
  <c r="W198" i="9"/>
  <c r="W197" i="8"/>
  <c r="W196" i="8" s="1"/>
  <c r="W195" i="8" s="1"/>
  <c r="W223" i="9"/>
  <c r="W222" i="8"/>
  <c r="W238" i="9"/>
  <c r="W235" i="8"/>
  <c r="W234" i="8" s="1"/>
  <c r="AL110" i="8"/>
  <c r="AH100" i="10"/>
  <c r="U90" i="11"/>
  <c r="U63" i="11" s="1"/>
  <c r="C28" i="10"/>
  <c r="AH36" i="13"/>
  <c r="AC110" i="14"/>
  <c r="AC10" i="14" s="1"/>
  <c r="AC8" i="14" s="1"/>
  <c r="E21" i="5"/>
  <c r="E19" i="5" s="1"/>
  <c r="E17" i="5" s="1"/>
  <c r="E8" i="5" s="1"/>
  <c r="U196" i="6"/>
  <c r="U195" i="6" s="1"/>
  <c r="U193" i="6" s="1"/>
  <c r="X69" i="5"/>
  <c r="X65" i="5" s="1"/>
  <c r="X90" i="5"/>
  <c r="AQ25" i="5" s="1"/>
  <c r="X157" i="5"/>
  <c r="X155" i="5" s="1"/>
  <c r="BN17" i="5" s="1"/>
  <c r="X210" i="5"/>
  <c r="X209" i="5" s="1"/>
  <c r="BN27" i="5" s="1"/>
  <c r="X235" i="5"/>
  <c r="X234" i="5" s="1"/>
  <c r="M34" i="7"/>
  <c r="D73" i="9"/>
  <c r="D72" i="8"/>
  <c r="V223" i="9"/>
  <c r="V222" i="8"/>
  <c r="E55" i="9"/>
  <c r="E54" i="8"/>
  <c r="E79" i="9"/>
  <c r="E78" i="8"/>
  <c r="W93" i="9"/>
  <c r="W91" i="8"/>
  <c r="W90" i="8" s="1"/>
  <c r="AD143" i="11"/>
  <c r="AI98" i="9"/>
  <c r="AI125" i="9"/>
  <c r="AJ125" i="9"/>
  <c r="G50" i="8"/>
  <c r="I48" i="7"/>
  <c r="Y143" i="8"/>
  <c r="AA141" i="7"/>
  <c r="BO20" i="7" s="1"/>
  <c r="AH143" i="7"/>
  <c r="Y223" i="8"/>
  <c r="AA222" i="7"/>
  <c r="AA220" i="7" s="1"/>
  <c r="BO30" i="7" s="1"/>
  <c r="BI14" i="7" s="1"/>
  <c r="AF195" i="8"/>
  <c r="AF193" i="8" s="1"/>
  <c r="BQ28" i="8"/>
  <c r="I51" i="20" s="1"/>
  <c r="BN5" i="16"/>
  <c r="BR5" i="16"/>
  <c r="AH80" i="14"/>
  <c r="AI80" i="14"/>
  <c r="AH129" i="14"/>
  <c r="AI129" i="14"/>
  <c r="AJ32" i="10"/>
  <c r="AH32" i="10"/>
  <c r="AH54" i="10"/>
  <c r="AJ54" i="10"/>
  <c r="AI84" i="10"/>
  <c r="AJ84" i="10"/>
  <c r="AJ107" i="10"/>
  <c r="AH107" i="10"/>
  <c r="AH105" i="10" s="1"/>
  <c r="AH104" i="10" s="1"/>
  <c r="AI29" i="10"/>
  <c r="AJ29" i="10"/>
  <c r="AH29" i="10"/>
  <c r="AH66" i="7"/>
  <c r="AI66" i="7"/>
  <c r="AJ166" i="7"/>
  <c r="AH166" i="7"/>
  <c r="F66" i="6"/>
  <c r="M67" i="6"/>
  <c r="M66" i="6" s="1"/>
  <c r="AJ29" i="13"/>
  <c r="AI29" i="13"/>
  <c r="BC16" i="7"/>
  <c r="M43" i="7"/>
  <c r="AH74" i="10"/>
  <c r="AJ74" i="10"/>
  <c r="N47" i="20"/>
  <c r="N45" i="20" s="1"/>
  <c r="BQ22" i="13"/>
  <c r="BK11" i="13" s="1"/>
  <c r="AI241" i="15"/>
  <c r="AH241" i="15"/>
  <c r="AJ125" i="13"/>
  <c r="V212" i="14"/>
  <c r="V212" i="15" s="1"/>
  <c r="X212" i="13"/>
  <c r="Y139" i="16"/>
  <c r="AA139" i="16" s="1"/>
  <c r="AH139" i="16" s="1"/>
  <c r="AH139" i="15"/>
  <c r="AB95" i="15"/>
  <c r="AD95" i="15" s="1"/>
  <c r="AB95" i="16" s="1"/>
  <c r="AD95" i="16" s="1"/>
  <c r="AI95" i="16" s="1"/>
  <c r="AI95" i="14"/>
  <c r="AB131" i="14"/>
  <c r="AD131" i="14" s="1"/>
  <c r="AI131" i="13"/>
  <c r="U232" i="6"/>
  <c r="AV13" i="6"/>
  <c r="N48" i="6"/>
  <c r="AI74" i="10"/>
  <c r="AH33" i="12"/>
  <c r="AJ33" i="12"/>
  <c r="AJ66" i="8"/>
  <c r="AI66" i="8"/>
  <c r="C28" i="9"/>
  <c r="C21" i="9" s="1"/>
  <c r="C19" i="9" s="1"/>
  <c r="C17" i="9" s="1"/>
  <c r="C8" i="9" s="1"/>
  <c r="AI39" i="6"/>
  <c r="AH35" i="6"/>
  <c r="AF12" i="5"/>
  <c r="L128" i="6"/>
  <c r="N27" i="6"/>
  <c r="AI20" i="6"/>
  <c r="AB79" i="10"/>
  <c r="AD79" i="10" s="1"/>
  <c r="AI79" i="9"/>
  <c r="M67" i="8"/>
  <c r="AI38" i="9"/>
  <c r="AJ38" i="9"/>
  <c r="AH95" i="9"/>
  <c r="AI95" i="9"/>
  <c r="AJ95" i="9"/>
  <c r="AH150" i="9"/>
  <c r="AJ150" i="9"/>
  <c r="BK14" i="8"/>
  <c r="I53" i="20"/>
  <c r="BK13" i="14"/>
  <c r="O52" i="20"/>
  <c r="AH101" i="9"/>
  <c r="AJ101" i="9"/>
  <c r="AI101" i="9"/>
  <c r="AJ166" i="9"/>
  <c r="AI166" i="9"/>
  <c r="AI166" i="8"/>
  <c r="AJ166" i="8"/>
  <c r="M26" i="6"/>
  <c r="F25" i="6"/>
  <c r="AQ8" i="6" s="1"/>
  <c r="N26" i="6"/>
  <c r="BC11" i="6"/>
  <c r="AJ108" i="11"/>
  <c r="AH108" i="11"/>
  <c r="AI108" i="11"/>
  <c r="AH70" i="7"/>
  <c r="AI70" i="7"/>
  <c r="BK13" i="12"/>
  <c r="M52" i="20"/>
  <c r="X220" i="6"/>
  <c r="BN30" i="6" s="1"/>
  <c r="BH14" i="6" s="1"/>
  <c r="AI66" i="6"/>
  <c r="X123" i="6"/>
  <c r="BN17" i="6" s="1"/>
  <c r="X176" i="6"/>
  <c r="BL14" i="7"/>
  <c r="X20" i="5"/>
  <c r="X16" i="5" s="1"/>
  <c r="X20" i="6"/>
  <c r="X16" i="6" s="1"/>
  <c r="Y12" i="5"/>
  <c r="Y10" i="5" s="1"/>
  <c r="X185" i="5"/>
  <c r="X170" i="5" s="1"/>
  <c r="BL9" i="7"/>
  <c r="BL9" i="10" s="1"/>
  <c r="AH158" i="6"/>
  <c r="AJ251" i="6"/>
  <c r="X65" i="6"/>
  <c r="BQ15" i="13"/>
  <c r="BK10" i="13" s="1"/>
  <c r="AM110" i="14"/>
  <c r="AM12" i="13"/>
  <c r="AM10" i="13" s="1"/>
  <c r="AM8" i="13" s="1"/>
  <c r="AH25" i="6"/>
  <c r="AI180" i="6"/>
  <c r="AI176" i="6" s="1"/>
  <c r="AH84" i="14"/>
  <c r="U232" i="9"/>
  <c r="AM110" i="12"/>
  <c r="X244" i="6"/>
  <c r="X243" i="6" s="1"/>
  <c r="X232" i="6" s="1"/>
  <c r="BN29" i="6" s="1"/>
  <c r="BH13" i="6" s="1"/>
  <c r="BC15" i="6"/>
  <c r="AE220" i="6"/>
  <c r="AJ105" i="5"/>
  <c r="AE110" i="5"/>
  <c r="BC21" i="6"/>
  <c r="AI21" i="5"/>
  <c r="AL12" i="15"/>
  <c r="AL10" i="15" s="1"/>
  <c r="AL8" i="15" s="1"/>
  <c r="BN10" i="6"/>
  <c r="BN31" i="5"/>
  <c r="BH15" i="5" s="1"/>
  <c r="F35" i="5"/>
  <c r="F28" i="5" s="1"/>
  <c r="U170" i="7"/>
  <c r="C28" i="8"/>
  <c r="C21" i="8" s="1"/>
  <c r="C19" i="8" s="1"/>
  <c r="C17" i="8" s="1"/>
  <c r="C8" i="8" s="1"/>
  <c r="F54" i="7"/>
  <c r="AR29" i="6"/>
  <c r="AW29" i="6" s="1"/>
  <c r="BP27" i="6"/>
  <c r="AF12" i="6"/>
  <c r="AF10" i="6" s="1"/>
  <c r="AF8" i="6" s="1"/>
  <c r="X35" i="6"/>
  <c r="U110" i="5"/>
  <c r="BQ15" i="5"/>
  <c r="BK10" i="5" s="1"/>
  <c r="U43" i="15"/>
  <c r="U90" i="13"/>
  <c r="U63" i="13" s="1"/>
  <c r="U14" i="7"/>
  <c r="V63" i="5"/>
  <c r="F128" i="6"/>
  <c r="AJ21" i="5"/>
  <c r="X176" i="7"/>
  <c r="AM10" i="15"/>
  <c r="AM8" i="15" s="1"/>
  <c r="F67" i="7"/>
  <c r="AF195" i="14"/>
  <c r="AF193" i="14" s="1"/>
  <c r="BQ28" i="14"/>
  <c r="O51" i="20" s="1"/>
  <c r="BQ15" i="9"/>
  <c r="BK10" i="9" s="1"/>
  <c r="AH222" i="6"/>
  <c r="AC12" i="5"/>
  <c r="AC10" i="5" s="1"/>
  <c r="AC8" i="5" s="1"/>
  <c r="AI251" i="10"/>
  <c r="AH251" i="10"/>
  <c r="AH29" i="7"/>
  <c r="AI29" i="7"/>
  <c r="AJ29" i="7"/>
  <c r="AI191" i="12"/>
  <c r="AH191" i="12"/>
  <c r="AI160" i="9"/>
  <c r="AH160" i="9"/>
  <c r="AC10" i="7"/>
  <c r="AC8" i="7" s="1"/>
  <c r="V110" i="5"/>
  <c r="I21" i="5"/>
  <c r="I19" i="5" s="1"/>
  <c r="I17" i="5" s="1"/>
  <c r="I8" i="5" s="1"/>
  <c r="N14" i="6"/>
  <c r="AI225" i="10"/>
  <c r="AJ124" i="7"/>
  <c r="AH124" i="7"/>
  <c r="AJ130" i="12"/>
  <c r="AH130" i="12"/>
  <c r="AI41" i="14"/>
  <c r="AH41" i="14"/>
  <c r="AJ120" i="14"/>
  <c r="AI120" i="14"/>
  <c r="AH153" i="14"/>
  <c r="AJ153" i="14"/>
  <c r="AI125" i="12"/>
  <c r="AJ125" i="12"/>
  <c r="AH212" i="12"/>
  <c r="AI212" i="12"/>
  <c r="AH73" i="7"/>
  <c r="AI73" i="7"/>
  <c r="P128" i="7"/>
  <c r="P126" i="7" s="1"/>
  <c r="P130" i="7" s="1"/>
  <c r="H128" i="7"/>
  <c r="C128" i="7"/>
  <c r="Q128" i="7"/>
  <c r="Q126" i="7" s="1"/>
  <c r="Q130" i="7" s="1"/>
  <c r="C28" i="14"/>
  <c r="V150" i="12"/>
  <c r="X150" i="11"/>
  <c r="BQ13" i="16"/>
  <c r="Q36" i="20" s="1"/>
  <c r="AH149" i="6"/>
  <c r="AH147" i="6" s="1"/>
  <c r="AM10" i="6"/>
  <c r="AM8" i="6" s="1"/>
  <c r="N51" i="6"/>
  <c r="N33" i="7"/>
  <c r="AJ35" i="6"/>
  <c r="AG110" i="5"/>
  <c r="AS26" i="5" s="1"/>
  <c r="AX26" i="5" s="1"/>
  <c r="U232" i="14"/>
  <c r="AJ135" i="8"/>
  <c r="AH135" i="8"/>
  <c r="V178" i="10"/>
  <c r="X178" i="9"/>
  <c r="AI178" i="9" s="1"/>
  <c r="BO13" i="5"/>
  <c r="AA14" i="5"/>
  <c r="AA12" i="5" s="1"/>
  <c r="AH97" i="7"/>
  <c r="AI191" i="8"/>
  <c r="AH191" i="8"/>
  <c r="AE193" i="6"/>
  <c r="AD110" i="5"/>
  <c r="AR26" i="5" s="1"/>
  <c r="AW26" i="5" s="1"/>
  <c r="AM110" i="5"/>
  <c r="BQ13" i="5"/>
  <c r="E128" i="7"/>
  <c r="AZ22" i="6"/>
  <c r="AJ218" i="8"/>
  <c r="AH218" i="8"/>
  <c r="AI218" i="8"/>
  <c r="N59" i="6"/>
  <c r="N57" i="6" s="1"/>
  <c r="F57" i="6"/>
  <c r="M59" i="6"/>
  <c r="M57" i="6" s="1"/>
  <c r="AH124" i="12"/>
  <c r="AH218" i="12"/>
  <c r="AI218" i="12"/>
  <c r="AI255" i="12"/>
  <c r="AH255" i="12"/>
  <c r="AH33" i="8"/>
  <c r="AI33" i="8"/>
  <c r="AL10" i="7"/>
  <c r="AL8" i="7" s="1"/>
  <c r="AM12" i="12"/>
  <c r="AC12" i="6"/>
  <c r="X20" i="7"/>
  <c r="X16" i="7" s="1"/>
  <c r="AI50" i="7"/>
  <c r="D74" i="12"/>
  <c r="F74" i="11"/>
  <c r="W50" i="12"/>
  <c r="AH124" i="9"/>
  <c r="AI162" i="11"/>
  <c r="AH162" i="11"/>
  <c r="AH25" i="12"/>
  <c r="AI25" i="12"/>
  <c r="M32" i="6"/>
  <c r="BQ25" i="6"/>
  <c r="BK12" i="6" s="1"/>
  <c r="F10" i="20"/>
  <c r="F9" i="20" s="1"/>
  <c r="Y63" i="6"/>
  <c r="D128" i="7"/>
  <c r="Z12" i="6"/>
  <c r="Z10" i="6" s="1"/>
  <c r="Z12" i="10"/>
  <c r="Z10" i="10" s="1"/>
  <c r="Z8" i="10" s="1"/>
  <c r="AE12" i="5"/>
  <c r="AE10" i="5" s="1"/>
  <c r="AE8" i="5" s="1"/>
  <c r="AH142" i="6"/>
  <c r="AH141" i="6" s="1"/>
  <c r="AI142" i="6"/>
  <c r="AI141" i="6" s="1"/>
  <c r="X141" i="6"/>
  <c r="BN20" i="6" s="1"/>
  <c r="AJ142" i="6"/>
  <c r="AJ141" i="6" s="1"/>
  <c r="AI228" i="6"/>
  <c r="AI227" i="6" s="1"/>
  <c r="AJ228" i="6"/>
  <c r="AJ227" i="6" s="1"/>
  <c r="AJ220" i="6" s="1"/>
  <c r="AH228" i="6"/>
  <c r="AH227" i="6" s="1"/>
  <c r="AH220" i="6" s="1"/>
  <c r="AH39" i="5"/>
  <c r="AH35" i="5" s="1"/>
  <c r="AI39" i="5"/>
  <c r="AI35" i="5" s="1"/>
  <c r="AJ39" i="5"/>
  <c r="AJ35" i="5" s="1"/>
  <c r="AH71" i="5"/>
  <c r="AI71" i="5"/>
  <c r="AJ71" i="5"/>
  <c r="AH92" i="5"/>
  <c r="AH91" i="5" s="1"/>
  <c r="AI92" i="5"/>
  <c r="AI91" i="5" s="1"/>
  <c r="AJ92" i="5"/>
  <c r="AJ91" i="5" s="1"/>
  <c r="AH118" i="5"/>
  <c r="AH114" i="5" s="1"/>
  <c r="AI118" i="5"/>
  <c r="AI114" i="5" s="1"/>
  <c r="AJ118" i="5"/>
  <c r="AJ114" i="5" s="1"/>
  <c r="AH136" i="5"/>
  <c r="AI136" i="5"/>
  <c r="AJ136" i="5"/>
  <c r="AH162" i="5"/>
  <c r="AI162" i="5"/>
  <c r="AJ162" i="5"/>
  <c r="AH186" i="5"/>
  <c r="AI186" i="5"/>
  <c r="AJ186" i="5"/>
  <c r="AH214" i="5"/>
  <c r="AH211" i="5" s="1"/>
  <c r="AI214" i="5"/>
  <c r="AI211" i="5" s="1"/>
  <c r="AJ214" i="5"/>
  <c r="AJ211" i="5" s="1"/>
  <c r="AH241" i="5"/>
  <c r="AI241" i="5"/>
  <c r="AJ241" i="5"/>
  <c r="M12" i="5"/>
  <c r="N12" i="5"/>
  <c r="D23" i="7"/>
  <c r="D22" i="7" s="1"/>
  <c r="D22" i="6"/>
  <c r="F23" i="6"/>
  <c r="N36" i="5"/>
  <c r="N35" i="5" s="1"/>
  <c r="M36" i="5"/>
  <c r="M35" i="5" s="1"/>
  <c r="D64" i="7"/>
  <c r="D63" i="6"/>
  <c r="F64" i="6"/>
  <c r="D71" i="8"/>
  <c r="D69" i="7"/>
  <c r="AI22" i="8"/>
  <c r="U170" i="9"/>
  <c r="U112" i="11"/>
  <c r="U220" i="10"/>
  <c r="AL110" i="16"/>
  <c r="AF12" i="16"/>
  <c r="AF10" i="16" s="1"/>
  <c r="AF8" i="16" s="1"/>
  <c r="AL110" i="13"/>
  <c r="W106" i="14"/>
  <c r="W105" i="13"/>
  <c r="W104" i="13" s="1"/>
  <c r="G64" i="13"/>
  <c r="BD14" i="12"/>
  <c r="G76" i="11"/>
  <c r="I75" i="10"/>
  <c r="AI33" i="7"/>
  <c r="AH33" i="7"/>
  <c r="AI55" i="7"/>
  <c r="AH55" i="7"/>
  <c r="AJ55" i="7"/>
  <c r="AI218" i="9"/>
  <c r="AH218" i="9"/>
  <c r="AJ218" i="9"/>
  <c r="AI124" i="8"/>
  <c r="AH124" i="8"/>
  <c r="AH29" i="12"/>
  <c r="AJ29" i="12"/>
  <c r="AH79" i="12"/>
  <c r="AJ79" i="12"/>
  <c r="AI101" i="12"/>
  <c r="AH101" i="12"/>
  <c r="AJ101" i="12"/>
  <c r="AI128" i="12"/>
  <c r="AJ128" i="12"/>
  <c r="AH128" i="12"/>
  <c r="AH241" i="12"/>
  <c r="AI241" i="12"/>
  <c r="AE145" i="6"/>
  <c r="N33" i="5"/>
  <c r="N32" i="5" s="1"/>
  <c r="M33" i="5"/>
  <c r="M32" i="5" s="1"/>
  <c r="AI71" i="6"/>
  <c r="AI69" i="6" s="1"/>
  <c r="AJ71" i="6"/>
  <c r="AJ186" i="6"/>
  <c r="AH186" i="6"/>
  <c r="AI186" i="6"/>
  <c r="AH25" i="5"/>
  <c r="AI25" i="5"/>
  <c r="AJ25" i="5"/>
  <c r="AH46" i="5"/>
  <c r="AH44" i="5" s="1"/>
  <c r="AI46" i="5"/>
  <c r="AI44" i="5" s="1"/>
  <c r="AJ46" i="5"/>
  <c r="AJ44" i="5" s="1"/>
  <c r="AH75" i="5"/>
  <c r="AI75" i="5"/>
  <c r="AJ75" i="5"/>
  <c r="AH97" i="5"/>
  <c r="AI97" i="5"/>
  <c r="AJ97" i="5"/>
  <c r="AH124" i="5"/>
  <c r="AI124" i="5"/>
  <c r="AJ124" i="5"/>
  <c r="AH142" i="5"/>
  <c r="AH141" i="5" s="1"/>
  <c r="AI142" i="5"/>
  <c r="AI141" i="5" s="1"/>
  <c r="AJ142" i="5"/>
  <c r="AJ141" i="5" s="1"/>
  <c r="AH166" i="5"/>
  <c r="AI166" i="5"/>
  <c r="AJ166" i="5"/>
  <c r="AH191" i="5"/>
  <c r="AI191" i="5"/>
  <c r="AJ191" i="5"/>
  <c r="AH218" i="5"/>
  <c r="AI218" i="5"/>
  <c r="AJ218" i="5"/>
  <c r="AH247" i="5"/>
  <c r="AI247" i="5"/>
  <c r="AJ247" i="5"/>
  <c r="D12" i="7"/>
  <c r="D10" i="6"/>
  <c r="N30" i="5"/>
  <c r="N29" i="5" s="1"/>
  <c r="M30" i="5"/>
  <c r="M29" i="5" s="1"/>
  <c r="D36" i="7"/>
  <c r="D35" i="6"/>
  <c r="D46" i="8"/>
  <c r="D45" i="7"/>
  <c r="D52" i="8"/>
  <c r="D51" i="7"/>
  <c r="D59" i="8"/>
  <c r="F59" i="8" s="1"/>
  <c r="F57" i="8" s="1"/>
  <c r="D57" i="7"/>
  <c r="D79" i="8"/>
  <c r="D78" i="7"/>
  <c r="F78" i="7" s="1"/>
  <c r="F79" i="7"/>
  <c r="V21" i="8"/>
  <c r="V20" i="7"/>
  <c r="V16" i="7" s="1"/>
  <c r="V39" i="8"/>
  <c r="V35" i="7"/>
  <c r="V51" i="8"/>
  <c r="V49" i="7"/>
  <c r="V85" i="7"/>
  <c r="V83" i="6"/>
  <c r="V63" i="6" s="1"/>
  <c r="V97" i="8"/>
  <c r="V96" i="7"/>
  <c r="V151" i="8"/>
  <c r="V149" i="7"/>
  <c r="V147" i="7" s="1"/>
  <c r="V206" i="8"/>
  <c r="V205" i="7"/>
  <c r="W21" i="8"/>
  <c r="W20" i="7"/>
  <c r="W16" i="7" s="1"/>
  <c r="W46" i="8"/>
  <c r="W44" i="7"/>
  <c r="AE87" i="7"/>
  <c r="AG83" i="6"/>
  <c r="AS24" i="6" s="1"/>
  <c r="AX24" i="6" s="1"/>
  <c r="AG99" i="6"/>
  <c r="AE96" i="6"/>
  <c r="AE116" i="7"/>
  <c r="AG114" i="6"/>
  <c r="AE160" i="7"/>
  <c r="AG157" i="6"/>
  <c r="AG155" i="6" s="1"/>
  <c r="AG145" i="6" s="1"/>
  <c r="AG178" i="6"/>
  <c r="AE176" i="6"/>
  <c r="AE170" i="6" s="1"/>
  <c r="F50" i="12"/>
  <c r="U43" i="12"/>
  <c r="U14" i="12" s="1"/>
  <c r="U232" i="12"/>
  <c r="U112" i="9"/>
  <c r="U110" i="9" s="1"/>
  <c r="U112" i="8"/>
  <c r="U110" i="8" s="1"/>
  <c r="AH21" i="7"/>
  <c r="AJ21" i="7"/>
  <c r="AQ22" i="7"/>
  <c r="BN10" i="7"/>
  <c r="AH108" i="7"/>
  <c r="AJ108" i="7"/>
  <c r="AI108" i="7"/>
  <c r="AI142" i="7"/>
  <c r="AI141" i="7" s="1"/>
  <c r="AJ142" i="7"/>
  <c r="AJ141" i="7" s="1"/>
  <c r="X141" i="7"/>
  <c r="BN20" i="7" s="1"/>
  <c r="AH142" i="7"/>
  <c r="AJ218" i="7"/>
  <c r="AI218" i="7"/>
  <c r="AH218" i="7"/>
  <c r="V50" i="12"/>
  <c r="V213" i="12"/>
  <c r="AH33" i="9"/>
  <c r="AJ33" i="9"/>
  <c r="AI33" i="9"/>
  <c r="AJ55" i="9"/>
  <c r="AH55" i="9"/>
  <c r="AJ108" i="9"/>
  <c r="AH108" i="9"/>
  <c r="AI108" i="9"/>
  <c r="AJ132" i="9"/>
  <c r="AI132" i="9"/>
  <c r="AH132" i="9"/>
  <c r="AI191" i="9"/>
  <c r="AH191" i="9"/>
  <c r="AJ79" i="8"/>
  <c r="AH79" i="8"/>
  <c r="AI128" i="8"/>
  <c r="AH128" i="8"/>
  <c r="AJ128" i="8"/>
  <c r="AH108" i="12"/>
  <c r="AJ108" i="12"/>
  <c r="AI108" i="12"/>
  <c r="AH132" i="12"/>
  <c r="AI132" i="12"/>
  <c r="AJ132" i="12"/>
  <c r="AJ166" i="12"/>
  <c r="AH166" i="12"/>
  <c r="AI166" i="12"/>
  <c r="AH247" i="12"/>
  <c r="AI247" i="12"/>
  <c r="M14" i="5"/>
  <c r="N14" i="5"/>
  <c r="AI33" i="6"/>
  <c r="AJ33" i="6"/>
  <c r="AH33" i="6"/>
  <c r="AI92" i="6"/>
  <c r="AI91" i="6" s="1"/>
  <c r="X91" i="6"/>
  <c r="AH92" i="6"/>
  <c r="AH91" i="6" s="1"/>
  <c r="AJ92" i="6"/>
  <c r="AH108" i="6"/>
  <c r="AI108" i="6"/>
  <c r="AJ108" i="6"/>
  <c r="AJ166" i="6"/>
  <c r="AJ157" i="6" s="1"/>
  <c r="AJ155" i="6" s="1"/>
  <c r="AI166" i="6"/>
  <c r="AH166" i="6"/>
  <c r="M26" i="5"/>
  <c r="M25" i="5" s="1"/>
  <c r="BC11" i="5"/>
  <c r="AH29" i="5"/>
  <c r="AI29" i="5"/>
  <c r="AJ29" i="5"/>
  <c r="AH51" i="5"/>
  <c r="AH49" i="5" s="1"/>
  <c r="AI51" i="5"/>
  <c r="AI49" i="5" s="1"/>
  <c r="AJ51" i="5"/>
  <c r="AJ49" i="5" s="1"/>
  <c r="AH79" i="5"/>
  <c r="AI79" i="5"/>
  <c r="AJ79" i="5"/>
  <c r="AH101" i="5"/>
  <c r="AI101" i="5"/>
  <c r="AJ101" i="5"/>
  <c r="AH128" i="5"/>
  <c r="AI128" i="5"/>
  <c r="AJ128" i="5"/>
  <c r="AH151" i="5"/>
  <c r="AH149" i="5" s="1"/>
  <c r="AH147" i="5" s="1"/>
  <c r="AI151" i="5"/>
  <c r="AI149" i="5" s="1"/>
  <c r="AI147" i="5" s="1"/>
  <c r="AJ151" i="5"/>
  <c r="AJ149" i="5" s="1"/>
  <c r="AJ147" i="5" s="1"/>
  <c r="AH174" i="5"/>
  <c r="AH172" i="5" s="1"/>
  <c r="AI174" i="5"/>
  <c r="AI172" i="5" s="1"/>
  <c r="AJ174" i="5"/>
  <c r="AJ172" i="5" s="1"/>
  <c r="AH201" i="5"/>
  <c r="AH197" i="5" s="1"/>
  <c r="AI201" i="5"/>
  <c r="AI197" i="5" s="1"/>
  <c r="AJ201" i="5"/>
  <c r="AJ197" i="5" s="1"/>
  <c r="AH228" i="5"/>
  <c r="AH227" i="5" s="1"/>
  <c r="AH220" i="5" s="1"/>
  <c r="AI228" i="5"/>
  <c r="AI227" i="5" s="1"/>
  <c r="AI220" i="5" s="1"/>
  <c r="AJ228" i="5"/>
  <c r="AJ227" i="5" s="1"/>
  <c r="AJ220" i="5" s="1"/>
  <c r="AH251" i="5"/>
  <c r="AI251" i="5"/>
  <c r="AJ251" i="5"/>
  <c r="D30" i="7"/>
  <c r="D29" i="6"/>
  <c r="M76" i="5"/>
  <c r="N76" i="5"/>
  <c r="F74" i="12"/>
  <c r="BQ13" i="10"/>
  <c r="K36" i="20" s="1"/>
  <c r="AM12" i="10"/>
  <c r="AM10" i="10" s="1"/>
  <c r="AM8" i="10" s="1"/>
  <c r="W94" i="12"/>
  <c r="G70" i="12"/>
  <c r="I69" i="11"/>
  <c r="AI247" i="10"/>
  <c r="AH247" i="10"/>
  <c r="AJ25" i="7"/>
  <c r="AH25" i="7"/>
  <c r="AI25" i="7"/>
  <c r="X50" i="11"/>
  <c r="AH66" i="9"/>
  <c r="AJ66" i="9"/>
  <c r="AQ22" i="9"/>
  <c r="AZ22" i="9" s="1"/>
  <c r="BN10" i="9"/>
  <c r="AH247" i="9"/>
  <c r="AJ247" i="9"/>
  <c r="AI247" i="9"/>
  <c r="AH33" i="11"/>
  <c r="AJ33" i="11"/>
  <c r="AI33" i="11"/>
  <c r="AI191" i="11"/>
  <c r="AH191" i="11"/>
  <c r="AI218" i="11"/>
  <c r="AH218" i="11"/>
  <c r="AJ136" i="12"/>
  <c r="AH136" i="12"/>
  <c r="AI136" i="12"/>
  <c r="AH251" i="12"/>
  <c r="AI251" i="12"/>
  <c r="BN10" i="8"/>
  <c r="AQ22" i="8"/>
  <c r="AJ218" i="6"/>
  <c r="AI218" i="6"/>
  <c r="AH218" i="6"/>
  <c r="N77" i="5"/>
  <c r="N128" i="5" s="1"/>
  <c r="M77" i="5"/>
  <c r="AH33" i="5"/>
  <c r="AI33" i="5"/>
  <c r="AJ33" i="5"/>
  <c r="AQ22" i="5"/>
  <c r="AH66" i="5"/>
  <c r="AI66" i="5"/>
  <c r="AJ66" i="5"/>
  <c r="BN10" i="5"/>
  <c r="AH85" i="5"/>
  <c r="AH83" i="5" s="1"/>
  <c r="AI85" i="5"/>
  <c r="AI83" i="5" s="1"/>
  <c r="AJ85" i="5"/>
  <c r="AJ83" i="5" s="1"/>
  <c r="AH108" i="5"/>
  <c r="AH104" i="5" s="1"/>
  <c r="AI108" i="5"/>
  <c r="AI104" i="5" s="1"/>
  <c r="AJ108" i="5"/>
  <c r="AH132" i="5"/>
  <c r="AI132" i="5"/>
  <c r="AJ132" i="5"/>
  <c r="AH158" i="5"/>
  <c r="AH157" i="5" s="1"/>
  <c r="AH155" i="5" s="1"/>
  <c r="AI158" i="5"/>
  <c r="AJ158" i="5"/>
  <c r="AH180" i="5"/>
  <c r="AH176" i="5" s="1"/>
  <c r="AI180" i="5"/>
  <c r="AI176" i="5" s="1"/>
  <c r="AJ180" i="5"/>
  <c r="AJ176" i="5" s="1"/>
  <c r="X205" i="5"/>
  <c r="X196" i="5" s="1"/>
  <c r="BN28" i="5" s="1"/>
  <c r="BN25" i="5" s="1"/>
  <c r="BH12" i="5" s="1"/>
  <c r="AH206" i="5"/>
  <c r="AH205" i="5" s="1"/>
  <c r="AI206" i="5"/>
  <c r="AI205" i="5" s="1"/>
  <c r="AJ206" i="5"/>
  <c r="AJ205" i="5" s="1"/>
  <c r="AH237" i="5"/>
  <c r="AI237" i="5"/>
  <c r="AJ237" i="5"/>
  <c r="AH255" i="5"/>
  <c r="AI255" i="5"/>
  <c r="AJ255" i="5"/>
  <c r="M23" i="5"/>
  <c r="M22" i="5" s="1"/>
  <c r="BC12" i="5"/>
  <c r="D43" i="8"/>
  <c r="D42" i="7"/>
  <c r="D49" i="9"/>
  <c r="D48" i="8"/>
  <c r="M64" i="5"/>
  <c r="M63" i="5" s="1"/>
  <c r="N64" i="5"/>
  <c r="N63" i="5" s="1"/>
  <c r="BC14" i="5"/>
  <c r="D76" i="7"/>
  <c r="D75" i="6"/>
  <c r="D83" i="9"/>
  <c r="D81" i="8"/>
  <c r="V46" i="7"/>
  <c r="V44" i="6"/>
  <c r="V43" i="6" s="1"/>
  <c r="V14" i="6" s="1"/>
  <c r="V92" i="8"/>
  <c r="V91" i="7"/>
  <c r="V118" i="7"/>
  <c r="V114" i="6"/>
  <c r="V112" i="6" s="1"/>
  <c r="V142" i="8"/>
  <c r="V141" i="7"/>
  <c r="V158" i="8"/>
  <c r="V157" i="7"/>
  <c r="V155" i="7" s="1"/>
  <c r="V201" i="8"/>
  <c r="V197" i="7"/>
  <c r="V214" i="8"/>
  <c r="V211" i="7"/>
  <c r="V210" i="7" s="1"/>
  <c r="V209" i="7" s="1"/>
  <c r="W39" i="8"/>
  <c r="W35" i="7"/>
  <c r="W51" i="8"/>
  <c r="W49" i="7"/>
  <c r="AG94" i="6"/>
  <c r="AE91" i="6"/>
  <c r="AE106" i="7"/>
  <c r="AG105" i="6"/>
  <c r="AG104" i="6" s="1"/>
  <c r="AG126" i="6"/>
  <c r="AE123" i="6"/>
  <c r="AE112" i="6" s="1"/>
  <c r="AE189" i="7"/>
  <c r="AG187" i="6"/>
  <c r="AG185" i="6" s="1"/>
  <c r="AJ189" i="6"/>
  <c r="AJ187" i="6" s="1"/>
  <c r="AJ185" i="6" s="1"/>
  <c r="L39" i="20"/>
  <c r="L38" i="20" s="1"/>
  <c r="BQ15" i="11"/>
  <c r="BK10" i="11" s="1"/>
  <c r="K8" i="8"/>
  <c r="L52" i="20"/>
  <c r="BK13" i="11"/>
  <c r="P52" i="20"/>
  <c r="BK13" i="15"/>
  <c r="P8" i="8"/>
  <c r="Q8" i="12"/>
  <c r="Q52" i="20"/>
  <c r="BK13" i="16"/>
  <c r="AC12" i="13"/>
  <c r="AC10" i="13" s="1"/>
  <c r="AI222" i="7"/>
  <c r="AJ22" i="11"/>
  <c r="AJ238" i="7"/>
  <c r="AH50" i="7"/>
  <c r="AH76" i="11"/>
  <c r="N75" i="6"/>
  <c r="AM12" i="16"/>
  <c r="AH83" i="6"/>
  <c r="AJ105" i="6"/>
  <c r="AJ104" i="6" s="1"/>
  <c r="AF110" i="10"/>
  <c r="AC12" i="9"/>
  <c r="C21" i="16"/>
  <c r="C19" i="16" s="1"/>
  <c r="C17" i="16" s="1"/>
  <c r="AI68" i="13"/>
  <c r="X123" i="7"/>
  <c r="AH148" i="13"/>
  <c r="F72" i="8"/>
  <c r="AI84" i="9"/>
  <c r="F48" i="8"/>
  <c r="AI92" i="7"/>
  <c r="AI91" i="7" s="1"/>
  <c r="N31" i="7"/>
  <c r="AJ68" i="16"/>
  <c r="AJ130" i="14"/>
  <c r="AI27" i="13"/>
  <c r="AI25" i="13"/>
  <c r="AH76" i="10"/>
  <c r="AH188" i="7"/>
  <c r="AH77" i="14"/>
  <c r="AJ74" i="7"/>
  <c r="AI24" i="9"/>
  <c r="M65" i="7"/>
  <c r="AQ29" i="5"/>
  <c r="AZ29" i="5" s="1"/>
  <c r="AH163" i="13"/>
  <c r="X179" i="13"/>
  <c r="AJ179" i="13" s="1"/>
  <c r="BE7" i="7"/>
  <c r="BF7" i="7" s="1"/>
  <c r="BF7" i="10" s="1"/>
  <c r="BF7" i="13" s="1"/>
  <c r="BF7" i="16" s="1"/>
  <c r="BL15" i="7"/>
  <c r="BL15" i="10" s="1"/>
  <c r="BL15" i="13" s="1"/>
  <c r="BL15" i="16" s="1"/>
  <c r="AC110" i="6"/>
  <c r="AH250" i="14"/>
  <c r="AB234" i="8"/>
  <c r="Z10" i="12"/>
  <c r="Z8" i="12" s="1"/>
  <c r="W244" i="7"/>
  <c r="W243" i="6"/>
  <c r="W232" i="6" s="1"/>
  <c r="AG244" i="6"/>
  <c r="AE243" i="6"/>
  <c r="AE232" i="6" s="1"/>
  <c r="T33" i="9"/>
  <c r="U232" i="13"/>
  <c r="AI24" i="7"/>
  <c r="AJ50" i="7"/>
  <c r="X91" i="7"/>
  <c r="AI255" i="14"/>
  <c r="AL10" i="5"/>
  <c r="AL8" i="5" s="1"/>
  <c r="AI55" i="11"/>
  <c r="AJ120" i="11"/>
  <c r="X69" i="7"/>
  <c r="X65" i="7" s="1"/>
  <c r="AB110" i="6"/>
  <c r="AH107" i="9"/>
  <c r="AH105" i="9" s="1"/>
  <c r="AH217" i="16"/>
  <c r="AI121" i="13"/>
  <c r="AI134" i="10"/>
  <c r="AS28" i="5"/>
  <c r="AX28" i="5" s="1"/>
  <c r="AG193" i="5"/>
  <c r="AI218" i="14"/>
  <c r="C21" i="6"/>
  <c r="C19" i="6" s="1"/>
  <c r="C17" i="6" s="1"/>
  <c r="X179" i="12"/>
  <c r="X179" i="9"/>
  <c r="AH179" i="9" s="1"/>
  <c r="X179" i="14"/>
  <c r="AI179" i="14" s="1"/>
  <c r="X179" i="10"/>
  <c r="AC12" i="11"/>
  <c r="AC10" i="11" s="1"/>
  <c r="AC8" i="11" s="1"/>
  <c r="J48" i="20"/>
  <c r="AM10" i="12"/>
  <c r="AM8" i="12" s="1"/>
  <c r="O53" i="20"/>
  <c r="I37" i="20"/>
  <c r="AJ50" i="9"/>
  <c r="AI181" i="11"/>
  <c r="U232" i="11"/>
  <c r="AA244" i="6"/>
  <c r="Y243" i="6"/>
  <c r="Y232" i="6" s="1"/>
  <c r="H40" i="20"/>
  <c r="H38" i="20" s="1"/>
  <c r="BQ15" i="7"/>
  <c r="BK10" i="7" s="1"/>
  <c r="V244" i="7"/>
  <c r="V243" i="6"/>
  <c r="V232" i="6" s="1"/>
  <c r="AH24" i="7"/>
  <c r="Z12" i="7"/>
  <c r="Z10" i="7" s="1"/>
  <c r="Z8" i="7" s="1"/>
  <c r="W12" i="5"/>
  <c r="W10" i="5" s="1"/>
  <c r="W8" i="5" s="1"/>
  <c r="AI83" i="6"/>
  <c r="AM10" i="5"/>
  <c r="AM8" i="5" s="1"/>
  <c r="AM259" i="5" s="1"/>
  <c r="AL10" i="13"/>
  <c r="AL8" i="13" s="1"/>
  <c r="AL12" i="6"/>
  <c r="AL10" i="6" s="1"/>
  <c r="AL8" i="6" s="1"/>
  <c r="AM259" i="6" s="1"/>
  <c r="AJ77" i="14"/>
  <c r="AI25" i="14"/>
  <c r="M49" i="8"/>
  <c r="AH76" i="9"/>
  <c r="V110" i="6"/>
  <c r="N15" i="6"/>
  <c r="AJ30" i="10"/>
  <c r="U196" i="13"/>
  <c r="U195" i="13" s="1"/>
  <c r="U193" i="13" s="1"/>
  <c r="AJ30" i="9"/>
  <c r="M72" i="7"/>
  <c r="X179" i="15"/>
  <c r="Z10" i="13"/>
  <c r="Z8" i="13" s="1"/>
  <c r="BQ25" i="9"/>
  <c r="BK12" i="9" s="1"/>
  <c r="AL10" i="16"/>
  <c r="AL8" i="16" s="1"/>
  <c r="U43" i="10"/>
  <c r="U14" i="10" s="1"/>
  <c r="AH239" i="13"/>
  <c r="AD244" i="6"/>
  <c r="AB243" i="6"/>
  <c r="AB232" i="6" s="1"/>
  <c r="G55" i="7"/>
  <c r="I54" i="6"/>
  <c r="AH254" i="16"/>
  <c r="Z12" i="15"/>
  <c r="Z10" i="15" s="1"/>
  <c r="Z8" i="15" s="1"/>
  <c r="U112" i="15"/>
  <c r="U14" i="15"/>
  <c r="U170" i="15"/>
  <c r="U196" i="15"/>
  <c r="U195" i="15" s="1"/>
  <c r="U193" i="15" s="1"/>
  <c r="M58" i="16"/>
  <c r="AS22" i="15"/>
  <c r="AX22" i="15" s="1"/>
  <c r="AJ148" i="15"/>
  <c r="Q48" i="20"/>
  <c r="AH126" i="14"/>
  <c r="AL10" i="14"/>
  <c r="AH253" i="14"/>
  <c r="AM10" i="14"/>
  <c r="AM8" i="14" s="1"/>
  <c r="AC12" i="15"/>
  <c r="AC10" i="15" s="1"/>
  <c r="AC8" i="15" s="1"/>
  <c r="AI252" i="14"/>
  <c r="AF14" i="13"/>
  <c r="AF12" i="13" s="1"/>
  <c r="AF10" i="13" s="1"/>
  <c r="AF8" i="13" s="1"/>
  <c r="BQ13" i="13"/>
  <c r="N36" i="20" s="1"/>
  <c r="U112" i="14"/>
  <c r="AI148" i="15"/>
  <c r="AJ117" i="14"/>
  <c r="N38" i="20"/>
  <c r="AI239" i="15"/>
  <c r="E80" i="14"/>
  <c r="E80" i="15" s="1"/>
  <c r="AH120" i="14"/>
  <c r="AH148" i="15"/>
  <c r="AH230" i="13"/>
  <c r="AF12" i="12"/>
  <c r="AI81" i="14"/>
  <c r="AH81" i="14"/>
  <c r="Y25" i="16"/>
  <c r="AA25" i="16" s="1"/>
  <c r="BN19" i="15"/>
  <c r="AH139" i="14"/>
  <c r="AI36" i="13"/>
  <c r="AI18" i="15"/>
  <c r="AJ31" i="14"/>
  <c r="AI247" i="14"/>
  <c r="AI77" i="13"/>
  <c r="AJ148" i="14"/>
  <c r="AI101" i="15"/>
  <c r="E29" i="12"/>
  <c r="AH126" i="13"/>
  <c r="AI136" i="14"/>
  <c r="AH182" i="14"/>
  <c r="U196" i="12"/>
  <c r="U195" i="12" s="1"/>
  <c r="U193" i="12" s="1"/>
  <c r="AB29" i="16"/>
  <c r="AD29" i="16" s="1"/>
  <c r="AI29" i="16" s="1"/>
  <c r="AI29" i="15"/>
  <c r="Y33" i="15"/>
  <c r="AA33" i="15" s="1"/>
  <c r="AH33" i="14"/>
  <c r="M51" i="20"/>
  <c r="M48" i="20" s="1"/>
  <c r="BQ25" i="12"/>
  <c r="BK12" i="12" s="1"/>
  <c r="AH139" i="13"/>
  <c r="AI247" i="13"/>
  <c r="AI31" i="14"/>
  <c r="AH256" i="13"/>
  <c r="AJ136" i="14"/>
  <c r="AI129" i="13"/>
  <c r="AH148" i="14"/>
  <c r="AI166" i="13"/>
  <c r="AH17" i="13"/>
  <c r="AJ166" i="13"/>
  <c r="AL12" i="12"/>
  <c r="AL10" i="12" s="1"/>
  <c r="AL8" i="12" s="1"/>
  <c r="AJ101" i="15"/>
  <c r="AH78" i="15"/>
  <c r="AI224" i="14"/>
  <c r="AH224" i="14"/>
  <c r="Y39" i="14"/>
  <c r="AA39" i="14" s="1"/>
  <c r="Y66" i="14"/>
  <c r="AA66" i="14" s="1"/>
  <c r="BO10" i="13"/>
  <c r="Y84" i="16"/>
  <c r="AA84" i="16" s="1"/>
  <c r="AH84" i="16" s="1"/>
  <c r="AH84" i="15"/>
  <c r="BQ13" i="12"/>
  <c r="M36" i="20" s="1"/>
  <c r="AH166" i="14"/>
  <c r="AH136" i="13"/>
  <c r="AH78" i="14"/>
  <c r="AI148" i="14"/>
  <c r="AI153" i="15"/>
  <c r="C28" i="13"/>
  <c r="C21" i="13" s="1"/>
  <c r="C19" i="13" s="1"/>
  <c r="C17" i="13" s="1"/>
  <c r="C8" i="13" s="1"/>
  <c r="AJ81" i="14"/>
  <c r="M35" i="20"/>
  <c r="M32" i="20" s="1"/>
  <c r="BQ9" i="12"/>
  <c r="AJ168" i="14"/>
  <c r="AH168" i="14"/>
  <c r="AI67" i="13"/>
  <c r="AH67" i="13"/>
  <c r="V224" i="16"/>
  <c r="X224" i="16" s="1"/>
  <c r="X224" i="15"/>
  <c r="Y156" i="14"/>
  <c r="AA156" i="14" s="1"/>
  <c r="BO18" i="13"/>
  <c r="Y250" i="16"/>
  <c r="AA250" i="16" s="1"/>
  <c r="AH250" i="16" s="1"/>
  <c r="AH250" i="15"/>
  <c r="AB25" i="16"/>
  <c r="AD25" i="16" s="1"/>
  <c r="AB33" i="15"/>
  <c r="AD33" i="15" s="1"/>
  <c r="AI33" i="14"/>
  <c r="AB121" i="15"/>
  <c r="AD121" i="15" s="1"/>
  <c r="AI121" i="14"/>
  <c r="AB177" i="14"/>
  <c r="AD177" i="14" s="1"/>
  <c r="BP23" i="13"/>
  <c r="AI76" i="14"/>
  <c r="X48" i="12"/>
  <c r="AJ48" i="12" s="1"/>
  <c r="AJ66" i="13"/>
  <c r="AH66" i="13"/>
  <c r="AH251" i="13"/>
  <c r="AI251" i="13"/>
  <c r="AJ55" i="15"/>
  <c r="AH55" i="15"/>
  <c r="AI108" i="15"/>
  <c r="AH108" i="15"/>
  <c r="V152" i="15"/>
  <c r="I34" i="14"/>
  <c r="G32" i="14"/>
  <c r="G65" i="14"/>
  <c r="I77" i="14"/>
  <c r="Y230" i="14"/>
  <c r="AH191" i="13"/>
  <c r="AI191" i="13"/>
  <c r="AI218" i="13"/>
  <c r="AH218" i="13"/>
  <c r="AH191" i="15"/>
  <c r="AI191" i="15"/>
  <c r="AI218" i="15"/>
  <c r="AH218" i="15"/>
  <c r="AI255" i="15"/>
  <c r="AH255" i="15"/>
  <c r="AH191" i="14"/>
  <c r="AI191" i="14"/>
  <c r="AI47" i="13"/>
  <c r="AI128" i="15"/>
  <c r="AH128" i="15"/>
  <c r="AH101" i="14"/>
  <c r="AI101" i="14"/>
  <c r="AH128" i="14"/>
  <c r="AJ128" i="14"/>
  <c r="AJ108" i="14"/>
  <c r="V143" i="16"/>
  <c r="W206" i="16"/>
  <c r="W205" i="15"/>
  <c r="G59" i="14"/>
  <c r="I57" i="13"/>
  <c r="G71" i="14"/>
  <c r="G83" i="14"/>
  <c r="I81" i="13"/>
  <c r="AH55" i="13"/>
  <c r="AJ55" i="13"/>
  <c r="AH108" i="13"/>
  <c r="AJ108" i="13"/>
  <c r="AI108" i="13"/>
  <c r="AI136" i="15"/>
  <c r="AH136" i="15"/>
  <c r="AH166" i="15"/>
  <c r="AI166" i="15"/>
  <c r="AH247" i="15"/>
  <c r="AI247" i="15"/>
  <c r="AH55" i="14"/>
  <c r="AJ55" i="14"/>
  <c r="AQ22" i="13"/>
  <c r="AJ17" i="13"/>
  <c r="BN10" i="13"/>
  <c r="AI80" i="13"/>
  <c r="AH80" i="13"/>
  <c r="AJ166" i="15"/>
  <c r="AJ163" i="13"/>
  <c r="AJ68" i="15"/>
  <c r="U220" i="11"/>
  <c r="AI163" i="14"/>
  <c r="AI80" i="11"/>
  <c r="AH68" i="11"/>
  <c r="AC12" i="10"/>
  <c r="AC10" i="10" s="1"/>
  <c r="AC8" i="10" s="1"/>
  <c r="AH53" i="13"/>
  <c r="AH74" i="11"/>
  <c r="AI120" i="11"/>
  <c r="AH148" i="11"/>
  <c r="C21" i="10"/>
  <c r="C19" i="10" s="1"/>
  <c r="C17" i="10" s="1"/>
  <c r="C8" i="10" s="1"/>
  <c r="AI99" i="13"/>
  <c r="U145" i="10"/>
  <c r="U112" i="10"/>
  <c r="AF14" i="10"/>
  <c r="AF12" i="10" s="1"/>
  <c r="U196" i="11"/>
  <c r="U195" i="11" s="1"/>
  <c r="U193" i="11" s="1"/>
  <c r="U43" i="11"/>
  <c r="U14" i="11" s="1"/>
  <c r="AJ119" i="11"/>
  <c r="AH68" i="10"/>
  <c r="BQ15" i="10"/>
  <c r="BK10" i="10" s="1"/>
  <c r="AJ84" i="14"/>
  <c r="AJ19" i="16"/>
  <c r="AI18" i="13"/>
  <c r="AH99" i="13"/>
  <c r="U170" i="11"/>
  <c r="AL10" i="10"/>
  <c r="AL8" i="10" s="1"/>
  <c r="AJ179" i="16"/>
  <c r="AJ153" i="16"/>
  <c r="AJ148" i="11"/>
  <c r="BN19" i="13"/>
  <c r="AI202" i="15"/>
  <c r="AV11" i="10"/>
  <c r="AZ11" i="10"/>
  <c r="AH168" i="15"/>
  <c r="AH137" i="14"/>
  <c r="AI137" i="14"/>
  <c r="AJ31" i="13"/>
  <c r="AH31" i="13"/>
  <c r="AI31" i="13"/>
  <c r="AJ27" i="11"/>
  <c r="AI27" i="11"/>
  <c r="AI119" i="12"/>
  <c r="AH119" i="12"/>
  <c r="AI163" i="12"/>
  <c r="AH163" i="12"/>
  <c r="AJ163" i="12"/>
  <c r="AH256" i="12"/>
  <c r="AI256" i="12"/>
  <c r="AJ27" i="12"/>
  <c r="AI27" i="12"/>
  <c r="AH53" i="12"/>
  <c r="AI53" i="12"/>
  <c r="AH81" i="12"/>
  <c r="AJ81" i="12"/>
  <c r="AI81" i="12"/>
  <c r="AH116" i="12"/>
  <c r="AI116" i="12"/>
  <c r="AI138" i="12"/>
  <c r="AH138" i="12"/>
  <c r="AI168" i="12"/>
  <c r="AJ168" i="12"/>
  <c r="AH168" i="12"/>
  <c r="AH249" i="12"/>
  <c r="AI249" i="12"/>
  <c r="AH87" i="11"/>
  <c r="AI116" i="11"/>
  <c r="AH138" i="11"/>
  <c r="AI138" i="11"/>
  <c r="AJ138" i="11"/>
  <c r="G61" i="11"/>
  <c r="I61" i="11" s="1"/>
  <c r="AI164" i="13"/>
  <c r="AJ164" i="13"/>
  <c r="N58" i="15"/>
  <c r="M58" i="15"/>
  <c r="AH74" i="15"/>
  <c r="AJ74" i="15"/>
  <c r="AI189" i="11"/>
  <c r="AH189" i="11"/>
  <c r="AJ179" i="11"/>
  <c r="AI179" i="11"/>
  <c r="AB79" i="11"/>
  <c r="AD79" i="11" s="1"/>
  <c r="AI79" i="10"/>
  <c r="AB215" i="11"/>
  <c r="AD215" i="11" s="1"/>
  <c r="U170" i="10"/>
  <c r="AH81" i="15"/>
  <c r="AI81" i="15"/>
  <c r="AJ81" i="15"/>
  <c r="AI230" i="15"/>
  <c r="AJ138" i="13"/>
  <c r="AH138" i="13"/>
  <c r="AI138" i="13"/>
  <c r="AH164" i="13"/>
  <c r="C21" i="11"/>
  <c r="C19" i="11" s="1"/>
  <c r="C17" i="11" s="1"/>
  <c r="C8" i="11" s="1"/>
  <c r="AI203" i="11"/>
  <c r="AH182" i="15"/>
  <c r="AI182" i="15"/>
  <c r="AJ120" i="13"/>
  <c r="AH120" i="13"/>
  <c r="AI120" i="13"/>
  <c r="AJ148" i="13"/>
  <c r="BN18" i="13"/>
  <c r="M58" i="13"/>
  <c r="N58" i="13"/>
  <c r="AI52" i="12"/>
  <c r="AI129" i="12"/>
  <c r="AH129" i="12"/>
  <c r="AJ167" i="12"/>
  <c r="AH167" i="12"/>
  <c r="AI31" i="12"/>
  <c r="AJ31" i="12"/>
  <c r="AH31" i="12"/>
  <c r="AH60" i="12"/>
  <c r="AI60" i="12"/>
  <c r="AJ60" i="12"/>
  <c r="AI87" i="12"/>
  <c r="AH87" i="12"/>
  <c r="AI120" i="12"/>
  <c r="AJ120" i="12"/>
  <c r="AH120" i="12"/>
  <c r="AJ148" i="12"/>
  <c r="BN18" i="12"/>
  <c r="AH148" i="12"/>
  <c r="AI148" i="12"/>
  <c r="AH182" i="12"/>
  <c r="AI182" i="12"/>
  <c r="AH224" i="12"/>
  <c r="AI224" i="12"/>
  <c r="AI253" i="12"/>
  <c r="AH253" i="12"/>
  <c r="AI94" i="11"/>
  <c r="AH94" i="11"/>
  <c r="AI168" i="11"/>
  <c r="AH168" i="11"/>
  <c r="AJ168" i="11"/>
  <c r="AI212" i="11"/>
  <c r="AH212" i="11"/>
  <c r="D26" i="13"/>
  <c r="V23" i="13"/>
  <c r="V48" i="13"/>
  <c r="V60" i="13"/>
  <c r="V94" i="13"/>
  <c r="V106" i="13"/>
  <c r="V105" i="12"/>
  <c r="V104" i="12" s="1"/>
  <c r="X106" i="12"/>
  <c r="V160" i="14"/>
  <c r="E56" i="13"/>
  <c r="Y51" i="13"/>
  <c r="AB59" i="13"/>
  <c r="AD58" i="12"/>
  <c r="AD57" i="12" s="1"/>
  <c r="AH162" i="13"/>
  <c r="AI162" i="13"/>
  <c r="AJ153" i="15"/>
  <c r="AH256" i="11"/>
  <c r="AI256" i="11"/>
  <c r="AJ164" i="11"/>
  <c r="AI120" i="15"/>
  <c r="AH120" i="15"/>
  <c r="AH203" i="15"/>
  <c r="AI203" i="15"/>
  <c r="AI249" i="15"/>
  <c r="AH249" i="15"/>
  <c r="BN11" i="13"/>
  <c r="AJ18" i="13"/>
  <c r="AI153" i="13"/>
  <c r="AH153" i="13"/>
  <c r="AH182" i="13"/>
  <c r="AI182" i="13"/>
  <c r="AJ76" i="12"/>
  <c r="AI76" i="12"/>
  <c r="AJ102" i="12"/>
  <c r="AI102" i="12"/>
  <c r="AH102" i="12"/>
  <c r="AI137" i="12"/>
  <c r="AH137" i="12"/>
  <c r="AH41" i="12"/>
  <c r="AI41" i="12"/>
  <c r="AJ41" i="12"/>
  <c r="AI68" i="12"/>
  <c r="AJ68" i="12"/>
  <c r="BN19" i="12"/>
  <c r="AI126" i="12"/>
  <c r="AH126" i="12"/>
  <c r="AH160" i="12"/>
  <c r="AI160" i="12"/>
  <c r="AI199" i="12"/>
  <c r="AH199" i="12"/>
  <c r="AI77" i="11"/>
  <c r="AJ77" i="11"/>
  <c r="BN19" i="11"/>
  <c r="AJ153" i="11"/>
  <c r="AH153" i="11"/>
  <c r="AI153" i="11"/>
  <c r="AH248" i="11"/>
  <c r="AI248" i="11"/>
  <c r="AI202" i="13"/>
  <c r="AH202" i="13"/>
  <c r="AI77" i="15"/>
  <c r="AH77" i="15"/>
  <c r="AH164" i="15"/>
  <c r="AI164" i="15"/>
  <c r="AH130" i="13"/>
  <c r="AJ130" i="13"/>
  <c r="AI130" i="13"/>
  <c r="AH80" i="12"/>
  <c r="AI80" i="12"/>
  <c r="AI202" i="12"/>
  <c r="AH202" i="12"/>
  <c r="AH18" i="12"/>
  <c r="AI18" i="12"/>
  <c r="AJ18" i="12"/>
  <c r="AJ77" i="12"/>
  <c r="AI77" i="12"/>
  <c r="AI99" i="12"/>
  <c r="AH99" i="12"/>
  <c r="AH164" i="12"/>
  <c r="AI164" i="12"/>
  <c r="AJ164" i="12"/>
  <c r="AI239" i="12"/>
  <c r="AH239" i="12"/>
  <c r="AJ81" i="11"/>
  <c r="AH81" i="11"/>
  <c r="AI81" i="11"/>
  <c r="X105" i="11"/>
  <c r="X104" i="11" s="1"/>
  <c r="AH106" i="11"/>
  <c r="AI106" i="11"/>
  <c r="AH252" i="11"/>
  <c r="AI252" i="11"/>
  <c r="D33" i="14"/>
  <c r="V37" i="13"/>
  <c r="V53" i="14"/>
  <c r="V87" i="13"/>
  <c r="V99" i="14"/>
  <c r="V116" i="13"/>
  <c r="V199" i="13"/>
  <c r="E50" i="13"/>
  <c r="E74" i="13"/>
  <c r="W48" i="13"/>
  <c r="AF12" i="9"/>
  <c r="AF10" i="9" s="1"/>
  <c r="AF8" i="9" s="1"/>
  <c r="U90" i="10"/>
  <c r="U63" i="10" s="1"/>
  <c r="J35" i="20"/>
  <c r="J32" i="20" s="1"/>
  <c r="J31" i="20" s="1"/>
  <c r="J30" i="20" s="1"/>
  <c r="BQ9" i="9"/>
  <c r="BQ8" i="9" s="1"/>
  <c r="AJ130" i="15"/>
  <c r="AH189" i="13"/>
  <c r="AI186" i="14"/>
  <c r="AE139" i="16"/>
  <c r="AG139" i="16" s="1"/>
  <c r="AJ139" i="16" s="1"/>
  <c r="AI189" i="12"/>
  <c r="AI186" i="15"/>
  <c r="AZ11" i="9"/>
  <c r="AJ119" i="10"/>
  <c r="AM12" i="9"/>
  <c r="AM10" i="9" s="1"/>
  <c r="AM8" i="9" s="1"/>
  <c r="AI80" i="16"/>
  <c r="BQ29" i="8"/>
  <c r="BK13" i="8" s="1"/>
  <c r="Y95" i="11"/>
  <c r="AE67" i="12"/>
  <c r="AG67" i="12" s="1"/>
  <c r="AJ67" i="11"/>
  <c r="AE129" i="10"/>
  <c r="AG129" i="10" s="1"/>
  <c r="AJ129" i="9"/>
  <c r="AZ11" i="11"/>
  <c r="AJ74" i="16"/>
  <c r="AH95" i="10"/>
  <c r="AJ156" i="14"/>
  <c r="AH248" i="15"/>
  <c r="AI248" i="15"/>
  <c r="AH22" i="8"/>
  <c r="AJ22" i="8"/>
  <c r="AJ179" i="14"/>
  <c r="AH23" i="12"/>
  <c r="AJ67" i="10"/>
  <c r="AJ163" i="16"/>
  <c r="V75" i="10"/>
  <c r="V75" i="11" s="1"/>
  <c r="V75" i="12" s="1"/>
  <c r="X75" i="9"/>
  <c r="AH75" i="9" s="1"/>
  <c r="AE117" i="16"/>
  <c r="AG117" i="16" s="1"/>
  <c r="AJ117" i="16" s="1"/>
  <c r="AJ117" i="15"/>
  <c r="AH181" i="15"/>
  <c r="AH167" i="14"/>
  <c r="BN19" i="14"/>
  <c r="AG36" i="9"/>
  <c r="AE35" i="9"/>
  <c r="AE47" i="9"/>
  <c r="AG44" i="8"/>
  <c r="AG93" i="9"/>
  <c r="AE115" i="9"/>
  <c r="AJ67" i="9"/>
  <c r="AJ167" i="14"/>
  <c r="AJ47" i="8"/>
  <c r="AB98" i="14"/>
  <c r="Y50" i="15"/>
  <c r="AA50" i="15" s="1"/>
  <c r="AI125" i="15"/>
  <c r="AH119" i="14"/>
  <c r="AH252" i="13"/>
  <c r="AI252" i="13"/>
  <c r="BQ15" i="8"/>
  <c r="BK10" i="8" s="1"/>
  <c r="I39" i="20"/>
  <c r="AG174" i="11"/>
  <c r="AE174" i="12" s="1"/>
  <c r="AJ179" i="15"/>
  <c r="AI119" i="15"/>
  <c r="AH119" i="15"/>
  <c r="AH67" i="14"/>
  <c r="BN11" i="14"/>
  <c r="AH248" i="13"/>
  <c r="AI248" i="13"/>
  <c r="AH202" i="14"/>
  <c r="AI202" i="14"/>
  <c r="AH256" i="14"/>
  <c r="AI256" i="14"/>
  <c r="E62" i="13"/>
  <c r="W23" i="13"/>
  <c r="AA117" i="11"/>
  <c r="AA173" i="11"/>
  <c r="Y172" i="11"/>
  <c r="Y190" i="11"/>
  <c r="AA213" i="11"/>
  <c r="AA246" i="11"/>
  <c r="J30" i="9"/>
  <c r="L29" i="8"/>
  <c r="J44" i="9"/>
  <c r="J56" i="9"/>
  <c r="J68" i="9"/>
  <c r="L80" i="9"/>
  <c r="J78" i="9"/>
  <c r="L78" i="9" s="1"/>
  <c r="AB66" i="11"/>
  <c r="AD66" i="11" s="1"/>
  <c r="AR22" i="10"/>
  <c r="AW22" i="10" s="1"/>
  <c r="AY22" i="10" s="1"/>
  <c r="BP10" i="10"/>
  <c r="AB92" i="9"/>
  <c r="AD91" i="8"/>
  <c r="AB117" i="9"/>
  <c r="AD114" i="8"/>
  <c r="AB150" i="9"/>
  <c r="AD188" i="9"/>
  <c r="AB187" i="9"/>
  <c r="AB185" i="9" s="1"/>
  <c r="AD229" i="9"/>
  <c r="AE26" i="10"/>
  <c r="AG26" i="10" s="1"/>
  <c r="AJ26" i="9"/>
  <c r="AH117" i="9"/>
  <c r="AJ117" i="9"/>
  <c r="N80" i="8"/>
  <c r="AI80" i="15"/>
  <c r="AH80" i="15"/>
  <c r="AH102" i="15"/>
  <c r="AI102" i="15"/>
  <c r="AH129" i="15"/>
  <c r="AI129" i="15"/>
  <c r="AI125" i="14"/>
  <c r="AH181" i="14"/>
  <c r="E44" i="13"/>
  <c r="E68" i="13"/>
  <c r="W37" i="13"/>
  <c r="X37" i="12"/>
  <c r="W52" i="15"/>
  <c r="AA107" i="11"/>
  <c r="Y105" i="11"/>
  <c r="Y104" i="11" s="1"/>
  <c r="Y150" i="11"/>
  <c r="AA179" i="11"/>
  <c r="Y200" i="11"/>
  <c r="Y225" i="11"/>
  <c r="J36" i="9"/>
  <c r="L35" i="8"/>
  <c r="L50" i="9"/>
  <c r="J62" i="9"/>
  <c r="L74" i="9"/>
  <c r="AB22" i="9"/>
  <c r="AB55" i="13"/>
  <c r="AD55" i="13" s="1"/>
  <c r="AI55" i="12"/>
  <c r="AB85" i="12"/>
  <c r="AD85" i="12" s="1"/>
  <c r="AB100" i="9"/>
  <c r="AD127" i="9"/>
  <c r="AI127" i="9" s="1"/>
  <c r="AB181" i="13"/>
  <c r="AD181" i="13" s="1"/>
  <c r="AI181" i="12"/>
  <c r="AB198" i="9"/>
  <c r="AD197" i="8"/>
  <c r="BP26" i="8"/>
  <c r="AB223" i="9"/>
  <c r="AD222" i="8"/>
  <c r="AB238" i="9"/>
  <c r="AD235" i="8"/>
  <c r="AE22" i="13"/>
  <c r="AG22" i="13" s="1"/>
  <c r="AJ22" i="12"/>
  <c r="AE30" i="13"/>
  <c r="AG30" i="13" s="1"/>
  <c r="AJ30" i="12"/>
  <c r="AJ127" i="9"/>
  <c r="AH127" i="9"/>
  <c r="AI256" i="15"/>
  <c r="N58" i="14"/>
  <c r="M58" i="14"/>
  <c r="BN11" i="15"/>
  <c r="AH67" i="15"/>
  <c r="AI67" i="15"/>
  <c r="AH137" i="15"/>
  <c r="AI137" i="15"/>
  <c r="AH163" i="15"/>
  <c r="AI163" i="15"/>
  <c r="AI102" i="14"/>
  <c r="AH102" i="14"/>
  <c r="V212" i="16"/>
  <c r="AI248" i="14"/>
  <c r="AH248" i="14"/>
  <c r="F44" i="12"/>
  <c r="Y46" i="13"/>
  <c r="Y100" i="11"/>
  <c r="AE40" i="13"/>
  <c r="AG40" i="13" s="1"/>
  <c r="AJ40" i="12"/>
  <c r="AE59" i="9"/>
  <c r="AG58" i="8"/>
  <c r="AG57" i="8" s="1"/>
  <c r="AE86" i="9"/>
  <c r="AE98" i="9"/>
  <c r="AJ98" i="8"/>
  <c r="AE119" i="13"/>
  <c r="AG119" i="13" s="1"/>
  <c r="AJ119" i="12"/>
  <c r="AE137" i="13"/>
  <c r="AG137" i="13" s="1"/>
  <c r="AJ137" i="12"/>
  <c r="AE152" i="9"/>
  <c r="AG149" i="8"/>
  <c r="AG147" i="8" s="1"/>
  <c r="AJ152" i="8"/>
  <c r="I43" i="20"/>
  <c r="R43" i="20" s="1"/>
  <c r="BR20" i="16"/>
  <c r="AI207" i="11"/>
  <c r="AZ22" i="11"/>
  <c r="AJ134" i="10"/>
  <c r="AI228" i="8"/>
  <c r="AV11" i="9"/>
  <c r="AJ156" i="15"/>
  <c r="X75" i="8"/>
  <c r="AL12" i="8"/>
  <c r="AD236" i="14"/>
  <c r="K8" i="9"/>
  <c r="H8" i="9"/>
  <c r="X197" i="7"/>
  <c r="AI198" i="7"/>
  <c r="AI197" i="7" s="1"/>
  <c r="AF63" i="7"/>
  <c r="AF12" i="7" s="1"/>
  <c r="AF10" i="7" s="1"/>
  <c r="BQ13" i="7"/>
  <c r="AJ130" i="16"/>
  <c r="AH104" i="8"/>
  <c r="R54" i="20"/>
  <c r="U232" i="7"/>
  <c r="BQ29" i="6"/>
  <c r="BO29" i="5"/>
  <c r="BI13" i="5" s="1"/>
  <c r="BQ29" i="5"/>
  <c r="BP29" i="5"/>
  <c r="BJ13" i="5" s="1"/>
  <c r="AI133" i="7"/>
  <c r="AH28" i="8"/>
  <c r="N37" i="8"/>
  <c r="K8" i="7"/>
  <c r="K126" i="7" s="1"/>
  <c r="K130" i="7" s="1"/>
  <c r="AF195" i="7"/>
  <c r="AF193" i="7" s="1"/>
  <c r="BQ28" i="7"/>
  <c r="AI206" i="7"/>
  <c r="AI205" i="7" s="1"/>
  <c r="X205" i="7"/>
  <c r="AH206" i="7"/>
  <c r="AH205" i="7" s="1"/>
  <c r="AH167" i="7"/>
  <c r="AJ167" i="7"/>
  <c r="BN19" i="7"/>
  <c r="H8" i="7"/>
  <c r="M28" i="5"/>
  <c r="W110" i="6"/>
  <c r="U170" i="14"/>
  <c r="AH26" i="9"/>
  <c r="X190" i="15"/>
  <c r="W190" i="16"/>
  <c r="AE241" i="7"/>
  <c r="AG235" i="6"/>
  <c r="Y151" i="16"/>
  <c r="AD251" i="15"/>
  <c r="AI123" i="6"/>
  <c r="AH211" i="6"/>
  <c r="AH210" i="6" s="1"/>
  <c r="AH209" i="6" s="1"/>
  <c r="AH186" i="11"/>
  <c r="Y26" i="13"/>
  <c r="AA26" i="13" s="1"/>
  <c r="AH26" i="12"/>
  <c r="Y85" i="7"/>
  <c r="AA83" i="6"/>
  <c r="Y61" i="8"/>
  <c r="BO31" i="7"/>
  <c r="BI15" i="7" s="1"/>
  <c r="AE202" i="7"/>
  <c r="AG197" i="6"/>
  <c r="AG196" i="6" s="1"/>
  <c r="AG195" i="6" s="1"/>
  <c r="AI96" i="6"/>
  <c r="U63" i="15"/>
  <c r="AE45" i="15"/>
  <c r="AG45" i="15" s="1"/>
  <c r="AJ45" i="14"/>
  <c r="AD118" i="15"/>
  <c r="Y68" i="13"/>
  <c r="AA68" i="13" s="1"/>
  <c r="AH68" i="12"/>
  <c r="U145" i="15"/>
  <c r="U170" i="13"/>
  <c r="Y76" i="13"/>
  <c r="AA76" i="13" s="1"/>
  <c r="AH76" i="12"/>
  <c r="AI84" i="15"/>
  <c r="AB84" i="16"/>
  <c r="AD84" i="16" s="1"/>
  <c r="AI84" i="16" s="1"/>
  <c r="AE212" i="7"/>
  <c r="AG211" i="6"/>
  <c r="AG210" i="6" s="1"/>
  <c r="AG209" i="6" s="1"/>
  <c r="N56" i="8"/>
  <c r="AE148" i="16"/>
  <c r="AG148" i="16" s="1"/>
  <c r="AI138" i="16"/>
  <c r="AH49" i="6"/>
  <c r="AH43" i="6" s="1"/>
  <c r="AE165" i="15"/>
  <c r="AG165" i="15" s="1"/>
  <c r="AJ165" i="15" s="1"/>
  <c r="AH225" i="10"/>
  <c r="Y37" i="7"/>
  <c r="AA35" i="6"/>
  <c r="M45" i="6"/>
  <c r="AJ83" i="6"/>
  <c r="R11" i="20"/>
  <c r="R10" i="20" s="1"/>
  <c r="R9" i="20" s="1"/>
  <c r="AJ24" i="16"/>
  <c r="AJ235" i="6"/>
  <c r="AJ234" i="6" s="1"/>
  <c r="AJ166" i="16"/>
  <c r="AE53" i="10"/>
  <c r="AG53" i="10" s="1"/>
  <c r="AJ53" i="9"/>
  <c r="Y28" i="10"/>
  <c r="AA28" i="10" s="1"/>
  <c r="AH28" i="9"/>
  <c r="N32" i="6"/>
  <c r="AI47" i="16"/>
  <c r="Y70" i="10"/>
  <c r="AA70" i="10" s="1"/>
  <c r="AH70" i="9"/>
  <c r="AI225" i="11"/>
  <c r="J115" i="11"/>
  <c r="L113" i="10"/>
  <c r="AS15" i="10" s="1"/>
  <c r="AX15" i="10" s="1"/>
  <c r="N115" i="10"/>
  <c r="N113" i="10" s="1"/>
  <c r="M117" i="12"/>
  <c r="N117" i="12"/>
  <c r="N119" i="12"/>
  <c r="M119" i="12"/>
  <c r="N122" i="14"/>
  <c r="M122" i="14"/>
  <c r="D118" i="15"/>
  <c r="F118" i="14"/>
  <c r="N120" i="13"/>
  <c r="M120" i="13"/>
  <c r="D115" i="14"/>
  <c r="D113" i="13"/>
  <c r="F115" i="13"/>
  <c r="AE23" i="7"/>
  <c r="AG20" i="6"/>
  <c r="AG16" i="6" s="1"/>
  <c r="AJ23" i="6"/>
  <c r="AJ20" i="6" s="1"/>
  <c r="Y71" i="7"/>
  <c r="AA69" i="6"/>
  <c r="AA65" i="6" s="1"/>
  <c r="AH71" i="6"/>
  <c r="AH69" i="6" s="1"/>
  <c r="AH65" i="6" s="1"/>
  <c r="H8" i="6"/>
  <c r="H126" i="6" s="1"/>
  <c r="H130" i="6" s="1"/>
  <c r="K8" i="6"/>
  <c r="K126" i="6" s="1"/>
  <c r="K130" i="6" s="1"/>
  <c r="N121" i="12"/>
  <c r="M121" i="12"/>
  <c r="D119" i="14"/>
  <c r="F119" i="13"/>
  <c r="D122" i="16"/>
  <c r="F122" i="16" s="1"/>
  <c r="F122" i="15"/>
  <c r="M124" i="13"/>
  <c r="N124" i="13"/>
  <c r="F123" i="15"/>
  <c r="D123" i="16"/>
  <c r="F123" i="16" s="1"/>
  <c r="Y27" i="7"/>
  <c r="AA20" i="6"/>
  <c r="AA16" i="6" s="1"/>
  <c r="AH27" i="6"/>
  <c r="AH20" i="6" s="1"/>
  <c r="AE70" i="7"/>
  <c r="AG69" i="6"/>
  <c r="AG65" i="6" s="1"/>
  <c r="AJ70" i="6"/>
  <c r="AJ69" i="6" s="1"/>
  <c r="AJ65" i="6" s="1"/>
  <c r="AB39" i="7"/>
  <c r="AD35" i="6"/>
  <c r="AE52" i="7"/>
  <c r="AG49" i="6"/>
  <c r="AG43" i="6" s="1"/>
  <c r="F82" i="10"/>
  <c r="E115" i="15"/>
  <c r="E113" i="14"/>
  <c r="D121" i="14"/>
  <c r="F121" i="13"/>
  <c r="F124" i="14"/>
  <c r="D124" i="15"/>
  <c r="M123" i="14"/>
  <c r="N123" i="14"/>
  <c r="D116" i="14"/>
  <c r="F116" i="13"/>
  <c r="U145" i="13"/>
  <c r="X207" i="10"/>
  <c r="AI207" i="10" s="1"/>
  <c r="X178" i="8"/>
  <c r="G113" i="10"/>
  <c r="I115" i="10"/>
  <c r="D117" i="14"/>
  <c r="F117" i="13"/>
  <c r="M118" i="13"/>
  <c r="N118" i="13"/>
  <c r="D120" i="15"/>
  <c r="F120" i="14"/>
  <c r="BC20" i="12"/>
  <c r="F113" i="12"/>
  <c r="AQ15" i="12" s="1"/>
  <c r="N116" i="12"/>
  <c r="M116" i="12"/>
  <c r="AB180" i="7"/>
  <c r="AD176" i="6"/>
  <c r="AD170" i="6" s="1"/>
  <c r="AR27" i="6" s="1"/>
  <c r="AW27" i="6" s="1"/>
  <c r="W133" i="8"/>
  <c r="W123" i="7"/>
  <c r="W112" i="7" s="1"/>
  <c r="AB167" i="7"/>
  <c r="AD157" i="6"/>
  <c r="AD155" i="6" s="1"/>
  <c r="BP19" i="6"/>
  <c r="U110" i="14"/>
  <c r="AJ115" i="6"/>
  <c r="AJ114" i="6" s="1"/>
  <c r="AI115" i="6"/>
  <c r="AH115" i="6"/>
  <c r="AH114" i="6" s="1"/>
  <c r="X114" i="6"/>
  <c r="BN16" i="6" s="1"/>
  <c r="U12" i="5"/>
  <c r="AI43" i="5"/>
  <c r="AV22" i="11"/>
  <c r="C28" i="15"/>
  <c r="C21" i="15" s="1"/>
  <c r="C19" i="15" s="1"/>
  <c r="C17" i="15" s="1"/>
  <c r="C8" i="15" s="1"/>
  <c r="AQ16" i="6"/>
  <c r="AI188" i="8"/>
  <c r="X187" i="8"/>
  <c r="X185" i="8" s="1"/>
  <c r="I32" i="20"/>
  <c r="I31" i="20" s="1"/>
  <c r="N68" i="8"/>
  <c r="F66" i="8"/>
  <c r="I50" i="20"/>
  <c r="AC12" i="8"/>
  <c r="AC10" i="8" s="1"/>
  <c r="AC8" i="8" s="1"/>
  <c r="N50" i="20"/>
  <c r="BC17" i="6"/>
  <c r="D100" i="15"/>
  <c r="F100" i="14"/>
  <c r="F87" i="14"/>
  <c r="D87" i="15"/>
  <c r="F101" i="15"/>
  <c r="D101" i="16"/>
  <c r="F101" i="16" s="1"/>
  <c r="F91" i="14"/>
  <c r="D91" i="15"/>
  <c r="N92" i="12"/>
  <c r="M92" i="12"/>
  <c r="M86" i="12"/>
  <c r="F85" i="12"/>
  <c r="AJ74" i="13"/>
  <c r="AI74" i="13"/>
  <c r="AH74" i="13"/>
  <c r="D89" i="16"/>
  <c r="F89" i="16" s="1"/>
  <c r="AQ12" i="16" s="1"/>
  <c r="F89" i="15"/>
  <c r="F99" i="13"/>
  <c r="D99" i="14"/>
  <c r="D106" i="15"/>
  <c r="F106" i="14"/>
  <c r="E95" i="15"/>
  <c r="E94" i="14"/>
  <c r="AH189" i="14"/>
  <c r="AI189" i="14"/>
  <c r="N109" i="13"/>
  <c r="M109" i="13"/>
  <c r="D88" i="14"/>
  <c r="F88" i="13"/>
  <c r="AI186" i="9"/>
  <c r="AH186" i="9"/>
  <c r="G95" i="10"/>
  <c r="I94" i="9"/>
  <c r="M95" i="9"/>
  <c r="M94" i="9" s="1"/>
  <c r="D96" i="14"/>
  <c r="F96" i="13"/>
  <c r="AH207" i="7"/>
  <c r="AI207" i="7"/>
  <c r="AI238" i="7"/>
  <c r="AH238" i="7"/>
  <c r="V73" i="9"/>
  <c r="V69" i="8"/>
  <c r="V65" i="8" s="1"/>
  <c r="Y161" i="10"/>
  <c r="AA161" i="10" s="1"/>
  <c r="AH161" i="9"/>
  <c r="V135" i="9"/>
  <c r="V123" i="8"/>
  <c r="AB75" i="8"/>
  <c r="X207" i="8"/>
  <c r="AJ207" i="8" s="1"/>
  <c r="K35" i="20"/>
  <c r="K32" i="20" s="1"/>
  <c r="K31" i="20" s="1"/>
  <c r="K30" i="20" s="1"/>
  <c r="BQ9" i="10"/>
  <c r="BQ15" i="14"/>
  <c r="BK10" i="14" s="1"/>
  <c r="O39" i="20"/>
  <c r="O38" i="20" s="1"/>
  <c r="H45" i="20"/>
  <c r="AJ174" i="7"/>
  <c r="AJ172" i="7" s="1"/>
  <c r="AH174" i="7"/>
  <c r="AH172" i="7" s="1"/>
  <c r="AI174" i="7"/>
  <c r="AI172" i="7" s="1"/>
  <c r="BN31" i="7"/>
  <c r="BH15" i="7" s="1"/>
  <c r="AH228" i="7"/>
  <c r="AI228" i="7"/>
  <c r="X227" i="7"/>
  <c r="X220" i="7" s="1"/>
  <c r="V237" i="9"/>
  <c r="V235" i="8"/>
  <c r="V234" i="8" s="1"/>
  <c r="AE162" i="10"/>
  <c r="AG162" i="10" s="1"/>
  <c r="AJ162" i="9"/>
  <c r="AF63" i="11"/>
  <c r="AF12" i="11" s="1"/>
  <c r="AF10" i="11" s="1"/>
  <c r="AF8" i="11" s="1"/>
  <c r="BQ13" i="11"/>
  <c r="L36" i="20" s="1"/>
  <c r="L31" i="20" s="1"/>
  <c r="L30" i="20" s="1"/>
  <c r="AL12" i="11"/>
  <c r="AV22" i="6"/>
  <c r="AU22" i="6"/>
  <c r="O35" i="20"/>
  <c r="O32" i="20" s="1"/>
  <c r="O31" i="20" s="1"/>
  <c r="O30" i="20" s="1"/>
  <c r="BQ9" i="14"/>
  <c r="L51" i="20"/>
  <c r="BQ25" i="11"/>
  <c r="BK12" i="11" s="1"/>
  <c r="BR24" i="16"/>
  <c r="BR22" i="16" s="1"/>
  <c r="K47" i="20"/>
  <c r="K45" i="20" s="1"/>
  <c r="AJ38" i="16"/>
  <c r="AH17" i="16"/>
  <c r="M72" i="6"/>
  <c r="N66" i="6"/>
  <c r="M69" i="6"/>
  <c r="M87" i="13"/>
  <c r="N87" i="13"/>
  <c r="N101" i="14"/>
  <c r="M101" i="14"/>
  <c r="N91" i="13"/>
  <c r="M91" i="13"/>
  <c r="N107" i="12"/>
  <c r="M107" i="12"/>
  <c r="D86" i="14"/>
  <c r="F86" i="13"/>
  <c r="D85" i="13"/>
  <c r="AJ179" i="12"/>
  <c r="AI179" i="12"/>
  <c r="M89" i="14"/>
  <c r="N89" i="14"/>
  <c r="AQ12" i="14"/>
  <c r="N99" i="12"/>
  <c r="M99" i="12"/>
  <c r="E86" i="14"/>
  <c r="E85" i="13"/>
  <c r="N106" i="13"/>
  <c r="M106" i="13"/>
  <c r="D109" i="15"/>
  <c r="F109" i="14"/>
  <c r="E105" i="14"/>
  <c r="E104" i="13"/>
  <c r="F108" i="13"/>
  <c r="D108" i="14"/>
  <c r="F104" i="12"/>
  <c r="N98" i="12"/>
  <c r="M98" i="12"/>
  <c r="D95" i="14"/>
  <c r="F95" i="13"/>
  <c r="D94" i="13"/>
  <c r="F110" i="13"/>
  <c r="D110" i="14"/>
  <c r="J41" i="7"/>
  <c r="L41" i="7" s="1"/>
  <c r="AX14" i="6"/>
  <c r="X187" i="7"/>
  <c r="X185" i="7" s="1"/>
  <c r="X170" i="7" s="1"/>
  <c r="V177" i="9"/>
  <c r="V176" i="8"/>
  <c r="X177" i="8"/>
  <c r="V207" i="13"/>
  <c r="V238" i="9"/>
  <c r="X238" i="8"/>
  <c r="BE21" i="7"/>
  <c r="H24" i="20" s="1"/>
  <c r="B24" i="8"/>
  <c r="BQ22" i="9"/>
  <c r="BK11" i="9" s="1"/>
  <c r="J47" i="20"/>
  <c r="J45" i="20" s="1"/>
  <c r="AH178" i="7"/>
  <c r="AI178" i="7"/>
  <c r="AH179" i="7"/>
  <c r="AI179" i="7"/>
  <c r="AJ179" i="7"/>
  <c r="X229" i="8"/>
  <c r="N35" i="20"/>
  <c r="N32" i="20" s="1"/>
  <c r="N31" i="20" s="1"/>
  <c r="N30" i="20" s="1"/>
  <c r="BQ9" i="13"/>
  <c r="Z12" i="16"/>
  <c r="Z10" i="16" s="1"/>
  <c r="Z8" i="16" s="1"/>
  <c r="I47" i="20"/>
  <c r="I45" i="20" s="1"/>
  <c r="BQ22" i="8"/>
  <c r="BK11" i="8" s="1"/>
  <c r="BK9" i="16"/>
  <c r="Q37" i="20"/>
  <c r="BR14" i="16"/>
  <c r="BQ22" i="7"/>
  <c r="V228" i="9"/>
  <c r="V227" i="8"/>
  <c r="AH174" i="8"/>
  <c r="AH172" i="8" s="1"/>
  <c r="AJ174" i="8"/>
  <c r="AF63" i="15"/>
  <c r="AF12" i="15" s="1"/>
  <c r="AF10" i="15" s="1"/>
  <c r="AF8" i="15" s="1"/>
  <c r="BQ13" i="15"/>
  <c r="M45" i="20"/>
  <c r="BR17" i="16"/>
  <c r="V12" i="5"/>
  <c r="AF110" i="5"/>
  <c r="F111" i="13"/>
  <c r="D111" i="14"/>
  <c r="N102" i="12"/>
  <c r="M102" i="12"/>
  <c r="D107" i="14"/>
  <c r="F107" i="13"/>
  <c r="AI179" i="15"/>
  <c r="AH189" i="7"/>
  <c r="AH187" i="7" s="1"/>
  <c r="AI189" i="7"/>
  <c r="AI187" i="7" s="1"/>
  <c r="AH189" i="9"/>
  <c r="AI189" i="9"/>
  <c r="N90" i="13"/>
  <c r="M90" i="13"/>
  <c r="AQ13" i="13"/>
  <c r="J12" i="7"/>
  <c r="L12" i="7" s="1"/>
  <c r="N12" i="6"/>
  <c r="L95" i="10"/>
  <c r="J94" i="10"/>
  <c r="N108" i="12"/>
  <c r="M108" i="12"/>
  <c r="AH74" i="14"/>
  <c r="AJ74" i="14"/>
  <c r="AH186" i="7"/>
  <c r="AI186" i="7"/>
  <c r="F97" i="15"/>
  <c r="D97" i="16"/>
  <c r="F97" i="16" s="1"/>
  <c r="D105" i="14"/>
  <c r="F105" i="13"/>
  <c r="D104" i="13"/>
  <c r="D98" i="14"/>
  <c r="F98" i="13"/>
  <c r="F94" i="12"/>
  <c r="N110" i="12"/>
  <c r="M110" i="12"/>
  <c r="AI207" i="12"/>
  <c r="AH207" i="12"/>
  <c r="AH229" i="7"/>
  <c r="AI229" i="7"/>
  <c r="P47" i="20"/>
  <c r="P45" i="20" s="1"/>
  <c r="BQ22" i="15"/>
  <c r="BK11" i="15" s="1"/>
  <c r="AB216" i="8"/>
  <c r="AI216" i="7"/>
  <c r="AI211" i="7" s="1"/>
  <c r="AI210" i="7" s="1"/>
  <c r="AI209" i="7" s="1"/>
  <c r="AD211" i="7"/>
  <c r="AD210" i="7" s="1"/>
  <c r="AD209" i="7" s="1"/>
  <c r="AR29" i="7" s="1"/>
  <c r="AH135" i="7"/>
  <c r="AJ135" i="7"/>
  <c r="AI135" i="7"/>
  <c r="AE161" i="8"/>
  <c r="AJ161" i="7"/>
  <c r="X73" i="8"/>
  <c r="AI75" i="7"/>
  <c r="AH75" i="7"/>
  <c r="AJ75" i="7"/>
  <c r="V174" i="9"/>
  <c r="V172" i="8"/>
  <c r="AE124" i="8"/>
  <c r="X179" i="8"/>
  <c r="BQ22" i="12"/>
  <c r="AI187" i="8"/>
  <c r="AI185" i="8" s="1"/>
  <c r="BQ25" i="15"/>
  <c r="P51" i="20"/>
  <c r="P48" i="20" s="1"/>
  <c r="BD17" i="6"/>
  <c r="BD10" i="6" s="1"/>
  <c r="BD9" i="6" s="1"/>
  <c r="BD8" i="6" s="1"/>
  <c r="AW14" i="6"/>
  <c r="N100" i="13"/>
  <c r="M100" i="13"/>
  <c r="N111" i="12"/>
  <c r="M111" i="12"/>
  <c r="D102" i="14"/>
  <c r="F102" i="13"/>
  <c r="D92" i="14"/>
  <c r="F92" i="13"/>
  <c r="AH207" i="9"/>
  <c r="AI207" i="9"/>
  <c r="J86" i="10"/>
  <c r="L85" i="9"/>
  <c r="N86" i="9"/>
  <c r="N85" i="9" s="1"/>
  <c r="J105" i="10"/>
  <c r="L104" i="9"/>
  <c r="N105" i="9"/>
  <c r="N104" i="9" s="1"/>
  <c r="D90" i="15"/>
  <c r="F90" i="14"/>
  <c r="G105" i="10"/>
  <c r="I104" i="9"/>
  <c r="M105" i="9"/>
  <c r="M104" i="9" s="1"/>
  <c r="AI186" i="10"/>
  <c r="AH186" i="10"/>
  <c r="AJ179" i="9"/>
  <c r="N88" i="12"/>
  <c r="AQ11" i="12"/>
  <c r="N97" i="14"/>
  <c r="M97" i="14"/>
  <c r="M96" i="12"/>
  <c r="N96" i="12"/>
  <c r="AI186" i="13"/>
  <c r="AH186" i="13"/>
  <c r="AJ177" i="7"/>
  <c r="AH177" i="7"/>
  <c r="AI177" i="7"/>
  <c r="BN23" i="7"/>
  <c r="V188" i="9"/>
  <c r="V187" i="8"/>
  <c r="V185" i="8" s="1"/>
  <c r="AE80" i="8"/>
  <c r="P35" i="20"/>
  <c r="P32" i="20" s="1"/>
  <c r="BQ9" i="15"/>
  <c r="P39" i="20"/>
  <c r="P38" i="20" s="1"/>
  <c r="BQ15" i="15"/>
  <c r="BK10" i="15" s="1"/>
  <c r="L47" i="20"/>
  <c r="L45" i="20" s="1"/>
  <c r="BQ22" i="11"/>
  <c r="BK11" i="11" s="1"/>
  <c r="AI179" i="16"/>
  <c r="O50" i="20"/>
  <c r="O48" i="20" s="1"/>
  <c r="BQ25" i="14"/>
  <c r="BK12" i="14" s="1"/>
  <c r="C21" i="12"/>
  <c r="C19" i="12" s="1"/>
  <c r="C17" i="12" s="1"/>
  <c r="C8" i="12" s="1"/>
  <c r="C21" i="14"/>
  <c r="C19" i="14" s="1"/>
  <c r="C17" i="14" s="1"/>
  <c r="C8" i="14" s="1"/>
  <c r="AV10" i="6"/>
  <c r="AU10" i="6"/>
  <c r="AZ10" i="6"/>
  <c r="AY10" i="5"/>
  <c r="AU10" i="5"/>
  <c r="AZ10" i="5"/>
  <c r="AV10" i="5"/>
  <c r="AU7" i="5"/>
  <c r="AV7" i="5"/>
  <c r="BC7" i="5"/>
  <c r="AQ16" i="5"/>
  <c r="I24" i="6"/>
  <c r="G22" i="6"/>
  <c r="AU11" i="8"/>
  <c r="J27" i="7"/>
  <c r="AX8" i="6"/>
  <c r="L25" i="6"/>
  <c r="AS8" i="6" s="1"/>
  <c r="I27" i="6"/>
  <c r="G128" i="6"/>
  <c r="G25" i="6"/>
  <c r="I88" i="10"/>
  <c r="G85" i="10"/>
  <c r="M33" i="7"/>
  <c r="M32" i="7" s="1"/>
  <c r="F32" i="7"/>
  <c r="F82" i="11"/>
  <c r="F82" i="13"/>
  <c r="M82" i="13" s="1"/>
  <c r="F82" i="12"/>
  <c r="M82" i="12" s="1"/>
  <c r="F82" i="14"/>
  <c r="M82" i="14" s="1"/>
  <c r="F82" i="15"/>
  <c r="N70" i="11"/>
  <c r="M70" i="11"/>
  <c r="M58" i="10"/>
  <c r="N58" i="10"/>
  <c r="M58" i="12"/>
  <c r="N58" i="12"/>
  <c r="L37" i="10"/>
  <c r="E37" i="11"/>
  <c r="E35" i="10"/>
  <c r="N70" i="15"/>
  <c r="N58" i="11"/>
  <c r="M58" i="11"/>
  <c r="N82" i="9"/>
  <c r="M82" i="9"/>
  <c r="N70" i="10"/>
  <c r="M70" i="10"/>
  <c r="N70" i="12"/>
  <c r="M58" i="9"/>
  <c r="N58" i="9"/>
  <c r="J31" i="11"/>
  <c r="E31" i="14"/>
  <c r="E29" i="13"/>
  <c r="N31" i="8"/>
  <c r="M31" i="8"/>
  <c r="C128" i="8"/>
  <c r="M65" i="8"/>
  <c r="M33" i="9"/>
  <c r="N37" i="7"/>
  <c r="M37" i="7"/>
  <c r="N83" i="7"/>
  <c r="N81" i="7" s="1"/>
  <c r="M83" i="7"/>
  <c r="M81" i="7" s="1"/>
  <c r="F81" i="7"/>
  <c r="E53" i="9"/>
  <c r="E51" i="8"/>
  <c r="E77" i="9"/>
  <c r="E75" i="8"/>
  <c r="F77" i="8"/>
  <c r="I52" i="8"/>
  <c r="G51" i="8"/>
  <c r="D37" i="9"/>
  <c r="E59" i="9"/>
  <c r="E57" i="8"/>
  <c r="M47" i="7"/>
  <c r="N47" i="7"/>
  <c r="N45" i="7" s="1"/>
  <c r="F45" i="7"/>
  <c r="F69" i="7"/>
  <c r="M71" i="7"/>
  <c r="M69" i="7" s="1"/>
  <c r="N71" i="7"/>
  <c r="N69" i="7" s="1"/>
  <c r="E26" i="9"/>
  <c r="E25" i="8"/>
  <c r="D13" i="9"/>
  <c r="I37" i="8"/>
  <c r="L33" i="8"/>
  <c r="L65" i="8"/>
  <c r="J63" i="8"/>
  <c r="N54" i="7"/>
  <c r="M13" i="7"/>
  <c r="BC11" i="7"/>
  <c r="M26" i="7"/>
  <c r="N26" i="7"/>
  <c r="F25" i="7"/>
  <c r="AQ8" i="7" s="1"/>
  <c r="F13" i="8"/>
  <c r="M59" i="7"/>
  <c r="M57" i="7" s="1"/>
  <c r="N59" i="7"/>
  <c r="N57" i="7" s="1"/>
  <c r="F57" i="7"/>
  <c r="D31" i="9"/>
  <c r="E47" i="9"/>
  <c r="E45" i="8"/>
  <c r="L71" i="8"/>
  <c r="J69" i="8"/>
  <c r="D56" i="9"/>
  <c r="D54" i="8"/>
  <c r="E14" i="9"/>
  <c r="E10" i="8"/>
  <c r="I46" i="8"/>
  <c r="G45" i="8"/>
  <c r="L47" i="8"/>
  <c r="N47" i="8" s="1"/>
  <c r="J45" i="8"/>
  <c r="L59" i="8"/>
  <c r="J57" i="8"/>
  <c r="L83" i="8"/>
  <c r="J81" i="8"/>
  <c r="E83" i="9"/>
  <c r="E81" i="8"/>
  <c r="L26" i="8"/>
  <c r="D68" i="9"/>
  <c r="D66" i="8"/>
  <c r="L53" i="8"/>
  <c r="J51" i="8"/>
  <c r="L77" i="8"/>
  <c r="J75" i="8"/>
  <c r="M45" i="7"/>
  <c r="N53" i="7"/>
  <c r="N51" i="7" s="1"/>
  <c r="M53" i="7"/>
  <c r="M51" i="7" s="1"/>
  <c r="F51" i="7"/>
  <c r="E65" i="9"/>
  <c r="E63" i="8"/>
  <c r="F26" i="8"/>
  <c r="I62" i="8"/>
  <c r="G60" i="8"/>
  <c r="I74" i="8"/>
  <c r="G72" i="8"/>
  <c r="E33" i="10"/>
  <c r="E32" i="9"/>
  <c r="E28" i="9" s="1"/>
  <c r="E71" i="9"/>
  <c r="E69" i="8"/>
  <c r="F83" i="8"/>
  <c r="M60" i="7"/>
  <c r="N14" i="8"/>
  <c r="F24" i="7"/>
  <c r="BC21" i="7" s="1"/>
  <c r="L24" i="7"/>
  <c r="J22" i="7"/>
  <c r="J14" i="10"/>
  <c r="L14" i="10" s="1"/>
  <c r="E24" i="8"/>
  <c r="E22" i="7"/>
  <c r="D24" i="8"/>
  <c r="N42" i="6"/>
  <c r="N45" i="6"/>
  <c r="N25" i="6"/>
  <c r="J13" i="7"/>
  <c r="L10" i="6"/>
  <c r="J15" i="8"/>
  <c r="L15" i="8" s="1"/>
  <c r="N15" i="7"/>
  <c r="AH57" i="6"/>
  <c r="AD88" i="7"/>
  <c r="AB83" i="7"/>
  <c r="AJ49" i="6"/>
  <c r="AH134" i="11"/>
  <c r="AJ134" i="11"/>
  <c r="AJ211" i="6"/>
  <c r="AJ210" i="6" s="1"/>
  <c r="AJ209" i="6" s="1"/>
  <c r="AA237" i="7"/>
  <c r="Y235" i="7"/>
  <c r="Y234" i="7" s="1"/>
  <c r="N72" i="6"/>
  <c r="AV22" i="14"/>
  <c r="AH176" i="6"/>
  <c r="AJ197" i="6"/>
  <c r="AH41" i="15"/>
  <c r="AI41" i="15"/>
  <c r="G41" i="7"/>
  <c r="I41" i="7" s="1"/>
  <c r="AI67" i="16"/>
  <c r="AH67" i="16"/>
  <c r="AI18" i="16"/>
  <c r="AH18" i="16"/>
  <c r="BN11" i="16"/>
  <c r="AI241" i="16"/>
  <c r="AJ17" i="16"/>
  <c r="AH41" i="16"/>
  <c r="AH17" i="15"/>
  <c r="BN10" i="15"/>
  <c r="AQ22" i="15"/>
  <c r="AI17" i="15"/>
  <c r="AJ17" i="15"/>
  <c r="AI31" i="15"/>
  <c r="AH31" i="15"/>
  <c r="AH22" i="15"/>
  <c r="AH31" i="16"/>
  <c r="AI31" i="16"/>
  <c r="AY8" i="5"/>
  <c r="AU8" i="5"/>
  <c r="AA195" i="5"/>
  <c r="AA193" i="5" s="1"/>
  <c r="BO28" i="5"/>
  <c r="BO25" i="5" s="1"/>
  <c r="BI12" i="5" s="1"/>
  <c r="BQ25" i="5"/>
  <c r="BK12" i="5" s="1"/>
  <c r="N69" i="6"/>
  <c r="AI54" i="16"/>
  <c r="AI61" i="15"/>
  <c r="AJ61" i="15"/>
  <c r="AI166" i="16"/>
  <c r="AJ245" i="8"/>
  <c r="AH245" i="8"/>
  <c r="AI245" i="8"/>
  <c r="V225" i="12"/>
  <c r="AB107" i="8"/>
  <c r="AD105" i="7"/>
  <c r="AD104" i="7" s="1"/>
  <c r="AB50" i="8"/>
  <c r="AD49" i="7"/>
  <c r="AI134" i="11"/>
  <c r="AH245" i="7"/>
  <c r="AJ245" i="7"/>
  <c r="AI245" i="7"/>
  <c r="G56" i="8"/>
  <c r="G47" i="20"/>
  <c r="G45" i="20" s="1"/>
  <c r="BQ22" i="6"/>
  <c r="BK11" i="6" s="1"/>
  <c r="G53" i="20"/>
  <c r="BR30" i="16"/>
  <c r="AJ88" i="15"/>
  <c r="AE88" i="16"/>
  <c r="AG88" i="16" s="1"/>
  <c r="AJ88" i="16" s="1"/>
  <c r="Y133" i="8"/>
  <c r="AH133" i="7"/>
  <c r="M56" i="7"/>
  <c r="V134" i="12"/>
  <c r="AH172" i="6"/>
  <c r="V245" i="9"/>
  <c r="AZ13" i="6"/>
  <c r="AV11" i="8"/>
  <c r="AY11" i="8"/>
  <c r="BD8" i="5"/>
  <c r="BD22" i="5" s="1"/>
  <c r="H126" i="5"/>
  <c r="H130" i="5" s="1"/>
  <c r="AI70" i="16"/>
  <c r="AH77" i="16"/>
  <c r="U170" i="12"/>
  <c r="BN14" i="5"/>
  <c r="BH9" i="5" s="1"/>
  <c r="AQ24" i="5"/>
  <c r="AJ164" i="16"/>
  <c r="N29" i="6"/>
  <c r="AJ172" i="6"/>
  <c r="AH180" i="16"/>
  <c r="AJ168" i="16"/>
  <c r="AH168" i="16"/>
  <c r="U43" i="13"/>
  <c r="U14" i="13" s="1"/>
  <c r="AE158" i="12"/>
  <c r="AI246" i="16"/>
  <c r="BC7" i="6"/>
  <c r="AH105" i="7"/>
  <c r="AH104" i="7" s="1"/>
  <c r="AI189" i="16"/>
  <c r="AI61" i="16"/>
  <c r="U43" i="14"/>
  <c r="U14" i="14" s="1"/>
  <c r="BP30" i="7"/>
  <c r="BJ14" i="7" s="1"/>
  <c r="AI153" i="16"/>
  <c r="AU29" i="5"/>
  <c r="AV29" i="5"/>
  <c r="AI105" i="7"/>
  <c r="AI104" i="7" s="1"/>
  <c r="U63" i="12"/>
  <c r="AE127" i="12"/>
  <c r="AI164" i="16"/>
  <c r="BN16" i="5"/>
  <c r="BI11" i="5"/>
  <c r="N39" i="9"/>
  <c r="M39" i="9"/>
  <c r="BP30" i="6"/>
  <c r="BJ14" i="6" s="1"/>
  <c r="AR27" i="5"/>
  <c r="AW27" i="5" s="1"/>
  <c r="BP24" i="5"/>
  <c r="BP22" i="5" s="1"/>
  <c r="BJ11" i="5" s="1"/>
  <c r="AS25" i="5"/>
  <c r="AX25" i="5" s="1"/>
  <c r="AG63" i="5"/>
  <c r="AG12" i="5" s="1"/>
  <c r="P126" i="5"/>
  <c r="P130" i="5" s="1"/>
  <c r="BP30" i="5"/>
  <c r="BJ14" i="5" s="1"/>
  <c r="AR30" i="5"/>
  <c r="AW30" i="5" s="1"/>
  <c r="F36" i="20"/>
  <c r="F31" i="20" s="1"/>
  <c r="F30" i="20" s="1"/>
  <c r="BQ8" i="5"/>
  <c r="BK8" i="5"/>
  <c r="AI203" i="16"/>
  <c r="AB214" i="15"/>
  <c r="AE142" i="16"/>
  <c r="AJ149" i="6"/>
  <c r="AJ147" i="6" s="1"/>
  <c r="AB12" i="5"/>
  <c r="AB10" i="5" s="1"/>
  <c r="AB258" i="5" s="1"/>
  <c r="AI128" i="16"/>
  <c r="F39" i="10"/>
  <c r="D39" i="11"/>
  <c r="AD195" i="5"/>
  <c r="BP28" i="5"/>
  <c r="BP25" i="5" s="1"/>
  <c r="BJ12" i="5" s="1"/>
  <c r="BN30" i="5"/>
  <c r="BH14" i="5" s="1"/>
  <c r="AJ18" i="15"/>
  <c r="AE18" i="16"/>
  <c r="AG18" i="16" s="1"/>
  <c r="AJ18" i="16" s="1"/>
  <c r="M38" i="8"/>
  <c r="N38" i="8"/>
  <c r="F40" i="10"/>
  <c r="D40" i="11"/>
  <c r="AD168" i="15"/>
  <c r="AI38" i="15"/>
  <c r="AB38" i="16"/>
  <c r="F38" i="9"/>
  <c r="D38" i="10"/>
  <c r="M40" i="9"/>
  <c r="N40" i="9"/>
  <c r="X195" i="5"/>
  <c r="BP13" i="6"/>
  <c r="AR25" i="5"/>
  <c r="AW25" i="5" s="1"/>
  <c r="AD14" i="5"/>
  <c r="AD12" i="5" s="1"/>
  <c r="BP13" i="5"/>
  <c r="BJ8" i="5" s="1"/>
  <c r="AI35" i="6"/>
  <c r="BQ22" i="5"/>
  <c r="BK11" i="5" s="1"/>
  <c r="F47" i="20"/>
  <c r="R49" i="20"/>
  <c r="F48" i="20"/>
  <c r="AI253" i="16"/>
  <c r="AI76" i="15"/>
  <c r="AB76" i="16"/>
  <c r="AD76" i="16" s="1"/>
  <c r="AI76" i="16" s="1"/>
  <c r="AI149" i="6"/>
  <c r="AI147" i="6" s="1"/>
  <c r="AH22" i="16"/>
  <c r="AH40" i="16"/>
  <c r="AI40" i="16"/>
  <c r="AH78" i="16"/>
  <c r="AJ78" i="16"/>
  <c r="D10" i="18"/>
  <c r="AH148" i="16"/>
  <c r="AH19" i="16"/>
  <c r="AI19" i="16"/>
  <c r="AH38" i="16"/>
  <c r="AH124" i="16"/>
  <c r="AH191" i="16"/>
  <c r="AI191" i="16"/>
  <c r="AI49" i="6"/>
  <c r="AH138" i="15"/>
  <c r="AI138" i="15"/>
  <c r="AJ128" i="16"/>
  <c r="AE167" i="16"/>
  <c r="AG167" i="16" s="1"/>
  <c r="AJ167" i="16" s="1"/>
  <c r="AJ167" i="15"/>
  <c r="AG48" i="15"/>
  <c r="AE125" i="16"/>
  <c r="AG125" i="16" s="1"/>
  <c r="AJ125" i="16" s="1"/>
  <c r="AJ125" i="15"/>
  <c r="AH212" i="13"/>
  <c r="AI212" i="13"/>
  <c r="AB130" i="15"/>
  <c r="AI130" i="14"/>
  <c r="W162" i="16"/>
  <c r="X162" i="15"/>
  <c r="AE79" i="16"/>
  <c r="AG79" i="16" s="1"/>
  <c r="AJ79" i="16" s="1"/>
  <c r="AJ79" i="15"/>
  <c r="AE220" i="7"/>
  <c r="N35" i="6"/>
  <c r="AI26" i="16"/>
  <c r="AH55" i="16"/>
  <c r="AH126" i="16"/>
  <c r="BN19" i="16"/>
  <c r="AI126" i="16"/>
  <c r="AI24" i="16"/>
  <c r="AH24" i="16"/>
  <c r="AH45" i="16"/>
  <c r="AI45" i="16"/>
  <c r="AH74" i="16"/>
  <c r="AI136" i="16"/>
  <c r="BN27" i="7"/>
  <c r="BN27" i="6"/>
  <c r="AI235" i="6"/>
  <c r="AE85" i="16"/>
  <c r="AG85" i="16" s="1"/>
  <c r="BD11" i="15"/>
  <c r="G26" i="16"/>
  <c r="AI254" i="16"/>
  <c r="AB86" i="16"/>
  <c r="W212" i="15"/>
  <c r="AB93" i="16"/>
  <c r="Y251" i="16"/>
  <c r="AH251" i="15"/>
  <c r="AG220" i="7"/>
  <c r="G38" i="20"/>
  <c r="AH30" i="16"/>
  <c r="AI30" i="16"/>
  <c r="AQ22" i="16"/>
  <c r="BN10" i="16"/>
  <c r="AI28" i="16"/>
  <c r="AI163" i="16"/>
  <c r="AH163" i="16"/>
  <c r="AH239" i="16"/>
  <c r="AI32" i="16"/>
  <c r="AR9" i="6"/>
  <c r="AI211" i="6"/>
  <c r="AI247" i="16"/>
  <c r="AI240" i="16"/>
  <c r="AI182" i="16"/>
  <c r="N82" i="16"/>
  <c r="M82" i="16"/>
  <c r="AH36" i="16"/>
  <c r="AI36" i="16"/>
  <c r="AH101" i="16"/>
  <c r="AH186" i="16"/>
  <c r="AI186" i="16"/>
  <c r="AH204" i="16"/>
  <c r="AI204" i="16"/>
  <c r="AI239" i="16"/>
  <c r="AH181" i="16"/>
  <c r="AI148" i="16"/>
  <c r="AI218" i="16"/>
  <c r="AD195" i="6"/>
  <c r="BP28" i="6"/>
  <c r="BP25" i="6" s="1"/>
  <c r="BJ12" i="6" s="1"/>
  <c r="AH96" i="6"/>
  <c r="AI161" i="16"/>
  <c r="X132" i="15"/>
  <c r="W132" i="16"/>
  <c r="AE32" i="16"/>
  <c r="AG32" i="16" s="1"/>
  <c r="AJ32" i="16" s="1"/>
  <c r="AJ32" i="15"/>
  <c r="AI78" i="16"/>
  <c r="AG92" i="14"/>
  <c r="AD74" i="15"/>
  <c r="AA72" i="16"/>
  <c r="AJ136" i="15"/>
  <c r="AE136" i="16"/>
  <c r="AG136" i="16" s="1"/>
  <c r="AJ136" i="16" s="1"/>
  <c r="AE76" i="16"/>
  <c r="AG76" i="16" s="1"/>
  <c r="AJ76" i="16" s="1"/>
  <c r="AJ76" i="15"/>
  <c r="AE54" i="16"/>
  <c r="AG54" i="16" s="1"/>
  <c r="AJ54" i="16" s="1"/>
  <c r="AJ54" i="15"/>
  <c r="J46" i="16"/>
  <c r="AH162" i="14"/>
  <c r="AI162" i="14"/>
  <c r="AE177" i="15"/>
  <c r="AG177" i="15" s="1"/>
  <c r="AJ101" i="16"/>
  <c r="J126" i="6"/>
  <c r="J130" i="6" s="1"/>
  <c r="M41" i="6"/>
  <c r="D41" i="8"/>
  <c r="F41" i="7"/>
  <c r="B12" i="10"/>
  <c r="G12" i="7"/>
  <c r="M12" i="6"/>
  <c r="M10" i="6" s="1"/>
  <c r="I10" i="6"/>
  <c r="Q126" i="6"/>
  <c r="Q130" i="6" s="1"/>
  <c r="G126" i="5"/>
  <c r="G130" i="5" s="1"/>
  <c r="AR13" i="7"/>
  <c r="AW13" i="7"/>
  <c r="AY13" i="7" s="1"/>
  <c r="E10" i="18"/>
  <c r="AI156" i="16"/>
  <c r="BN18" i="16"/>
  <c r="AJ156" i="16"/>
  <c r="AH256" i="16"/>
  <c r="AI256" i="16"/>
  <c r="AE225" i="9"/>
  <c r="AG225" i="9" s="1"/>
  <c r="AJ225" i="8"/>
  <c r="Q126" i="5"/>
  <c r="Q130" i="5" s="1"/>
  <c r="AE183" i="9"/>
  <c r="AG183" i="9" s="1"/>
  <c r="AJ183" i="8"/>
  <c r="AE215" i="9"/>
  <c r="AG215" i="9" s="1"/>
  <c r="AJ215" i="8"/>
  <c r="AE240" i="9"/>
  <c r="AG240" i="9" s="1"/>
  <c r="AJ240" i="8"/>
  <c r="AE181" i="8"/>
  <c r="AJ181" i="7"/>
  <c r="AE190" i="9"/>
  <c r="AG190" i="9" s="1"/>
  <c r="AJ190" i="8"/>
  <c r="AE199" i="9"/>
  <c r="AG199" i="9" s="1"/>
  <c r="AJ199" i="8"/>
  <c r="AE207" i="10"/>
  <c r="AG207" i="10" s="1"/>
  <c r="AJ207" i="9"/>
  <c r="AJ247" i="11"/>
  <c r="AE247" i="12"/>
  <c r="AG247" i="12" s="1"/>
  <c r="AE255" i="9"/>
  <c r="AG255" i="9" s="1"/>
  <c r="AJ255" i="8"/>
  <c r="AG188" i="8"/>
  <c r="AE206" i="8"/>
  <c r="AG205" i="7"/>
  <c r="AJ206" i="7"/>
  <c r="AJ205" i="7" s="1"/>
  <c r="AE250" i="9"/>
  <c r="AG250" i="9" s="1"/>
  <c r="AJ250" i="8"/>
  <c r="BQ9" i="16"/>
  <c r="BR12" i="16"/>
  <c r="BR9" i="16" s="1"/>
  <c r="AR14" i="5"/>
  <c r="AR17" i="5" s="1"/>
  <c r="AW17" i="5" s="1"/>
  <c r="AG51" i="15"/>
  <c r="AG107" i="15"/>
  <c r="AE134" i="16"/>
  <c r="AG134" i="16" s="1"/>
  <c r="AJ41" i="15"/>
  <c r="AE41" i="16"/>
  <c r="AG41" i="16" s="1"/>
  <c r="AJ41" i="16" s="1"/>
  <c r="AG97" i="15"/>
  <c r="AJ121" i="15"/>
  <c r="AE121" i="16"/>
  <c r="AG121" i="16" s="1"/>
  <c r="AJ121" i="16" s="1"/>
  <c r="AG37" i="16"/>
  <c r="AH127" i="16"/>
  <c r="AH129" i="16"/>
  <c r="AI129" i="16"/>
  <c r="AE201" i="9"/>
  <c r="AG201" i="9" s="1"/>
  <c r="AG223" i="8"/>
  <c r="AI119" i="16"/>
  <c r="AH119" i="16"/>
  <c r="AI139" i="16"/>
  <c r="AE200" i="9"/>
  <c r="AG200" i="9" s="1"/>
  <c r="AJ200" i="8"/>
  <c r="AE252" i="9"/>
  <c r="AG252" i="9" s="1"/>
  <c r="AJ252" i="8"/>
  <c r="AI125" i="16"/>
  <c r="I30" i="7"/>
  <c r="G29" i="7"/>
  <c r="M48" i="7"/>
  <c r="AE191" i="9"/>
  <c r="AG191" i="9" s="1"/>
  <c r="AJ191" i="8"/>
  <c r="AE239" i="9"/>
  <c r="AG239" i="9" s="1"/>
  <c r="AJ239" i="8"/>
  <c r="AE248" i="9"/>
  <c r="AG248" i="9" s="1"/>
  <c r="AJ248" i="8"/>
  <c r="AE256" i="9"/>
  <c r="AG256" i="9" s="1"/>
  <c r="AJ256" i="8"/>
  <c r="P126" i="6"/>
  <c r="P130" i="6" s="1"/>
  <c r="AE224" i="8"/>
  <c r="AG224" i="8" s="1"/>
  <c r="AJ224" i="7"/>
  <c r="AG236" i="8"/>
  <c r="AE245" i="12"/>
  <c r="AG245" i="12" s="1"/>
  <c r="AJ147" i="7"/>
  <c r="M29" i="6"/>
  <c r="AI172" i="6"/>
  <c r="X145" i="6"/>
  <c r="BE9" i="13"/>
  <c r="M35" i="6"/>
  <c r="J126" i="5"/>
  <c r="J130" i="5" s="1"/>
  <c r="BR27" i="16"/>
  <c r="BQ25" i="16"/>
  <c r="BK12" i="16" s="1"/>
  <c r="AL12" i="9"/>
  <c r="AL10" i="9" s="1"/>
  <c r="AL8" i="9" s="1"/>
  <c r="AE60" i="15"/>
  <c r="AE25" i="16"/>
  <c r="AG25" i="16" s="1"/>
  <c r="AE138" i="16"/>
  <c r="AG138" i="16" s="1"/>
  <c r="AJ138" i="16" s="1"/>
  <c r="AJ138" i="15"/>
  <c r="B14" i="15"/>
  <c r="B14" i="16" s="1"/>
  <c r="AJ102" i="15"/>
  <c r="AE102" i="16"/>
  <c r="AG102" i="16" s="1"/>
  <c r="AJ102" i="16" s="1"/>
  <c r="AI101" i="16"/>
  <c r="AE73" i="16"/>
  <c r="AG73" i="16" s="1"/>
  <c r="AJ77" i="15"/>
  <c r="AE77" i="16"/>
  <c r="AG77" i="16" s="1"/>
  <c r="AJ77" i="16" s="1"/>
  <c r="AD202" i="16"/>
  <c r="AE251" i="9"/>
  <c r="AG251" i="9" s="1"/>
  <c r="AJ251" i="8"/>
  <c r="AE249" i="12"/>
  <c r="AG249" i="12" s="1"/>
  <c r="AJ249" i="11"/>
  <c r="AH102" i="16"/>
  <c r="AI102" i="16"/>
  <c r="AI120" i="16"/>
  <c r="AH120" i="16"/>
  <c r="AJ120" i="16"/>
  <c r="AH121" i="16"/>
  <c r="I23" i="7"/>
  <c r="AE203" i="9"/>
  <c r="AG203" i="9" s="1"/>
  <c r="AJ203" i="8"/>
  <c r="AE213" i="9"/>
  <c r="AG213" i="9" s="1"/>
  <c r="AJ213" i="8"/>
  <c r="AG228" i="8"/>
  <c r="AG180" i="11"/>
  <c r="AE218" i="12"/>
  <c r="AG218" i="12" s="1"/>
  <c r="AJ218" i="11"/>
  <c r="AJ237" i="7"/>
  <c r="AE237" i="8"/>
  <c r="AG237" i="8" s="1"/>
  <c r="AE246" i="9"/>
  <c r="AG246" i="9" s="1"/>
  <c r="AJ246" i="8"/>
  <c r="AE254" i="9"/>
  <c r="AG254" i="9" s="1"/>
  <c r="AJ254" i="8"/>
  <c r="AE182" i="9"/>
  <c r="AG182" i="9" s="1"/>
  <c r="AJ182" i="8"/>
  <c r="AE204" i="9"/>
  <c r="AG204" i="9" s="1"/>
  <c r="AJ204" i="8"/>
  <c r="AE216" i="9"/>
  <c r="AG216" i="9" s="1"/>
  <c r="AJ216" i="8"/>
  <c r="AE229" i="8"/>
  <c r="AG229" i="8" s="1"/>
  <c r="AJ229" i="7"/>
  <c r="AJ227" i="7" s="1"/>
  <c r="AE186" i="8"/>
  <c r="AJ186" i="7"/>
  <c r="AE253" i="9"/>
  <c r="AG253" i="9" s="1"/>
  <c r="AJ253" i="8"/>
  <c r="BE9" i="5"/>
  <c r="BF10" i="7"/>
  <c r="BF10" i="10" s="1"/>
  <c r="BF10" i="13" s="1"/>
  <c r="BF10" i="16" s="1"/>
  <c r="BE9" i="16"/>
  <c r="BK8" i="6"/>
  <c r="AG66" i="16"/>
  <c r="AE31" i="16"/>
  <c r="AG31" i="16" s="1"/>
  <c r="AJ31" i="16" s="1"/>
  <c r="AJ31" i="15"/>
  <c r="AD217" i="16"/>
  <c r="AG46" i="16"/>
  <c r="AG71" i="15"/>
  <c r="AA53" i="14"/>
  <c r="AG151" i="15"/>
  <c r="AE135" i="16"/>
  <c r="AG135" i="16" s="1"/>
  <c r="AG133" i="15"/>
  <c r="AJ27" i="15"/>
  <c r="AE27" i="16"/>
  <c r="AG27" i="16" s="1"/>
  <c r="AJ27" i="16" s="1"/>
  <c r="AG159" i="15"/>
  <c r="AE28" i="16"/>
  <c r="AG28" i="16" s="1"/>
  <c r="AJ28" i="16" s="1"/>
  <c r="AJ28" i="15"/>
  <c r="AH165" i="16"/>
  <c r="AI165" i="16"/>
  <c r="AE217" i="9"/>
  <c r="AG217" i="9" s="1"/>
  <c r="AJ217" i="8"/>
  <c r="AE238" i="9"/>
  <c r="AG238" i="9" s="1"/>
  <c r="AJ238" i="8"/>
  <c r="AJ198" i="7"/>
  <c r="AE198" i="8"/>
  <c r="AE214" i="9"/>
  <c r="AG214" i="9" s="1"/>
  <c r="AE230" i="12"/>
  <c r="AG230" i="12" s="1"/>
  <c r="AJ230" i="11"/>
  <c r="BQ9" i="11"/>
  <c r="BQ9" i="8"/>
  <c r="BQ15" i="6"/>
  <c r="BK10" i="6" s="1"/>
  <c r="BR16" i="16"/>
  <c r="BK12" i="15"/>
  <c r="BQ22" i="10"/>
  <c r="BK11" i="10" s="1"/>
  <c r="AJ100" i="15"/>
  <c r="AE100" i="16"/>
  <c r="AG100" i="16" s="1"/>
  <c r="AJ100" i="16" s="1"/>
  <c r="B13" i="16"/>
  <c r="AG21" i="15"/>
  <c r="AG84" i="15"/>
  <c r="Q31" i="20" l="1"/>
  <c r="Q30" i="20" s="1"/>
  <c r="Q29" i="20" s="1"/>
  <c r="Q55" i="20" s="1"/>
  <c r="U110" i="16"/>
  <c r="AC10" i="16"/>
  <c r="AC8" i="16" s="1"/>
  <c r="AM10" i="16"/>
  <c r="AM8" i="16" s="1"/>
  <c r="AM259" i="16" s="1"/>
  <c r="AF10" i="14"/>
  <c r="AF8" i="14" s="1"/>
  <c r="AE131" i="16"/>
  <c r="AG131" i="16" s="1"/>
  <c r="AJ131" i="16" s="1"/>
  <c r="N48" i="20"/>
  <c r="BQ25" i="13"/>
  <c r="BK12" i="13" s="1"/>
  <c r="AJ95" i="15"/>
  <c r="AF10" i="12"/>
  <c r="AF8" i="12" s="1"/>
  <c r="AC258" i="12"/>
  <c r="N29" i="20"/>
  <c r="R39" i="20"/>
  <c r="AF10" i="10"/>
  <c r="AF8" i="10" s="1"/>
  <c r="BQ7" i="9"/>
  <c r="BQ32" i="9" s="1"/>
  <c r="AC10" i="9"/>
  <c r="AC258" i="9" s="1"/>
  <c r="BK8" i="9"/>
  <c r="BK7" i="9" s="1"/>
  <c r="BK16" i="9" s="1"/>
  <c r="Z8" i="9"/>
  <c r="Z258" i="9"/>
  <c r="BL14" i="10"/>
  <c r="BL14" i="13" s="1"/>
  <c r="BL14" i="16" s="1"/>
  <c r="AF8" i="8"/>
  <c r="BR28" i="16"/>
  <c r="BR25" i="16" s="1"/>
  <c r="BQ25" i="8"/>
  <c r="BK12" i="8" s="1"/>
  <c r="AI95" i="15"/>
  <c r="AJ222" i="7"/>
  <c r="AC258" i="7"/>
  <c r="Q128" i="8"/>
  <c r="Q126" i="8" s="1"/>
  <c r="Q130" i="8" s="1"/>
  <c r="K128" i="8"/>
  <c r="K126" i="8" s="1"/>
  <c r="K130" i="8" s="1"/>
  <c r="P128" i="8"/>
  <c r="P126" i="8" s="1"/>
  <c r="P130" i="8" s="1"/>
  <c r="C41" i="20"/>
  <c r="BC18" i="13"/>
  <c r="BC10" i="5"/>
  <c r="BC9" i="5" s="1"/>
  <c r="BC8" i="5" s="1"/>
  <c r="AJ25" i="13"/>
  <c r="AH25" i="13"/>
  <c r="U12" i="11"/>
  <c r="AI25" i="11"/>
  <c r="AJ25" i="11"/>
  <c r="AH25" i="11"/>
  <c r="AH25" i="10"/>
  <c r="AJ25" i="10"/>
  <c r="AI25" i="10"/>
  <c r="AQ23" i="6"/>
  <c r="X149" i="7"/>
  <c r="X147" i="7" s="1"/>
  <c r="X145" i="7" s="1"/>
  <c r="AI152" i="7"/>
  <c r="AJ196" i="6"/>
  <c r="AJ195" i="6" s="1"/>
  <c r="AJ193" i="6" s="1"/>
  <c r="AI157" i="6"/>
  <c r="AI155" i="6" s="1"/>
  <c r="AD112" i="7"/>
  <c r="AH123" i="6"/>
  <c r="AH112" i="6" s="1"/>
  <c r="AI104" i="6"/>
  <c r="BQ8" i="6"/>
  <c r="BQ7" i="6" s="1"/>
  <c r="BQ32" i="6" s="1"/>
  <c r="BR13" i="16"/>
  <c r="BR8" i="16" s="1"/>
  <c r="AI65" i="6"/>
  <c r="Z8" i="6"/>
  <c r="Z258" i="6"/>
  <c r="BO28" i="6"/>
  <c r="BO25" i="6" s="1"/>
  <c r="BI12" i="6" s="1"/>
  <c r="AA63" i="6"/>
  <c r="W63" i="7"/>
  <c r="AJ235" i="5"/>
  <c r="AJ234" i="5" s="1"/>
  <c r="AI185" i="6"/>
  <c r="AG10" i="5"/>
  <c r="AG8" i="5" s="1"/>
  <c r="BR15" i="16"/>
  <c r="Z10" i="5"/>
  <c r="Z8" i="5" s="1"/>
  <c r="AA10" i="5"/>
  <c r="AA8" i="5" s="1"/>
  <c r="AB12" i="6"/>
  <c r="AB10" i="6" s="1"/>
  <c r="Y12" i="6"/>
  <c r="Y10" i="6" s="1"/>
  <c r="AF10" i="5"/>
  <c r="AF8" i="5" s="1"/>
  <c r="BN17" i="7"/>
  <c r="W110" i="7"/>
  <c r="AJ16" i="6"/>
  <c r="AH235" i="5"/>
  <c r="AH234" i="5" s="1"/>
  <c r="X232" i="5"/>
  <c r="BN29" i="5" s="1"/>
  <c r="BH13" i="5" s="1"/>
  <c r="AH196" i="6"/>
  <c r="AH195" i="6" s="1"/>
  <c r="AH193" i="6" s="1"/>
  <c r="X170" i="6"/>
  <c r="AI157" i="5"/>
  <c r="AI155" i="5" s="1"/>
  <c r="AI145" i="5" s="1"/>
  <c r="U110" i="11"/>
  <c r="U110" i="6"/>
  <c r="AH145" i="5"/>
  <c r="X145" i="5"/>
  <c r="U110" i="7"/>
  <c r="U110" i="13"/>
  <c r="U10" i="5"/>
  <c r="U258" i="5" s="1"/>
  <c r="X112" i="6"/>
  <c r="X110" i="6" s="1"/>
  <c r="AQ26" i="6" s="1"/>
  <c r="U110" i="15"/>
  <c r="X90" i="6"/>
  <c r="U12" i="6"/>
  <c r="U10" i="6" s="1"/>
  <c r="U8" i="6" s="1"/>
  <c r="X63" i="5"/>
  <c r="BN13" i="5"/>
  <c r="AQ24" i="6"/>
  <c r="AZ24" i="6" s="1"/>
  <c r="U12" i="16"/>
  <c r="U10" i="16" s="1"/>
  <c r="AJ75" i="9"/>
  <c r="AH48" i="12"/>
  <c r="AH185" i="7"/>
  <c r="AI179" i="13"/>
  <c r="AI235" i="5"/>
  <c r="AI234" i="5" s="1"/>
  <c r="AJ210" i="5"/>
  <c r="AJ209" i="5" s="1"/>
  <c r="AH185" i="6"/>
  <c r="AH170" i="6" s="1"/>
  <c r="L34" i="7"/>
  <c r="J32" i="7"/>
  <c r="J28" i="7" s="1"/>
  <c r="L67" i="8"/>
  <c r="J66" i="8"/>
  <c r="AA93" i="7"/>
  <c r="Y91" i="7"/>
  <c r="Y90" i="7" s="1"/>
  <c r="AI210" i="6"/>
  <c r="AI209" i="6" s="1"/>
  <c r="C42" i="20"/>
  <c r="E21" i="7"/>
  <c r="E19" i="7" s="1"/>
  <c r="E17" i="7" s="1"/>
  <c r="E8" i="7" s="1"/>
  <c r="J128" i="7"/>
  <c r="AH178" i="9"/>
  <c r="AI235" i="7"/>
  <c r="AI234" i="7" s="1"/>
  <c r="AD14" i="6"/>
  <c r="AD12" i="6" s="1"/>
  <c r="AI160" i="13"/>
  <c r="W193" i="8"/>
  <c r="X86" i="8"/>
  <c r="AJ86" i="8" s="1"/>
  <c r="AD174" i="8"/>
  <c r="AB172" i="8"/>
  <c r="L61" i="7"/>
  <c r="J60" i="7"/>
  <c r="Y98" i="8"/>
  <c r="AA96" i="7"/>
  <c r="AH98" i="7"/>
  <c r="AH96" i="7" s="1"/>
  <c r="W72" i="9"/>
  <c r="W69" i="8"/>
  <c r="W65" i="8" s="1"/>
  <c r="X72" i="8"/>
  <c r="AD21" i="7"/>
  <c r="AB20" i="7"/>
  <c r="AB16" i="7" s="1"/>
  <c r="AA59" i="7"/>
  <c r="Y58" i="7"/>
  <c r="Y57" i="7" s="1"/>
  <c r="V59" i="9"/>
  <c r="V58" i="8"/>
  <c r="V57" i="8" s="1"/>
  <c r="X59" i="8"/>
  <c r="AB142" i="10"/>
  <c r="AD141" i="9"/>
  <c r="BP20" i="9" s="1"/>
  <c r="W188" i="11"/>
  <c r="W187" i="10"/>
  <c r="W185" i="10" s="1"/>
  <c r="W98" i="11"/>
  <c r="W96" i="10"/>
  <c r="X98" i="10"/>
  <c r="AB124" i="9"/>
  <c r="AD123" i="8"/>
  <c r="AD112" i="8" s="1"/>
  <c r="E43" i="9"/>
  <c r="E42" i="8"/>
  <c r="L43" i="8"/>
  <c r="J42" i="8"/>
  <c r="AA198" i="7"/>
  <c r="Y197" i="7"/>
  <c r="Y196" i="7" s="1"/>
  <c r="Y195" i="7" s="1"/>
  <c r="Y193" i="7" s="1"/>
  <c r="I68" i="7"/>
  <c r="G66" i="7"/>
  <c r="AI115" i="7"/>
  <c r="AJ115" i="7"/>
  <c r="BP12" i="6"/>
  <c r="BP9" i="6" s="1"/>
  <c r="AR23" i="6"/>
  <c r="AW23" i="6" s="1"/>
  <c r="AY23" i="6" s="1"/>
  <c r="AA125" i="7"/>
  <c r="Y123" i="7"/>
  <c r="I36" i="7"/>
  <c r="AW9" i="7" s="1"/>
  <c r="G35" i="7"/>
  <c r="G28" i="7" s="1"/>
  <c r="AB97" i="8"/>
  <c r="AD96" i="7"/>
  <c r="AD90" i="7" s="1"/>
  <c r="AA229" i="8"/>
  <c r="Y227" i="8"/>
  <c r="D34" i="9"/>
  <c r="D32" i="8"/>
  <c r="F34" i="8"/>
  <c r="AI170" i="6"/>
  <c r="N128" i="6"/>
  <c r="AH16" i="6"/>
  <c r="AH14" i="6" s="1"/>
  <c r="F80" i="14"/>
  <c r="AH157" i="6"/>
  <c r="AH155" i="6" s="1"/>
  <c r="AH145" i="6" s="1"/>
  <c r="AV8" i="6"/>
  <c r="W114" i="8"/>
  <c r="W83" i="8"/>
  <c r="W63" i="8" s="1"/>
  <c r="AJ44" i="6"/>
  <c r="AJ43" i="6" s="1"/>
  <c r="AA159" i="7"/>
  <c r="Y157" i="7"/>
  <c r="Y155" i="7" s="1"/>
  <c r="Y145" i="7" s="1"/>
  <c r="G80" i="8"/>
  <c r="M80" i="7"/>
  <c r="W229" i="9"/>
  <c r="W227" i="8"/>
  <c r="W220" i="8" s="1"/>
  <c r="D27" i="9"/>
  <c r="D25" i="8"/>
  <c r="F27" i="8"/>
  <c r="F25" i="8" s="1"/>
  <c r="AQ8" i="8" s="1"/>
  <c r="AB206" i="8"/>
  <c r="AD205" i="7"/>
  <c r="AD196" i="7" s="1"/>
  <c r="AD71" i="7"/>
  <c r="AI71" i="7" s="1"/>
  <c r="AI69" i="7" s="1"/>
  <c r="AI65" i="7" s="1"/>
  <c r="AB69" i="7"/>
  <c r="AB65" i="7" s="1"/>
  <c r="AB63" i="7" s="1"/>
  <c r="L49" i="7"/>
  <c r="J48" i="7"/>
  <c r="Y177" i="8"/>
  <c r="AA176" i="7"/>
  <c r="BO23" i="7"/>
  <c r="AA152" i="9"/>
  <c r="Y149" i="9"/>
  <c r="Y147" i="9" s="1"/>
  <c r="AB228" i="9"/>
  <c r="AD227" i="8"/>
  <c r="AD220" i="8" s="1"/>
  <c r="BP30" i="8" s="1"/>
  <c r="BJ14" i="8" s="1"/>
  <c r="BO16" i="6"/>
  <c r="AA112" i="6"/>
  <c r="AA110" i="6" s="1"/>
  <c r="W59" i="10"/>
  <c r="W58" i="9"/>
  <c r="W57" i="9" s="1"/>
  <c r="Y47" i="8"/>
  <c r="AA44" i="7"/>
  <c r="AA43" i="7" s="1"/>
  <c r="AH47" i="7"/>
  <c r="Y240" i="15"/>
  <c r="AA240" i="15" s="1"/>
  <c r="AH240" i="14"/>
  <c r="C33" i="20"/>
  <c r="BC19" i="13"/>
  <c r="AJ115" i="8"/>
  <c r="AE90" i="6"/>
  <c r="AE63" i="6" s="1"/>
  <c r="AE12" i="6" s="1"/>
  <c r="V196" i="7"/>
  <c r="V195" i="7" s="1"/>
  <c r="V193" i="7" s="1"/>
  <c r="V90" i="7"/>
  <c r="AH104" i="6"/>
  <c r="M78" i="6"/>
  <c r="W115" i="9"/>
  <c r="W114" i="9" s="1"/>
  <c r="AA170" i="7"/>
  <c r="BO24" i="7" s="1"/>
  <c r="AD46" i="7"/>
  <c r="AB44" i="7"/>
  <c r="AB43" i="7" s="1"/>
  <c r="Y215" i="8"/>
  <c r="AA211" i="7"/>
  <c r="AA210" i="7" s="1"/>
  <c r="AA209" i="7" s="1"/>
  <c r="BO27" i="7" s="1"/>
  <c r="AH215" i="7"/>
  <c r="AH211" i="7" s="1"/>
  <c r="AH210" i="7" s="1"/>
  <c r="AH209" i="7" s="1"/>
  <c r="W159" i="9"/>
  <c r="W157" i="8"/>
  <c r="W155" i="8" s="1"/>
  <c r="W145" i="8" s="1"/>
  <c r="X159" i="8"/>
  <c r="E67" i="9"/>
  <c r="E66" i="8"/>
  <c r="AD151" i="7"/>
  <c r="AB149" i="7"/>
  <c r="AB147" i="7" s="1"/>
  <c r="L55" i="8"/>
  <c r="J54" i="8"/>
  <c r="E61" i="9"/>
  <c r="F61" i="9" s="1"/>
  <c r="E60" i="8"/>
  <c r="AG143" i="8"/>
  <c r="AE141" i="8"/>
  <c r="BO17" i="6"/>
  <c r="I44" i="7"/>
  <c r="G42" i="7"/>
  <c r="W152" i="10"/>
  <c r="W149" i="9"/>
  <c r="W147" i="9" s="1"/>
  <c r="X152" i="9"/>
  <c r="L73" i="7"/>
  <c r="AX14" i="7" s="1"/>
  <c r="J72" i="7"/>
  <c r="F42" i="7"/>
  <c r="AQ10" i="7" s="1"/>
  <c r="N43" i="7"/>
  <c r="N42" i="7" s="1"/>
  <c r="AA115" i="7"/>
  <c r="AH115" i="7" s="1"/>
  <c r="Y114" i="7"/>
  <c r="AJ86" i="7"/>
  <c r="AH86" i="7"/>
  <c r="AI86" i="7"/>
  <c r="U12" i="8"/>
  <c r="U10" i="8" s="1"/>
  <c r="U8" i="8" s="1"/>
  <c r="AQ23" i="7"/>
  <c r="BN12" i="6"/>
  <c r="BN9" i="6" s="1"/>
  <c r="C34" i="20"/>
  <c r="X14" i="5"/>
  <c r="AI43" i="6"/>
  <c r="U12" i="7"/>
  <c r="U10" i="7" s="1"/>
  <c r="U8" i="7" s="1"/>
  <c r="BN12" i="7"/>
  <c r="BN9" i="7" s="1"/>
  <c r="AI16" i="6"/>
  <c r="BN12" i="5"/>
  <c r="BN9" i="5" s="1"/>
  <c r="AQ23" i="5"/>
  <c r="AY23" i="5" s="1"/>
  <c r="U12" i="12"/>
  <c r="U10" i="12" s="1"/>
  <c r="U8" i="12" s="1"/>
  <c r="AV22" i="12"/>
  <c r="AZ22" i="12"/>
  <c r="U12" i="15"/>
  <c r="U10" i="15" s="1"/>
  <c r="U8" i="15" s="1"/>
  <c r="AZ8" i="6"/>
  <c r="N10" i="6"/>
  <c r="Y258" i="5"/>
  <c r="Y8" i="5"/>
  <c r="AI25" i="16"/>
  <c r="AJ51" i="7"/>
  <c r="AH51" i="7"/>
  <c r="AH49" i="7" s="1"/>
  <c r="AI51" i="7"/>
  <c r="AI49" i="7" s="1"/>
  <c r="X49" i="7"/>
  <c r="O29" i="20"/>
  <c r="AH210" i="5"/>
  <c r="AH209" i="5" s="1"/>
  <c r="AH39" i="7"/>
  <c r="X35" i="7"/>
  <c r="AJ39" i="7"/>
  <c r="AJ35" i="7" s="1"/>
  <c r="G21" i="6"/>
  <c r="G19" i="6" s="1"/>
  <c r="G17" i="6" s="1"/>
  <c r="G8" i="6" s="1"/>
  <c r="G126" i="6" s="1"/>
  <c r="G130" i="6" s="1"/>
  <c r="X75" i="11"/>
  <c r="AH75" i="11" s="1"/>
  <c r="AJ43" i="5"/>
  <c r="N28" i="5"/>
  <c r="AM259" i="13"/>
  <c r="W10" i="6"/>
  <c r="W258" i="6" s="1"/>
  <c r="X90" i="7"/>
  <c r="AI123" i="7"/>
  <c r="U12" i="10"/>
  <c r="W223" i="10"/>
  <c r="W222" i="9"/>
  <c r="AI143" i="8"/>
  <c r="BN28" i="6"/>
  <c r="BN25" i="6" s="1"/>
  <c r="BH12" i="6" s="1"/>
  <c r="X212" i="14"/>
  <c r="AH212" i="14" s="1"/>
  <c r="BN14" i="6"/>
  <c r="BH9" i="6" s="1"/>
  <c r="BP14" i="6"/>
  <c r="BJ9" i="6" s="1"/>
  <c r="I30" i="20"/>
  <c r="W258" i="5"/>
  <c r="AL10" i="8"/>
  <c r="AL8" i="8" s="1"/>
  <c r="AM259" i="8" s="1"/>
  <c r="M61" i="8"/>
  <c r="AH25" i="16"/>
  <c r="Z258" i="11"/>
  <c r="AH104" i="9"/>
  <c r="BL9" i="13"/>
  <c r="BL9" i="16" s="1"/>
  <c r="X25" i="15"/>
  <c r="AE110" i="6"/>
  <c r="AJ104" i="5"/>
  <c r="AH141" i="7"/>
  <c r="AA223" i="8"/>
  <c r="Y222" i="8"/>
  <c r="AB143" i="12"/>
  <c r="W93" i="10"/>
  <c r="W91" i="9"/>
  <c r="W90" i="9" s="1"/>
  <c r="X93" i="9"/>
  <c r="E55" i="10"/>
  <c r="E54" i="9"/>
  <c r="D73" i="10"/>
  <c r="D72" i="9"/>
  <c r="F73" i="9"/>
  <c r="AA52" i="8"/>
  <c r="Y49" i="8"/>
  <c r="E73" i="10"/>
  <c r="E72" i="9"/>
  <c r="AH25" i="14"/>
  <c r="AJ25" i="14"/>
  <c r="E49" i="10"/>
  <c r="E48" i="9"/>
  <c r="AM259" i="7"/>
  <c r="I50" i="8"/>
  <c r="G48" i="8"/>
  <c r="M59" i="8"/>
  <c r="M57" i="8" s="1"/>
  <c r="AI179" i="9"/>
  <c r="V10" i="5"/>
  <c r="V8" i="5" s="1"/>
  <c r="V220" i="8"/>
  <c r="X75" i="10"/>
  <c r="AH75" i="10" s="1"/>
  <c r="U110" i="10"/>
  <c r="Z258" i="8"/>
  <c r="AC10" i="6"/>
  <c r="AC258" i="6" s="1"/>
  <c r="X115" i="9"/>
  <c r="E79" i="10"/>
  <c r="E78" i="9"/>
  <c r="V223" i="10"/>
  <c r="V222" i="9"/>
  <c r="X223" i="9"/>
  <c r="AA188" i="8"/>
  <c r="Y187" i="8"/>
  <c r="Y185" i="8" s="1"/>
  <c r="AJ71" i="7"/>
  <c r="W86" i="10"/>
  <c r="W83" i="9"/>
  <c r="X86" i="9"/>
  <c r="D67" i="13"/>
  <c r="AV22" i="10"/>
  <c r="AZ22" i="10"/>
  <c r="AU22" i="10"/>
  <c r="W177" i="10"/>
  <c r="W176" i="9"/>
  <c r="W170" i="9" s="1"/>
  <c r="W215" i="10"/>
  <c r="W211" i="9"/>
  <c r="W210" i="9" s="1"/>
  <c r="W209" i="9" s="1"/>
  <c r="X215" i="9"/>
  <c r="AE173" i="9"/>
  <c r="AG172" i="8"/>
  <c r="AJ173" i="8"/>
  <c r="AJ172" i="8" s="1"/>
  <c r="AQ30" i="6"/>
  <c r="AD10" i="5"/>
  <c r="X14" i="6"/>
  <c r="AJ25" i="16"/>
  <c r="BN15" i="5"/>
  <c r="BH10" i="5" s="1"/>
  <c r="U12" i="14"/>
  <c r="U10" i="14" s="1"/>
  <c r="U8" i="14" s="1"/>
  <c r="R53" i="20"/>
  <c r="AR24" i="6"/>
  <c r="AW24" i="6" s="1"/>
  <c r="AI114" i="6"/>
  <c r="AI112" i="6" s="1"/>
  <c r="Z258" i="14"/>
  <c r="AA143" i="8"/>
  <c r="AH143" i="8" s="1"/>
  <c r="Y141" i="8"/>
  <c r="W238" i="10"/>
  <c r="W235" i="9"/>
  <c r="W234" i="9" s="1"/>
  <c r="W198" i="10"/>
  <c r="W197" i="9"/>
  <c r="W196" i="9" s="1"/>
  <c r="W195" i="9" s="1"/>
  <c r="X198" i="9"/>
  <c r="V71" i="9"/>
  <c r="X71" i="8"/>
  <c r="X69" i="8" s="1"/>
  <c r="X65" i="8" s="1"/>
  <c r="D55" i="9"/>
  <c r="F55" i="8"/>
  <c r="W143" i="10"/>
  <c r="W141" i="9"/>
  <c r="X143" i="9"/>
  <c r="D61" i="10"/>
  <c r="D60" i="9"/>
  <c r="AD173" i="11"/>
  <c r="K51" i="20"/>
  <c r="K48" i="20" s="1"/>
  <c r="BQ25" i="10"/>
  <c r="BK12" i="10" s="1"/>
  <c r="H126" i="7"/>
  <c r="H130" i="7" s="1"/>
  <c r="X63" i="6"/>
  <c r="BN13" i="6"/>
  <c r="AQ25" i="6"/>
  <c r="BN24" i="5"/>
  <c r="BN22" i="5" s="1"/>
  <c r="BH11" i="5" s="1"/>
  <c r="AQ27" i="5"/>
  <c r="AV27" i="5" s="1"/>
  <c r="F21" i="5"/>
  <c r="F19" i="5" s="1"/>
  <c r="F17" i="5" s="1"/>
  <c r="F8" i="5" s="1"/>
  <c r="AQ9" i="5"/>
  <c r="AV9" i="5" s="1"/>
  <c r="AQ27" i="6"/>
  <c r="BN24" i="6"/>
  <c r="BN22" i="6" s="1"/>
  <c r="BH11" i="6" s="1"/>
  <c r="AH243" i="5"/>
  <c r="AJ96" i="5"/>
  <c r="AJ90" i="5" s="1"/>
  <c r="AH43" i="5"/>
  <c r="AI48" i="12"/>
  <c r="AC258" i="11"/>
  <c r="Z258" i="12"/>
  <c r="AJ20" i="5"/>
  <c r="AJ16" i="5" s="1"/>
  <c r="AH185" i="5"/>
  <c r="AH170" i="5" s="1"/>
  <c r="M67" i="7"/>
  <c r="F66" i="7"/>
  <c r="N67" i="7"/>
  <c r="N66" i="7" s="1"/>
  <c r="AB131" i="15"/>
  <c r="AD131" i="15" s="1"/>
  <c r="AI131" i="14"/>
  <c r="AL8" i="14"/>
  <c r="AM259" i="14" s="1"/>
  <c r="AH96" i="5"/>
  <c r="AH90" i="5" s="1"/>
  <c r="AI20" i="5"/>
  <c r="AI16" i="5" s="1"/>
  <c r="AI14" i="5" s="1"/>
  <c r="AI220" i="6"/>
  <c r="Z258" i="10"/>
  <c r="AJ157" i="5"/>
  <c r="AJ155" i="5" s="1"/>
  <c r="AJ145" i="5" s="1"/>
  <c r="M75" i="5"/>
  <c r="M21" i="5" s="1"/>
  <c r="M19" i="5" s="1"/>
  <c r="M17" i="5" s="1"/>
  <c r="AI90" i="6"/>
  <c r="AI63" i="6" s="1"/>
  <c r="V12" i="6"/>
  <c r="V10" i="6" s="1"/>
  <c r="V8" i="6" s="1"/>
  <c r="AJ185" i="5"/>
  <c r="AJ170" i="5" s="1"/>
  <c r="N78" i="7"/>
  <c r="M78" i="7"/>
  <c r="AH90" i="6"/>
  <c r="D49" i="10"/>
  <c r="D48" i="9"/>
  <c r="F49" i="9"/>
  <c r="AH50" i="11"/>
  <c r="AJ50" i="11"/>
  <c r="AE178" i="7"/>
  <c r="AG176" i="6"/>
  <c r="AG170" i="6" s="1"/>
  <c r="AS27" i="6" s="1"/>
  <c r="AX27" i="6" s="1"/>
  <c r="AJ178" i="6"/>
  <c r="AJ176" i="6" s="1"/>
  <c r="AJ170" i="6" s="1"/>
  <c r="AG116" i="7"/>
  <c r="AE114" i="7"/>
  <c r="AG87" i="7"/>
  <c r="AE83" i="7"/>
  <c r="W21" i="9"/>
  <c r="W20" i="8"/>
  <c r="W16" i="8" s="1"/>
  <c r="V151" i="9"/>
  <c r="V149" i="8"/>
  <c r="V147" i="8" s="1"/>
  <c r="X151" i="8"/>
  <c r="V85" i="8"/>
  <c r="V83" i="7"/>
  <c r="V63" i="7" s="1"/>
  <c r="X85" i="7"/>
  <c r="V39" i="9"/>
  <c r="V35" i="8"/>
  <c r="X39" i="8"/>
  <c r="D71" i="9"/>
  <c r="D69" i="8"/>
  <c r="D23" i="8"/>
  <c r="D22" i="8" s="1"/>
  <c r="F23" i="7"/>
  <c r="F22" i="7" s="1"/>
  <c r="AJ69" i="5"/>
  <c r="AJ65" i="5" s="1"/>
  <c r="F71" i="8"/>
  <c r="BI8" i="5"/>
  <c r="BI7" i="5" s="1"/>
  <c r="BI16" i="5" s="1"/>
  <c r="BO8" i="5"/>
  <c r="BO7" i="5" s="1"/>
  <c r="BO32" i="5" s="1"/>
  <c r="AI210" i="5"/>
  <c r="AI209" i="5" s="1"/>
  <c r="AE126" i="7"/>
  <c r="AG123" i="6"/>
  <c r="AG112" i="6" s="1"/>
  <c r="AG110" i="6" s="1"/>
  <c r="AS26" i="6" s="1"/>
  <c r="AX26" i="6" s="1"/>
  <c r="AJ126" i="6"/>
  <c r="AJ123" i="6" s="1"/>
  <c r="AJ112" i="6" s="1"/>
  <c r="AE94" i="7"/>
  <c r="AG91" i="6"/>
  <c r="AJ94" i="6"/>
  <c r="AJ91" i="6" s="1"/>
  <c r="W39" i="9"/>
  <c r="W35" i="8"/>
  <c r="V201" i="9"/>
  <c r="V197" i="8"/>
  <c r="X201" i="8"/>
  <c r="V142" i="9"/>
  <c r="V141" i="8"/>
  <c r="X142" i="8"/>
  <c r="V92" i="9"/>
  <c r="V91" i="8"/>
  <c r="X92" i="8"/>
  <c r="D83" i="10"/>
  <c r="D81" i="9"/>
  <c r="AU22" i="9"/>
  <c r="AY22" i="9"/>
  <c r="AV22" i="9"/>
  <c r="I70" i="12"/>
  <c r="G69" i="12"/>
  <c r="D28" i="6"/>
  <c r="D21" i="6" s="1"/>
  <c r="D19" i="6" s="1"/>
  <c r="D17" i="6" s="1"/>
  <c r="D8" i="6" s="1"/>
  <c r="AJ196" i="5"/>
  <c r="AJ195" i="5" s="1"/>
  <c r="AJ193" i="5" s="1"/>
  <c r="V213" i="13"/>
  <c r="X213" i="12"/>
  <c r="AV22" i="7"/>
  <c r="AU22" i="7"/>
  <c r="AZ22" i="7"/>
  <c r="AY22" i="7"/>
  <c r="W43" i="7"/>
  <c r="W14" i="7" s="1"/>
  <c r="W12" i="7" s="1"/>
  <c r="D79" i="9"/>
  <c r="D78" i="8"/>
  <c r="F78" i="8" s="1"/>
  <c r="F79" i="8"/>
  <c r="D52" i="9"/>
  <c r="D51" i="8"/>
  <c r="F52" i="8"/>
  <c r="M52" i="8" s="1"/>
  <c r="M51" i="8" s="1"/>
  <c r="D36" i="8"/>
  <c r="F36" i="7"/>
  <c r="D35" i="7"/>
  <c r="D12" i="8"/>
  <c r="F12" i="7"/>
  <c r="F10" i="7" s="1"/>
  <c r="AQ16" i="7" s="1"/>
  <c r="D10" i="7"/>
  <c r="AJ123" i="5"/>
  <c r="AJ112" i="5" s="1"/>
  <c r="AI96" i="5"/>
  <c r="AI90" i="5" s="1"/>
  <c r="I64" i="13"/>
  <c r="G63" i="13"/>
  <c r="BC14" i="6"/>
  <c r="F63" i="6"/>
  <c r="M64" i="6"/>
  <c r="M63" i="6" s="1"/>
  <c r="N64" i="6"/>
  <c r="N63" i="6" s="1"/>
  <c r="N10" i="5"/>
  <c r="AI69" i="5"/>
  <c r="AI65" i="5" s="1"/>
  <c r="V150" i="13"/>
  <c r="X150" i="12"/>
  <c r="AM259" i="15"/>
  <c r="D43" i="9"/>
  <c r="D42" i="8"/>
  <c r="F43" i="8"/>
  <c r="AV22" i="5"/>
  <c r="AU22" i="5"/>
  <c r="AZ22" i="5"/>
  <c r="D30" i="8"/>
  <c r="F30" i="7"/>
  <c r="M30" i="7" s="1"/>
  <c r="M29" i="7" s="1"/>
  <c r="D29" i="7"/>
  <c r="AI196" i="5"/>
  <c r="AI195" i="5" s="1"/>
  <c r="AG160" i="7"/>
  <c r="AE157" i="7"/>
  <c r="AE155" i="7" s="1"/>
  <c r="AE145" i="7" s="1"/>
  <c r="AE99" i="7"/>
  <c r="AG96" i="6"/>
  <c r="AJ99" i="6"/>
  <c r="AJ96" i="6" s="1"/>
  <c r="W46" i="9"/>
  <c r="W44" i="8"/>
  <c r="V206" i="9"/>
  <c r="V205" i="8"/>
  <c r="X206" i="8"/>
  <c r="V97" i="9"/>
  <c r="V96" i="8"/>
  <c r="X97" i="8"/>
  <c r="V51" i="9"/>
  <c r="V49" i="8"/>
  <c r="X51" i="8"/>
  <c r="V21" i="9"/>
  <c r="V20" i="8"/>
  <c r="V16" i="8" s="1"/>
  <c r="X21" i="8"/>
  <c r="AJ243" i="5"/>
  <c r="AJ232" i="5" s="1"/>
  <c r="AI123" i="5"/>
  <c r="AI112" i="5" s="1"/>
  <c r="F22" i="6"/>
  <c r="AQ7" i="6" s="1"/>
  <c r="BC12" i="6"/>
  <c r="BC10" i="6" s="1"/>
  <c r="BC9" i="6" s="1"/>
  <c r="BC8" i="6" s="1"/>
  <c r="BC22" i="6" s="1"/>
  <c r="M23" i="6"/>
  <c r="N23" i="6"/>
  <c r="N22" i="6" s="1"/>
  <c r="M128" i="5"/>
  <c r="M10" i="5"/>
  <c r="AI185" i="5"/>
  <c r="AI170" i="5" s="1"/>
  <c r="AH69" i="5"/>
  <c r="AH65" i="5" s="1"/>
  <c r="D74" i="13"/>
  <c r="F74" i="13" s="1"/>
  <c r="V178" i="11"/>
  <c r="X178" i="10"/>
  <c r="AY22" i="5"/>
  <c r="AI145" i="6"/>
  <c r="AJ145" i="6"/>
  <c r="X196" i="7"/>
  <c r="BN28" i="7" s="1"/>
  <c r="BN25" i="7" s="1"/>
  <c r="BH12" i="7" s="1"/>
  <c r="AE187" i="7"/>
  <c r="AE185" i="7" s="1"/>
  <c r="AG189" i="7"/>
  <c r="AG106" i="7"/>
  <c r="AE105" i="7"/>
  <c r="AE104" i="7" s="1"/>
  <c r="W51" i="9"/>
  <c r="W49" i="8"/>
  <c r="V214" i="9"/>
  <c r="V211" i="8"/>
  <c r="V210" i="8" s="1"/>
  <c r="V209" i="8" s="1"/>
  <c r="X214" i="8"/>
  <c r="V158" i="9"/>
  <c r="V157" i="8"/>
  <c r="V155" i="8" s="1"/>
  <c r="X158" i="8"/>
  <c r="V118" i="8"/>
  <c r="V114" i="7"/>
  <c r="V112" i="7" s="1"/>
  <c r="X118" i="7"/>
  <c r="V46" i="8"/>
  <c r="V44" i="7"/>
  <c r="V43" i="7" s="1"/>
  <c r="V14" i="7" s="1"/>
  <c r="X46" i="7"/>
  <c r="D76" i="8"/>
  <c r="D75" i="7"/>
  <c r="F76" i="7"/>
  <c r="AV22" i="8"/>
  <c r="AY22" i="8"/>
  <c r="AU22" i="8"/>
  <c r="AZ22" i="8"/>
  <c r="W94" i="13"/>
  <c r="X94" i="13" s="1"/>
  <c r="X94" i="12"/>
  <c r="N75" i="5"/>
  <c r="AH196" i="5"/>
  <c r="AH195" i="5" s="1"/>
  <c r="AH193" i="5" s="1"/>
  <c r="V50" i="13"/>
  <c r="X50" i="12"/>
  <c r="V145" i="7"/>
  <c r="N79" i="7"/>
  <c r="M79" i="7"/>
  <c r="D59" i="9"/>
  <c r="D57" i="8"/>
  <c r="D46" i="9"/>
  <c r="D45" i="8"/>
  <c r="F46" i="8"/>
  <c r="AI243" i="5"/>
  <c r="AI232" i="5" s="1"/>
  <c r="AH123" i="5"/>
  <c r="AH112" i="5" s="1"/>
  <c r="AH20" i="5"/>
  <c r="AH16" i="5" s="1"/>
  <c r="AH14" i="5" s="1"/>
  <c r="I76" i="11"/>
  <c r="G75" i="11"/>
  <c r="W106" i="15"/>
  <c r="W105" i="14"/>
  <c r="W104" i="14" s="1"/>
  <c r="D64" i="8"/>
  <c r="D63" i="7"/>
  <c r="F64" i="7"/>
  <c r="W50" i="13"/>
  <c r="AJ150" i="11"/>
  <c r="AQ27" i="7"/>
  <c r="BN24" i="7"/>
  <c r="BN22" i="7" s="1"/>
  <c r="BH11" i="7" s="1"/>
  <c r="AR28" i="6"/>
  <c r="AW28" i="6" s="1"/>
  <c r="AD193" i="6"/>
  <c r="AI234" i="6"/>
  <c r="AI193" i="6"/>
  <c r="AF8" i="7"/>
  <c r="AI179" i="10"/>
  <c r="AJ179" i="10"/>
  <c r="AH179" i="10"/>
  <c r="C8" i="6"/>
  <c r="T33" i="10"/>
  <c r="AC258" i="14"/>
  <c r="AC258" i="8"/>
  <c r="AL10" i="11"/>
  <c r="AL8" i="11" s="1"/>
  <c r="AM259" i="11" s="1"/>
  <c r="AG234" i="6"/>
  <c r="AB8" i="5"/>
  <c r="I52" i="20"/>
  <c r="U12" i="9"/>
  <c r="U10" i="9" s="1"/>
  <c r="V244" i="8"/>
  <c r="X244" i="7"/>
  <c r="V243" i="7"/>
  <c r="V232" i="7" s="1"/>
  <c r="AE244" i="7"/>
  <c r="AG243" i="6"/>
  <c r="AJ244" i="6"/>
  <c r="AJ243" i="6" s="1"/>
  <c r="AJ232" i="6" s="1"/>
  <c r="Z258" i="13"/>
  <c r="Z258" i="7"/>
  <c r="AC8" i="13"/>
  <c r="AC258" i="13"/>
  <c r="AQ28" i="6"/>
  <c r="X193" i="6"/>
  <c r="AQ28" i="5"/>
  <c r="AV28" i="5" s="1"/>
  <c r="X193" i="5"/>
  <c r="U10" i="11"/>
  <c r="U8" i="11" s="1"/>
  <c r="AS29" i="6"/>
  <c r="AX29" i="6" s="1"/>
  <c r="AZ29" i="6" s="1"/>
  <c r="AG193" i="6"/>
  <c r="AS28" i="6"/>
  <c r="AX28" i="6" s="1"/>
  <c r="AD234" i="8"/>
  <c r="I55" i="7"/>
  <c r="AW14" i="7" s="1"/>
  <c r="G54" i="7"/>
  <c r="AB244" i="7"/>
  <c r="AD243" i="6"/>
  <c r="AD232" i="6" s="1"/>
  <c r="AI244" i="6"/>
  <c r="AI243" i="6" s="1"/>
  <c r="AC258" i="15"/>
  <c r="R40" i="20"/>
  <c r="Z258" i="16"/>
  <c r="C8" i="16"/>
  <c r="AR28" i="5"/>
  <c r="AD193" i="5"/>
  <c r="V258" i="5"/>
  <c r="Z258" i="15"/>
  <c r="Y244" i="7"/>
  <c r="AA243" i="6"/>
  <c r="AA232" i="6" s="1"/>
  <c r="BO29" i="6" s="1"/>
  <c r="BI13" i="6" s="1"/>
  <c r="AH244" i="6"/>
  <c r="AH243" i="6" s="1"/>
  <c r="AH232" i="6" s="1"/>
  <c r="W244" i="8"/>
  <c r="W243" i="7"/>
  <c r="W232" i="7" s="1"/>
  <c r="AC258" i="10"/>
  <c r="AC8" i="9"/>
  <c r="M31" i="20"/>
  <c r="M30" i="20" s="1"/>
  <c r="M29" i="20" s="1"/>
  <c r="M55" i="20" s="1"/>
  <c r="AM259" i="12"/>
  <c r="BQ8" i="12"/>
  <c r="BQ7" i="12" s="1"/>
  <c r="BQ32" i="12" s="1"/>
  <c r="BK8" i="12"/>
  <c r="Y39" i="15"/>
  <c r="AA39" i="15" s="1"/>
  <c r="AB33" i="16"/>
  <c r="AD33" i="16" s="1"/>
  <c r="AI33" i="16" s="1"/>
  <c r="AI33" i="15"/>
  <c r="AB121" i="16"/>
  <c r="AD121" i="16" s="1"/>
  <c r="AI121" i="16" s="1"/>
  <c r="AI121" i="15"/>
  <c r="Y156" i="15"/>
  <c r="AA156" i="15" s="1"/>
  <c r="BO18" i="14"/>
  <c r="AH156" i="14"/>
  <c r="AB177" i="15"/>
  <c r="AD177" i="15" s="1"/>
  <c r="BP23" i="14"/>
  <c r="AH224" i="16"/>
  <c r="AI224" i="16"/>
  <c r="AH224" i="15"/>
  <c r="AI224" i="15"/>
  <c r="Y66" i="15"/>
  <c r="AA66" i="15" s="1"/>
  <c r="BO10" i="14"/>
  <c r="AH66" i="14"/>
  <c r="Y33" i="16"/>
  <c r="AA33" i="16" s="1"/>
  <c r="AH33" i="16" s="1"/>
  <c r="AH33" i="15"/>
  <c r="I71" i="14"/>
  <c r="W205" i="16"/>
  <c r="AA230" i="14"/>
  <c r="I65" i="14"/>
  <c r="V152" i="16"/>
  <c r="AV22" i="13"/>
  <c r="AZ22" i="13"/>
  <c r="I83" i="14"/>
  <c r="G81" i="14"/>
  <c r="I59" i="14"/>
  <c r="G57" i="14"/>
  <c r="G77" i="15"/>
  <c r="G34" i="15"/>
  <c r="I32" i="14"/>
  <c r="N82" i="14"/>
  <c r="AM259" i="10"/>
  <c r="V199" i="14"/>
  <c r="X199" i="13"/>
  <c r="V106" i="14"/>
  <c r="V105" i="13"/>
  <c r="V104" i="13" s="1"/>
  <c r="X106" i="13"/>
  <c r="V23" i="14"/>
  <c r="AA51" i="13"/>
  <c r="X160" i="14"/>
  <c r="V160" i="15"/>
  <c r="G61" i="12"/>
  <c r="I61" i="12" s="1"/>
  <c r="X99" i="14"/>
  <c r="V99" i="15"/>
  <c r="D33" i="15"/>
  <c r="AB215" i="12"/>
  <c r="AD215" i="12" s="1"/>
  <c r="W48" i="14"/>
  <c r="E50" i="14"/>
  <c r="F50" i="13"/>
  <c r="V116" i="14"/>
  <c r="X116" i="13"/>
  <c r="V87" i="14"/>
  <c r="X87" i="13"/>
  <c r="V37" i="14"/>
  <c r="AH106" i="12"/>
  <c r="X105" i="12"/>
  <c r="X104" i="12" s="1"/>
  <c r="AI106" i="12"/>
  <c r="V94" i="14"/>
  <c r="V48" i="14"/>
  <c r="X48" i="13"/>
  <c r="D26" i="14"/>
  <c r="AB79" i="12"/>
  <c r="AD79" i="12" s="1"/>
  <c r="AI79" i="11"/>
  <c r="E74" i="14"/>
  <c r="X53" i="14"/>
  <c r="AH53" i="14" s="1"/>
  <c r="V53" i="15"/>
  <c r="V60" i="14"/>
  <c r="X60" i="13"/>
  <c r="AD59" i="13"/>
  <c r="AB58" i="13"/>
  <c r="AB57" i="13" s="1"/>
  <c r="E56" i="14"/>
  <c r="AH207" i="10"/>
  <c r="AM259" i="9"/>
  <c r="AG152" i="9"/>
  <c r="AE149" i="9"/>
  <c r="AE147" i="9" s="1"/>
  <c r="AJ119" i="13"/>
  <c r="AE119" i="14"/>
  <c r="AG119" i="14" s="1"/>
  <c r="AJ30" i="13"/>
  <c r="AE30" i="14"/>
  <c r="AG30" i="14" s="1"/>
  <c r="AD238" i="9"/>
  <c r="AB235" i="9"/>
  <c r="AB234" i="9" s="1"/>
  <c r="AA225" i="11"/>
  <c r="Y179" i="12"/>
  <c r="AH179" i="11"/>
  <c r="Y107" i="12"/>
  <c r="AA105" i="11"/>
  <c r="AA104" i="11" s="1"/>
  <c r="AH107" i="11"/>
  <c r="AH105" i="11" s="1"/>
  <c r="AH104" i="11" s="1"/>
  <c r="W37" i="14"/>
  <c r="X37" i="13"/>
  <c r="AE26" i="11"/>
  <c r="AG26" i="11" s="1"/>
  <c r="AJ26" i="10"/>
  <c r="AB229" i="10"/>
  <c r="AD150" i="9"/>
  <c r="Y50" i="16"/>
  <c r="AA50" i="16" s="1"/>
  <c r="AD98" i="14"/>
  <c r="AE93" i="10"/>
  <c r="AJ93" i="9"/>
  <c r="AE36" i="10"/>
  <c r="AG35" i="9"/>
  <c r="AJ36" i="9"/>
  <c r="AA95" i="11"/>
  <c r="AG59" i="9"/>
  <c r="AE58" i="9"/>
  <c r="AE57" i="9" s="1"/>
  <c r="AA100" i="11"/>
  <c r="AD198" i="9"/>
  <c r="AB197" i="9"/>
  <c r="AB127" i="10"/>
  <c r="AB85" i="13"/>
  <c r="AD85" i="13" s="1"/>
  <c r="AB55" i="14"/>
  <c r="AD55" i="14" s="1"/>
  <c r="AI55" i="13"/>
  <c r="J74" i="10"/>
  <c r="N74" i="9"/>
  <c r="J50" i="10"/>
  <c r="N50" i="9"/>
  <c r="W52" i="16"/>
  <c r="X52" i="15"/>
  <c r="E68" i="14"/>
  <c r="E44" i="14"/>
  <c r="F44" i="13"/>
  <c r="AD92" i="9"/>
  <c r="AB91" i="9"/>
  <c r="L68" i="9"/>
  <c r="L30" i="9"/>
  <c r="J29" i="9"/>
  <c r="Y213" i="12"/>
  <c r="AH213" i="11"/>
  <c r="Y173" i="12"/>
  <c r="AA172" i="11"/>
  <c r="AH173" i="11"/>
  <c r="AE67" i="13"/>
  <c r="AG67" i="13" s="1"/>
  <c r="AJ67" i="12"/>
  <c r="AE137" i="14"/>
  <c r="AG137" i="14" s="1"/>
  <c r="AJ137" i="13"/>
  <c r="AG86" i="9"/>
  <c r="AJ22" i="13"/>
  <c r="AE22" i="14"/>
  <c r="AG22" i="14" s="1"/>
  <c r="AD223" i="9"/>
  <c r="AB222" i="9"/>
  <c r="AA200" i="11"/>
  <c r="AA150" i="11"/>
  <c r="AJ37" i="12"/>
  <c r="AI37" i="12"/>
  <c r="AB188" i="10"/>
  <c r="AD187" i="9"/>
  <c r="AD185" i="9" s="1"/>
  <c r="AD117" i="9"/>
  <c r="AB114" i="9"/>
  <c r="AB66" i="12"/>
  <c r="AD66" i="12" s="1"/>
  <c r="BP10" i="11"/>
  <c r="AR22" i="11"/>
  <c r="AI66" i="11"/>
  <c r="L44" i="9"/>
  <c r="W23" i="14"/>
  <c r="X23" i="13"/>
  <c r="E62" i="14"/>
  <c r="F62" i="13"/>
  <c r="AG115" i="9"/>
  <c r="AG47" i="9"/>
  <c r="AE44" i="9"/>
  <c r="AG98" i="9"/>
  <c r="AE40" i="14"/>
  <c r="AG40" i="14" s="1"/>
  <c r="AJ40" i="13"/>
  <c r="AA46" i="13"/>
  <c r="AB181" i="14"/>
  <c r="AD181" i="14" s="1"/>
  <c r="AI181" i="13"/>
  <c r="AD100" i="9"/>
  <c r="AD22" i="9"/>
  <c r="L62" i="9"/>
  <c r="L36" i="9"/>
  <c r="J35" i="9"/>
  <c r="E80" i="16"/>
  <c r="F80" i="15"/>
  <c r="J80" i="10"/>
  <c r="N80" i="9"/>
  <c r="L56" i="9"/>
  <c r="Y246" i="12"/>
  <c r="AH246" i="11"/>
  <c r="AA190" i="11"/>
  <c r="Y117" i="12"/>
  <c r="AH117" i="11"/>
  <c r="I38" i="20"/>
  <c r="V75" i="13"/>
  <c r="X75" i="12"/>
  <c r="AE129" i="11"/>
  <c r="AG129" i="11" s="1"/>
  <c r="AJ129" i="10"/>
  <c r="AH75" i="8"/>
  <c r="AJ75" i="8"/>
  <c r="AB236" i="15"/>
  <c r="AI236" i="14"/>
  <c r="H36" i="20"/>
  <c r="H31" i="20" s="1"/>
  <c r="H30" i="20" s="1"/>
  <c r="H29" i="20" s="1"/>
  <c r="BK8" i="7"/>
  <c r="BL8" i="7" s="1"/>
  <c r="BQ8" i="7"/>
  <c r="BQ7" i="7" s="1"/>
  <c r="G52" i="20"/>
  <c r="BK13" i="6"/>
  <c r="BR29" i="16"/>
  <c r="BK13" i="5"/>
  <c r="F52" i="20"/>
  <c r="AI185" i="7"/>
  <c r="BN31" i="8"/>
  <c r="BH15" i="8" s="1"/>
  <c r="H51" i="20"/>
  <c r="H48" i="20" s="1"/>
  <c r="BQ25" i="7"/>
  <c r="BK12" i="7" s="1"/>
  <c r="BL12" i="7" s="1"/>
  <c r="BN15" i="6"/>
  <c r="BH10" i="6" s="1"/>
  <c r="AE165" i="16"/>
  <c r="AG165" i="16" s="1"/>
  <c r="AJ165" i="16" s="1"/>
  <c r="BP24" i="6"/>
  <c r="BP22" i="6" s="1"/>
  <c r="BJ11" i="6" s="1"/>
  <c r="AI196" i="7"/>
  <c r="AI195" i="7" s="1"/>
  <c r="AI193" i="7" s="1"/>
  <c r="AG202" i="7"/>
  <c r="AE197" i="7"/>
  <c r="AE196" i="7" s="1"/>
  <c r="AE195" i="7" s="1"/>
  <c r="AA85" i="7"/>
  <c r="Y83" i="7"/>
  <c r="AG241" i="7"/>
  <c r="AE235" i="7"/>
  <c r="AE234" i="7" s="1"/>
  <c r="AG212" i="7"/>
  <c r="AE211" i="7"/>
  <c r="AE210" i="7" s="1"/>
  <c r="AE209" i="7" s="1"/>
  <c r="Y76" i="14"/>
  <c r="AA76" i="14" s="1"/>
  <c r="AH76" i="13"/>
  <c r="Y68" i="14"/>
  <c r="AA68" i="14" s="1"/>
  <c r="AH68" i="13"/>
  <c r="AB118" i="16"/>
  <c r="AB251" i="16"/>
  <c r="AI251" i="15"/>
  <c r="AI90" i="7"/>
  <c r="AG174" i="12"/>
  <c r="X190" i="16"/>
  <c r="AW28" i="5"/>
  <c r="BO14" i="6"/>
  <c r="BI9" i="6" s="1"/>
  <c r="AJ45" i="15"/>
  <c r="AE45" i="16"/>
  <c r="AG45" i="16" s="1"/>
  <c r="AJ45" i="16" s="1"/>
  <c r="AA61" i="8"/>
  <c r="Y26" i="14"/>
  <c r="AA26" i="14" s="1"/>
  <c r="AH26" i="13"/>
  <c r="AA151" i="16"/>
  <c r="AI190" i="15"/>
  <c r="Y70" i="11"/>
  <c r="AA70" i="11" s="1"/>
  <c r="AH70" i="10"/>
  <c r="AA37" i="7"/>
  <c r="Y35" i="7"/>
  <c r="AE53" i="11"/>
  <c r="AG53" i="11" s="1"/>
  <c r="AJ53" i="10"/>
  <c r="BF21" i="7"/>
  <c r="Y28" i="11"/>
  <c r="AA28" i="11" s="1"/>
  <c r="AH28" i="10"/>
  <c r="AD167" i="7"/>
  <c r="AB157" i="7"/>
  <c r="AB155" i="7" s="1"/>
  <c r="AD180" i="7"/>
  <c r="AB176" i="7"/>
  <c r="AB170" i="7" s="1"/>
  <c r="N120" i="14"/>
  <c r="M120" i="14"/>
  <c r="M117" i="13"/>
  <c r="N117" i="13"/>
  <c r="N124" i="14"/>
  <c r="M124" i="14"/>
  <c r="E115" i="16"/>
  <c r="E113" i="16" s="1"/>
  <c r="E113" i="15"/>
  <c r="BO12" i="6"/>
  <c r="BO9" i="6" s="1"/>
  <c r="AA14" i="6"/>
  <c r="M119" i="13"/>
  <c r="N119" i="13"/>
  <c r="AA71" i="7"/>
  <c r="Y69" i="7"/>
  <c r="Y65" i="7" s="1"/>
  <c r="AG23" i="7"/>
  <c r="AE20" i="7"/>
  <c r="AE16" i="7" s="1"/>
  <c r="D118" i="16"/>
  <c r="F118" i="16" s="1"/>
  <c r="F118" i="15"/>
  <c r="D120" i="16"/>
  <c r="F120" i="16" s="1"/>
  <c r="F120" i="15"/>
  <c r="F117" i="14"/>
  <c r="D117" i="15"/>
  <c r="AI178" i="8"/>
  <c r="AH178" i="8"/>
  <c r="N116" i="13"/>
  <c r="M116" i="13"/>
  <c r="N121" i="13"/>
  <c r="M121" i="13"/>
  <c r="AG52" i="7"/>
  <c r="AE49" i="7"/>
  <c r="AE43" i="7" s="1"/>
  <c r="AA27" i="7"/>
  <c r="Y20" i="7"/>
  <c r="Y16" i="7" s="1"/>
  <c r="D119" i="15"/>
  <c r="F119" i="14"/>
  <c r="BC20" i="13"/>
  <c r="F113" i="13"/>
  <c r="AQ15" i="13" s="1"/>
  <c r="W133" i="9"/>
  <c r="W123" i="8"/>
  <c r="W112" i="8" s="1"/>
  <c r="X133" i="8"/>
  <c r="I113" i="10"/>
  <c r="AR15" i="10" s="1"/>
  <c r="AW15" i="10" s="1"/>
  <c r="BD20" i="10"/>
  <c r="G115" i="11"/>
  <c r="M115" i="10"/>
  <c r="M113" i="10" s="1"/>
  <c r="D116" i="15"/>
  <c r="F116" i="14"/>
  <c r="F121" i="14"/>
  <c r="D121" i="15"/>
  <c r="M82" i="10"/>
  <c r="N82" i="10"/>
  <c r="AG70" i="7"/>
  <c r="AE69" i="7"/>
  <c r="AE65" i="7" s="1"/>
  <c r="N123" i="16"/>
  <c r="M123" i="16"/>
  <c r="N122" i="15"/>
  <c r="M122" i="15"/>
  <c r="AH176" i="7"/>
  <c r="BP17" i="6"/>
  <c r="BP15" i="6" s="1"/>
  <c r="BJ10" i="6" s="1"/>
  <c r="AD145" i="6"/>
  <c r="AD110" i="6" s="1"/>
  <c r="AR26" i="6" s="1"/>
  <c r="AW26" i="6" s="1"/>
  <c r="D124" i="16"/>
  <c r="F124" i="16" s="1"/>
  <c r="F124" i="15"/>
  <c r="AD39" i="7"/>
  <c r="AB35" i="7"/>
  <c r="N123" i="15"/>
  <c r="M123" i="15"/>
  <c r="N122" i="16"/>
  <c r="M122" i="16"/>
  <c r="AS23" i="6"/>
  <c r="AX23" i="6" s="1"/>
  <c r="AZ23" i="6" s="1"/>
  <c r="AG14" i="6"/>
  <c r="D115" i="15"/>
  <c r="D113" i="14"/>
  <c r="F115" i="14"/>
  <c r="N118" i="14"/>
  <c r="M118" i="14"/>
  <c r="L115" i="11"/>
  <c r="J113" i="11"/>
  <c r="AR16" i="6"/>
  <c r="AW16" i="6" s="1"/>
  <c r="AY16" i="6" s="1"/>
  <c r="AS16" i="6"/>
  <c r="AX16" i="6" s="1"/>
  <c r="BN30" i="7"/>
  <c r="BH14" i="7" s="1"/>
  <c r="D90" i="16"/>
  <c r="F90" i="16" s="1"/>
  <c r="F90" i="15"/>
  <c r="F102" i="14"/>
  <c r="D102" i="15"/>
  <c r="AJ179" i="8"/>
  <c r="AH179" i="8"/>
  <c r="AI179" i="8"/>
  <c r="V174" i="10"/>
  <c r="V172" i="9"/>
  <c r="X174" i="9"/>
  <c r="AI73" i="8"/>
  <c r="AJ73" i="8"/>
  <c r="AH73" i="8"/>
  <c r="AW29" i="7"/>
  <c r="AY29" i="7" s="1"/>
  <c r="BP27" i="7"/>
  <c r="D98" i="15"/>
  <c r="F98" i="14"/>
  <c r="N97" i="16"/>
  <c r="M97" i="16"/>
  <c r="C20" i="20"/>
  <c r="M111" i="13"/>
  <c r="N111" i="13"/>
  <c r="AI229" i="8"/>
  <c r="AI227" i="8" s="1"/>
  <c r="AI220" i="8" s="1"/>
  <c r="AH229" i="8"/>
  <c r="AH227" i="8" s="1"/>
  <c r="X227" i="8"/>
  <c r="X220" i="8" s="1"/>
  <c r="V207" i="14"/>
  <c r="X207" i="13"/>
  <c r="J41" i="8"/>
  <c r="L41" i="8" s="1"/>
  <c r="F94" i="13"/>
  <c r="F108" i="14"/>
  <c r="D108" i="15"/>
  <c r="E105" i="15"/>
  <c r="E104" i="14"/>
  <c r="D86" i="15"/>
  <c r="F86" i="14"/>
  <c r="D85" i="14"/>
  <c r="L48" i="20"/>
  <c r="AI207" i="8"/>
  <c r="AH207" i="8"/>
  <c r="V135" i="10"/>
  <c r="V123" i="9"/>
  <c r="X135" i="9"/>
  <c r="V73" i="10"/>
  <c r="V69" i="9"/>
  <c r="V65" i="9" s="1"/>
  <c r="X73" i="9"/>
  <c r="D96" i="15"/>
  <c r="F96" i="14"/>
  <c r="N88" i="13"/>
  <c r="AQ11" i="13"/>
  <c r="E95" i="16"/>
  <c r="E94" i="16" s="1"/>
  <c r="E94" i="15"/>
  <c r="N99" i="13"/>
  <c r="M99" i="13"/>
  <c r="F91" i="15"/>
  <c r="D91" i="16"/>
  <c r="F91" i="16" s="1"/>
  <c r="F87" i="15"/>
  <c r="D87" i="16"/>
  <c r="F87" i="16" s="1"/>
  <c r="BJ7" i="5"/>
  <c r="BJ16" i="5" s="1"/>
  <c r="V188" i="10"/>
  <c r="V187" i="9"/>
  <c r="V185" i="9" s="1"/>
  <c r="X188" i="9"/>
  <c r="AV11" i="12"/>
  <c r="AZ11" i="12"/>
  <c r="I105" i="10"/>
  <c r="BD19" i="10" s="1"/>
  <c r="G104" i="10"/>
  <c r="N92" i="13"/>
  <c r="M92" i="13"/>
  <c r="N97" i="15"/>
  <c r="M97" i="15"/>
  <c r="J95" i="11"/>
  <c r="L94" i="10"/>
  <c r="N95" i="10"/>
  <c r="N94" i="10" s="1"/>
  <c r="AH238" i="8"/>
  <c r="AI238" i="8"/>
  <c r="AI235" i="8" s="1"/>
  <c r="AI234" i="8" s="1"/>
  <c r="X235" i="8"/>
  <c r="X234" i="8" s="1"/>
  <c r="AI177" i="8"/>
  <c r="AJ177" i="8"/>
  <c r="BN23" i="8"/>
  <c r="X176" i="8"/>
  <c r="X170" i="8" s="1"/>
  <c r="F110" i="14"/>
  <c r="D110" i="15"/>
  <c r="F95" i="14"/>
  <c r="D95" i="15"/>
  <c r="D94" i="14"/>
  <c r="M108" i="13"/>
  <c r="N108" i="13"/>
  <c r="N109" i="14"/>
  <c r="M109" i="14"/>
  <c r="AZ12" i="14"/>
  <c r="AY12" i="14"/>
  <c r="AV12" i="14"/>
  <c r="AU12" i="14"/>
  <c r="BK8" i="14"/>
  <c r="BK7" i="14" s="1"/>
  <c r="BK16" i="14" s="1"/>
  <c r="BQ8" i="14"/>
  <c r="BQ7" i="14" s="1"/>
  <c r="BQ32" i="14" s="1"/>
  <c r="AE162" i="11"/>
  <c r="AG162" i="11" s="1"/>
  <c r="AJ162" i="10"/>
  <c r="AI227" i="7"/>
  <c r="AI220" i="7" s="1"/>
  <c r="D88" i="15"/>
  <c r="F88" i="14"/>
  <c r="N106" i="14"/>
  <c r="M106" i="14"/>
  <c r="N89" i="15"/>
  <c r="M89" i="15"/>
  <c r="AQ12" i="15"/>
  <c r="N91" i="14"/>
  <c r="M91" i="14"/>
  <c r="N87" i="14"/>
  <c r="M87" i="14"/>
  <c r="R35" i="20"/>
  <c r="R32" i="20" s="1"/>
  <c r="L29" i="20"/>
  <c r="R37" i="20"/>
  <c r="N82" i="12"/>
  <c r="BQ8" i="15"/>
  <c r="BQ7" i="15" s="1"/>
  <c r="BQ32" i="15" s="1"/>
  <c r="L86" i="10"/>
  <c r="J85" i="10"/>
  <c r="F92" i="14"/>
  <c r="D92" i="15"/>
  <c r="AG124" i="8"/>
  <c r="AD216" i="8"/>
  <c r="AB211" i="8"/>
  <c r="AB210" i="8" s="1"/>
  <c r="AB209" i="8" s="1"/>
  <c r="J29" i="20"/>
  <c r="J55" i="20" s="1"/>
  <c r="F104" i="13"/>
  <c r="J12" i="8"/>
  <c r="L12" i="8" s="1"/>
  <c r="N107" i="13"/>
  <c r="M107" i="13"/>
  <c r="V228" i="10"/>
  <c r="V227" i="9"/>
  <c r="V220" i="9" s="1"/>
  <c r="X228" i="9"/>
  <c r="BK8" i="13"/>
  <c r="BK7" i="13" s="1"/>
  <c r="BK16" i="13" s="1"/>
  <c r="BQ8" i="13"/>
  <c r="BQ7" i="13" s="1"/>
  <c r="BQ32" i="13" s="1"/>
  <c r="V238" i="10"/>
  <c r="X238" i="9"/>
  <c r="AJ238" i="9" s="1"/>
  <c r="N110" i="13"/>
  <c r="M110" i="13"/>
  <c r="D109" i="16"/>
  <c r="F109" i="16" s="1"/>
  <c r="F109" i="15"/>
  <c r="E86" i="15"/>
  <c r="E85" i="14"/>
  <c r="BE22" i="7"/>
  <c r="O55" i="20"/>
  <c r="AH227" i="7"/>
  <c r="AH220" i="7" s="1"/>
  <c r="BQ8" i="10"/>
  <c r="BQ7" i="10" s="1"/>
  <c r="BK8" i="10"/>
  <c r="BK7" i="10" s="1"/>
  <c r="AD75" i="8"/>
  <c r="Y161" i="11"/>
  <c r="AA161" i="11" s="1"/>
  <c r="AH161" i="10"/>
  <c r="D106" i="16"/>
  <c r="F106" i="16" s="1"/>
  <c r="F106" i="15"/>
  <c r="M89" i="16"/>
  <c r="N89" i="16"/>
  <c r="N101" i="16"/>
  <c r="M101" i="16"/>
  <c r="N100" i="14"/>
  <c r="M100" i="14"/>
  <c r="G41" i="8"/>
  <c r="I41" i="8" s="1"/>
  <c r="BD17" i="7"/>
  <c r="AG80" i="8"/>
  <c r="N90" i="14"/>
  <c r="M90" i="14"/>
  <c r="AQ13" i="14"/>
  <c r="L105" i="10"/>
  <c r="J104" i="10"/>
  <c r="N102" i="13"/>
  <c r="M102" i="13"/>
  <c r="BK11" i="12"/>
  <c r="V170" i="8"/>
  <c r="AG161" i="8"/>
  <c r="N98" i="13"/>
  <c r="M98" i="13"/>
  <c r="D105" i="15"/>
  <c r="F105" i="14"/>
  <c r="D104" i="14"/>
  <c r="F107" i="14"/>
  <c r="D107" i="15"/>
  <c r="F111" i="14"/>
  <c r="D111" i="15"/>
  <c r="BK8" i="15"/>
  <c r="BK7" i="15" s="1"/>
  <c r="P36" i="20"/>
  <c r="BK11" i="7"/>
  <c r="BE21" i="8"/>
  <c r="B24" i="9"/>
  <c r="V177" i="10"/>
  <c r="V176" i="9"/>
  <c r="X177" i="9"/>
  <c r="M86" i="13"/>
  <c r="F85" i="13"/>
  <c r="V237" i="10"/>
  <c r="V235" i="9"/>
  <c r="V234" i="9" s="1"/>
  <c r="X237" i="9"/>
  <c r="K29" i="20"/>
  <c r="K55" i="20" s="1"/>
  <c r="N96" i="13"/>
  <c r="M96" i="13"/>
  <c r="I95" i="10"/>
  <c r="BD18" i="10" s="1"/>
  <c r="G94" i="10"/>
  <c r="D99" i="15"/>
  <c r="F99" i="14"/>
  <c r="N101" i="15"/>
  <c r="M101" i="15"/>
  <c r="D100" i="16"/>
  <c r="F100" i="16" s="1"/>
  <c r="F100" i="15"/>
  <c r="R50" i="20"/>
  <c r="I48" i="20"/>
  <c r="N28" i="6"/>
  <c r="BC22" i="5"/>
  <c r="AV16" i="5"/>
  <c r="AY16" i="5"/>
  <c r="AU16" i="5"/>
  <c r="AZ16" i="5"/>
  <c r="BD21" i="6"/>
  <c r="M24" i="6"/>
  <c r="I22" i="6"/>
  <c r="AR7" i="6" s="1"/>
  <c r="AW7" i="6"/>
  <c r="G24" i="7"/>
  <c r="L21" i="6"/>
  <c r="L19" i="6" s="1"/>
  <c r="L17" i="6" s="1"/>
  <c r="L8" i="6" s="1"/>
  <c r="L27" i="7"/>
  <c r="L128" i="7" s="1"/>
  <c r="J25" i="7"/>
  <c r="G27" i="7"/>
  <c r="I25" i="6"/>
  <c r="AW8" i="6"/>
  <c r="AY8" i="6" s="1"/>
  <c r="M27" i="6"/>
  <c r="M25" i="6" s="1"/>
  <c r="I128" i="6"/>
  <c r="G88" i="11"/>
  <c r="M88" i="10"/>
  <c r="M85" i="10" s="1"/>
  <c r="I85" i="10"/>
  <c r="AW11" i="10"/>
  <c r="AY11" i="10" s="1"/>
  <c r="AR11" i="10"/>
  <c r="AU11" i="10" s="1"/>
  <c r="N82" i="13"/>
  <c r="N82" i="15"/>
  <c r="M82" i="15"/>
  <c r="M82" i="11"/>
  <c r="N82" i="11"/>
  <c r="L31" i="11"/>
  <c r="J37" i="11"/>
  <c r="E31" i="15"/>
  <c r="E29" i="14"/>
  <c r="E37" i="12"/>
  <c r="E35" i="11"/>
  <c r="J65" i="9"/>
  <c r="L63" i="8"/>
  <c r="E26" i="10"/>
  <c r="E25" i="9"/>
  <c r="F26" i="9"/>
  <c r="M77" i="8"/>
  <c r="N77" i="8"/>
  <c r="E71" i="10"/>
  <c r="E69" i="9"/>
  <c r="F71" i="9"/>
  <c r="G74" i="9"/>
  <c r="I72" i="8"/>
  <c r="M74" i="8"/>
  <c r="M72" i="8" s="1"/>
  <c r="BC11" i="8"/>
  <c r="M26" i="8"/>
  <c r="N26" i="8"/>
  <c r="J53" i="9"/>
  <c r="L51" i="8"/>
  <c r="J26" i="9"/>
  <c r="J83" i="9"/>
  <c r="L81" i="8"/>
  <c r="J47" i="9"/>
  <c r="L45" i="8"/>
  <c r="E14" i="10"/>
  <c r="E10" i="9"/>
  <c r="F14" i="9"/>
  <c r="J71" i="9"/>
  <c r="L69" i="8"/>
  <c r="N71" i="8"/>
  <c r="N69" i="8" s="1"/>
  <c r="D31" i="10"/>
  <c r="F31" i="9"/>
  <c r="M13" i="8"/>
  <c r="D37" i="10"/>
  <c r="F37" i="9"/>
  <c r="N65" i="8"/>
  <c r="J33" i="9"/>
  <c r="N33" i="8"/>
  <c r="D13" i="10"/>
  <c r="F13" i="9"/>
  <c r="E77" i="10"/>
  <c r="E75" i="9"/>
  <c r="F77" i="9"/>
  <c r="N53" i="8"/>
  <c r="G37" i="9"/>
  <c r="E53" i="10"/>
  <c r="E51" i="9"/>
  <c r="F53" i="9"/>
  <c r="F81" i="8"/>
  <c r="M83" i="8"/>
  <c r="M81" i="8" s="1"/>
  <c r="N83" i="8"/>
  <c r="N81" i="8" s="1"/>
  <c r="E33" i="11"/>
  <c r="E32" i="10"/>
  <c r="E28" i="10" s="1"/>
  <c r="F33" i="10"/>
  <c r="G62" i="9"/>
  <c r="I60" i="8"/>
  <c r="M62" i="8"/>
  <c r="E65" i="10"/>
  <c r="E63" i="9"/>
  <c r="F65" i="9"/>
  <c r="J77" i="9"/>
  <c r="L75" i="8"/>
  <c r="D68" i="10"/>
  <c r="D66" i="9"/>
  <c r="F68" i="9"/>
  <c r="E83" i="10"/>
  <c r="E81" i="9"/>
  <c r="F83" i="9"/>
  <c r="J59" i="9"/>
  <c r="L57" i="8"/>
  <c r="N59" i="8"/>
  <c r="N57" i="8" s="1"/>
  <c r="G46" i="9"/>
  <c r="I45" i="8"/>
  <c r="BD15" i="8"/>
  <c r="M46" i="8"/>
  <c r="M45" i="8" s="1"/>
  <c r="D56" i="10"/>
  <c r="D54" i="9"/>
  <c r="F56" i="9"/>
  <c r="E47" i="10"/>
  <c r="E45" i="9"/>
  <c r="F47" i="9"/>
  <c r="E59" i="10"/>
  <c r="E57" i="9"/>
  <c r="F59" i="9"/>
  <c r="G52" i="9"/>
  <c r="I51" i="8"/>
  <c r="M37" i="8"/>
  <c r="E24" i="9"/>
  <c r="E22" i="8"/>
  <c r="E128" i="8"/>
  <c r="N24" i="7"/>
  <c r="F128" i="7"/>
  <c r="L13" i="7"/>
  <c r="J10" i="7"/>
  <c r="D24" i="9"/>
  <c r="F24" i="8"/>
  <c r="D128" i="8"/>
  <c r="J14" i="11"/>
  <c r="L14" i="11" s="1"/>
  <c r="J15" i="9"/>
  <c r="L15" i="9" s="1"/>
  <c r="N15" i="8"/>
  <c r="J24" i="8"/>
  <c r="L22" i="7"/>
  <c r="AX7" i="7"/>
  <c r="AB88" i="8"/>
  <c r="AD83" i="7"/>
  <c r="BP31" i="7"/>
  <c r="BJ15" i="7" s="1"/>
  <c r="AI88" i="7"/>
  <c r="Y237" i="8"/>
  <c r="AA235" i="7"/>
  <c r="AH237" i="7"/>
  <c r="AH235" i="7" s="1"/>
  <c r="AH234" i="7" s="1"/>
  <c r="AV22" i="15"/>
  <c r="X110" i="5"/>
  <c r="AQ26" i="5" s="1"/>
  <c r="AY26" i="5" s="1"/>
  <c r="U12" i="13"/>
  <c r="AA133" i="8"/>
  <c r="I56" i="8"/>
  <c r="V245" i="10"/>
  <c r="X245" i="9"/>
  <c r="V134" i="13"/>
  <c r="X134" i="12"/>
  <c r="AD107" i="8"/>
  <c r="AB105" i="8"/>
  <c r="AB104" i="8" s="1"/>
  <c r="AD50" i="8"/>
  <c r="AB49" i="8"/>
  <c r="V225" i="13"/>
  <c r="X225" i="12"/>
  <c r="AG127" i="12"/>
  <c r="AV24" i="5"/>
  <c r="AU24" i="5"/>
  <c r="AZ24" i="5"/>
  <c r="AY24" i="5"/>
  <c r="AG158" i="12"/>
  <c r="M38" i="9"/>
  <c r="N38" i="9"/>
  <c r="AD38" i="16"/>
  <c r="AG142" i="16"/>
  <c r="BP8" i="5"/>
  <c r="BP7" i="5" s="1"/>
  <c r="BP32" i="5" s="1"/>
  <c r="AE227" i="8"/>
  <c r="R47" i="20"/>
  <c r="R45" i="20" s="1"/>
  <c r="F45" i="20"/>
  <c r="F29" i="20" s="1"/>
  <c r="AY25" i="5"/>
  <c r="AV25" i="5"/>
  <c r="AZ25" i="5"/>
  <c r="AU25" i="5"/>
  <c r="D40" i="12"/>
  <c r="F40" i="11"/>
  <c r="AD214" i="15"/>
  <c r="BK7" i="5"/>
  <c r="AB168" i="16"/>
  <c r="AI168" i="15"/>
  <c r="N40" i="10"/>
  <c r="M40" i="10"/>
  <c r="F39" i="11"/>
  <c r="D39" i="12"/>
  <c r="BQ7" i="5"/>
  <c r="BQ32" i="5" s="1"/>
  <c r="D38" i="11"/>
  <c r="F38" i="10"/>
  <c r="M39" i="10"/>
  <c r="N39" i="10"/>
  <c r="AB74" i="16"/>
  <c r="AI74" i="15"/>
  <c r="AE92" i="15"/>
  <c r="X132" i="16"/>
  <c r="AD93" i="16"/>
  <c r="I26" i="16"/>
  <c r="AU29" i="7"/>
  <c r="AV29" i="7"/>
  <c r="X162" i="16"/>
  <c r="AE48" i="16"/>
  <c r="AH132" i="15"/>
  <c r="AI132" i="15"/>
  <c r="AJ132" i="15"/>
  <c r="W212" i="16"/>
  <c r="X212" i="15"/>
  <c r="AV29" i="6"/>
  <c r="AU29" i="6"/>
  <c r="G29" i="20"/>
  <c r="G55" i="20" s="1"/>
  <c r="M28" i="6"/>
  <c r="AJ220" i="7"/>
  <c r="AA251" i="16"/>
  <c r="AI212" i="14"/>
  <c r="AY12" i="16"/>
  <c r="AZ12" i="16"/>
  <c r="AV12" i="16"/>
  <c r="AU12" i="16"/>
  <c r="AD130" i="15"/>
  <c r="AE177" i="16"/>
  <c r="AG177" i="16" s="1"/>
  <c r="L46" i="16"/>
  <c r="AD86" i="16"/>
  <c r="AH162" i="15"/>
  <c r="AI162" i="15"/>
  <c r="N41" i="7"/>
  <c r="M41" i="7"/>
  <c r="D41" i="9"/>
  <c r="F41" i="8"/>
  <c r="B12" i="11"/>
  <c r="I12" i="7"/>
  <c r="G10" i="7"/>
  <c r="BD7" i="6"/>
  <c r="AE71" i="16"/>
  <c r="AE229" i="9"/>
  <c r="AG229" i="9" s="1"/>
  <c r="AJ229" i="8"/>
  <c r="AE204" i="10"/>
  <c r="AG204" i="10" s="1"/>
  <c r="AJ204" i="9"/>
  <c r="AE254" i="10"/>
  <c r="AG254" i="10" s="1"/>
  <c r="AJ254" i="9"/>
  <c r="AE251" i="10"/>
  <c r="AG251" i="10" s="1"/>
  <c r="AJ251" i="9"/>
  <c r="AI202" i="16"/>
  <c r="AG60" i="15"/>
  <c r="BE8" i="13"/>
  <c r="AE200" i="10"/>
  <c r="AG200" i="10" s="1"/>
  <c r="AJ200" i="9"/>
  <c r="AE222" i="8"/>
  <c r="AJ107" i="15"/>
  <c r="AE107" i="16"/>
  <c r="BK8" i="16"/>
  <c r="BQ8" i="16"/>
  <c r="BQ7" i="16" s="1"/>
  <c r="BQ32" i="16" s="1"/>
  <c r="AE188" i="9"/>
  <c r="AJ188" i="8"/>
  <c r="AG181" i="8"/>
  <c r="AE240" i="10"/>
  <c r="AG240" i="10" s="1"/>
  <c r="AJ240" i="9"/>
  <c r="AJ84" i="15"/>
  <c r="AE84" i="16"/>
  <c r="BL10" i="7"/>
  <c r="BL10" i="10" s="1"/>
  <c r="BL10" i="13" s="1"/>
  <c r="BL10" i="16" s="1"/>
  <c r="BK8" i="8"/>
  <c r="BQ8" i="8"/>
  <c r="BQ7" i="8" s="1"/>
  <c r="BQ8" i="11"/>
  <c r="BQ7" i="11" s="1"/>
  <c r="BQ32" i="11" s="1"/>
  <c r="BK8" i="11"/>
  <c r="AE214" i="10"/>
  <c r="AG214" i="10" s="1"/>
  <c r="AE238" i="10"/>
  <c r="AG238" i="10" s="1"/>
  <c r="AE133" i="16"/>
  <c r="BF9" i="7"/>
  <c r="BF9" i="10" s="1"/>
  <c r="BF9" i="13" s="1"/>
  <c r="BF9" i="16" s="1"/>
  <c r="BE8" i="5"/>
  <c r="BE22" i="5" s="1"/>
  <c r="AE213" i="10"/>
  <c r="AG213" i="10" s="1"/>
  <c r="AJ213" i="9"/>
  <c r="AZ22" i="15"/>
  <c r="AE245" i="13"/>
  <c r="AG245" i="13" s="1"/>
  <c r="AE224" i="9"/>
  <c r="AG224" i="9" s="1"/>
  <c r="AJ224" i="8"/>
  <c r="AE256" i="10"/>
  <c r="AG256" i="10" s="1"/>
  <c r="AJ256" i="9"/>
  <c r="AE239" i="10"/>
  <c r="AG239" i="10" s="1"/>
  <c r="AJ239" i="9"/>
  <c r="AE223" i="9"/>
  <c r="AJ223" i="8"/>
  <c r="AG222" i="8"/>
  <c r="AE97" i="16"/>
  <c r="AY9" i="6"/>
  <c r="AU9" i="6"/>
  <c r="AV9" i="6"/>
  <c r="AZ9" i="6"/>
  <c r="AE255" i="10"/>
  <c r="AG255" i="10" s="1"/>
  <c r="AJ255" i="9"/>
  <c r="AJ207" i="10"/>
  <c r="AE207" i="11"/>
  <c r="AG207" i="11" s="1"/>
  <c r="AE190" i="10"/>
  <c r="AG190" i="10" s="1"/>
  <c r="AJ190" i="9"/>
  <c r="AE183" i="10"/>
  <c r="AG183" i="10" s="1"/>
  <c r="AJ183" i="9"/>
  <c r="AE225" i="10"/>
  <c r="AG225" i="10" s="1"/>
  <c r="AJ225" i="9"/>
  <c r="AR13" i="8"/>
  <c r="AU13" i="8" s="1"/>
  <c r="AW13" i="8"/>
  <c r="AY13" i="8" s="1"/>
  <c r="BK16" i="15"/>
  <c r="AE159" i="16"/>
  <c r="Y53" i="15"/>
  <c r="AI217" i="16"/>
  <c r="AJ66" i="16"/>
  <c r="AS22" i="16"/>
  <c r="AV22" i="16" s="1"/>
  <c r="BK7" i="6"/>
  <c r="AG186" i="8"/>
  <c r="AE216" i="10"/>
  <c r="AG216" i="10" s="1"/>
  <c r="AJ216" i="9"/>
  <c r="AE182" i="10"/>
  <c r="AG182" i="10" s="1"/>
  <c r="AJ182" i="9"/>
  <c r="AE246" i="10"/>
  <c r="AG246" i="10" s="1"/>
  <c r="AJ246" i="9"/>
  <c r="AE218" i="13"/>
  <c r="AG218" i="13" s="1"/>
  <c r="AJ218" i="12"/>
  <c r="AJ180" i="11"/>
  <c r="AE180" i="12"/>
  <c r="AS13" i="7"/>
  <c r="AX13" i="7"/>
  <c r="G23" i="8"/>
  <c r="BD12" i="7"/>
  <c r="AJ249" i="12"/>
  <c r="AE249" i="13"/>
  <c r="AG249" i="13" s="1"/>
  <c r="G30" i="8"/>
  <c r="I29" i="7"/>
  <c r="BD13" i="7"/>
  <c r="AE51" i="16"/>
  <c r="I126" i="5"/>
  <c r="I130" i="5" s="1"/>
  <c r="AE250" i="10"/>
  <c r="AG250" i="10" s="1"/>
  <c r="AJ250" i="9"/>
  <c r="AG206" i="8"/>
  <c r="AE205" i="8"/>
  <c r="AE247" i="13"/>
  <c r="AG247" i="13" s="1"/>
  <c r="AJ247" i="12"/>
  <c r="AE21" i="16"/>
  <c r="AU9" i="5"/>
  <c r="AE230" i="13"/>
  <c r="AG230" i="13" s="1"/>
  <c r="AJ230" i="12"/>
  <c r="AG198" i="8"/>
  <c r="AE217" i="10"/>
  <c r="AG217" i="10" s="1"/>
  <c r="AJ217" i="9"/>
  <c r="AE151" i="16"/>
  <c r="AJ148" i="16"/>
  <c r="S10" i="18"/>
  <c r="BE8" i="16"/>
  <c r="AE253" i="10"/>
  <c r="AG253" i="10" s="1"/>
  <c r="AJ253" i="9"/>
  <c r="AE237" i="9"/>
  <c r="AG237" i="9" s="1"/>
  <c r="AJ237" i="8"/>
  <c r="AE228" i="9"/>
  <c r="AG227" i="8"/>
  <c r="AJ228" i="8"/>
  <c r="AE203" i="10"/>
  <c r="AG203" i="10" s="1"/>
  <c r="AJ203" i="9"/>
  <c r="AE236" i="9"/>
  <c r="AJ236" i="8"/>
  <c r="AE248" i="10"/>
  <c r="AG248" i="10" s="1"/>
  <c r="AJ248" i="9"/>
  <c r="AE191" i="10"/>
  <c r="AG191" i="10" s="1"/>
  <c r="AJ191" i="9"/>
  <c r="AE252" i="10"/>
  <c r="AG252" i="10" s="1"/>
  <c r="AJ252" i="9"/>
  <c r="AE201" i="10"/>
  <c r="AG201" i="10" s="1"/>
  <c r="AE199" i="10"/>
  <c r="AG199" i="10" s="1"/>
  <c r="AJ199" i="9"/>
  <c r="AE215" i="10"/>
  <c r="AG215" i="10" s="1"/>
  <c r="AJ215" i="9"/>
  <c r="AC258" i="16" l="1"/>
  <c r="N55" i="20"/>
  <c r="R38" i="20"/>
  <c r="BQ32" i="10"/>
  <c r="R52" i="20"/>
  <c r="BQ32" i="8"/>
  <c r="BL12" i="10"/>
  <c r="BL12" i="13" s="1"/>
  <c r="BL12" i="16" s="1"/>
  <c r="BQ32" i="7"/>
  <c r="R36" i="20"/>
  <c r="R31" i="20" s="1"/>
  <c r="R30" i="20" s="1"/>
  <c r="BK7" i="7"/>
  <c r="BK16" i="7" s="1"/>
  <c r="W115" i="10"/>
  <c r="W114" i="10" s="1"/>
  <c r="AJ14" i="6"/>
  <c r="AV28" i="6"/>
  <c r="AB145" i="7"/>
  <c r="AB110" i="7" s="1"/>
  <c r="AA12" i="6"/>
  <c r="AA10" i="6" s="1"/>
  <c r="AA8" i="6" s="1"/>
  <c r="AU23" i="6"/>
  <c r="W10" i="7"/>
  <c r="W258" i="7" s="1"/>
  <c r="AU28" i="6"/>
  <c r="AZ28" i="6"/>
  <c r="AZ27" i="6"/>
  <c r="AG258" i="5"/>
  <c r="AS31" i="5" s="1"/>
  <c r="AS32" i="5" s="1"/>
  <c r="AA258" i="5"/>
  <c r="BO33" i="5" s="1"/>
  <c r="BO15" i="6"/>
  <c r="BI10" i="6" s="1"/>
  <c r="Z258" i="5"/>
  <c r="AE10" i="6"/>
  <c r="AE8" i="6" s="1"/>
  <c r="AV26" i="6"/>
  <c r="AB258" i="6"/>
  <c r="AB8" i="6"/>
  <c r="AU24" i="6"/>
  <c r="BP8" i="6"/>
  <c r="BP7" i="6" s="1"/>
  <c r="BJ8" i="6"/>
  <c r="BJ7" i="6" s="1"/>
  <c r="AD8" i="5"/>
  <c r="Y1" i="5" s="1"/>
  <c r="Y8" i="6"/>
  <c r="Y258" i="6"/>
  <c r="AV23" i="6"/>
  <c r="AQ30" i="5"/>
  <c r="AV30" i="5" s="1"/>
  <c r="X195" i="7"/>
  <c r="AQ28" i="7" s="1"/>
  <c r="AU28" i="5"/>
  <c r="AH110" i="5"/>
  <c r="BH8" i="6"/>
  <c r="BH7" i="6" s="1"/>
  <c r="BH16" i="6" s="1"/>
  <c r="W8" i="6"/>
  <c r="AY24" i="6"/>
  <c r="AV24" i="6"/>
  <c r="AY30" i="5"/>
  <c r="AH232" i="5"/>
  <c r="M22" i="6"/>
  <c r="BC7" i="7"/>
  <c r="AV16" i="6"/>
  <c r="AY28" i="5"/>
  <c r="AY28" i="6"/>
  <c r="AZ28" i="5"/>
  <c r="AY27" i="6"/>
  <c r="AU27" i="6"/>
  <c r="AH170" i="7"/>
  <c r="AY27" i="5"/>
  <c r="AV27" i="6"/>
  <c r="AI110" i="5"/>
  <c r="U10" i="13"/>
  <c r="U8" i="13" s="1"/>
  <c r="U8" i="5"/>
  <c r="AH63" i="6"/>
  <c r="AH12" i="6" s="1"/>
  <c r="X12" i="5"/>
  <c r="BH8" i="5"/>
  <c r="U258" i="8"/>
  <c r="U8" i="16"/>
  <c r="U258" i="16"/>
  <c r="AJ75" i="11"/>
  <c r="W110" i="8"/>
  <c r="BH7" i="5"/>
  <c r="BH16" i="5" s="1"/>
  <c r="AI14" i="6"/>
  <c r="AI12" i="6" s="1"/>
  <c r="BO22" i="7"/>
  <c r="BI11" i="7" s="1"/>
  <c r="X152" i="10"/>
  <c r="W152" i="11"/>
  <c r="W149" i="10"/>
  <c r="W147" i="10" s="1"/>
  <c r="AA157" i="7"/>
  <c r="AA155" i="7" s="1"/>
  <c r="AA145" i="7" s="1"/>
  <c r="AH159" i="7"/>
  <c r="AH157" i="7" s="1"/>
  <c r="AH155" i="7" s="1"/>
  <c r="AH145" i="7" s="1"/>
  <c r="Y159" i="8"/>
  <c r="AI98" i="10"/>
  <c r="J21" i="7"/>
  <c r="J19" i="7" s="1"/>
  <c r="J17" i="7" s="1"/>
  <c r="J8" i="7" s="1"/>
  <c r="AW22" i="11"/>
  <c r="AY22" i="11" s="1"/>
  <c r="AU22" i="11"/>
  <c r="AJ110" i="6"/>
  <c r="AH86" i="8"/>
  <c r="Y115" i="8"/>
  <c r="AA114" i="7"/>
  <c r="BO16" i="7" s="1"/>
  <c r="J73" i="8"/>
  <c r="L72" i="7"/>
  <c r="N73" i="7"/>
  <c r="N72" i="7" s="1"/>
  <c r="AG141" i="8"/>
  <c r="AE143" i="9"/>
  <c r="J55" i="9"/>
  <c r="L54" i="8"/>
  <c r="E67" i="10"/>
  <c r="E66" i="9"/>
  <c r="F67" i="9"/>
  <c r="AB46" i="8"/>
  <c r="AD44" i="7"/>
  <c r="AD43" i="7" s="1"/>
  <c r="AA47" i="8"/>
  <c r="Y44" i="8"/>
  <c r="Y43" i="8" s="1"/>
  <c r="Y152" i="10"/>
  <c r="AA149" i="9"/>
  <c r="AA147" i="9" s="1"/>
  <c r="AA177" i="8"/>
  <c r="Y176" i="8"/>
  <c r="Y170" i="8" s="1"/>
  <c r="AB71" i="8"/>
  <c r="AD69" i="7"/>
  <c r="AD65" i="7" s="1"/>
  <c r="AD63" i="7" s="1"/>
  <c r="M34" i="8"/>
  <c r="M32" i="8" s="1"/>
  <c r="F32" i="8"/>
  <c r="Y229" i="9"/>
  <c r="AA227" i="8"/>
  <c r="G36" i="8"/>
  <c r="I35" i="7"/>
  <c r="Y198" i="8"/>
  <c r="AA197" i="7"/>
  <c r="AA196" i="7" s="1"/>
  <c r="BO26" i="7"/>
  <c r="AH198" i="7"/>
  <c r="AH197" i="7" s="1"/>
  <c r="AH196" i="7" s="1"/>
  <c r="AH195" i="7" s="1"/>
  <c r="AH193" i="7" s="1"/>
  <c r="E43" i="10"/>
  <c r="E42" i="9"/>
  <c r="V59" i="10"/>
  <c r="V58" i="9"/>
  <c r="V57" i="9" s="1"/>
  <c r="X59" i="9"/>
  <c r="AB21" i="8"/>
  <c r="AD20" i="7"/>
  <c r="AD16" i="7" s="1"/>
  <c r="AI21" i="7"/>
  <c r="AI20" i="7" s="1"/>
  <c r="AI16" i="7" s="1"/>
  <c r="J61" i="8"/>
  <c r="L60" i="7"/>
  <c r="N61" i="7"/>
  <c r="N60" i="7" s="1"/>
  <c r="W159" i="10"/>
  <c r="W157" i="9"/>
  <c r="W155" i="9" s="1"/>
  <c r="W145" i="9" s="1"/>
  <c r="X159" i="9"/>
  <c r="W229" i="10"/>
  <c r="W227" i="9"/>
  <c r="W220" i="9" s="1"/>
  <c r="X229" i="9"/>
  <c r="W187" i="11"/>
  <c r="W185" i="11" s="1"/>
  <c r="W188" i="12"/>
  <c r="W72" i="10"/>
  <c r="X72" i="9"/>
  <c r="W69" i="9"/>
  <c r="W65" i="9" s="1"/>
  <c r="J67" i="9"/>
  <c r="N67" i="8"/>
  <c r="N66" i="8" s="1"/>
  <c r="L66" i="8"/>
  <c r="BC21" i="8"/>
  <c r="E21" i="8"/>
  <c r="E19" i="8" s="1"/>
  <c r="E17" i="8" s="1"/>
  <c r="E8" i="8" s="1"/>
  <c r="AI86" i="8"/>
  <c r="Y220" i="8"/>
  <c r="U10" i="10"/>
  <c r="U8" i="10" s="1"/>
  <c r="AI152" i="9"/>
  <c r="AH152" i="9"/>
  <c r="M44" i="7"/>
  <c r="M42" i="7" s="1"/>
  <c r="AW10" i="7"/>
  <c r="AY10" i="7" s="1"/>
  <c r="I42" i="7"/>
  <c r="AR10" i="7" s="1"/>
  <c r="G44" i="8"/>
  <c r="AI159" i="8"/>
  <c r="AJ159" i="8"/>
  <c r="Y240" i="16"/>
  <c r="AA240" i="16" s="1"/>
  <c r="AH240" i="16" s="1"/>
  <c r="AH240" i="15"/>
  <c r="AD195" i="7"/>
  <c r="BP28" i="7"/>
  <c r="BP25" i="7" s="1"/>
  <c r="BJ12" i="7" s="1"/>
  <c r="D27" i="10"/>
  <c r="D25" i="9"/>
  <c r="F27" i="9"/>
  <c r="F25" i="9" s="1"/>
  <c r="AQ8" i="9" s="1"/>
  <c r="I80" i="8"/>
  <c r="G78" i="8"/>
  <c r="I78" i="8" s="1"/>
  <c r="M78" i="8" s="1"/>
  <c r="Y112" i="7"/>
  <c r="Y110" i="7" s="1"/>
  <c r="X98" i="11"/>
  <c r="W98" i="12"/>
  <c r="W96" i="11"/>
  <c r="AD142" i="10"/>
  <c r="AB141" i="10"/>
  <c r="AH72" i="8"/>
  <c r="AI72" i="8"/>
  <c r="AJ72" i="8"/>
  <c r="AH93" i="7"/>
  <c r="AH91" i="7" s="1"/>
  <c r="AH90" i="7" s="1"/>
  <c r="AA91" i="7"/>
  <c r="AA90" i="7" s="1"/>
  <c r="Y93" i="8"/>
  <c r="J34" i="8"/>
  <c r="L32" i="7"/>
  <c r="L28" i="7" s="1"/>
  <c r="AS9" i="7" s="1"/>
  <c r="AX9" i="7"/>
  <c r="N34" i="7"/>
  <c r="N32" i="7" s="1"/>
  <c r="AU16" i="6"/>
  <c r="AB14" i="7"/>
  <c r="AB12" i="7" s="1"/>
  <c r="AI110" i="6"/>
  <c r="AJ143" i="8"/>
  <c r="AU10" i="7"/>
  <c r="AV10" i="7"/>
  <c r="AZ10" i="7"/>
  <c r="E61" i="10"/>
  <c r="E60" i="9"/>
  <c r="AB151" i="8"/>
  <c r="AD149" i="7"/>
  <c r="AD147" i="7" s="1"/>
  <c r="BP16" i="7" s="1"/>
  <c r="AI151" i="7"/>
  <c r="AI149" i="7" s="1"/>
  <c r="AI147" i="7" s="1"/>
  <c r="AA215" i="8"/>
  <c r="Y211" i="8"/>
  <c r="Y210" i="8" s="1"/>
  <c r="Y209" i="8" s="1"/>
  <c r="W59" i="11"/>
  <c r="W58" i="10"/>
  <c r="W57" i="10" s="1"/>
  <c r="AD228" i="9"/>
  <c r="AB227" i="9"/>
  <c r="AB220" i="9" s="1"/>
  <c r="J49" i="8"/>
  <c r="L48" i="7"/>
  <c r="N49" i="7"/>
  <c r="N48" i="7" s="1"/>
  <c r="AD206" i="8"/>
  <c r="AI206" i="8" s="1"/>
  <c r="AI205" i="8" s="1"/>
  <c r="AB205" i="8"/>
  <c r="AB196" i="8" s="1"/>
  <c r="AB195" i="8" s="1"/>
  <c r="AB193" i="8" s="1"/>
  <c r="D34" i="10"/>
  <c r="D32" i="9"/>
  <c r="F34" i="9"/>
  <c r="AD97" i="8"/>
  <c r="AB96" i="8"/>
  <c r="AB90" i="8" s="1"/>
  <c r="Y125" i="8"/>
  <c r="AA123" i="7"/>
  <c r="AH125" i="7"/>
  <c r="AH123" i="7" s="1"/>
  <c r="G68" i="8"/>
  <c r="M68" i="7"/>
  <c r="M66" i="7" s="1"/>
  <c r="I66" i="7"/>
  <c r="J43" i="9"/>
  <c r="AX10" i="8"/>
  <c r="L42" i="8"/>
  <c r="AS10" i="8" s="1"/>
  <c r="AD124" i="9"/>
  <c r="AB123" i="9"/>
  <c r="AB112" i="9" s="1"/>
  <c r="AI59" i="8"/>
  <c r="AI58" i="8" s="1"/>
  <c r="AI57" i="8" s="1"/>
  <c r="X58" i="8"/>
  <c r="X57" i="8" s="1"/>
  <c r="AJ59" i="8"/>
  <c r="AJ58" i="8" s="1"/>
  <c r="AJ57" i="8" s="1"/>
  <c r="Y59" i="8"/>
  <c r="AA58" i="7"/>
  <c r="AA57" i="7" s="1"/>
  <c r="AH59" i="7"/>
  <c r="AH58" i="7" s="1"/>
  <c r="AH57" i="7" s="1"/>
  <c r="AA98" i="8"/>
  <c r="Y96" i="8"/>
  <c r="AB174" i="9"/>
  <c r="AD172" i="8"/>
  <c r="AI174" i="8"/>
  <c r="AI172" i="8" s="1"/>
  <c r="AV23" i="5"/>
  <c r="AZ23" i="5"/>
  <c r="X12" i="6"/>
  <c r="X10" i="6" s="1"/>
  <c r="X8" i="6" s="1"/>
  <c r="AU23" i="5"/>
  <c r="AU25" i="6"/>
  <c r="BN8" i="6"/>
  <c r="BN7" i="6" s="1"/>
  <c r="BN32" i="6" s="1"/>
  <c r="AY25" i="6"/>
  <c r="AJ14" i="5"/>
  <c r="U258" i="14"/>
  <c r="BN8" i="5"/>
  <c r="BN7" i="5" s="1"/>
  <c r="BN32" i="5" s="1"/>
  <c r="U258" i="6"/>
  <c r="U258" i="7"/>
  <c r="AZ9" i="5"/>
  <c r="AQ14" i="5"/>
  <c r="AZ14" i="5" s="1"/>
  <c r="AY9" i="5"/>
  <c r="N21" i="5"/>
  <c r="N19" i="5" s="1"/>
  <c r="N17" i="5" s="1"/>
  <c r="N8" i="5" s="1"/>
  <c r="M23" i="7"/>
  <c r="BK7" i="12"/>
  <c r="BK16" i="12" s="1"/>
  <c r="AC8" i="6"/>
  <c r="AH110" i="6"/>
  <c r="BC19" i="14"/>
  <c r="V258" i="6"/>
  <c r="AE258" i="5"/>
  <c r="N12" i="7"/>
  <c r="BC18" i="14"/>
  <c r="V110" i="7"/>
  <c r="I29" i="20"/>
  <c r="I55" i="20" s="1"/>
  <c r="D61" i="11"/>
  <c r="D60" i="10"/>
  <c r="W238" i="11"/>
  <c r="W235" i="10"/>
  <c r="W234" i="10" s="1"/>
  <c r="AZ27" i="5"/>
  <c r="AU27" i="5"/>
  <c r="M60" i="8"/>
  <c r="U258" i="12"/>
  <c r="D28" i="7"/>
  <c r="D21" i="7" s="1"/>
  <c r="D19" i="7" s="1"/>
  <c r="D17" i="7" s="1"/>
  <c r="D8" i="7" s="1"/>
  <c r="W143" i="11"/>
  <c r="W141" i="10"/>
  <c r="X143" i="10"/>
  <c r="V71" i="10"/>
  <c r="X71" i="9"/>
  <c r="W215" i="11"/>
  <c r="W211" i="10"/>
  <c r="W210" i="10" s="1"/>
  <c r="W209" i="10" s="1"/>
  <c r="X215" i="10"/>
  <c r="W86" i="11"/>
  <c r="W83" i="10"/>
  <c r="X86" i="10"/>
  <c r="W115" i="11"/>
  <c r="X115" i="10"/>
  <c r="M73" i="9"/>
  <c r="F72" i="9"/>
  <c r="E55" i="11"/>
  <c r="E54" i="10"/>
  <c r="E73" i="11"/>
  <c r="E72" i="10"/>
  <c r="AI93" i="9"/>
  <c r="AD143" i="12"/>
  <c r="AY7" i="6"/>
  <c r="AJ75" i="10"/>
  <c r="AJ90" i="6"/>
  <c r="AJ63" i="6" s="1"/>
  <c r="AB173" i="12"/>
  <c r="AI173" i="11"/>
  <c r="AI143" i="9"/>
  <c r="D55" i="10"/>
  <c r="F55" i="9"/>
  <c r="W193" i="9"/>
  <c r="AI215" i="9"/>
  <c r="W177" i="11"/>
  <c r="W176" i="10"/>
  <c r="W170" i="10" s="1"/>
  <c r="AH86" i="9"/>
  <c r="AI86" i="9"/>
  <c r="Y188" i="9"/>
  <c r="AA187" i="8"/>
  <c r="AA185" i="8" s="1"/>
  <c r="AH188" i="8"/>
  <c r="AH187" i="8" s="1"/>
  <c r="AH185" i="8" s="1"/>
  <c r="AI115" i="9"/>
  <c r="D73" i="11"/>
  <c r="D72" i="10"/>
  <c r="F73" i="10"/>
  <c r="W63" i="9"/>
  <c r="Y223" i="9"/>
  <c r="AA222" i="8"/>
  <c r="AH223" i="8"/>
  <c r="AH222" i="8" s="1"/>
  <c r="AH220" i="8" s="1"/>
  <c r="W223" i="11"/>
  <c r="W222" i="10"/>
  <c r="N55" i="8"/>
  <c r="N54" i="8" s="1"/>
  <c r="F54" i="8"/>
  <c r="BN26" i="9"/>
  <c r="D67" i="14"/>
  <c r="X222" i="9"/>
  <c r="E79" i="11"/>
  <c r="E78" i="10"/>
  <c r="BK16" i="5"/>
  <c r="F21" i="6"/>
  <c r="F19" i="6" s="1"/>
  <c r="F17" i="6" s="1"/>
  <c r="F8" i="6" s="1"/>
  <c r="AU7" i="6"/>
  <c r="N21" i="6"/>
  <c r="N19" i="6" s="1"/>
  <c r="N17" i="6" s="1"/>
  <c r="N8" i="6" s="1"/>
  <c r="AI193" i="5"/>
  <c r="F60" i="9"/>
  <c r="M61" i="9"/>
  <c r="AJ71" i="8"/>
  <c r="W198" i="11"/>
  <c r="W197" i="10"/>
  <c r="W196" i="10" s="1"/>
  <c r="W195" i="10" s="1"/>
  <c r="X198" i="10"/>
  <c r="Y143" i="9"/>
  <c r="AA141" i="8"/>
  <c r="BO20" i="8" s="1"/>
  <c r="AG173" i="9"/>
  <c r="AE172" i="9"/>
  <c r="V223" i="11"/>
  <c r="X223" i="10"/>
  <c r="V222" i="10"/>
  <c r="G50" i="9"/>
  <c r="I48" i="8"/>
  <c r="M50" i="8"/>
  <c r="M48" i="8" s="1"/>
  <c r="E49" i="11"/>
  <c r="E48" i="10"/>
  <c r="Y52" i="9"/>
  <c r="AA49" i="8"/>
  <c r="AH52" i="8"/>
  <c r="W93" i="11"/>
  <c r="W91" i="10"/>
  <c r="W90" i="10" s="1"/>
  <c r="X93" i="10"/>
  <c r="AH25" i="15"/>
  <c r="AI25" i="15"/>
  <c r="AJ25" i="15"/>
  <c r="M8" i="5"/>
  <c r="AI232" i="6"/>
  <c r="AB131" i="16"/>
  <c r="AD131" i="16" s="1"/>
  <c r="AI131" i="16" s="1"/>
  <c r="AI131" i="15"/>
  <c r="AH63" i="5"/>
  <c r="AH12" i="5" s="1"/>
  <c r="R51" i="20"/>
  <c r="R48" i="20" s="1"/>
  <c r="AJ110" i="5"/>
  <c r="V12" i="7"/>
  <c r="BP29" i="6"/>
  <c r="BJ13" i="6" s="1"/>
  <c r="AR30" i="6"/>
  <c r="AW30" i="6" s="1"/>
  <c r="AY30" i="6" s="1"/>
  <c r="W50" i="14"/>
  <c r="AH50" i="12"/>
  <c r="AJ50" i="12"/>
  <c r="D76" i="9"/>
  <c r="D75" i="8"/>
  <c r="F76" i="8"/>
  <c r="BC17" i="8" s="1"/>
  <c r="X114" i="7"/>
  <c r="AH118" i="7"/>
  <c r="AH114" i="7" s="1"/>
  <c r="AI118" i="7"/>
  <c r="AI114" i="7" s="1"/>
  <c r="AI112" i="7" s="1"/>
  <c r="AJ118" i="7"/>
  <c r="V214" i="10"/>
  <c r="V211" i="9"/>
  <c r="V210" i="9" s="1"/>
  <c r="V209" i="9" s="1"/>
  <c r="X214" i="9"/>
  <c r="AE106" i="8"/>
  <c r="AG105" i="7"/>
  <c r="AG104" i="7" s="1"/>
  <c r="AJ106" i="7"/>
  <c r="AJ105" i="7" s="1"/>
  <c r="AJ104" i="7" s="1"/>
  <c r="AI178" i="10"/>
  <c r="AH178" i="10"/>
  <c r="AZ7" i="6"/>
  <c r="AV7" i="6"/>
  <c r="V51" i="10"/>
  <c r="V49" i="9"/>
  <c r="X51" i="9"/>
  <c r="AH206" i="8"/>
  <c r="AH205" i="8" s="1"/>
  <c r="X205" i="8"/>
  <c r="W46" i="10"/>
  <c r="W44" i="9"/>
  <c r="N30" i="7"/>
  <c r="N29" i="7" s="1"/>
  <c r="BC13" i="7"/>
  <c r="F29" i="7"/>
  <c r="D42" i="9"/>
  <c r="D43" i="10"/>
  <c r="F43" i="9"/>
  <c r="AJ150" i="12"/>
  <c r="F35" i="7"/>
  <c r="M36" i="7"/>
  <c r="M35" i="7" s="1"/>
  <c r="M28" i="7" s="1"/>
  <c r="N36" i="7"/>
  <c r="N35" i="7" s="1"/>
  <c r="F52" i="9"/>
  <c r="N52" i="9" s="1"/>
  <c r="D52" i="10"/>
  <c r="D51" i="9"/>
  <c r="V90" i="8"/>
  <c r="V142" i="10"/>
  <c r="V141" i="9"/>
  <c r="X142" i="9"/>
  <c r="AG94" i="7"/>
  <c r="AE91" i="7"/>
  <c r="AJ63" i="5"/>
  <c r="D69" i="9"/>
  <c r="D71" i="10"/>
  <c r="X83" i="7"/>
  <c r="AI85" i="7"/>
  <c r="AI83" i="7" s="1"/>
  <c r="AI63" i="7" s="1"/>
  <c r="AJ85" i="7"/>
  <c r="V145" i="8"/>
  <c r="D49" i="11"/>
  <c r="D48" i="10"/>
  <c r="F49" i="10"/>
  <c r="M21" i="6"/>
  <c r="M19" i="6" s="1"/>
  <c r="M17" i="6" s="1"/>
  <c r="M8" i="6" s="1"/>
  <c r="D64" i="9"/>
  <c r="D63" i="8"/>
  <c r="F64" i="8"/>
  <c r="G76" i="12"/>
  <c r="I75" i="11"/>
  <c r="N46" i="8"/>
  <c r="N45" i="8" s="1"/>
  <c r="F45" i="8"/>
  <c r="BC15" i="8"/>
  <c r="D59" i="10"/>
  <c r="D57" i="9"/>
  <c r="V50" i="14"/>
  <c r="X50" i="13"/>
  <c r="AI94" i="12"/>
  <c r="AH94" i="12"/>
  <c r="AJ46" i="7"/>
  <c r="AJ44" i="7" s="1"/>
  <c r="AI46" i="7"/>
  <c r="AI44" i="7" s="1"/>
  <c r="AI43" i="7" s="1"/>
  <c r="AH46" i="7"/>
  <c r="AH44" i="7" s="1"/>
  <c r="AH43" i="7" s="1"/>
  <c r="X44" i="7"/>
  <c r="X43" i="7" s="1"/>
  <c r="V158" i="10"/>
  <c r="V157" i="9"/>
  <c r="V155" i="9" s="1"/>
  <c r="X158" i="9"/>
  <c r="AG187" i="7"/>
  <c r="AG185" i="7" s="1"/>
  <c r="AE189" i="8"/>
  <c r="AJ189" i="7"/>
  <c r="AJ187" i="7" s="1"/>
  <c r="AJ185" i="7" s="1"/>
  <c r="V178" i="12"/>
  <c r="X178" i="11"/>
  <c r="V21" i="10"/>
  <c r="V20" i="9"/>
  <c r="V16" i="9" s="1"/>
  <c r="X21" i="9"/>
  <c r="AI97" i="8"/>
  <c r="AI96" i="8" s="1"/>
  <c r="AJ97" i="8"/>
  <c r="AH97" i="8"/>
  <c r="X96" i="8"/>
  <c r="AE160" i="8"/>
  <c r="AJ160" i="7"/>
  <c r="AJ157" i="7" s="1"/>
  <c r="AJ155" i="7" s="1"/>
  <c r="AJ145" i="7" s="1"/>
  <c r="AG157" i="7"/>
  <c r="AG155" i="7" s="1"/>
  <c r="AG145" i="7" s="1"/>
  <c r="D30" i="9"/>
  <c r="F30" i="8"/>
  <c r="D29" i="8"/>
  <c r="D36" i="9"/>
  <c r="F36" i="8"/>
  <c r="D35" i="8"/>
  <c r="N79" i="8"/>
  <c r="M79" i="8"/>
  <c r="V92" i="10"/>
  <c r="V91" i="9"/>
  <c r="X92" i="9"/>
  <c r="AI92" i="9" s="1"/>
  <c r="AI201" i="8"/>
  <c r="AI197" i="8" s="1"/>
  <c r="X197" i="8"/>
  <c r="X196" i="8" s="1"/>
  <c r="BN28" i="8" s="1"/>
  <c r="AH201" i="8"/>
  <c r="AJ201" i="8"/>
  <c r="W39" i="10"/>
  <c r="W35" i="9"/>
  <c r="BC12" i="7"/>
  <c r="N23" i="7"/>
  <c r="N22" i="7" s="1"/>
  <c r="X35" i="8"/>
  <c r="AH39" i="8"/>
  <c r="AJ39" i="8"/>
  <c r="AJ35" i="8" s="1"/>
  <c r="V151" i="10"/>
  <c r="V149" i="9"/>
  <c r="V147" i="9" s="1"/>
  <c r="X151" i="9"/>
  <c r="AE87" i="8"/>
  <c r="AG83" i="7"/>
  <c r="AS24" i="7" s="1"/>
  <c r="AX24" i="7" s="1"/>
  <c r="AJ87" i="7"/>
  <c r="AE193" i="7"/>
  <c r="AG232" i="6"/>
  <c r="AS30" i="6" s="1"/>
  <c r="AX30" i="6" s="1"/>
  <c r="AZ30" i="6" s="1"/>
  <c r="M76" i="7"/>
  <c r="M75" i="7" s="1"/>
  <c r="N76" i="7"/>
  <c r="N75" i="7" s="1"/>
  <c r="F75" i="7"/>
  <c r="V118" i="9"/>
  <c r="V114" i="8"/>
  <c r="V112" i="8" s="1"/>
  <c r="X118" i="8"/>
  <c r="AH214" i="8"/>
  <c r="AI214" i="8"/>
  <c r="X211" i="8"/>
  <c r="X210" i="8" s="1"/>
  <c r="X209" i="8" s="1"/>
  <c r="AJ214" i="8"/>
  <c r="W51" i="10"/>
  <c r="W49" i="9"/>
  <c r="AH51" i="8"/>
  <c r="X49" i="8"/>
  <c r="AI51" i="8"/>
  <c r="AJ51" i="8"/>
  <c r="V206" i="10"/>
  <c r="V205" i="9"/>
  <c r="X206" i="9"/>
  <c r="BC16" i="8"/>
  <c r="N43" i="8"/>
  <c r="N42" i="8" s="1"/>
  <c r="M43" i="8"/>
  <c r="F42" i="8"/>
  <c r="AQ10" i="8" s="1"/>
  <c r="V150" i="14"/>
  <c r="X150" i="13"/>
  <c r="AJ150" i="13" s="1"/>
  <c r="D12" i="9"/>
  <c r="F12" i="8"/>
  <c r="F10" i="8" s="1"/>
  <c r="BC7" i="8" s="1"/>
  <c r="D10" i="8"/>
  <c r="N52" i="8"/>
  <c r="N51" i="8" s="1"/>
  <c r="F51" i="8"/>
  <c r="N78" i="8"/>
  <c r="AI213" i="12"/>
  <c r="D83" i="11"/>
  <c r="D81" i="10"/>
  <c r="AI142" i="8"/>
  <c r="AI141" i="8" s="1"/>
  <c r="AH142" i="8"/>
  <c r="AH141" i="8" s="1"/>
  <c r="X141" i="8"/>
  <c r="BN20" i="8" s="1"/>
  <c r="AJ142" i="8"/>
  <c r="V196" i="8"/>
  <c r="V195" i="8" s="1"/>
  <c r="V193" i="8" s="1"/>
  <c r="D23" i="9"/>
  <c r="F23" i="8"/>
  <c r="F22" i="8" s="1"/>
  <c r="AQ7" i="8" s="1"/>
  <c r="V85" i="9"/>
  <c r="V83" i="8"/>
  <c r="X85" i="8"/>
  <c r="AG178" i="7"/>
  <c r="AE176" i="7"/>
  <c r="AE170" i="7" s="1"/>
  <c r="F48" i="9"/>
  <c r="M49" i="9"/>
  <c r="N64" i="7"/>
  <c r="N63" i="7" s="1"/>
  <c r="F63" i="7"/>
  <c r="M64" i="7"/>
  <c r="M63" i="7" s="1"/>
  <c r="BC14" i="7"/>
  <c r="W106" i="16"/>
  <c r="W105" i="16" s="1"/>
  <c r="W104" i="16" s="1"/>
  <c r="W105" i="15"/>
  <c r="W104" i="15" s="1"/>
  <c r="F46" i="9"/>
  <c r="F45" i="9" s="1"/>
  <c r="D46" i="10"/>
  <c r="D45" i="9"/>
  <c r="W94" i="14"/>
  <c r="V46" i="9"/>
  <c r="V44" i="8"/>
  <c r="V43" i="8" s="1"/>
  <c r="V14" i="8" s="1"/>
  <c r="X46" i="8"/>
  <c r="AJ158" i="8"/>
  <c r="AH158" i="8"/>
  <c r="X157" i="8"/>
  <c r="X155" i="8" s="1"/>
  <c r="AI158" i="8"/>
  <c r="D74" i="14"/>
  <c r="F74" i="14" s="1"/>
  <c r="AJ21" i="8"/>
  <c r="AH21" i="8"/>
  <c r="X20" i="8"/>
  <c r="X16" i="8" s="1"/>
  <c r="BN12" i="8" s="1"/>
  <c r="BN9" i="8" s="1"/>
  <c r="V97" i="10"/>
  <c r="V96" i="9"/>
  <c r="X97" i="9"/>
  <c r="W43" i="8"/>
  <c r="W14" i="8" s="1"/>
  <c r="W12" i="8" s="1"/>
  <c r="AG99" i="7"/>
  <c r="AE96" i="7"/>
  <c r="AI63" i="5"/>
  <c r="AI12" i="5" s="1"/>
  <c r="G64" i="14"/>
  <c r="BD14" i="13"/>
  <c r="I63" i="13"/>
  <c r="D78" i="9"/>
  <c r="F78" i="9" s="1"/>
  <c r="F79" i="9"/>
  <c r="D79" i="10"/>
  <c r="V213" i="14"/>
  <c r="X213" i="13"/>
  <c r="AI213" i="13" s="1"/>
  <c r="G70" i="13"/>
  <c r="I69" i="12"/>
  <c r="M70" i="12"/>
  <c r="AH92" i="8"/>
  <c r="AJ92" i="8"/>
  <c r="X91" i="8"/>
  <c r="AI92" i="8"/>
  <c r="AI91" i="8" s="1"/>
  <c r="V201" i="10"/>
  <c r="V197" i="9"/>
  <c r="X201" i="9"/>
  <c r="AG90" i="6"/>
  <c r="AG126" i="7"/>
  <c r="AE123" i="7"/>
  <c r="AE112" i="7" s="1"/>
  <c r="AE110" i="7" s="1"/>
  <c r="BC17" i="7"/>
  <c r="M71" i="8"/>
  <c r="M69" i="8" s="1"/>
  <c r="F69" i="8"/>
  <c r="V39" i="10"/>
  <c r="V35" i="9"/>
  <c r="X39" i="9"/>
  <c r="AJ151" i="8"/>
  <c r="AJ149" i="8" s="1"/>
  <c r="AJ147" i="8" s="1"/>
  <c r="AH151" i="8"/>
  <c r="AH149" i="8" s="1"/>
  <c r="AH147" i="8" s="1"/>
  <c r="X149" i="8"/>
  <c r="X147" i="8" s="1"/>
  <c r="W21" i="10"/>
  <c r="W20" i="9"/>
  <c r="W16" i="9" s="1"/>
  <c r="AE116" i="8"/>
  <c r="AJ116" i="7"/>
  <c r="AG114" i="7"/>
  <c r="G55" i="8"/>
  <c r="M55" i="7"/>
  <c r="M54" i="7" s="1"/>
  <c r="I54" i="7"/>
  <c r="AG244" i="7"/>
  <c r="AJ244" i="7" s="1"/>
  <c r="AJ243" i="7" s="1"/>
  <c r="AE243" i="7"/>
  <c r="AE232" i="7" s="1"/>
  <c r="V244" i="9"/>
  <c r="X244" i="8"/>
  <c r="V243" i="8"/>
  <c r="V232" i="8" s="1"/>
  <c r="AA234" i="7"/>
  <c r="X10" i="5"/>
  <c r="AD10" i="6"/>
  <c r="AD8" i="6" s="1"/>
  <c r="AD244" i="7"/>
  <c r="AI244" i="7" s="1"/>
  <c r="AI243" i="7" s="1"/>
  <c r="AI232" i="7" s="1"/>
  <c r="AB243" i="7"/>
  <c r="AB232" i="7" s="1"/>
  <c r="BL13" i="7"/>
  <c r="BL13" i="10" s="1"/>
  <c r="BL13" i="13" s="1"/>
  <c r="BL13" i="16" s="1"/>
  <c r="W244" i="9"/>
  <c r="W243" i="8"/>
  <c r="W232" i="8" s="1"/>
  <c r="AA244" i="7"/>
  <c r="Y243" i="7"/>
  <c r="Y232" i="7" s="1"/>
  <c r="U258" i="15"/>
  <c r="U258" i="11"/>
  <c r="AH244" i="7"/>
  <c r="AH243" i="7" s="1"/>
  <c r="AH232" i="7" s="1"/>
  <c r="X243" i="7"/>
  <c r="X232" i="7" s="1"/>
  <c r="U8" i="9"/>
  <c r="U258" i="9"/>
  <c r="T33" i="11"/>
  <c r="P31" i="20"/>
  <c r="P30" i="20" s="1"/>
  <c r="P29" i="20" s="1"/>
  <c r="P55" i="20" s="1"/>
  <c r="Y39" i="16"/>
  <c r="AA39" i="16" s="1"/>
  <c r="AB177" i="16"/>
  <c r="AD177" i="16" s="1"/>
  <c r="BP23" i="16" s="1"/>
  <c r="E46" i="20" s="1"/>
  <c r="BP23" i="15"/>
  <c r="Y156" i="16"/>
  <c r="AA156" i="16" s="1"/>
  <c r="BO18" i="15"/>
  <c r="AH156" i="15"/>
  <c r="Y66" i="16"/>
  <c r="AA66" i="16" s="1"/>
  <c r="BO10" i="15"/>
  <c r="AH66" i="15"/>
  <c r="I34" i="15"/>
  <c r="G32" i="15"/>
  <c r="G59" i="15"/>
  <c r="I57" i="14"/>
  <c r="G65" i="15"/>
  <c r="I77" i="15"/>
  <c r="G83" i="15"/>
  <c r="I81" i="14"/>
  <c r="Y230" i="15"/>
  <c r="AH230" i="14"/>
  <c r="G71" i="15"/>
  <c r="AB59" i="14"/>
  <c r="AD58" i="13"/>
  <c r="AD57" i="13" s="1"/>
  <c r="AH160" i="14"/>
  <c r="AI160" i="14"/>
  <c r="AH60" i="13"/>
  <c r="AI60" i="13"/>
  <c r="AJ60" i="13"/>
  <c r="X53" i="15"/>
  <c r="AI53" i="15" s="1"/>
  <c r="V53" i="16"/>
  <c r="E74" i="15"/>
  <c r="AI79" i="12"/>
  <c r="AB79" i="13"/>
  <c r="AD79" i="13" s="1"/>
  <c r="V94" i="15"/>
  <c r="X94" i="14"/>
  <c r="V87" i="15"/>
  <c r="X87" i="14"/>
  <c r="W48" i="15"/>
  <c r="Y51" i="14"/>
  <c r="AI94" i="13"/>
  <c r="AH94" i="13"/>
  <c r="AI87" i="13"/>
  <c r="AH87" i="13"/>
  <c r="D33" i="16"/>
  <c r="AI106" i="13"/>
  <c r="AH106" i="13"/>
  <c r="X105" i="13"/>
  <c r="X104" i="13" s="1"/>
  <c r="E56" i="15"/>
  <c r="AI53" i="14"/>
  <c r="V48" i="15"/>
  <c r="X48" i="14"/>
  <c r="V37" i="15"/>
  <c r="AH116" i="13"/>
  <c r="AI116" i="13"/>
  <c r="V99" i="16"/>
  <c r="X99" i="15"/>
  <c r="V106" i="15"/>
  <c r="X106" i="14"/>
  <c r="V105" i="14"/>
  <c r="V104" i="14" s="1"/>
  <c r="AJ48" i="13"/>
  <c r="AH48" i="13"/>
  <c r="AI48" i="13"/>
  <c r="V116" i="15"/>
  <c r="X116" i="14"/>
  <c r="AB215" i="13"/>
  <c r="AD215" i="13" s="1"/>
  <c r="AB215" i="14" s="1"/>
  <c r="AD215" i="14" s="1"/>
  <c r="AB215" i="15" s="1"/>
  <c r="AD215" i="15" s="1"/>
  <c r="AB215" i="16" s="1"/>
  <c r="AD215" i="16" s="1"/>
  <c r="X199" i="14"/>
  <c r="V199" i="15"/>
  <c r="L55" i="20"/>
  <c r="X60" i="14"/>
  <c r="V60" i="15"/>
  <c r="D26" i="15"/>
  <c r="F50" i="14"/>
  <c r="E50" i="15"/>
  <c r="AH99" i="14"/>
  <c r="AI99" i="14"/>
  <c r="G61" i="13"/>
  <c r="I61" i="13" s="1"/>
  <c r="V160" i="16"/>
  <c r="X160" i="15"/>
  <c r="V23" i="15"/>
  <c r="AI199" i="13"/>
  <c r="AH199" i="13"/>
  <c r="AH75" i="12"/>
  <c r="AJ75" i="12"/>
  <c r="J56" i="10"/>
  <c r="W23" i="15"/>
  <c r="X23" i="14"/>
  <c r="Y150" i="12"/>
  <c r="AH150" i="11"/>
  <c r="AB223" i="10"/>
  <c r="AD222" i="9"/>
  <c r="AI223" i="9"/>
  <c r="AI222" i="9" s="1"/>
  <c r="AJ137" i="14"/>
  <c r="AE137" i="15"/>
  <c r="AG137" i="15" s="1"/>
  <c r="E68" i="15"/>
  <c r="X52" i="16"/>
  <c r="L50" i="10"/>
  <c r="Y100" i="12"/>
  <c r="AH100" i="11"/>
  <c r="AB98" i="15"/>
  <c r="AD229" i="10"/>
  <c r="AA179" i="12"/>
  <c r="AB238" i="10"/>
  <c r="AD235" i="9"/>
  <c r="AD234" i="9" s="1"/>
  <c r="J62" i="10"/>
  <c r="N62" i="9"/>
  <c r="AB181" i="15"/>
  <c r="AD181" i="15" s="1"/>
  <c r="AI181" i="14"/>
  <c r="AE98" i="10"/>
  <c r="AJ98" i="9"/>
  <c r="AE115" i="10"/>
  <c r="AJ115" i="9"/>
  <c r="J44" i="10"/>
  <c r="N44" i="9"/>
  <c r="AD188" i="10"/>
  <c r="AB187" i="10"/>
  <c r="AB185" i="10" s="1"/>
  <c r="J68" i="10"/>
  <c r="AB55" i="15"/>
  <c r="AD55" i="15" s="1"/>
  <c r="AI55" i="14"/>
  <c r="AD127" i="10"/>
  <c r="AA107" i="12"/>
  <c r="Y105" i="12"/>
  <c r="Y104" i="12" s="1"/>
  <c r="AE129" i="12"/>
  <c r="AG129" i="12" s="1"/>
  <c r="AJ129" i="11"/>
  <c r="AA246" i="12"/>
  <c r="L80" i="10"/>
  <c r="J78" i="10"/>
  <c r="L78" i="10" s="1"/>
  <c r="AI23" i="13"/>
  <c r="AH23" i="13"/>
  <c r="Y200" i="12"/>
  <c r="AH200" i="11"/>
  <c r="AE86" i="10"/>
  <c r="AJ86" i="9"/>
  <c r="AJ67" i="13"/>
  <c r="AE67" i="14"/>
  <c r="AG67" i="14" s="1"/>
  <c r="AA173" i="12"/>
  <c r="Y172" i="12"/>
  <c r="E44" i="15"/>
  <c r="F44" i="14"/>
  <c r="AI52" i="15"/>
  <c r="AE59" i="10"/>
  <c r="AG58" i="9"/>
  <c r="AG57" i="9" s="1"/>
  <c r="Y95" i="12"/>
  <c r="AH95" i="11"/>
  <c r="AG93" i="10"/>
  <c r="AB150" i="10"/>
  <c r="AI150" i="9"/>
  <c r="AE26" i="12"/>
  <c r="AG26" i="12" s="1"/>
  <c r="AJ26" i="11"/>
  <c r="Y225" i="12"/>
  <c r="AH225" i="11"/>
  <c r="AE119" i="15"/>
  <c r="AG119" i="15" s="1"/>
  <c r="AJ119" i="14"/>
  <c r="V75" i="14"/>
  <c r="X75" i="13"/>
  <c r="AA117" i="12"/>
  <c r="F80" i="16"/>
  <c r="Y46" i="14"/>
  <c r="E62" i="15"/>
  <c r="F62" i="14"/>
  <c r="AB66" i="13"/>
  <c r="AD66" i="13" s="1"/>
  <c r="AR22" i="12"/>
  <c r="BP10" i="12"/>
  <c r="AI66" i="12"/>
  <c r="AE22" i="15"/>
  <c r="AG22" i="15" s="1"/>
  <c r="AJ22" i="14"/>
  <c r="AA213" i="12"/>
  <c r="AB92" i="10"/>
  <c r="AD91" i="9"/>
  <c r="W37" i="15"/>
  <c r="X37" i="14"/>
  <c r="AJ30" i="14"/>
  <c r="AE30" i="15"/>
  <c r="AG30" i="15" s="1"/>
  <c r="AE152" i="10"/>
  <c r="AG149" i="9"/>
  <c r="AG147" i="9" s="1"/>
  <c r="AJ152" i="9"/>
  <c r="Y190" i="12"/>
  <c r="AH190" i="11"/>
  <c r="J36" i="10"/>
  <c r="L35" i="9"/>
  <c r="AB22" i="10"/>
  <c r="AI22" i="9"/>
  <c r="AB100" i="10"/>
  <c r="AI100" i="9"/>
  <c r="AE40" i="15"/>
  <c r="AG40" i="15" s="1"/>
  <c r="AJ40" i="14"/>
  <c r="AE47" i="10"/>
  <c r="AG44" i="9"/>
  <c r="AJ47" i="9"/>
  <c r="AB117" i="10"/>
  <c r="AD114" i="9"/>
  <c r="AI117" i="9"/>
  <c r="J30" i="10"/>
  <c r="L29" i="9"/>
  <c r="L74" i="10"/>
  <c r="AB85" i="14"/>
  <c r="AD85" i="14" s="1"/>
  <c r="AB198" i="10"/>
  <c r="AD197" i="9"/>
  <c r="BP26" i="9"/>
  <c r="AI198" i="9"/>
  <c r="AG36" i="10"/>
  <c r="AE35" i="10"/>
  <c r="AJ37" i="13"/>
  <c r="AI37" i="13"/>
  <c r="AD236" i="15"/>
  <c r="H55" i="20"/>
  <c r="F55" i="20"/>
  <c r="AZ26" i="6"/>
  <c r="AJ227" i="8"/>
  <c r="Y14" i="7"/>
  <c r="AE174" i="13"/>
  <c r="Y68" i="15"/>
  <c r="AA68" i="15" s="1"/>
  <c r="AH68" i="14"/>
  <c r="AE212" i="8"/>
  <c r="AJ212" i="7"/>
  <c r="AJ211" i="7" s="1"/>
  <c r="AJ210" i="7" s="1"/>
  <c r="AJ209" i="7" s="1"/>
  <c r="AG211" i="7"/>
  <c r="AG210" i="7" s="1"/>
  <c r="AG209" i="7" s="1"/>
  <c r="Y63" i="7"/>
  <c r="Y61" i="9"/>
  <c r="BO31" i="8"/>
  <c r="BI15" i="8" s="1"/>
  <c r="AH61" i="8"/>
  <c r="Y85" i="8"/>
  <c r="AA83" i="7"/>
  <c r="AH85" i="7"/>
  <c r="AH83" i="7" s="1"/>
  <c r="AI190" i="16"/>
  <c r="AD118" i="16"/>
  <c r="Y76" i="15"/>
  <c r="AA76" i="15" s="1"/>
  <c r="AH76" i="14"/>
  <c r="M128" i="6"/>
  <c r="Y26" i="15"/>
  <c r="AA26" i="15" s="1"/>
  <c r="AH26" i="14"/>
  <c r="AD251" i="16"/>
  <c r="AE241" i="8"/>
  <c r="AJ241" i="7"/>
  <c r="AJ235" i="7" s="1"/>
  <c r="AJ234" i="7" s="1"/>
  <c r="AG235" i="7"/>
  <c r="AJ202" i="7"/>
  <c r="AJ197" i="7" s="1"/>
  <c r="AJ196" i="7" s="1"/>
  <c r="AJ195" i="7" s="1"/>
  <c r="AE202" i="8"/>
  <c r="AG197" i="7"/>
  <c r="AG196" i="7" s="1"/>
  <c r="AG195" i="7" s="1"/>
  <c r="AS14" i="6"/>
  <c r="AS17" i="6" s="1"/>
  <c r="Y37" i="8"/>
  <c r="AA35" i="7"/>
  <c r="AH37" i="7"/>
  <c r="AH35" i="7" s="1"/>
  <c r="AE220" i="8"/>
  <c r="Y28" i="12"/>
  <c r="AA28" i="12" s="1"/>
  <c r="AH28" i="11"/>
  <c r="AE53" i="12"/>
  <c r="AG53" i="12" s="1"/>
  <c r="AJ53" i="11"/>
  <c r="Y70" i="12"/>
  <c r="AA70" i="12" s="1"/>
  <c r="AH70" i="11"/>
  <c r="BF22" i="7"/>
  <c r="D113" i="15"/>
  <c r="F115" i="15"/>
  <c r="D115" i="16"/>
  <c r="N124" i="16"/>
  <c r="M124" i="16"/>
  <c r="D121" i="16"/>
  <c r="F121" i="16" s="1"/>
  <c r="F121" i="15"/>
  <c r="AI133" i="8"/>
  <c r="AI123" i="8" s="1"/>
  <c r="AJ133" i="8"/>
  <c r="X123" i="8"/>
  <c r="M119" i="14"/>
  <c r="N119" i="14"/>
  <c r="N120" i="16"/>
  <c r="M120" i="16"/>
  <c r="AE14" i="7"/>
  <c r="BI8" i="6"/>
  <c r="BO8" i="6"/>
  <c r="AB39" i="8"/>
  <c r="AD35" i="7"/>
  <c r="AI39" i="7"/>
  <c r="AI35" i="7" s="1"/>
  <c r="AE70" i="8"/>
  <c r="AJ70" i="7"/>
  <c r="AJ69" i="7" s="1"/>
  <c r="AJ65" i="7" s="1"/>
  <c r="AG69" i="7"/>
  <c r="AG65" i="7" s="1"/>
  <c r="N121" i="14"/>
  <c r="M121" i="14"/>
  <c r="I115" i="11"/>
  <c r="G113" i="11"/>
  <c r="D119" i="16"/>
  <c r="F119" i="16" s="1"/>
  <c r="F119" i="15"/>
  <c r="AE52" i="8"/>
  <c r="AG49" i="7"/>
  <c r="AG43" i="7" s="1"/>
  <c r="AJ52" i="7"/>
  <c r="AJ49" i="7" s="1"/>
  <c r="D117" i="16"/>
  <c r="F117" i="16" s="1"/>
  <c r="F117" i="15"/>
  <c r="AE23" i="8"/>
  <c r="AG20" i="7"/>
  <c r="AG16" i="7" s="1"/>
  <c r="AJ23" i="7"/>
  <c r="AJ20" i="7" s="1"/>
  <c r="AJ16" i="7" s="1"/>
  <c r="AB167" i="8"/>
  <c r="AI167" i="7"/>
  <c r="AI157" i="7" s="1"/>
  <c r="AI155" i="7" s="1"/>
  <c r="AD157" i="7"/>
  <c r="AD155" i="7" s="1"/>
  <c r="BP19" i="7"/>
  <c r="BC20" i="14"/>
  <c r="F113" i="14"/>
  <c r="AQ15" i="14" s="1"/>
  <c r="N116" i="14"/>
  <c r="M116" i="14"/>
  <c r="W133" i="10"/>
  <c r="X133" i="9"/>
  <c r="X123" i="9" s="1"/>
  <c r="W123" i="9"/>
  <c r="W112" i="9" s="1"/>
  <c r="N117" i="14"/>
  <c r="M117" i="14"/>
  <c r="N118" i="15"/>
  <c r="M118" i="15"/>
  <c r="J115" i="12"/>
  <c r="L113" i="11"/>
  <c r="AS15" i="11" s="1"/>
  <c r="AX15" i="11" s="1"/>
  <c r="N115" i="11"/>
  <c r="N113" i="11" s="1"/>
  <c r="M124" i="15"/>
  <c r="N124" i="15"/>
  <c r="D116" i="16"/>
  <c r="F116" i="16" s="1"/>
  <c r="F116" i="15"/>
  <c r="Y27" i="8"/>
  <c r="AA20" i="7"/>
  <c r="AA16" i="7" s="1"/>
  <c r="AH27" i="7"/>
  <c r="AH20" i="7" s="1"/>
  <c r="AH16" i="7" s="1"/>
  <c r="N120" i="15"/>
  <c r="M120" i="15"/>
  <c r="M118" i="16"/>
  <c r="N118" i="16"/>
  <c r="Y71" i="8"/>
  <c r="AH71" i="7"/>
  <c r="AH69" i="7" s="1"/>
  <c r="AH65" i="7" s="1"/>
  <c r="AA69" i="7"/>
  <c r="AA65" i="7" s="1"/>
  <c r="AB180" i="8"/>
  <c r="AD176" i="7"/>
  <c r="AD170" i="7" s="1"/>
  <c r="AI180" i="7"/>
  <c r="AI176" i="7" s="1"/>
  <c r="AI170" i="7" s="1"/>
  <c r="AU26" i="6"/>
  <c r="AQ27" i="8"/>
  <c r="BN24" i="8"/>
  <c r="BN22" i="8" s="1"/>
  <c r="BH11" i="8" s="1"/>
  <c r="M100" i="15"/>
  <c r="N100" i="15"/>
  <c r="AI177" i="9"/>
  <c r="AJ177" i="9"/>
  <c r="BN23" i="9"/>
  <c r="X176" i="9"/>
  <c r="I24" i="20"/>
  <c r="BE22" i="8"/>
  <c r="D107" i="16"/>
  <c r="F107" i="16" s="1"/>
  <c r="F107" i="15"/>
  <c r="D105" i="16"/>
  <c r="F105" i="15"/>
  <c r="D104" i="15"/>
  <c r="Y161" i="12"/>
  <c r="AA161" i="12" s="1"/>
  <c r="AH161" i="11"/>
  <c r="AH238" i="9"/>
  <c r="AI238" i="9"/>
  <c r="AH228" i="9"/>
  <c r="AI228" i="9"/>
  <c r="X227" i="9"/>
  <c r="J12" i="9"/>
  <c r="L12" i="9" s="1"/>
  <c r="N12" i="8"/>
  <c r="F94" i="14"/>
  <c r="G105" i="11"/>
  <c r="I104" i="10"/>
  <c r="M105" i="10"/>
  <c r="M104" i="10" s="1"/>
  <c r="V170" i="9"/>
  <c r="N91" i="16"/>
  <c r="M91" i="16"/>
  <c r="V135" i="11"/>
  <c r="X135" i="10"/>
  <c r="V123" i="10"/>
  <c r="N108" i="14"/>
  <c r="M108" i="14"/>
  <c r="V174" i="11"/>
  <c r="V172" i="10"/>
  <c r="X174" i="10"/>
  <c r="D102" i="16"/>
  <c r="F102" i="16" s="1"/>
  <c r="F102" i="15"/>
  <c r="M100" i="16"/>
  <c r="N100" i="16"/>
  <c r="G95" i="11"/>
  <c r="I94" i="10"/>
  <c r="M95" i="10"/>
  <c r="M94" i="10" s="1"/>
  <c r="V237" i="11"/>
  <c r="V235" i="10"/>
  <c r="V234" i="10" s="1"/>
  <c r="X237" i="10"/>
  <c r="N107" i="14"/>
  <c r="M107" i="14"/>
  <c r="J105" i="11"/>
  <c r="L104" i="10"/>
  <c r="N105" i="10"/>
  <c r="N104" i="10" s="1"/>
  <c r="N106" i="15"/>
  <c r="M106" i="15"/>
  <c r="E86" i="16"/>
  <c r="E85" i="16" s="1"/>
  <c r="E85" i="15"/>
  <c r="V238" i="11"/>
  <c r="X238" i="10"/>
  <c r="AJ238" i="10" s="1"/>
  <c r="AE124" i="9"/>
  <c r="AJ124" i="8"/>
  <c r="J86" i="11"/>
  <c r="L85" i="10"/>
  <c r="N86" i="10"/>
  <c r="N85" i="10" s="1"/>
  <c r="BL11" i="7"/>
  <c r="BL11" i="10" s="1"/>
  <c r="BL11" i="13" s="1"/>
  <c r="BL11" i="16" s="1"/>
  <c r="N88" i="14"/>
  <c r="AQ11" i="14"/>
  <c r="F110" i="15"/>
  <c r="D110" i="16"/>
  <c r="F110" i="16" s="1"/>
  <c r="L95" i="11"/>
  <c r="J94" i="11"/>
  <c r="V188" i="11"/>
  <c r="V187" i="10"/>
  <c r="V185" i="10" s="1"/>
  <c r="X188" i="10"/>
  <c r="N91" i="15"/>
  <c r="M91" i="15"/>
  <c r="M96" i="14"/>
  <c r="N96" i="14"/>
  <c r="V73" i="11"/>
  <c r="V69" i="10"/>
  <c r="V65" i="10" s="1"/>
  <c r="X73" i="10"/>
  <c r="V207" i="15"/>
  <c r="X207" i="14"/>
  <c r="N102" i="14"/>
  <c r="M102" i="14"/>
  <c r="BL8" i="10"/>
  <c r="BL8" i="13" s="1"/>
  <c r="BL8" i="16" s="1"/>
  <c r="M99" i="14"/>
  <c r="N99" i="14"/>
  <c r="V177" i="11"/>
  <c r="X177" i="10"/>
  <c r="V176" i="10"/>
  <c r="D111" i="16"/>
  <c r="F111" i="16" s="1"/>
  <c r="F111" i="15"/>
  <c r="AE161" i="9"/>
  <c r="AJ161" i="8"/>
  <c r="AE80" i="9"/>
  <c r="AJ80" i="8"/>
  <c r="G41" i="9"/>
  <c r="I41" i="9" s="1"/>
  <c r="M106" i="16"/>
  <c r="N106" i="16"/>
  <c r="AB75" i="9"/>
  <c r="AI75" i="8"/>
  <c r="N109" i="15"/>
  <c r="M109" i="15"/>
  <c r="V228" i="11"/>
  <c r="V227" i="10"/>
  <c r="X228" i="10"/>
  <c r="D92" i="16"/>
  <c r="F92" i="16" s="1"/>
  <c r="F92" i="15"/>
  <c r="D88" i="16"/>
  <c r="F88" i="16" s="1"/>
  <c r="F88" i="15"/>
  <c r="N110" i="14"/>
  <c r="M110" i="14"/>
  <c r="N87" i="16"/>
  <c r="M87" i="16"/>
  <c r="D96" i="16"/>
  <c r="F96" i="16" s="1"/>
  <c r="F96" i="15"/>
  <c r="AI135" i="9"/>
  <c r="AH135" i="9"/>
  <c r="AJ135" i="9"/>
  <c r="M86" i="14"/>
  <c r="F85" i="14"/>
  <c r="E105" i="16"/>
  <c r="E104" i="16" s="1"/>
  <c r="E104" i="15"/>
  <c r="J41" i="9"/>
  <c r="L41" i="9" s="1"/>
  <c r="BN30" i="8"/>
  <c r="BH14" i="8" s="1"/>
  <c r="N98" i="14"/>
  <c r="M98" i="14"/>
  <c r="AH174" i="9"/>
  <c r="AH172" i="9" s="1"/>
  <c r="BN31" i="9"/>
  <c r="BH15" i="9" s="1"/>
  <c r="AJ174" i="9"/>
  <c r="X172" i="9"/>
  <c r="M90" i="15"/>
  <c r="N90" i="15"/>
  <c r="AQ13" i="15"/>
  <c r="F99" i="15"/>
  <c r="D99" i="16"/>
  <c r="F99" i="16" s="1"/>
  <c r="C21" i="20" s="1"/>
  <c r="AI237" i="9"/>
  <c r="X235" i="9"/>
  <c r="X234" i="9" s="1"/>
  <c r="BE21" i="9"/>
  <c r="B24" i="10"/>
  <c r="Q128" i="9"/>
  <c r="Q126" i="9" s="1"/>
  <c r="Q130" i="9" s="1"/>
  <c r="C128" i="9"/>
  <c r="P128" i="9"/>
  <c r="P126" i="9" s="1"/>
  <c r="P130" i="9" s="1"/>
  <c r="H128" i="9"/>
  <c r="H126" i="9" s="1"/>
  <c r="H130" i="9" s="1"/>
  <c r="K128" i="9"/>
  <c r="K126" i="9" s="1"/>
  <c r="K130" i="9" s="1"/>
  <c r="N111" i="14"/>
  <c r="M111" i="14"/>
  <c r="F104" i="14"/>
  <c r="N109" i="16"/>
  <c r="M109" i="16"/>
  <c r="AB216" i="9"/>
  <c r="AD211" i="8"/>
  <c r="AD210" i="8" s="1"/>
  <c r="AD209" i="8" s="1"/>
  <c r="AI216" i="8"/>
  <c r="M92" i="14"/>
  <c r="N92" i="14"/>
  <c r="AV12" i="15"/>
  <c r="AU12" i="15"/>
  <c r="AY12" i="15"/>
  <c r="AZ12" i="15"/>
  <c r="AE162" i="12"/>
  <c r="AG162" i="12" s="1"/>
  <c r="AJ162" i="11"/>
  <c r="F95" i="15"/>
  <c r="D95" i="16"/>
  <c r="D94" i="15"/>
  <c r="X187" i="9"/>
  <c r="X185" i="9" s="1"/>
  <c r="AI188" i="9"/>
  <c r="AI187" i="9" s="1"/>
  <c r="AI185" i="9" s="1"/>
  <c r="N87" i="15"/>
  <c r="M87" i="15"/>
  <c r="AV11" i="13"/>
  <c r="AZ11" i="13"/>
  <c r="AH73" i="9"/>
  <c r="AI73" i="9"/>
  <c r="AJ73" i="9"/>
  <c r="X69" i="9"/>
  <c r="X65" i="9" s="1"/>
  <c r="D86" i="16"/>
  <c r="F86" i="15"/>
  <c r="D85" i="15"/>
  <c r="F108" i="15"/>
  <c r="D108" i="16"/>
  <c r="F108" i="16" s="1"/>
  <c r="AH207" i="13"/>
  <c r="AI207" i="13"/>
  <c r="D98" i="16"/>
  <c r="F98" i="16" s="1"/>
  <c r="F98" i="15"/>
  <c r="N90" i="16"/>
  <c r="M90" i="16"/>
  <c r="AQ13" i="16"/>
  <c r="BD22" i="6"/>
  <c r="AU26" i="5"/>
  <c r="AV26" i="5"/>
  <c r="AZ26" i="5"/>
  <c r="I24" i="7"/>
  <c r="G22" i="7"/>
  <c r="J27" i="8"/>
  <c r="J128" i="8" s="1"/>
  <c r="L25" i="7"/>
  <c r="AS8" i="7" s="1"/>
  <c r="AV8" i="7" s="1"/>
  <c r="N27" i="7"/>
  <c r="N25" i="7" s="1"/>
  <c r="AX8" i="7"/>
  <c r="AZ8" i="7" s="1"/>
  <c r="I27" i="7"/>
  <c r="G25" i="7"/>
  <c r="G128" i="7"/>
  <c r="AR8" i="6"/>
  <c r="AU8" i="6" s="1"/>
  <c r="I21" i="6"/>
  <c r="I19" i="6" s="1"/>
  <c r="I88" i="11"/>
  <c r="G85" i="11"/>
  <c r="L37" i="11"/>
  <c r="E37" i="13"/>
  <c r="E35" i="12"/>
  <c r="E31" i="16"/>
  <c r="E29" i="16" s="1"/>
  <c r="E29" i="15"/>
  <c r="J31" i="12"/>
  <c r="I52" i="9"/>
  <c r="G51" i="9"/>
  <c r="M47" i="9"/>
  <c r="L59" i="9"/>
  <c r="N59" i="9" s="1"/>
  <c r="N57" i="9" s="1"/>
  <c r="J57" i="9"/>
  <c r="F66" i="9"/>
  <c r="N68" i="9"/>
  <c r="L77" i="9"/>
  <c r="J75" i="9"/>
  <c r="E53" i="11"/>
  <c r="E51" i="10"/>
  <c r="F53" i="10"/>
  <c r="M77" i="9"/>
  <c r="L71" i="9"/>
  <c r="N71" i="9" s="1"/>
  <c r="N69" i="9" s="1"/>
  <c r="J69" i="9"/>
  <c r="L53" i="9"/>
  <c r="N53" i="9" s="1"/>
  <c r="N51" i="9" s="1"/>
  <c r="J51" i="9"/>
  <c r="F69" i="9"/>
  <c r="M71" i="9"/>
  <c r="M69" i="9" s="1"/>
  <c r="E26" i="11"/>
  <c r="E25" i="10"/>
  <c r="F26" i="10"/>
  <c r="F57" i="9"/>
  <c r="M59" i="9"/>
  <c r="M57" i="9" s="1"/>
  <c r="F54" i="9"/>
  <c r="N56" i="9"/>
  <c r="E65" i="11"/>
  <c r="E63" i="10"/>
  <c r="F65" i="10"/>
  <c r="M13" i="9"/>
  <c r="D37" i="11"/>
  <c r="F37" i="10"/>
  <c r="E14" i="11"/>
  <c r="E10" i="10"/>
  <c r="F14" i="10"/>
  <c r="E59" i="11"/>
  <c r="E57" i="10"/>
  <c r="F59" i="10"/>
  <c r="D56" i="11"/>
  <c r="D54" i="10"/>
  <c r="F56" i="10"/>
  <c r="I46" i="9"/>
  <c r="G45" i="9"/>
  <c r="M83" i="9"/>
  <c r="M81" i="9" s="1"/>
  <c r="F81" i="9"/>
  <c r="M65" i="9"/>
  <c r="E33" i="12"/>
  <c r="E32" i="11"/>
  <c r="E28" i="11" s="1"/>
  <c r="F33" i="11"/>
  <c r="D13" i="11"/>
  <c r="F13" i="10"/>
  <c r="L33" i="9"/>
  <c r="N37" i="9"/>
  <c r="D31" i="11"/>
  <c r="F31" i="10"/>
  <c r="M14" i="9"/>
  <c r="N14" i="9"/>
  <c r="L47" i="9"/>
  <c r="N47" i="9" s="1"/>
  <c r="J45" i="9"/>
  <c r="E83" i="11"/>
  <c r="E81" i="10"/>
  <c r="F83" i="10"/>
  <c r="M33" i="10"/>
  <c r="M31" i="9"/>
  <c r="N31" i="9"/>
  <c r="L83" i="9"/>
  <c r="N83" i="9" s="1"/>
  <c r="N81" i="9" s="1"/>
  <c r="J81" i="9"/>
  <c r="I74" i="9"/>
  <c r="G72" i="9"/>
  <c r="E47" i="11"/>
  <c r="E45" i="10"/>
  <c r="F47" i="10"/>
  <c r="D68" i="11"/>
  <c r="D66" i="10"/>
  <c r="F68" i="10"/>
  <c r="I62" i="9"/>
  <c r="G60" i="9"/>
  <c r="M53" i="9"/>
  <c r="F51" i="9"/>
  <c r="I37" i="9"/>
  <c r="M37" i="9" s="1"/>
  <c r="E77" i="11"/>
  <c r="E75" i="10"/>
  <c r="F77" i="10"/>
  <c r="L26" i="9"/>
  <c r="N26" i="9" s="1"/>
  <c r="E71" i="11"/>
  <c r="E69" i="10"/>
  <c r="F71" i="10"/>
  <c r="M26" i="9"/>
  <c r="BC11" i="9"/>
  <c r="L65" i="9"/>
  <c r="N65" i="9" s="1"/>
  <c r="J63" i="9"/>
  <c r="AS7" i="7"/>
  <c r="F128" i="8"/>
  <c r="J13" i="8"/>
  <c r="N13" i="7"/>
  <c r="N10" i="7" s="1"/>
  <c r="L10" i="7"/>
  <c r="N128" i="7"/>
  <c r="E24" i="10"/>
  <c r="E22" i="9"/>
  <c r="E128" i="9"/>
  <c r="L24" i="8"/>
  <c r="J22" i="8"/>
  <c r="J15" i="10"/>
  <c r="L15" i="10" s="1"/>
  <c r="N15" i="9"/>
  <c r="J14" i="12"/>
  <c r="L14" i="12" s="1"/>
  <c r="D24" i="10"/>
  <c r="D22" i="9"/>
  <c r="F24" i="9"/>
  <c r="D128" i="9"/>
  <c r="AQ7" i="7"/>
  <c r="AD88" i="8"/>
  <c r="AB83" i="8"/>
  <c r="AA237" i="8"/>
  <c r="Y235" i="8"/>
  <c r="V225" i="14"/>
  <c r="X225" i="13"/>
  <c r="AB107" i="9"/>
  <c r="AI107" i="8"/>
  <c r="AI105" i="8" s="1"/>
  <c r="AI104" i="8" s="1"/>
  <c r="AD105" i="8"/>
  <c r="AD104" i="8" s="1"/>
  <c r="AI245" i="9"/>
  <c r="AH245" i="9"/>
  <c r="AJ245" i="9"/>
  <c r="AJ134" i="12"/>
  <c r="AH134" i="12"/>
  <c r="AI134" i="12"/>
  <c r="Y133" i="9"/>
  <c r="AH133" i="8"/>
  <c r="AI225" i="12"/>
  <c r="AB50" i="9"/>
  <c r="AD49" i="8"/>
  <c r="AI50" i="8"/>
  <c r="AI49" i="8" s="1"/>
  <c r="V245" i="11"/>
  <c r="X245" i="10"/>
  <c r="V134" i="14"/>
  <c r="X134" i="13"/>
  <c r="G56" i="9"/>
  <c r="M56" i="8"/>
  <c r="AE158" i="13"/>
  <c r="AE127" i="13"/>
  <c r="AJ127" i="12"/>
  <c r="F39" i="12"/>
  <c r="D39" i="13"/>
  <c r="F40" i="12"/>
  <c r="D40" i="13"/>
  <c r="M39" i="11"/>
  <c r="N39" i="11"/>
  <c r="AD168" i="16"/>
  <c r="M38" i="10"/>
  <c r="N38" i="10"/>
  <c r="AB214" i="16"/>
  <c r="AI38" i="16"/>
  <c r="D38" i="12"/>
  <c r="F38" i="11"/>
  <c r="M40" i="11"/>
  <c r="N40" i="11"/>
  <c r="BD11" i="16"/>
  <c r="D11" i="20" s="1"/>
  <c r="AG92" i="15"/>
  <c r="AH251" i="16"/>
  <c r="AI212" i="15"/>
  <c r="AH212" i="15"/>
  <c r="AH162" i="16"/>
  <c r="AI162" i="16"/>
  <c r="AH132" i="16"/>
  <c r="AI132" i="16"/>
  <c r="AJ132" i="16"/>
  <c r="I28" i="7"/>
  <c r="AR9" i="7" s="1"/>
  <c r="AB130" i="16"/>
  <c r="AI130" i="15"/>
  <c r="AG48" i="16"/>
  <c r="X212" i="16"/>
  <c r="AD74" i="16"/>
  <c r="F41" i="9"/>
  <c r="D41" i="10"/>
  <c r="N41" i="8"/>
  <c r="M41" i="8"/>
  <c r="B12" i="12"/>
  <c r="G12" i="8"/>
  <c r="I10" i="7"/>
  <c r="M12" i="7"/>
  <c r="M10" i="7" s="1"/>
  <c r="AE201" i="11"/>
  <c r="AG201" i="11" s="1"/>
  <c r="AG236" i="9"/>
  <c r="AG21" i="16"/>
  <c r="AE247" i="14"/>
  <c r="AG247" i="14" s="1"/>
  <c r="AJ247" i="13"/>
  <c r="AJ250" i="10"/>
  <c r="AE250" i="11"/>
  <c r="AG250" i="11" s="1"/>
  <c r="BD10" i="7"/>
  <c r="BD9" i="7" s="1"/>
  <c r="BD8" i="7" s="1"/>
  <c r="AG159" i="16"/>
  <c r="AE225" i="11"/>
  <c r="AG225" i="11" s="1"/>
  <c r="AJ225" i="10"/>
  <c r="AG97" i="16"/>
  <c r="AG223" i="9"/>
  <c r="AE222" i="9"/>
  <c r="AE239" i="11"/>
  <c r="AG239" i="11" s="1"/>
  <c r="AJ239" i="10"/>
  <c r="AE213" i="11"/>
  <c r="AG213" i="11" s="1"/>
  <c r="AJ213" i="10"/>
  <c r="BK7" i="8"/>
  <c r="BK16" i="8" s="1"/>
  <c r="AG84" i="16"/>
  <c r="AE181" i="9"/>
  <c r="AJ181" i="8"/>
  <c r="AE229" i="10"/>
  <c r="AG229" i="10" s="1"/>
  <c r="AJ229" i="9"/>
  <c r="AE191" i="11"/>
  <c r="AG191" i="11" s="1"/>
  <c r="AJ191" i="10"/>
  <c r="AG228" i="9"/>
  <c r="AE227" i="9"/>
  <c r="AE237" i="10"/>
  <c r="AG237" i="10" s="1"/>
  <c r="AJ237" i="9"/>
  <c r="AJ253" i="10"/>
  <c r="AE253" i="11"/>
  <c r="AG253" i="11" s="1"/>
  <c r="AG151" i="16"/>
  <c r="AE198" i="9"/>
  <c r="AJ198" i="8"/>
  <c r="I30" i="8"/>
  <c r="G29" i="8"/>
  <c r="AJ249" i="13"/>
  <c r="AE249" i="14"/>
  <c r="AG249" i="14" s="1"/>
  <c r="AJ246" i="10"/>
  <c r="AE246" i="11"/>
  <c r="AG246" i="11" s="1"/>
  <c r="AE182" i="11"/>
  <c r="AG182" i="11" s="1"/>
  <c r="AJ182" i="10"/>
  <c r="AE186" i="9"/>
  <c r="AJ186" i="8"/>
  <c r="AX22" i="16"/>
  <c r="AE190" i="11"/>
  <c r="AG190" i="11" s="1"/>
  <c r="AJ190" i="10"/>
  <c r="AE255" i="11"/>
  <c r="AG255" i="11" s="1"/>
  <c r="AJ255" i="10"/>
  <c r="AE224" i="10"/>
  <c r="AG224" i="10" s="1"/>
  <c r="AJ224" i="9"/>
  <c r="BF8" i="7"/>
  <c r="BF8" i="10" s="1"/>
  <c r="BF8" i="13" s="1"/>
  <c r="BF8" i="16" s="1"/>
  <c r="AG133" i="16"/>
  <c r="BK7" i="11"/>
  <c r="BR7" i="16"/>
  <c r="AY26" i="6"/>
  <c r="AG71" i="16"/>
  <c r="AE199" i="11"/>
  <c r="AG199" i="11" s="1"/>
  <c r="AJ199" i="10"/>
  <c r="AE203" i="11"/>
  <c r="AG203" i="11" s="1"/>
  <c r="AJ203" i="10"/>
  <c r="AE206" i="9"/>
  <c r="AG205" i="8"/>
  <c r="AJ206" i="8"/>
  <c r="AJ205" i="8" s="1"/>
  <c r="L126" i="6"/>
  <c r="L130" i="6" s="1"/>
  <c r="BK16" i="10"/>
  <c r="AG51" i="16"/>
  <c r="BK16" i="6"/>
  <c r="AW13" i="9"/>
  <c r="AY13" i="9" s="1"/>
  <c r="AR13" i="9"/>
  <c r="AU13" i="9" s="1"/>
  <c r="AJ207" i="11"/>
  <c r="AE207" i="12"/>
  <c r="AG207" i="12" s="1"/>
  <c r="AG220" i="8"/>
  <c r="AE256" i="11"/>
  <c r="AG256" i="11" s="1"/>
  <c r="AJ256" i="10"/>
  <c r="AE245" i="14"/>
  <c r="AG245" i="14" s="1"/>
  <c r="AE214" i="11"/>
  <c r="AG214" i="11" s="1"/>
  <c r="AE240" i="11"/>
  <c r="AG240" i="11" s="1"/>
  <c r="AJ240" i="10"/>
  <c r="BK7" i="16"/>
  <c r="AE200" i="11"/>
  <c r="AG200" i="11" s="1"/>
  <c r="AJ200" i="10"/>
  <c r="AE60" i="16"/>
  <c r="AE204" i="11"/>
  <c r="AG204" i="11" s="1"/>
  <c r="AJ204" i="10"/>
  <c r="AE215" i="11"/>
  <c r="AG215" i="11" s="1"/>
  <c r="AJ215" i="10"/>
  <c r="AE252" i="11"/>
  <c r="AG252" i="11" s="1"/>
  <c r="AJ252" i="10"/>
  <c r="AE248" i="11"/>
  <c r="AG248" i="11" s="1"/>
  <c r="AJ248" i="10"/>
  <c r="AE217" i="11"/>
  <c r="AG217" i="11" s="1"/>
  <c r="AJ217" i="10"/>
  <c r="AE230" i="14"/>
  <c r="AG230" i="14" s="1"/>
  <c r="AJ230" i="13"/>
  <c r="I23" i="8"/>
  <c r="AG180" i="12"/>
  <c r="AE218" i="14"/>
  <c r="AG218" i="14" s="1"/>
  <c r="AJ218" i="13"/>
  <c r="AE216" i="11"/>
  <c r="AG216" i="11" s="1"/>
  <c r="AJ216" i="10"/>
  <c r="AA53" i="15"/>
  <c r="AE183" i="11"/>
  <c r="AG183" i="11" s="1"/>
  <c r="AJ183" i="10"/>
  <c r="AJ222" i="8"/>
  <c r="AJ220" i="8" s="1"/>
  <c r="AE238" i="11"/>
  <c r="AG238" i="11" s="1"/>
  <c r="AG188" i="9"/>
  <c r="AG107" i="16"/>
  <c r="AE251" i="11"/>
  <c r="AG251" i="11" s="1"/>
  <c r="AJ251" i="10"/>
  <c r="AJ254" i="10"/>
  <c r="AE254" i="11"/>
  <c r="AG254" i="11" s="1"/>
  <c r="R29" i="20" l="1"/>
  <c r="R55" i="20" s="1"/>
  <c r="BC18" i="15"/>
  <c r="AI91" i="9"/>
  <c r="BL7" i="7"/>
  <c r="BL7" i="10" s="1"/>
  <c r="BL7" i="13" s="1"/>
  <c r="BL7" i="16" s="1"/>
  <c r="AU14" i="5"/>
  <c r="AJ12" i="5"/>
  <c r="AJ114" i="7"/>
  <c r="X90" i="8"/>
  <c r="X193" i="7"/>
  <c r="AJ12" i="6"/>
  <c r="AB10" i="7"/>
  <c r="AB8" i="7" s="1"/>
  <c r="AD14" i="7"/>
  <c r="AD12" i="7" s="1"/>
  <c r="AU30" i="5"/>
  <c r="AH10" i="5"/>
  <c r="AH258" i="5" s="1"/>
  <c r="W8" i="7"/>
  <c r="BC21" i="9"/>
  <c r="BP32" i="6"/>
  <c r="AV30" i="6"/>
  <c r="AU30" i="6"/>
  <c r="BO7" i="6"/>
  <c r="BO32" i="6" s="1"/>
  <c r="BI7" i="6"/>
  <c r="BI16" i="6" s="1"/>
  <c r="AR24" i="7"/>
  <c r="BP14" i="7"/>
  <c r="BJ9" i="7" s="1"/>
  <c r="AC1" i="5"/>
  <c r="Y1" i="6"/>
  <c r="AY14" i="5"/>
  <c r="AZ30" i="5"/>
  <c r="W10" i="8"/>
  <c r="W8" i="8" s="1"/>
  <c r="W110" i="9"/>
  <c r="AI10" i="5"/>
  <c r="AI8" i="5" s="1"/>
  <c r="X220" i="9"/>
  <c r="BN30" i="9" s="1"/>
  <c r="BH14" i="9" s="1"/>
  <c r="AI196" i="8"/>
  <c r="AI195" i="8" s="1"/>
  <c r="U258" i="13"/>
  <c r="AH112" i="7"/>
  <c r="AH110" i="7" s="1"/>
  <c r="AJ10" i="6"/>
  <c r="AJ8" i="6" s="1"/>
  <c r="AI10" i="6"/>
  <c r="AI8" i="6" s="1"/>
  <c r="AH10" i="6"/>
  <c r="AH258" i="6" s="1"/>
  <c r="U258" i="10"/>
  <c r="BJ16" i="6"/>
  <c r="X145" i="8"/>
  <c r="BO13" i="7"/>
  <c r="AJ43" i="7"/>
  <c r="AJ14" i="7" s="1"/>
  <c r="X195" i="8"/>
  <c r="X193" i="8" s="1"/>
  <c r="AH49" i="8"/>
  <c r="Y98" i="9"/>
  <c r="AA96" i="8"/>
  <c r="AH98" i="8"/>
  <c r="L43" i="9"/>
  <c r="J42" i="9"/>
  <c r="AB97" i="9"/>
  <c r="AD96" i="8"/>
  <c r="AD90" i="8" s="1"/>
  <c r="L49" i="8"/>
  <c r="J48" i="8"/>
  <c r="W59" i="12"/>
  <c r="W58" i="11"/>
  <c r="W57" i="11" s="1"/>
  <c r="X98" i="12"/>
  <c r="W98" i="13"/>
  <c r="W96" i="12"/>
  <c r="G80" i="9"/>
  <c r="M80" i="8"/>
  <c r="AI159" i="9"/>
  <c r="AJ159" i="9"/>
  <c r="L61" i="8"/>
  <c r="J60" i="8"/>
  <c r="AI59" i="9"/>
  <c r="AI58" i="9" s="1"/>
  <c r="AI57" i="9" s="1"/>
  <c r="X58" i="9"/>
  <c r="X57" i="9" s="1"/>
  <c r="E43" i="11"/>
  <c r="E42" i="10"/>
  <c r="AA198" i="8"/>
  <c r="Y197" i="8"/>
  <c r="Y196" i="8" s="1"/>
  <c r="Y195" i="8" s="1"/>
  <c r="Y193" i="8" s="1"/>
  <c r="AA229" i="9"/>
  <c r="Y227" i="9"/>
  <c r="BP13" i="7"/>
  <c r="AR25" i="7"/>
  <c r="AW25" i="7" s="1"/>
  <c r="E67" i="11"/>
  <c r="E66" i="10"/>
  <c r="F67" i="10"/>
  <c r="F66" i="10" s="1"/>
  <c r="AA159" i="8"/>
  <c r="Y157" i="8"/>
  <c r="Y155" i="8" s="1"/>
  <c r="Y145" i="8" s="1"/>
  <c r="X152" i="11"/>
  <c r="W152" i="12"/>
  <c r="W149" i="11"/>
  <c r="W147" i="11" s="1"/>
  <c r="AA59" i="8"/>
  <c r="Y58" i="8"/>
  <c r="Y57" i="8" s="1"/>
  <c r="G66" i="8"/>
  <c r="I68" i="8"/>
  <c r="E61" i="11"/>
  <c r="E60" i="10"/>
  <c r="Y91" i="8"/>
  <c r="Y90" i="8" s="1"/>
  <c r="AA93" i="8"/>
  <c r="D27" i="11"/>
  <c r="D25" i="10"/>
  <c r="F27" i="10"/>
  <c r="F25" i="10" s="1"/>
  <c r="AQ8" i="10" s="1"/>
  <c r="L67" i="9"/>
  <c r="N67" i="9" s="1"/>
  <c r="N66" i="9" s="1"/>
  <c r="J66" i="9"/>
  <c r="W187" i="12"/>
  <c r="W185" i="12" s="1"/>
  <c r="W188" i="13"/>
  <c r="W229" i="11"/>
  <c r="W227" i="10"/>
  <c r="W220" i="10" s="1"/>
  <c r="X229" i="10"/>
  <c r="AI229" i="10" s="1"/>
  <c r="AD21" i="8"/>
  <c r="AB20" i="8"/>
  <c r="AB16" i="8" s="1"/>
  <c r="BO28" i="7"/>
  <c r="BO25" i="7" s="1"/>
  <c r="BI12" i="7" s="1"/>
  <c r="AA195" i="7"/>
  <c r="AA193" i="7" s="1"/>
  <c r="Y177" i="9"/>
  <c r="AA176" i="8"/>
  <c r="AA170" i="8" s="1"/>
  <c r="BO24" i="8" s="1"/>
  <c r="BO23" i="8"/>
  <c r="AH177" i="8"/>
  <c r="AH176" i="8" s="1"/>
  <c r="AH170" i="8" s="1"/>
  <c r="Y47" i="9"/>
  <c r="AA44" i="8"/>
  <c r="AA43" i="8" s="1"/>
  <c r="AH47" i="8"/>
  <c r="AG143" i="9"/>
  <c r="AE141" i="9"/>
  <c r="L73" i="8"/>
  <c r="J72" i="8"/>
  <c r="E21" i="9"/>
  <c r="E19" i="9" s="1"/>
  <c r="E17" i="9" s="1"/>
  <c r="E8" i="9" s="1"/>
  <c r="AQ23" i="8"/>
  <c r="AI145" i="7"/>
  <c r="AI110" i="7" s="1"/>
  <c r="BO14" i="7"/>
  <c r="BI9" i="7" s="1"/>
  <c r="AJ59" i="9"/>
  <c r="AJ58" i="9" s="1"/>
  <c r="AJ57" i="9" s="1"/>
  <c r="U1" i="6"/>
  <c r="V63" i="8"/>
  <c r="V12" i="8" s="1"/>
  <c r="V10" i="7"/>
  <c r="W193" i="10"/>
  <c r="AA220" i="8"/>
  <c r="BO30" i="8" s="1"/>
  <c r="BI14" i="8" s="1"/>
  <c r="F61" i="10"/>
  <c r="M61" i="10" s="1"/>
  <c r="AB124" i="10"/>
  <c r="AI124" i="9"/>
  <c r="AD123" i="9"/>
  <c r="AD112" i="9" s="1"/>
  <c r="AA112" i="7"/>
  <c r="AA110" i="7" s="1"/>
  <c r="BO17" i="7"/>
  <c r="BO15" i="7" s="1"/>
  <c r="BI10" i="7" s="1"/>
  <c r="M34" i="9"/>
  <c r="M32" i="9" s="1"/>
  <c r="F32" i="9"/>
  <c r="AB206" i="9"/>
  <c r="AD205" i="8"/>
  <c r="AD196" i="8" s="1"/>
  <c r="AD151" i="8"/>
  <c r="AB149" i="8"/>
  <c r="AB147" i="8" s="1"/>
  <c r="AI98" i="11"/>
  <c r="AR28" i="7"/>
  <c r="AW28" i="7" s="1"/>
  <c r="AY28" i="7" s="1"/>
  <c r="AD193" i="7"/>
  <c r="AI72" i="9"/>
  <c r="AH72" i="9"/>
  <c r="AJ72" i="9"/>
  <c r="AH229" i="9"/>
  <c r="AH227" i="9" s="1"/>
  <c r="AI229" i="9"/>
  <c r="AI227" i="9" s="1"/>
  <c r="AI220" i="9" s="1"/>
  <c r="AD71" i="8"/>
  <c r="AB69" i="8"/>
  <c r="AB65" i="8" s="1"/>
  <c r="AB63" i="8" s="1"/>
  <c r="AA152" i="10"/>
  <c r="AH152" i="10" s="1"/>
  <c r="Y149" i="10"/>
  <c r="Y147" i="10" s="1"/>
  <c r="AD46" i="8"/>
  <c r="AI46" i="8" s="1"/>
  <c r="AI44" i="8" s="1"/>
  <c r="AI43" i="8" s="1"/>
  <c r="AB44" i="8"/>
  <c r="AB43" i="8" s="1"/>
  <c r="AA115" i="8"/>
  <c r="Y114" i="8"/>
  <c r="AI152" i="10"/>
  <c r="D34" i="11"/>
  <c r="D32" i="10"/>
  <c r="F34" i="10"/>
  <c r="AA63" i="7"/>
  <c r="AW22" i="12"/>
  <c r="AY22" i="12" s="1"/>
  <c r="AU22" i="12"/>
  <c r="AJ141" i="8"/>
  <c r="AH96" i="8"/>
  <c r="AD174" i="9"/>
  <c r="AB172" i="9"/>
  <c r="AA125" i="8"/>
  <c r="Y123" i="8"/>
  <c r="AB228" i="10"/>
  <c r="AD227" i="9"/>
  <c r="AD220" i="9" s="1"/>
  <c r="BP30" i="9" s="1"/>
  <c r="BJ14" i="9" s="1"/>
  <c r="Y215" i="9"/>
  <c r="AA211" i="8"/>
  <c r="AA210" i="8" s="1"/>
  <c r="AA209" i="8" s="1"/>
  <c r="BO27" i="8" s="1"/>
  <c r="AH215" i="8"/>
  <c r="AH211" i="8" s="1"/>
  <c r="AH210" i="8" s="1"/>
  <c r="AH209" i="8" s="1"/>
  <c r="L34" i="8"/>
  <c r="J32" i="8"/>
  <c r="J28" i="8" s="1"/>
  <c r="AB142" i="11"/>
  <c r="AD141" i="10"/>
  <c r="BP20" i="10" s="1"/>
  <c r="I44" i="8"/>
  <c r="G42" i="8"/>
  <c r="W72" i="11"/>
  <c r="W69" i="10"/>
  <c r="W65" i="10" s="1"/>
  <c r="W63" i="10" s="1"/>
  <c r="X72" i="10"/>
  <c r="W159" i="11"/>
  <c r="X159" i="10"/>
  <c r="W157" i="10"/>
  <c r="W155" i="10" s="1"/>
  <c r="W145" i="10" s="1"/>
  <c r="AR23" i="7"/>
  <c r="BP12" i="7"/>
  <c r="BP9" i="7" s="1"/>
  <c r="V59" i="11"/>
  <c r="X59" i="10"/>
  <c r="V58" i="10"/>
  <c r="V57" i="10" s="1"/>
  <c r="I36" i="8"/>
  <c r="M36" i="8" s="1"/>
  <c r="M35" i="8" s="1"/>
  <c r="G35" i="8"/>
  <c r="G28" i="8" s="1"/>
  <c r="M67" i="9"/>
  <c r="L55" i="9"/>
  <c r="J54" i="9"/>
  <c r="AF258" i="5"/>
  <c r="AQ14" i="6"/>
  <c r="AZ14" i="6" s="1"/>
  <c r="BC10" i="7"/>
  <c r="BC9" i="7" s="1"/>
  <c r="BC8" i="7" s="1"/>
  <c r="BC22" i="7" s="1"/>
  <c r="AQ16" i="8"/>
  <c r="BC19" i="15"/>
  <c r="AF258" i="6"/>
  <c r="W93" i="12"/>
  <c r="X93" i="11"/>
  <c r="W91" i="11"/>
  <c r="W90" i="11" s="1"/>
  <c r="BN26" i="10"/>
  <c r="E79" i="12"/>
  <c r="E78" i="11"/>
  <c r="D67" i="15"/>
  <c r="W222" i="11"/>
  <c r="W223" i="12"/>
  <c r="AA188" i="9"/>
  <c r="Y187" i="9"/>
  <c r="Y185" i="9" s="1"/>
  <c r="W176" i="11"/>
  <c r="W170" i="11" s="1"/>
  <c r="W177" i="12"/>
  <c r="D55" i="11"/>
  <c r="F55" i="10"/>
  <c r="F54" i="10" s="1"/>
  <c r="AB143" i="13"/>
  <c r="E73" i="12"/>
  <c r="E72" i="11"/>
  <c r="W215" i="12"/>
  <c r="X215" i="11"/>
  <c r="AJ215" i="11" s="1"/>
  <c r="W211" i="11"/>
  <c r="W210" i="11" s="1"/>
  <c r="W209" i="11" s="1"/>
  <c r="AI143" i="10"/>
  <c r="AE173" i="10"/>
  <c r="AG172" i="9"/>
  <c r="AJ173" i="9"/>
  <c r="AJ172" i="9" s="1"/>
  <c r="F72" i="10"/>
  <c r="M73" i="10"/>
  <c r="AD173" i="12"/>
  <c r="E55" i="12"/>
  <c r="E54" i="11"/>
  <c r="AI115" i="10"/>
  <c r="AI86" i="10"/>
  <c r="AH86" i="10"/>
  <c r="BL16" i="7"/>
  <c r="BL16" i="10" s="1"/>
  <c r="AI211" i="8"/>
  <c r="AI210" i="8" s="1"/>
  <c r="AI209" i="8" s="1"/>
  <c r="V220" i="10"/>
  <c r="AJ10" i="5"/>
  <c r="AJ8" i="5" s="1"/>
  <c r="AI93" i="10"/>
  <c r="I50" i="9"/>
  <c r="G48" i="9"/>
  <c r="X222" i="10"/>
  <c r="W198" i="12"/>
  <c r="X198" i="11"/>
  <c r="W197" i="11"/>
  <c r="W196" i="11" s="1"/>
  <c r="W195" i="11" s="1"/>
  <c r="AI215" i="10"/>
  <c r="AJ71" i="9"/>
  <c r="X143" i="11"/>
  <c r="W143" i="12"/>
  <c r="W141" i="11"/>
  <c r="D61" i="12"/>
  <c r="D60" i="11"/>
  <c r="AA52" i="9"/>
  <c r="Y49" i="9"/>
  <c r="E49" i="12"/>
  <c r="E48" i="11"/>
  <c r="V223" i="12"/>
  <c r="X223" i="11"/>
  <c r="V222" i="11"/>
  <c r="AA143" i="9"/>
  <c r="Y141" i="9"/>
  <c r="AA223" i="9"/>
  <c r="Y222" i="9"/>
  <c r="D73" i="12"/>
  <c r="F73" i="11"/>
  <c r="D72" i="11"/>
  <c r="W115" i="12"/>
  <c r="W114" i="11"/>
  <c r="X115" i="11"/>
  <c r="X86" i="11"/>
  <c r="W83" i="11"/>
  <c r="W86" i="12"/>
  <c r="V71" i="11"/>
  <c r="V69" i="11" s="1"/>
  <c r="V65" i="11" s="1"/>
  <c r="X71" i="10"/>
  <c r="W238" i="12"/>
  <c r="W235" i="11"/>
  <c r="W234" i="11" s="1"/>
  <c r="AE258" i="6"/>
  <c r="AH8" i="5"/>
  <c r="V90" i="9"/>
  <c r="N28" i="7"/>
  <c r="N21" i="7" s="1"/>
  <c r="N19" i="7" s="1"/>
  <c r="N17" i="7" s="1"/>
  <c r="N8" i="7" s="1"/>
  <c r="AJ232" i="7"/>
  <c r="AH39" i="9"/>
  <c r="AJ39" i="9"/>
  <c r="AJ35" i="9" s="1"/>
  <c r="X35" i="9"/>
  <c r="AS25" i="6"/>
  <c r="AG63" i="6"/>
  <c r="AG12" i="6" s="1"/>
  <c r="AG10" i="6" s="1"/>
  <c r="D79" i="11"/>
  <c r="D78" i="10"/>
  <c r="F78" i="10" s="1"/>
  <c r="N78" i="10" s="1"/>
  <c r="F79" i="10"/>
  <c r="AE99" i="8"/>
  <c r="AJ99" i="7"/>
  <c r="AJ96" i="7" s="1"/>
  <c r="AG96" i="7"/>
  <c r="V97" i="11"/>
  <c r="V96" i="10"/>
  <c r="X97" i="10"/>
  <c r="AI85" i="8"/>
  <c r="AJ85" i="8"/>
  <c r="X83" i="8"/>
  <c r="D23" i="10"/>
  <c r="D22" i="10" s="1"/>
  <c r="F23" i="9"/>
  <c r="F22" i="9" s="1"/>
  <c r="AQ7" i="9" s="1"/>
  <c r="D12" i="10"/>
  <c r="F12" i="9"/>
  <c r="F10" i="9" s="1"/>
  <c r="BC7" i="9" s="1"/>
  <c r="D10" i="9"/>
  <c r="AZ10" i="8"/>
  <c r="AU10" i="8"/>
  <c r="AV10" i="8"/>
  <c r="X205" i="9"/>
  <c r="AH206" i="9"/>
  <c r="AH205" i="9" s="1"/>
  <c r="W51" i="11"/>
  <c r="W49" i="10"/>
  <c r="V151" i="11"/>
  <c r="V149" i="10"/>
  <c r="V147" i="10" s="1"/>
  <c r="X151" i="10"/>
  <c r="AJ92" i="9"/>
  <c r="AH92" i="9"/>
  <c r="X91" i="9"/>
  <c r="D30" i="10"/>
  <c r="F30" i="9"/>
  <c r="D29" i="9"/>
  <c r="X20" i="9"/>
  <c r="X16" i="9" s="1"/>
  <c r="BN12" i="9" s="1"/>
  <c r="BN9" i="9" s="1"/>
  <c r="AH21" i="9"/>
  <c r="AJ21" i="9"/>
  <c r="V178" i="13"/>
  <c r="X178" i="12"/>
  <c r="AJ158" i="9"/>
  <c r="AH158" i="9"/>
  <c r="X157" i="9"/>
  <c r="X155" i="9" s="1"/>
  <c r="BN17" i="9" s="1"/>
  <c r="AI158" i="9"/>
  <c r="D57" i="10"/>
  <c r="D59" i="11"/>
  <c r="F59" i="11" s="1"/>
  <c r="D64" i="10"/>
  <c r="D63" i="9"/>
  <c r="F64" i="9"/>
  <c r="D49" i="12"/>
  <c r="D48" i="11"/>
  <c r="F49" i="11"/>
  <c r="AQ24" i="7"/>
  <c r="BN14" i="7"/>
  <c r="X63" i="7"/>
  <c r="AE90" i="7"/>
  <c r="AE63" i="7" s="1"/>
  <c r="AE12" i="7" s="1"/>
  <c r="AE10" i="7" s="1"/>
  <c r="AE8" i="7" s="1"/>
  <c r="V142" i="11"/>
  <c r="V141" i="10"/>
  <c r="X142" i="10"/>
  <c r="F28" i="7"/>
  <c r="W46" i="11"/>
  <c r="W44" i="10"/>
  <c r="W43" i="10" s="1"/>
  <c r="AH51" i="9"/>
  <c r="AI51" i="9"/>
  <c r="AJ51" i="9"/>
  <c r="X49" i="9"/>
  <c r="F76" i="9"/>
  <c r="BC17" i="9" s="1"/>
  <c r="D76" i="10"/>
  <c r="D75" i="9"/>
  <c r="AG116" i="8"/>
  <c r="AE114" i="8"/>
  <c r="X197" i="9"/>
  <c r="AI201" i="9"/>
  <c r="AI197" i="9" s="1"/>
  <c r="AH201" i="9"/>
  <c r="AJ201" i="9"/>
  <c r="V213" i="15"/>
  <c r="X213" i="14"/>
  <c r="AI213" i="14" s="1"/>
  <c r="N79" i="9"/>
  <c r="M79" i="9"/>
  <c r="I64" i="14"/>
  <c r="G63" i="14"/>
  <c r="V46" i="10"/>
  <c r="V44" i="9"/>
  <c r="V43" i="9" s="1"/>
  <c r="V14" i="9" s="1"/>
  <c r="X46" i="9"/>
  <c r="D46" i="11"/>
  <c r="D45" i="10"/>
  <c r="F46" i="10"/>
  <c r="AH118" i="8"/>
  <c r="X114" i="8"/>
  <c r="BN16" i="8" s="1"/>
  <c r="AJ118" i="8"/>
  <c r="AI118" i="8"/>
  <c r="AI114" i="8" s="1"/>
  <c r="AG87" i="8"/>
  <c r="AE83" i="8"/>
  <c r="AJ50" i="13"/>
  <c r="AH50" i="13"/>
  <c r="I76" i="12"/>
  <c r="G75" i="12"/>
  <c r="D69" i="10"/>
  <c r="D71" i="11"/>
  <c r="F71" i="11" s="1"/>
  <c r="AE94" i="8"/>
  <c r="AG91" i="7"/>
  <c r="AJ94" i="7"/>
  <c r="AJ91" i="7" s="1"/>
  <c r="BC16" i="9"/>
  <c r="F42" i="9"/>
  <c r="AQ10" i="9" s="1"/>
  <c r="M43" i="9"/>
  <c r="V214" i="11"/>
  <c r="V211" i="10"/>
  <c r="V210" i="10" s="1"/>
  <c r="V209" i="10" s="1"/>
  <c r="X214" i="10"/>
  <c r="X112" i="7"/>
  <c r="X110" i="7" s="1"/>
  <c r="AQ26" i="7" s="1"/>
  <c r="BN16" i="7"/>
  <c r="BN15" i="7" s="1"/>
  <c r="BH10" i="7" s="1"/>
  <c r="W50" i="15"/>
  <c r="AJ193" i="7"/>
  <c r="V39" i="11"/>
  <c r="V35" i="10"/>
  <c r="X39" i="10"/>
  <c r="V196" i="9"/>
  <c r="V195" i="9" s="1"/>
  <c r="V193" i="9" s="1"/>
  <c r="I70" i="13"/>
  <c r="G69" i="13"/>
  <c r="N78" i="9"/>
  <c r="X96" i="9"/>
  <c r="AJ97" i="9"/>
  <c r="AH97" i="9"/>
  <c r="D74" i="15"/>
  <c r="F74" i="15" s="1"/>
  <c r="N46" i="9"/>
  <c r="N45" i="9" s="1"/>
  <c r="BC15" i="9"/>
  <c r="AE178" i="8"/>
  <c r="AJ178" i="7"/>
  <c r="AJ176" i="7" s="1"/>
  <c r="AJ170" i="7" s="1"/>
  <c r="AG176" i="7"/>
  <c r="AG170" i="7" s="1"/>
  <c r="AS27" i="7" s="1"/>
  <c r="AV27" i="7" s="1"/>
  <c r="V85" i="10"/>
  <c r="V83" i="9"/>
  <c r="X85" i="9"/>
  <c r="V206" i="11"/>
  <c r="V205" i="10"/>
  <c r="X206" i="10"/>
  <c r="AQ29" i="8"/>
  <c r="BN27" i="8"/>
  <c r="BN25" i="8" s="1"/>
  <c r="BH12" i="8" s="1"/>
  <c r="V110" i="8"/>
  <c r="AJ151" i="9"/>
  <c r="AJ149" i="9" s="1"/>
  <c r="AJ147" i="9" s="1"/>
  <c r="AH151" i="9"/>
  <c r="AH149" i="9" s="1"/>
  <c r="AH147" i="9" s="1"/>
  <c r="X149" i="9"/>
  <c r="X147" i="9" s="1"/>
  <c r="V92" i="11"/>
  <c r="V91" i="10"/>
  <c r="X92" i="10"/>
  <c r="N36" i="8"/>
  <c r="N35" i="8" s="1"/>
  <c r="F35" i="8"/>
  <c r="D28" i="8"/>
  <c r="D21" i="8" s="1"/>
  <c r="D19" i="8" s="1"/>
  <c r="D17" i="8" s="1"/>
  <c r="D8" i="8" s="1"/>
  <c r="V21" i="11"/>
  <c r="V20" i="10"/>
  <c r="V16" i="10" s="1"/>
  <c r="X21" i="10"/>
  <c r="AG189" i="8"/>
  <c r="AE187" i="8"/>
  <c r="AE185" i="8" s="1"/>
  <c r="V158" i="11"/>
  <c r="V157" i="10"/>
  <c r="V155" i="10" s="1"/>
  <c r="X158" i="10"/>
  <c r="V50" i="15"/>
  <c r="X50" i="14"/>
  <c r="BC14" i="8"/>
  <c r="M64" i="8"/>
  <c r="M63" i="8" s="1"/>
  <c r="N64" i="8"/>
  <c r="N63" i="8" s="1"/>
  <c r="F63" i="8"/>
  <c r="M49" i="10"/>
  <c r="F48" i="10"/>
  <c r="AJ83" i="7"/>
  <c r="AI142" i="9"/>
  <c r="AI141" i="9" s="1"/>
  <c r="AH142" i="9"/>
  <c r="X141" i="9"/>
  <c r="BN20" i="9" s="1"/>
  <c r="AJ142" i="9"/>
  <c r="F52" i="10"/>
  <c r="N52" i="10" s="1"/>
  <c r="D52" i="11"/>
  <c r="D51" i="10"/>
  <c r="F43" i="10"/>
  <c r="D43" i="11"/>
  <c r="D42" i="10"/>
  <c r="V51" i="11"/>
  <c r="V49" i="10"/>
  <c r="X51" i="10"/>
  <c r="AG106" i="8"/>
  <c r="AE105" i="8"/>
  <c r="AE104" i="8" s="1"/>
  <c r="N76" i="8"/>
  <c r="N75" i="8" s="1"/>
  <c r="M76" i="8"/>
  <c r="M75" i="8" s="1"/>
  <c r="F75" i="8"/>
  <c r="AI14" i="7"/>
  <c r="AI12" i="7" s="1"/>
  <c r="AI112" i="8"/>
  <c r="W21" i="11"/>
  <c r="W20" i="10"/>
  <c r="W16" i="10" s="1"/>
  <c r="AE126" i="8"/>
  <c r="AJ126" i="7"/>
  <c r="AJ123" i="7" s="1"/>
  <c r="AJ112" i="7" s="1"/>
  <c r="AJ110" i="7" s="1"/>
  <c r="AG123" i="7"/>
  <c r="AG112" i="7" s="1"/>
  <c r="AG110" i="7" s="1"/>
  <c r="AS26" i="7" s="1"/>
  <c r="AX26" i="7" s="1"/>
  <c r="V201" i="11"/>
  <c r="V197" i="10"/>
  <c r="V196" i="10" s="1"/>
  <c r="V195" i="10" s="1"/>
  <c r="X201" i="10"/>
  <c r="AJ46" i="8"/>
  <c r="AJ44" i="8" s="1"/>
  <c r="AH46" i="8"/>
  <c r="X44" i="8"/>
  <c r="X43" i="8" s="1"/>
  <c r="W94" i="15"/>
  <c r="X94" i="15" s="1"/>
  <c r="BC12" i="8"/>
  <c r="N23" i="8"/>
  <c r="D83" i="12"/>
  <c r="D81" i="11"/>
  <c r="V150" i="15"/>
  <c r="X150" i="14"/>
  <c r="AJ150" i="14" s="1"/>
  <c r="V118" i="10"/>
  <c r="V114" i="9"/>
  <c r="V112" i="9" s="1"/>
  <c r="X118" i="9"/>
  <c r="V145" i="9"/>
  <c r="W39" i="11"/>
  <c r="W35" i="10"/>
  <c r="D36" i="10"/>
  <c r="F36" i="9"/>
  <c r="D35" i="9"/>
  <c r="N30" i="8"/>
  <c r="N29" i="8" s="1"/>
  <c r="F29" i="8"/>
  <c r="BC13" i="8"/>
  <c r="AG160" i="8"/>
  <c r="AE157" i="8"/>
  <c r="AE155" i="8" s="1"/>
  <c r="AE145" i="8" s="1"/>
  <c r="AI90" i="8"/>
  <c r="AH178" i="11"/>
  <c r="AI178" i="11"/>
  <c r="X14" i="7"/>
  <c r="BN13" i="7"/>
  <c r="BH8" i="7" s="1"/>
  <c r="AQ25" i="7"/>
  <c r="W43" i="9"/>
  <c r="W14" i="9" s="1"/>
  <c r="W12" i="9" s="1"/>
  <c r="AH214" i="9"/>
  <c r="AI214" i="9"/>
  <c r="X211" i="9"/>
  <c r="X210" i="9" s="1"/>
  <c r="X209" i="9" s="1"/>
  <c r="AJ214" i="9"/>
  <c r="AG234" i="7"/>
  <c r="T33" i="12"/>
  <c r="Y244" i="8"/>
  <c r="AA243" i="7"/>
  <c r="AA232" i="7" s="1"/>
  <c r="AB244" i="8"/>
  <c r="AD243" i="7"/>
  <c r="AD232" i="7" s="1"/>
  <c r="AD258" i="6"/>
  <c r="BP33" i="6" s="1"/>
  <c r="X8" i="5"/>
  <c r="U1" i="5" s="1"/>
  <c r="X258" i="5"/>
  <c r="X243" i="8"/>
  <c r="X232" i="8" s="1"/>
  <c r="BN29" i="8" s="1"/>
  <c r="BH13" i="8" s="1"/>
  <c r="AR29" i="8"/>
  <c r="AW29" i="8" s="1"/>
  <c r="AG193" i="7"/>
  <c r="AS28" i="7"/>
  <c r="AX28" i="7" s="1"/>
  <c r="AZ28" i="7" s="1"/>
  <c r="AS29" i="7"/>
  <c r="AX29" i="7" s="1"/>
  <c r="AZ29" i="7" s="1"/>
  <c r="V244" i="10"/>
  <c r="X244" i="9"/>
  <c r="V243" i="9"/>
  <c r="V232" i="9" s="1"/>
  <c r="X258" i="6"/>
  <c r="W244" i="10"/>
  <c r="W243" i="9"/>
  <c r="W232" i="9" s="1"/>
  <c r="I55" i="8"/>
  <c r="G54" i="8"/>
  <c r="Y234" i="8"/>
  <c r="BN29" i="7"/>
  <c r="BH13" i="7" s="1"/>
  <c r="AQ30" i="7"/>
  <c r="AB258" i="7"/>
  <c r="AG243" i="7"/>
  <c r="AE244" i="8"/>
  <c r="BO10" i="16"/>
  <c r="D33" i="20" s="1"/>
  <c r="AH66" i="16"/>
  <c r="J10" i="18"/>
  <c r="BO18" i="16"/>
  <c r="D41" i="20" s="1"/>
  <c r="AH156" i="16"/>
  <c r="I71" i="15"/>
  <c r="I83" i="15"/>
  <c r="G81" i="15"/>
  <c r="I59" i="15"/>
  <c r="G57" i="15"/>
  <c r="AA230" i="15"/>
  <c r="G77" i="16"/>
  <c r="I65" i="15"/>
  <c r="G34" i="16"/>
  <c r="I32" i="15"/>
  <c r="V23" i="16"/>
  <c r="AI60" i="14"/>
  <c r="AH60" i="14"/>
  <c r="AJ60" i="14"/>
  <c r="G61" i="14"/>
  <c r="I61" i="14" s="1"/>
  <c r="D26" i="16"/>
  <c r="X60" i="15"/>
  <c r="V60" i="16"/>
  <c r="X106" i="15"/>
  <c r="V106" i="16"/>
  <c r="V105" i="15"/>
  <c r="V104" i="15" s="1"/>
  <c r="V48" i="16"/>
  <c r="X48" i="15"/>
  <c r="X53" i="16"/>
  <c r="AI53" i="16" s="1"/>
  <c r="AI160" i="15"/>
  <c r="AH160" i="15"/>
  <c r="E50" i="16"/>
  <c r="F50" i="15"/>
  <c r="X199" i="15"/>
  <c r="V199" i="16"/>
  <c r="V37" i="16"/>
  <c r="AI87" i="14"/>
  <c r="AH87" i="14"/>
  <c r="E74" i="16"/>
  <c r="X160" i="16"/>
  <c r="AH199" i="14"/>
  <c r="AI199" i="14"/>
  <c r="AI48" i="14"/>
  <c r="AH48" i="14"/>
  <c r="AJ48" i="14"/>
  <c r="AA51" i="14"/>
  <c r="V94" i="16"/>
  <c r="AH116" i="14"/>
  <c r="AI116" i="14"/>
  <c r="AI99" i="15"/>
  <c r="AH99" i="15"/>
  <c r="AI94" i="14"/>
  <c r="AH94" i="14"/>
  <c r="X116" i="15"/>
  <c r="V116" i="16"/>
  <c r="AH106" i="14"/>
  <c r="X105" i="14"/>
  <c r="X104" i="14" s="1"/>
  <c r="AI106" i="14"/>
  <c r="X99" i="16"/>
  <c r="E56" i="16"/>
  <c r="W48" i="16"/>
  <c r="X87" i="15"/>
  <c r="V87" i="16"/>
  <c r="AB79" i="14"/>
  <c r="AD79" i="14" s="1"/>
  <c r="AI79" i="13"/>
  <c r="AD59" i="14"/>
  <c r="AB58" i="14"/>
  <c r="AB57" i="14" s="1"/>
  <c r="AE36" i="11"/>
  <c r="AJ36" i="10"/>
  <c r="AG35" i="10"/>
  <c r="L36" i="10"/>
  <c r="J35" i="10"/>
  <c r="AA225" i="12"/>
  <c r="AA95" i="12"/>
  <c r="AG98" i="10"/>
  <c r="AD198" i="10"/>
  <c r="AB197" i="10"/>
  <c r="J74" i="11"/>
  <c r="N74" i="10"/>
  <c r="L30" i="10"/>
  <c r="J29" i="10"/>
  <c r="AE40" i="16"/>
  <c r="AG40" i="16" s="1"/>
  <c r="AJ40" i="16" s="1"/>
  <c r="AJ40" i="15"/>
  <c r="AE22" i="16"/>
  <c r="AG22" i="16" s="1"/>
  <c r="AJ22" i="16" s="1"/>
  <c r="AJ22" i="15"/>
  <c r="X75" i="14"/>
  <c r="V75" i="15"/>
  <c r="AG59" i="10"/>
  <c r="AE58" i="10"/>
  <c r="AE57" i="10" s="1"/>
  <c r="AJ67" i="14"/>
  <c r="AE67" i="15"/>
  <c r="AG67" i="15" s="1"/>
  <c r="Y246" i="13"/>
  <c r="AH246" i="12"/>
  <c r="Y107" i="13"/>
  <c r="AH107" i="12"/>
  <c r="AH105" i="12" s="1"/>
  <c r="AH104" i="12" s="1"/>
  <c r="AA105" i="12"/>
  <c r="AA104" i="12" s="1"/>
  <c r="AB127" i="11"/>
  <c r="AI127" i="10"/>
  <c r="AD238" i="10"/>
  <c r="AB235" i="10"/>
  <c r="AB234" i="10" s="1"/>
  <c r="AB229" i="11"/>
  <c r="AD98" i="15"/>
  <c r="AA100" i="12"/>
  <c r="J50" i="11"/>
  <c r="N50" i="10"/>
  <c r="E68" i="16"/>
  <c r="AA150" i="12"/>
  <c r="AJ37" i="14"/>
  <c r="AI37" i="14"/>
  <c r="Y213" i="13"/>
  <c r="AH213" i="12"/>
  <c r="AE129" i="13"/>
  <c r="AG129" i="13" s="1"/>
  <c r="AJ129" i="12"/>
  <c r="AI52" i="16"/>
  <c r="AE137" i="16"/>
  <c r="AG137" i="16" s="1"/>
  <c r="AJ137" i="16" s="1"/>
  <c r="AJ137" i="15"/>
  <c r="AD223" i="10"/>
  <c r="AB222" i="10"/>
  <c r="AH23" i="14"/>
  <c r="AI23" i="14"/>
  <c r="AB85" i="15"/>
  <c r="AD85" i="15" s="1"/>
  <c r="AD117" i="10"/>
  <c r="AB114" i="10"/>
  <c r="AG47" i="10"/>
  <c r="AE44" i="10"/>
  <c r="AD22" i="10"/>
  <c r="AG152" i="10"/>
  <c r="AE149" i="10"/>
  <c r="AE147" i="10" s="1"/>
  <c r="AB66" i="14"/>
  <c r="AD66" i="14" s="1"/>
  <c r="BP10" i="13"/>
  <c r="AI66" i="13"/>
  <c r="AR22" i="13"/>
  <c r="AA46" i="14"/>
  <c r="Y117" i="13"/>
  <c r="AH117" i="12"/>
  <c r="AE119" i="16"/>
  <c r="AG119" i="16" s="1"/>
  <c r="AJ119" i="16" s="1"/>
  <c r="AJ119" i="15"/>
  <c r="AD150" i="10"/>
  <c r="AE93" i="11"/>
  <c r="AJ93" i="10"/>
  <c r="AA200" i="12"/>
  <c r="J80" i="11"/>
  <c r="N80" i="10"/>
  <c r="AB55" i="16"/>
  <c r="AD55" i="16" s="1"/>
  <c r="AI55" i="16" s="1"/>
  <c r="AI55" i="15"/>
  <c r="L68" i="10"/>
  <c r="N68" i="10" s="1"/>
  <c r="AG115" i="10"/>
  <c r="L62" i="10"/>
  <c r="Y179" i="13"/>
  <c r="AH179" i="12"/>
  <c r="L56" i="10"/>
  <c r="N56" i="10" s="1"/>
  <c r="E62" i="16"/>
  <c r="F62" i="15"/>
  <c r="E44" i="16"/>
  <c r="F44" i="15"/>
  <c r="AG86" i="10"/>
  <c r="AD100" i="10"/>
  <c r="AA190" i="12"/>
  <c r="AE30" i="16"/>
  <c r="AG30" i="16" s="1"/>
  <c r="AJ30" i="16" s="1"/>
  <c r="AJ30" i="15"/>
  <c r="W37" i="16"/>
  <c r="X37" i="15"/>
  <c r="AD92" i="10"/>
  <c r="AB91" i="10"/>
  <c r="AH75" i="13"/>
  <c r="AJ75" i="13"/>
  <c r="AE26" i="13"/>
  <c r="AG26" i="13" s="1"/>
  <c r="AJ26" i="12"/>
  <c r="Y173" i="13"/>
  <c r="AA172" i="12"/>
  <c r="AH173" i="12"/>
  <c r="AB188" i="11"/>
  <c r="AD187" i="10"/>
  <c r="AD185" i="10" s="1"/>
  <c r="L44" i="10"/>
  <c r="AB181" i="16"/>
  <c r="AD181" i="16" s="1"/>
  <c r="AI181" i="16" s="1"/>
  <c r="AI181" i="15"/>
  <c r="W23" i="16"/>
  <c r="X23" i="15"/>
  <c r="AI236" i="15"/>
  <c r="AB236" i="16"/>
  <c r="Y12" i="7"/>
  <c r="Y10" i="7" s="1"/>
  <c r="Y8" i="7" s="1"/>
  <c r="AH63" i="7"/>
  <c r="AI235" i="9"/>
  <c r="AI234" i="9" s="1"/>
  <c r="AH14" i="7"/>
  <c r="AG202" i="8"/>
  <c r="AE197" i="8"/>
  <c r="AE196" i="8" s="1"/>
  <c r="AE195" i="8" s="1"/>
  <c r="AG241" i="8"/>
  <c r="AE235" i="8"/>
  <c r="AA61" i="9"/>
  <c r="Y68" i="16"/>
  <c r="AA68" i="16" s="1"/>
  <c r="AH68" i="16" s="1"/>
  <c r="AH68" i="15"/>
  <c r="AI251" i="16"/>
  <c r="Y26" i="16"/>
  <c r="AA26" i="16" s="1"/>
  <c r="AH26" i="16" s="1"/>
  <c r="AH26" i="15"/>
  <c r="Y76" i="16"/>
  <c r="AA76" i="16" s="1"/>
  <c r="AH76" i="16" s="1"/>
  <c r="AH76" i="15"/>
  <c r="AA85" i="8"/>
  <c r="Y83" i="8"/>
  <c r="AG212" i="8"/>
  <c r="AE211" i="8"/>
  <c r="AE210" i="8" s="1"/>
  <c r="AE209" i="8" s="1"/>
  <c r="AG174" i="13"/>
  <c r="AE53" i="13"/>
  <c r="AG53" i="13" s="1"/>
  <c r="AJ53" i="12"/>
  <c r="Y70" i="13"/>
  <c r="AA70" i="13" s="1"/>
  <c r="AH70" i="12"/>
  <c r="Y28" i="13"/>
  <c r="AA28" i="13" s="1"/>
  <c r="AH28" i="12"/>
  <c r="AA37" i="8"/>
  <c r="Y35" i="8"/>
  <c r="AD180" i="8"/>
  <c r="AB176" i="8"/>
  <c r="AB170" i="8" s="1"/>
  <c r="N116" i="16"/>
  <c r="M116" i="16"/>
  <c r="AJ133" i="9"/>
  <c r="AI133" i="9"/>
  <c r="AI123" i="9" s="1"/>
  <c r="AG23" i="8"/>
  <c r="AE20" i="8"/>
  <c r="AE16" i="8" s="1"/>
  <c r="AG14" i="7"/>
  <c r="AS23" i="7"/>
  <c r="BO12" i="7"/>
  <c r="AA14" i="7"/>
  <c r="L115" i="12"/>
  <c r="J113" i="12"/>
  <c r="W133" i="11"/>
  <c r="W123" i="10"/>
  <c r="W112" i="10" s="1"/>
  <c r="X133" i="10"/>
  <c r="X123" i="10" s="1"/>
  <c r="AD167" i="8"/>
  <c r="AB157" i="8"/>
  <c r="AB155" i="8" s="1"/>
  <c r="N117" i="15"/>
  <c r="M117" i="15"/>
  <c r="AG52" i="8"/>
  <c r="AE49" i="8"/>
  <c r="AE43" i="8" s="1"/>
  <c r="I113" i="11"/>
  <c r="AR15" i="11" s="1"/>
  <c r="AW15" i="11" s="1"/>
  <c r="BD20" i="11"/>
  <c r="G115" i="12"/>
  <c r="M115" i="11"/>
  <c r="M113" i="11" s="1"/>
  <c r="AD39" i="8"/>
  <c r="AB35" i="8"/>
  <c r="N121" i="15"/>
  <c r="M121" i="15"/>
  <c r="F115" i="16"/>
  <c r="D113" i="16"/>
  <c r="AA27" i="8"/>
  <c r="Y20" i="8"/>
  <c r="Y16" i="8" s="1"/>
  <c r="M117" i="16"/>
  <c r="N117" i="16"/>
  <c r="N119" i="15"/>
  <c r="M119" i="15"/>
  <c r="AG70" i="8"/>
  <c r="AE69" i="8"/>
  <c r="AE65" i="8" s="1"/>
  <c r="BN17" i="8"/>
  <c r="N121" i="16"/>
  <c r="M121" i="16"/>
  <c r="BC20" i="15"/>
  <c r="F113" i="15"/>
  <c r="AQ15" i="15" s="1"/>
  <c r="AR27" i="7"/>
  <c r="BP24" i="7"/>
  <c r="BP22" i="7" s="1"/>
  <c r="BJ11" i="7" s="1"/>
  <c r="AA71" i="8"/>
  <c r="Y69" i="8"/>
  <c r="Y65" i="8" s="1"/>
  <c r="N116" i="15"/>
  <c r="M116" i="15"/>
  <c r="BP17" i="7"/>
  <c r="BP15" i="7" s="1"/>
  <c r="BJ10" i="7" s="1"/>
  <c r="AD145" i="7"/>
  <c r="AD110" i="7" s="1"/>
  <c r="AR26" i="7" s="1"/>
  <c r="AW26" i="7" s="1"/>
  <c r="N119" i="16"/>
  <c r="M119" i="16"/>
  <c r="AS16" i="7"/>
  <c r="AX16" i="7" s="1"/>
  <c r="AR16" i="7"/>
  <c r="AW16" i="7" s="1"/>
  <c r="AY16" i="7" s="1"/>
  <c r="AW24" i="7"/>
  <c r="N98" i="16"/>
  <c r="M98" i="16"/>
  <c r="N108" i="16"/>
  <c r="M108" i="16"/>
  <c r="F86" i="16"/>
  <c r="D85" i="16"/>
  <c r="J24" i="20"/>
  <c r="BE22" i="9"/>
  <c r="N99" i="15"/>
  <c r="M99" i="15"/>
  <c r="X170" i="9"/>
  <c r="N96" i="15"/>
  <c r="M96" i="15"/>
  <c r="N88" i="16"/>
  <c r="AQ11" i="16"/>
  <c r="AD75" i="9"/>
  <c r="N111" i="15"/>
  <c r="M111" i="15"/>
  <c r="V177" i="12"/>
  <c r="V176" i="11"/>
  <c r="X177" i="11"/>
  <c r="AJ73" i="10"/>
  <c r="AI73" i="10"/>
  <c r="AH73" i="10"/>
  <c r="N110" i="16"/>
  <c r="M110" i="16"/>
  <c r="V238" i="12"/>
  <c r="X238" i="11"/>
  <c r="AJ238" i="11" s="1"/>
  <c r="L105" i="11"/>
  <c r="J104" i="11"/>
  <c r="N102" i="16"/>
  <c r="M102" i="16"/>
  <c r="AJ135" i="10"/>
  <c r="AI135" i="10"/>
  <c r="AH135" i="10"/>
  <c r="J12" i="10"/>
  <c r="L12" i="10" s="1"/>
  <c r="N107" i="16"/>
  <c r="M107" i="16"/>
  <c r="N108" i="15"/>
  <c r="M108" i="15"/>
  <c r="AE162" i="13"/>
  <c r="AG162" i="13" s="1"/>
  <c r="AJ162" i="12"/>
  <c r="BP27" i="8"/>
  <c r="M96" i="16"/>
  <c r="N96" i="16"/>
  <c r="C19" i="20"/>
  <c r="AH228" i="10"/>
  <c r="N111" i="16"/>
  <c r="M111" i="16"/>
  <c r="AH207" i="14"/>
  <c r="AI207" i="14"/>
  <c r="V188" i="12"/>
  <c r="V187" i="11"/>
  <c r="V185" i="11" s="1"/>
  <c r="X188" i="11"/>
  <c r="N110" i="15"/>
  <c r="M110" i="15"/>
  <c r="V237" i="12"/>
  <c r="V235" i="11"/>
  <c r="V234" i="11" s="1"/>
  <c r="X237" i="11"/>
  <c r="I95" i="11"/>
  <c r="BD18" i="11" s="1"/>
  <c r="G94" i="11"/>
  <c r="X172" i="10"/>
  <c r="AH174" i="10"/>
  <c r="AH172" i="10" s="1"/>
  <c r="AJ174" i="10"/>
  <c r="BN31" i="10"/>
  <c r="BH15" i="10" s="1"/>
  <c r="V135" i="12"/>
  <c r="X135" i="11"/>
  <c r="V123" i="11"/>
  <c r="F104" i="15"/>
  <c r="F95" i="16"/>
  <c r="BC18" i="16" s="1"/>
  <c r="D94" i="16"/>
  <c r="AD216" i="9"/>
  <c r="AB211" i="9"/>
  <c r="AB210" i="9" s="1"/>
  <c r="AB209" i="9" s="1"/>
  <c r="J41" i="10"/>
  <c r="L41" i="10" s="1"/>
  <c r="M92" i="15"/>
  <c r="N92" i="15"/>
  <c r="AG80" i="9"/>
  <c r="V73" i="12"/>
  <c r="X73" i="11"/>
  <c r="AZ11" i="14"/>
  <c r="AV11" i="14"/>
  <c r="AG124" i="9"/>
  <c r="V170" i="10"/>
  <c r="I105" i="11"/>
  <c r="BD19" i="11" s="1"/>
  <c r="G104" i="11"/>
  <c r="F105" i="16"/>
  <c r="BC19" i="16" s="1"/>
  <c r="D104" i="16"/>
  <c r="M98" i="15"/>
  <c r="N98" i="15"/>
  <c r="M86" i="15"/>
  <c r="F85" i="15"/>
  <c r="F94" i="15"/>
  <c r="BE21" i="10"/>
  <c r="C128" i="10"/>
  <c r="H128" i="10"/>
  <c r="H126" i="10" s="1"/>
  <c r="H130" i="10" s="1"/>
  <c r="K128" i="10"/>
  <c r="K126" i="10" s="1"/>
  <c r="K130" i="10" s="1"/>
  <c r="P128" i="10"/>
  <c r="P126" i="10" s="1"/>
  <c r="P130" i="10" s="1"/>
  <c r="B24" i="11"/>
  <c r="Q128" i="10"/>
  <c r="Q126" i="10" s="1"/>
  <c r="Q130" i="10" s="1"/>
  <c r="N99" i="16"/>
  <c r="M99" i="16"/>
  <c r="N88" i="15"/>
  <c r="AQ11" i="15"/>
  <c r="N92" i="16"/>
  <c r="M92" i="16"/>
  <c r="V228" i="12"/>
  <c r="V227" i="11"/>
  <c r="V220" i="11" s="1"/>
  <c r="X228" i="11"/>
  <c r="G41" i="10"/>
  <c r="I41" i="10" s="1"/>
  <c r="AG161" i="9"/>
  <c r="AI177" i="10"/>
  <c r="BN23" i="10"/>
  <c r="AJ177" i="10"/>
  <c r="X176" i="10"/>
  <c r="V207" i="16"/>
  <c r="X207" i="15"/>
  <c r="X187" i="10"/>
  <c r="X185" i="10" s="1"/>
  <c r="AI188" i="10"/>
  <c r="AI187" i="10" s="1"/>
  <c r="AI185" i="10" s="1"/>
  <c r="J95" i="12"/>
  <c r="L94" i="11"/>
  <c r="N95" i="11"/>
  <c r="N94" i="11" s="1"/>
  <c r="L86" i="11"/>
  <c r="J85" i="11"/>
  <c r="AH238" i="10"/>
  <c r="AI237" i="10"/>
  <c r="X235" i="10"/>
  <c r="X234" i="10" s="1"/>
  <c r="N102" i="15"/>
  <c r="M102" i="15"/>
  <c r="V174" i="12"/>
  <c r="V172" i="11"/>
  <c r="X174" i="11"/>
  <c r="Y161" i="13"/>
  <c r="AA161" i="13" s="1"/>
  <c r="AH161" i="12"/>
  <c r="N107" i="15"/>
  <c r="M107" i="15"/>
  <c r="G21" i="7"/>
  <c r="G19" i="7" s="1"/>
  <c r="G17" i="7" s="1"/>
  <c r="G24" i="8"/>
  <c r="BD21" i="7"/>
  <c r="M24" i="7"/>
  <c r="M22" i="7" s="1"/>
  <c r="I22" i="7"/>
  <c r="AR7" i="7" s="1"/>
  <c r="AU7" i="7" s="1"/>
  <c r="AW7" i="7"/>
  <c r="AY7" i="7" s="1"/>
  <c r="L21" i="7"/>
  <c r="L19" i="7" s="1"/>
  <c r="L17" i="7" s="1"/>
  <c r="L8" i="7" s="1"/>
  <c r="L27" i="8"/>
  <c r="L128" i="8" s="1"/>
  <c r="J25" i="8"/>
  <c r="AR14" i="6"/>
  <c r="I17" i="6"/>
  <c r="AA258" i="6" s="1"/>
  <c r="G27" i="8"/>
  <c r="AW8" i="7"/>
  <c r="AY8" i="7" s="1"/>
  <c r="I25" i="7"/>
  <c r="M27" i="7"/>
  <c r="M25" i="7" s="1"/>
  <c r="I128" i="7"/>
  <c r="G88" i="12"/>
  <c r="M88" i="11"/>
  <c r="M85" i="11" s="1"/>
  <c r="I85" i="11"/>
  <c r="AW11" i="11"/>
  <c r="AY11" i="11" s="1"/>
  <c r="AR11" i="11"/>
  <c r="AU11" i="11" s="1"/>
  <c r="L31" i="12"/>
  <c r="E37" i="14"/>
  <c r="E35" i="13"/>
  <c r="J37" i="12"/>
  <c r="G62" i="10"/>
  <c r="I60" i="9"/>
  <c r="M62" i="9"/>
  <c r="M60" i="9" s="1"/>
  <c r="N31" i="10"/>
  <c r="M31" i="10"/>
  <c r="D13" i="12"/>
  <c r="F13" i="11"/>
  <c r="F57" i="10"/>
  <c r="M59" i="10"/>
  <c r="M57" i="10" s="1"/>
  <c r="J53" i="10"/>
  <c r="L51" i="9"/>
  <c r="J77" i="10"/>
  <c r="L75" i="9"/>
  <c r="J65" i="10"/>
  <c r="L63" i="9"/>
  <c r="E77" i="12"/>
  <c r="E75" i="11"/>
  <c r="F77" i="11"/>
  <c r="E83" i="12"/>
  <c r="E81" i="11"/>
  <c r="F83" i="11"/>
  <c r="J47" i="10"/>
  <c r="L45" i="9"/>
  <c r="J33" i="10"/>
  <c r="N33" i="9"/>
  <c r="E14" i="12"/>
  <c r="E10" i="11"/>
  <c r="F14" i="11"/>
  <c r="E65" i="12"/>
  <c r="E63" i="11"/>
  <c r="F65" i="11"/>
  <c r="BC11" i="10"/>
  <c r="M26" i="10"/>
  <c r="J59" i="10"/>
  <c r="L57" i="9"/>
  <c r="E71" i="12"/>
  <c r="E69" i="11"/>
  <c r="F45" i="10"/>
  <c r="M47" i="10"/>
  <c r="J83" i="10"/>
  <c r="L81" i="9"/>
  <c r="E33" i="13"/>
  <c r="E32" i="12"/>
  <c r="E28" i="12" s="1"/>
  <c r="F33" i="12"/>
  <c r="G46" i="10"/>
  <c r="I45" i="9"/>
  <c r="BD15" i="9"/>
  <c r="M46" i="9"/>
  <c r="M45" i="9" s="1"/>
  <c r="D37" i="12"/>
  <c r="F37" i="11"/>
  <c r="M53" i="10"/>
  <c r="F69" i="10"/>
  <c r="M71" i="10"/>
  <c r="M69" i="10" s="1"/>
  <c r="J26" i="10"/>
  <c r="E47" i="12"/>
  <c r="E45" i="11"/>
  <c r="F47" i="11"/>
  <c r="G74" i="10"/>
  <c r="I72" i="9"/>
  <c r="M74" i="9"/>
  <c r="M72" i="9" s="1"/>
  <c r="D31" i="12"/>
  <c r="F31" i="11"/>
  <c r="M13" i="10"/>
  <c r="M33" i="11"/>
  <c r="E59" i="12"/>
  <c r="E57" i="11"/>
  <c r="N37" i="10"/>
  <c r="J71" i="10"/>
  <c r="L69" i="9"/>
  <c r="E53" i="12"/>
  <c r="E51" i="11"/>
  <c r="F53" i="11"/>
  <c r="G52" i="10"/>
  <c r="I51" i="9"/>
  <c r="M52" i="9"/>
  <c r="M51" i="9" s="1"/>
  <c r="M77" i="10"/>
  <c r="G37" i="10"/>
  <c r="D68" i="12"/>
  <c r="D66" i="11"/>
  <c r="F68" i="11"/>
  <c r="M83" i="10"/>
  <c r="M81" i="10" s="1"/>
  <c r="F81" i="10"/>
  <c r="D56" i="12"/>
  <c r="D54" i="11"/>
  <c r="F56" i="11"/>
  <c r="M14" i="10"/>
  <c r="N14" i="10"/>
  <c r="M65" i="10"/>
  <c r="E26" i="12"/>
  <c r="E25" i="11"/>
  <c r="F26" i="11"/>
  <c r="N77" i="9"/>
  <c r="F128" i="9"/>
  <c r="AZ7" i="7"/>
  <c r="AV7" i="7"/>
  <c r="J14" i="13"/>
  <c r="L14" i="13" s="1"/>
  <c r="D24" i="11"/>
  <c r="F24" i="10"/>
  <c r="D128" i="10"/>
  <c r="J24" i="9"/>
  <c r="L22" i="8"/>
  <c r="AX7" i="8"/>
  <c r="AZ7" i="8" s="1"/>
  <c r="E24" i="11"/>
  <c r="E22" i="10"/>
  <c r="E128" i="10"/>
  <c r="N24" i="8"/>
  <c r="J15" i="11"/>
  <c r="L15" i="11" s="1"/>
  <c r="N15" i="10"/>
  <c r="L13" i="8"/>
  <c r="J10" i="8"/>
  <c r="AB88" i="9"/>
  <c r="AD83" i="8"/>
  <c r="AI88" i="8"/>
  <c r="AI83" i="8" s="1"/>
  <c r="BP31" i="8"/>
  <c r="BJ15" i="8" s="1"/>
  <c r="Y237" i="9"/>
  <c r="AA235" i="8"/>
  <c r="AA234" i="8" s="1"/>
  <c r="AH237" i="8"/>
  <c r="AH235" i="8" s="1"/>
  <c r="AJ134" i="13"/>
  <c r="AI134" i="13"/>
  <c r="AH134" i="13"/>
  <c r="AI225" i="13"/>
  <c r="AI245" i="10"/>
  <c r="AH245" i="10"/>
  <c r="AJ245" i="10"/>
  <c r="AD50" i="9"/>
  <c r="AB49" i="9"/>
  <c r="V134" i="15"/>
  <c r="X134" i="14"/>
  <c r="V225" i="15"/>
  <c r="X225" i="14"/>
  <c r="I56" i="9"/>
  <c r="V245" i="12"/>
  <c r="X245" i="11"/>
  <c r="AA133" i="9"/>
  <c r="AD107" i="9"/>
  <c r="AB105" i="9"/>
  <c r="AB104" i="9" s="1"/>
  <c r="AG158" i="13"/>
  <c r="AG127" i="13"/>
  <c r="F38" i="12"/>
  <c r="D38" i="13"/>
  <c r="N40" i="12"/>
  <c r="M40" i="12"/>
  <c r="AI168" i="16"/>
  <c r="F39" i="13"/>
  <c r="D39" i="14"/>
  <c r="M39" i="12"/>
  <c r="N39" i="12"/>
  <c r="N38" i="11"/>
  <c r="M38" i="11"/>
  <c r="AD214" i="16"/>
  <c r="F40" i="13"/>
  <c r="D40" i="14"/>
  <c r="AE92" i="16"/>
  <c r="AI74" i="16"/>
  <c r="AI212" i="16"/>
  <c r="AH212" i="16"/>
  <c r="AD130" i="16"/>
  <c r="J126" i="7"/>
  <c r="J130" i="7" s="1"/>
  <c r="D126" i="5"/>
  <c r="D130" i="5" s="1"/>
  <c r="E126" i="5"/>
  <c r="E130" i="5" s="1"/>
  <c r="F41" i="10"/>
  <c r="D41" i="11"/>
  <c r="M41" i="9"/>
  <c r="N41" i="9"/>
  <c r="B12" i="13"/>
  <c r="BD7" i="7"/>
  <c r="I12" i="8"/>
  <c r="G10" i="8"/>
  <c r="AW17" i="6"/>
  <c r="AX17" i="6"/>
  <c r="AZ16" i="6"/>
  <c r="AJ254" i="11"/>
  <c r="AE254" i="12"/>
  <c r="AG254" i="12" s="1"/>
  <c r="AE183" i="12"/>
  <c r="AG183" i="12" s="1"/>
  <c r="AJ183" i="11"/>
  <c r="AE218" i="15"/>
  <c r="AG218" i="15" s="1"/>
  <c r="AJ218" i="14"/>
  <c r="G23" i="9"/>
  <c r="BD12" i="8"/>
  <c r="M23" i="8"/>
  <c r="AE230" i="15"/>
  <c r="AG230" i="15" s="1"/>
  <c r="AJ230" i="14"/>
  <c r="AJ248" i="11"/>
  <c r="AE248" i="12"/>
  <c r="AG248" i="12" s="1"/>
  <c r="BK16" i="16"/>
  <c r="AE240" i="12"/>
  <c r="AG240" i="12" s="1"/>
  <c r="AJ240" i="11"/>
  <c r="AE214" i="12"/>
  <c r="AG214" i="12" s="1"/>
  <c r="AE256" i="12"/>
  <c r="AG256" i="12" s="1"/>
  <c r="AJ256" i="11"/>
  <c r="AR13" i="10"/>
  <c r="AU13" i="10" s="1"/>
  <c r="AW13" i="10"/>
  <c r="AY13" i="10" s="1"/>
  <c r="AE255" i="12"/>
  <c r="AG255" i="12" s="1"/>
  <c r="AJ255" i="11"/>
  <c r="AZ22" i="16"/>
  <c r="AJ84" i="16"/>
  <c r="AE213" i="12"/>
  <c r="AG213" i="12" s="1"/>
  <c r="AJ213" i="11"/>
  <c r="AE220" i="9"/>
  <c r="AE225" i="12"/>
  <c r="AG225" i="12" s="1"/>
  <c r="AJ225" i="11"/>
  <c r="AJ250" i="11"/>
  <c r="AE250" i="12"/>
  <c r="AG250" i="12" s="1"/>
  <c r="AE236" i="10"/>
  <c r="AJ236" i="9"/>
  <c r="AJ200" i="11"/>
  <c r="AE200" i="12"/>
  <c r="AG200" i="12" s="1"/>
  <c r="AJ203" i="11"/>
  <c r="AE203" i="12"/>
  <c r="AG203" i="12" s="1"/>
  <c r="AJ199" i="11"/>
  <c r="AE199" i="12"/>
  <c r="AG199" i="12" s="1"/>
  <c r="AE224" i="11"/>
  <c r="AG224" i="11" s="1"/>
  <c r="AJ224" i="10"/>
  <c r="AJ182" i="11"/>
  <c r="AE182" i="12"/>
  <c r="AG182" i="12" s="1"/>
  <c r="G30" i="9"/>
  <c r="I29" i="8"/>
  <c r="M30" i="8"/>
  <c r="M29" i="8" s="1"/>
  <c r="AE237" i="11"/>
  <c r="AG237" i="11" s="1"/>
  <c r="AJ237" i="10"/>
  <c r="AJ239" i="11"/>
  <c r="AE239" i="12"/>
  <c r="AG239" i="12" s="1"/>
  <c r="AE223" i="10"/>
  <c r="AJ223" i="9"/>
  <c r="AJ222" i="9" s="1"/>
  <c r="AG222" i="9"/>
  <c r="AJ251" i="11"/>
  <c r="AE251" i="12"/>
  <c r="AG251" i="12" s="1"/>
  <c r="AJ107" i="16"/>
  <c r="AE188" i="10"/>
  <c r="AJ188" i="9"/>
  <c r="AJ216" i="11"/>
  <c r="AE216" i="12"/>
  <c r="AG216" i="12" s="1"/>
  <c r="AE180" i="13"/>
  <c r="AJ180" i="12"/>
  <c r="AE217" i="12"/>
  <c r="AG217" i="12" s="1"/>
  <c r="AJ217" i="11"/>
  <c r="AE252" i="12"/>
  <c r="AG252" i="12" s="1"/>
  <c r="AJ252" i="11"/>
  <c r="AJ204" i="11"/>
  <c r="AE204" i="12"/>
  <c r="AG204" i="12" s="1"/>
  <c r="AG60" i="16"/>
  <c r="AE245" i="15"/>
  <c r="AG245" i="15" s="1"/>
  <c r="AE207" i="13"/>
  <c r="AG207" i="13" s="1"/>
  <c r="AJ207" i="12"/>
  <c r="BK16" i="11"/>
  <c r="AE190" i="12"/>
  <c r="AG190" i="12" s="1"/>
  <c r="AJ190" i="11"/>
  <c r="AE246" i="12"/>
  <c r="AG246" i="12" s="1"/>
  <c r="AJ246" i="11"/>
  <c r="AJ249" i="14"/>
  <c r="AE249" i="15"/>
  <c r="AG249" i="15" s="1"/>
  <c r="AJ253" i="11"/>
  <c r="AE253" i="12"/>
  <c r="AG253" i="12" s="1"/>
  <c r="AJ229" i="10"/>
  <c r="AE229" i="11"/>
  <c r="AG229" i="11" s="1"/>
  <c r="AX13" i="8"/>
  <c r="AS13" i="8"/>
  <c r="AV13" i="8" s="1"/>
  <c r="AE238" i="12"/>
  <c r="AG238" i="12" s="1"/>
  <c r="AH53" i="15"/>
  <c r="Y53" i="16"/>
  <c r="AE215" i="12"/>
  <c r="AG215" i="12" s="1"/>
  <c r="AG206" i="9"/>
  <c r="AE205" i="9"/>
  <c r="AG186" i="9"/>
  <c r="AG198" i="9"/>
  <c r="AE228" i="10"/>
  <c r="AG227" i="9"/>
  <c r="AJ228" i="9"/>
  <c r="AJ227" i="9" s="1"/>
  <c r="AE191" i="12"/>
  <c r="AG191" i="12" s="1"/>
  <c r="AJ191" i="11"/>
  <c r="AG181" i="9"/>
  <c r="AJ247" i="14"/>
  <c r="AE247" i="15"/>
  <c r="AG247" i="15" s="1"/>
  <c r="AE201" i="12"/>
  <c r="AG201" i="12" s="1"/>
  <c r="X227" i="10" l="1"/>
  <c r="F60" i="10"/>
  <c r="X69" i="10"/>
  <c r="X65" i="10" s="1"/>
  <c r="E21" i="10"/>
  <c r="E19" i="10" s="1"/>
  <c r="E17" i="10" s="1"/>
  <c r="E8" i="10" s="1"/>
  <c r="X63" i="8"/>
  <c r="F51" i="10"/>
  <c r="AG90" i="7"/>
  <c r="W10" i="9"/>
  <c r="W8" i="9" s="1"/>
  <c r="AI193" i="8"/>
  <c r="BC21" i="10"/>
  <c r="AY29" i="8"/>
  <c r="Y220" i="9"/>
  <c r="AX27" i="7"/>
  <c r="AV28" i="7"/>
  <c r="V63" i="9"/>
  <c r="V12" i="9" s="1"/>
  <c r="W258" i="8"/>
  <c r="AU28" i="7"/>
  <c r="AW27" i="7"/>
  <c r="AY27" i="7" s="1"/>
  <c r="AU27" i="7"/>
  <c r="Y112" i="8"/>
  <c r="Y110" i="8" s="1"/>
  <c r="AA12" i="7"/>
  <c r="AA10" i="7" s="1"/>
  <c r="AA8" i="7" s="1"/>
  <c r="BJ8" i="7"/>
  <c r="BJ7" i="7" s="1"/>
  <c r="AI258" i="5"/>
  <c r="AB14" i="8"/>
  <c r="AB12" i="8" s="1"/>
  <c r="BP8" i="7"/>
  <c r="BP7" i="7" s="1"/>
  <c r="Y258" i="7"/>
  <c r="J21" i="8"/>
  <c r="J19" i="8" s="1"/>
  <c r="J17" i="8" s="1"/>
  <c r="J8" i="8" s="1"/>
  <c r="AI258" i="6"/>
  <c r="AV16" i="7"/>
  <c r="X220" i="10"/>
  <c r="BN30" i="10" s="1"/>
  <c r="BH14" i="10" s="1"/>
  <c r="AQ28" i="8"/>
  <c r="AJ258" i="6"/>
  <c r="AH8" i="6"/>
  <c r="BN15" i="8"/>
  <c r="BH10" i="8" s="1"/>
  <c r="AY26" i="7"/>
  <c r="X112" i="8"/>
  <c r="X110" i="8" s="1"/>
  <c r="AQ26" i="8" s="1"/>
  <c r="AX23" i="7"/>
  <c r="AZ23" i="7" s="1"/>
  <c r="AV23" i="7"/>
  <c r="AW23" i="7"/>
  <c r="AY23" i="7" s="1"/>
  <c r="AU23" i="7"/>
  <c r="J55" i="10"/>
  <c r="L54" i="9"/>
  <c r="J43" i="10"/>
  <c r="L42" i="9"/>
  <c r="AS10" i="9" s="1"/>
  <c r="AX10" i="9"/>
  <c r="AZ10" i="9" s="1"/>
  <c r="Y14" i="8"/>
  <c r="AB145" i="8"/>
  <c r="AB110" i="8" s="1"/>
  <c r="AW22" i="13"/>
  <c r="AY22" i="13" s="1"/>
  <c r="AU22" i="13"/>
  <c r="AH44" i="8"/>
  <c r="AH43" i="8" s="1"/>
  <c r="N43" i="9"/>
  <c r="N42" i="9" s="1"/>
  <c r="AX25" i="6"/>
  <c r="AZ25" i="6" s="1"/>
  <c r="AV25" i="6"/>
  <c r="W159" i="12"/>
  <c r="W157" i="11"/>
  <c r="W155" i="11" s="1"/>
  <c r="X159" i="11"/>
  <c r="AA215" i="9"/>
  <c r="Y211" i="9"/>
  <c r="Y210" i="9" s="1"/>
  <c r="Y209" i="9" s="1"/>
  <c r="Y125" i="9"/>
  <c r="AH125" i="8"/>
  <c r="AH123" i="8" s="1"/>
  <c r="AA123" i="8"/>
  <c r="BO22" i="8"/>
  <c r="BI11" i="8" s="1"/>
  <c r="M34" i="10"/>
  <c r="M32" i="10" s="1"/>
  <c r="F32" i="10"/>
  <c r="AB151" i="9"/>
  <c r="AD149" i="8"/>
  <c r="AD147" i="8" s="1"/>
  <c r="BP16" i="8" s="1"/>
  <c r="AI151" i="8"/>
  <c r="AI149" i="8" s="1"/>
  <c r="AI147" i="8" s="1"/>
  <c r="J73" i="9"/>
  <c r="L72" i="8"/>
  <c r="N73" i="8"/>
  <c r="N72" i="8" s="1"/>
  <c r="X229" i="11"/>
  <c r="W229" i="12"/>
  <c r="W227" i="11"/>
  <c r="W220" i="11" s="1"/>
  <c r="J67" i="10"/>
  <c r="L66" i="9"/>
  <c r="AA91" i="8"/>
  <c r="AA90" i="8" s="1"/>
  <c r="Y93" i="9"/>
  <c r="AH93" i="8"/>
  <c r="AH91" i="8" s="1"/>
  <c r="AH90" i="8" s="1"/>
  <c r="I66" i="8"/>
  <c r="M68" i="8"/>
  <c r="M66" i="8" s="1"/>
  <c r="G68" i="9"/>
  <c r="W145" i="11"/>
  <c r="AH159" i="8"/>
  <c r="AH157" i="8" s="1"/>
  <c r="AH155" i="8" s="1"/>
  <c r="AH145" i="8" s="1"/>
  <c r="Y159" i="9"/>
  <c r="AA157" i="8"/>
  <c r="AA155" i="8" s="1"/>
  <c r="AA145" i="8" s="1"/>
  <c r="J61" i="9"/>
  <c r="L60" i="8"/>
  <c r="N61" i="8"/>
  <c r="N60" i="8" s="1"/>
  <c r="I80" i="9"/>
  <c r="G78" i="9"/>
  <c r="I78" i="9" s="1"/>
  <c r="M78" i="9" s="1"/>
  <c r="W110" i="10"/>
  <c r="V58" i="11"/>
  <c r="V57" i="11" s="1"/>
  <c r="V59" i="12"/>
  <c r="X59" i="11"/>
  <c r="W72" i="12"/>
  <c r="W69" i="11"/>
  <c r="W65" i="11" s="1"/>
  <c r="W63" i="11" s="1"/>
  <c r="X72" i="11"/>
  <c r="Y152" i="11"/>
  <c r="AA149" i="10"/>
  <c r="AA147" i="10" s="1"/>
  <c r="E61" i="12"/>
  <c r="F61" i="12" s="1"/>
  <c r="E60" i="11"/>
  <c r="E67" i="12"/>
  <c r="E66" i="11"/>
  <c r="F67" i="11"/>
  <c r="Y229" i="10"/>
  <c r="AA227" i="9"/>
  <c r="E43" i="12"/>
  <c r="E42" i="11"/>
  <c r="AI98" i="12"/>
  <c r="J49" i="9"/>
  <c r="L48" i="8"/>
  <c r="N49" i="8"/>
  <c r="N48" i="8" s="1"/>
  <c r="AX14" i="8"/>
  <c r="M28" i="8"/>
  <c r="AI72" i="10"/>
  <c r="AJ72" i="10"/>
  <c r="AH72" i="10"/>
  <c r="I42" i="8"/>
  <c r="AR10" i="8" s="1"/>
  <c r="G44" i="9"/>
  <c r="AW10" i="8"/>
  <c r="AY10" i="8" s="1"/>
  <c r="M44" i="8"/>
  <c r="M42" i="8" s="1"/>
  <c r="J34" i="9"/>
  <c r="L32" i="8"/>
  <c r="L28" i="8" s="1"/>
  <c r="AS9" i="8" s="1"/>
  <c r="AX9" i="8"/>
  <c r="N34" i="8"/>
  <c r="N32" i="8" s="1"/>
  <c r="N28" i="8" s="1"/>
  <c r="AD44" i="8"/>
  <c r="AD43" i="8" s="1"/>
  <c r="AB46" i="9"/>
  <c r="AB71" i="9"/>
  <c r="AI71" i="8"/>
  <c r="AI69" i="8" s="1"/>
  <c r="AI65" i="8" s="1"/>
  <c r="AI63" i="8" s="1"/>
  <c r="AD69" i="8"/>
  <c r="AD65" i="8" s="1"/>
  <c r="AD63" i="8" s="1"/>
  <c r="AD195" i="8"/>
  <c r="BP28" i="8"/>
  <c r="BP25" i="8" s="1"/>
  <c r="BJ12" i="8" s="1"/>
  <c r="AA47" i="9"/>
  <c r="Y44" i="9"/>
  <c r="Y43" i="9" s="1"/>
  <c r="AA177" i="9"/>
  <c r="Y176" i="9"/>
  <c r="Y170" i="9" s="1"/>
  <c r="AB21" i="9"/>
  <c r="AD20" i="8"/>
  <c r="AD16" i="8" s="1"/>
  <c r="AI21" i="8"/>
  <c r="AI20" i="8" s="1"/>
  <c r="AI16" i="8" s="1"/>
  <c r="W188" i="14"/>
  <c r="W187" i="13"/>
  <c r="W185" i="13" s="1"/>
  <c r="X152" i="12"/>
  <c r="W149" i="12"/>
  <c r="W147" i="12" s="1"/>
  <c r="W152" i="13"/>
  <c r="M67" i="10"/>
  <c r="Y198" i="9"/>
  <c r="BO26" i="8"/>
  <c r="AA197" i="8"/>
  <c r="AA196" i="8" s="1"/>
  <c r="AH198" i="8"/>
  <c r="AH197" i="8" s="1"/>
  <c r="AH196" i="8" s="1"/>
  <c r="AH195" i="8" s="1"/>
  <c r="AH193" i="8" s="1"/>
  <c r="W58" i="12"/>
  <c r="W57" i="12" s="1"/>
  <c r="W59" i="13"/>
  <c r="AD97" i="9"/>
  <c r="AB96" i="9"/>
  <c r="AB90" i="9" s="1"/>
  <c r="G36" i="9"/>
  <c r="I35" i="8"/>
  <c r="I28" i="8" s="1"/>
  <c r="AR9" i="8" s="1"/>
  <c r="AJ159" i="10"/>
  <c r="AI159" i="10"/>
  <c r="AD142" i="11"/>
  <c r="AB141" i="11"/>
  <c r="N55" i="9"/>
  <c r="N54" i="9" s="1"/>
  <c r="Y115" i="9"/>
  <c r="AA114" i="8"/>
  <c r="AH115" i="8"/>
  <c r="AH114" i="8" s="1"/>
  <c r="D27" i="12"/>
  <c r="D25" i="11"/>
  <c r="F27" i="11"/>
  <c r="F25" i="11" s="1"/>
  <c r="AQ8" i="11" s="1"/>
  <c r="Y59" i="9"/>
  <c r="AA58" i="8"/>
  <c r="AA57" i="8" s="1"/>
  <c r="BO13" i="8" s="1"/>
  <c r="AH59" i="8"/>
  <c r="AH58" i="8" s="1"/>
  <c r="AH57" i="8" s="1"/>
  <c r="AW9" i="8"/>
  <c r="AR31" i="6"/>
  <c r="AR32" i="6" s="1"/>
  <c r="AV35" i="6" s="1"/>
  <c r="BD13" i="8"/>
  <c r="AU16" i="7"/>
  <c r="AQ16" i="9"/>
  <c r="BN14" i="8"/>
  <c r="BH9" i="8" s="1"/>
  <c r="AI10" i="7"/>
  <c r="AI258" i="7" s="1"/>
  <c r="F61" i="11"/>
  <c r="AI59" i="10"/>
  <c r="AI58" i="10" s="1"/>
  <c r="AI57" i="10" s="1"/>
  <c r="X58" i="10"/>
  <c r="X57" i="10" s="1"/>
  <c r="AD228" i="10"/>
  <c r="AB227" i="10"/>
  <c r="AB220" i="10" s="1"/>
  <c r="AB174" i="10"/>
  <c r="AD172" i="9"/>
  <c r="AI174" i="9"/>
  <c r="AI172" i="9" s="1"/>
  <c r="F34" i="11"/>
  <c r="D34" i="12"/>
  <c r="D32" i="11"/>
  <c r="AD206" i="9"/>
  <c r="AB205" i="9"/>
  <c r="AB196" i="9" s="1"/>
  <c r="AB195" i="9" s="1"/>
  <c r="AB193" i="9" s="1"/>
  <c r="AD124" i="10"/>
  <c r="AB123" i="10"/>
  <c r="AB112" i="10" s="1"/>
  <c r="V8" i="7"/>
  <c r="V258" i="7"/>
  <c r="AE143" i="10"/>
  <c r="AG141" i="9"/>
  <c r="AJ143" i="9"/>
  <c r="AJ141" i="9" s="1"/>
  <c r="AI152" i="11"/>
  <c r="X98" i="13"/>
  <c r="W98" i="14"/>
  <c r="W96" i="13"/>
  <c r="AA98" i="9"/>
  <c r="Y96" i="9"/>
  <c r="AJ258" i="5"/>
  <c r="AQ23" i="9"/>
  <c r="AV14" i="6"/>
  <c r="AY14" i="6"/>
  <c r="F28" i="8"/>
  <c r="F21" i="8" s="1"/>
  <c r="F19" i="8" s="1"/>
  <c r="F17" i="8" s="1"/>
  <c r="F8" i="8" s="1"/>
  <c r="V110" i="9"/>
  <c r="X145" i="9"/>
  <c r="X12" i="7"/>
  <c r="X10" i="7" s="1"/>
  <c r="X8" i="7" s="1"/>
  <c r="W223" i="13"/>
  <c r="W222" i="12"/>
  <c r="AJ90" i="7"/>
  <c r="AJ63" i="7" s="1"/>
  <c r="AJ12" i="7" s="1"/>
  <c r="AJ10" i="7" s="1"/>
  <c r="AJ258" i="7" s="1"/>
  <c r="W238" i="13"/>
  <c r="W235" i="12"/>
  <c r="W234" i="12" s="1"/>
  <c r="W114" i="12"/>
  <c r="X115" i="12"/>
  <c r="W115" i="13"/>
  <c r="Y223" i="10"/>
  <c r="AA222" i="9"/>
  <c r="AH223" i="9"/>
  <c r="AH222" i="9" s="1"/>
  <c r="AH220" i="9" s="1"/>
  <c r="Y143" i="10"/>
  <c r="AA141" i="9"/>
  <c r="BO20" i="9" s="1"/>
  <c r="AH143" i="9"/>
  <c r="AH141" i="9" s="1"/>
  <c r="X143" i="12"/>
  <c r="W143" i="13"/>
  <c r="W141" i="12"/>
  <c r="W198" i="13"/>
  <c r="X198" i="12"/>
  <c r="W197" i="12"/>
  <c r="W196" i="12" s="1"/>
  <c r="W195" i="12" s="1"/>
  <c r="I48" i="9"/>
  <c r="M50" i="9"/>
  <c r="M48" i="9" s="1"/>
  <c r="G50" i="10"/>
  <c r="AG173" i="10"/>
  <c r="AE172" i="10"/>
  <c r="AI215" i="11"/>
  <c r="E79" i="13"/>
  <c r="E78" i="12"/>
  <c r="X86" i="12"/>
  <c r="W83" i="12"/>
  <c r="W86" i="13"/>
  <c r="BN26" i="11"/>
  <c r="W177" i="13"/>
  <c r="W176" i="12"/>
  <c r="W170" i="12" s="1"/>
  <c r="M128" i="7"/>
  <c r="AJ71" i="10"/>
  <c r="AH86" i="11"/>
  <c r="AI86" i="11"/>
  <c r="M73" i="11"/>
  <c r="F72" i="11"/>
  <c r="E49" i="13"/>
  <c r="E48" i="12"/>
  <c r="D60" i="12"/>
  <c r="D61" i="13"/>
  <c r="AI143" i="11"/>
  <c r="AB173" i="13"/>
  <c r="AI173" i="12"/>
  <c r="X215" i="12"/>
  <c r="W215" i="13"/>
  <c r="W211" i="12"/>
  <c r="W210" i="12" s="1"/>
  <c r="W209" i="12" s="1"/>
  <c r="E73" i="13"/>
  <c r="E72" i="12"/>
  <c r="D55" i="12"/>
  <c r="F55" i="11"/>
  <c r="AI93" i="11"/>
  <c r="V223" i="13"/>
  <c r="X223" i="12"/>
  <c r="V222" i="12"/>
  <c r="E55" i="13"/>
  <c r="E54" i="12"/>
  <c r="AD143" i="13"/>
  <c r="V10" i="8"/>
  <c r="V258" i="8" s="1"/>
  <c r="V71" i="12"/>
  <c r="X71" i="11"/>
  <c r="AI115" i="11"/>
  <c r="D73" i="13"/>
  <c r="F73" i="12"/>
  <c r="D72" i="12"/>
  <c r="X222" i="11"/>
  <c r="Y52" i="10"/>
  <c r="AA49" i="9"/>
  <c r="AH52" i="9"/>
  <c r="AH49" i="9" s="1"/>
  <c r="F60" i="11"/>
  <c r="M61" i="11"/>
  <c r="W193" i="11"/>
  <c r="Y188" i="10"/>
  <c r="AA187" i="9"/>
  <c r="AA185" i="9" s="1"/>
  <c r="AH188" i="9"/>
  <c r="AH187" i="9" s="1"/>
  <c r="AH185" i="9" s="1"/>
  <c r="D67" i="16"/>
  <c r="W93" i="13"/>
  <c r="X93" i="12"/>
  <c r="W91" i="12"/>
  <c r="W90" i="12" s="1"/>
  <c r="W14" i="10"/>
  <c r="W12" i="10" s="1"/>
  <c r="X90" i="9"/>
  <c r="V145" i="10"/>
  <c r="N36" i="9"/>
  <c r="N35" i="9" s="1"/>
  <c r="F35" i="9"/>
  <c r="V150" i="16"/>
  <c r="X150" i="15"/>
  <c r="AJ150" i="15" s="1"/>
  <c r="BC10" i="8"/>
  <c r="BC9" i="8" s="1"/>
  <c r="BC8" i="8" s="1"/>
  <c r="BC22" i="8" s="1"/>
  <c r="AQ25" i="8"/>
  <c r="BN13" i="8"/>
  <c r="BH8" i="8" s="1"/>
  <c r="AH201" i="10"/>
  <c r="AI201" i="10"/>
  <c r="X197" i="10"/>
  <c r="AJ201" i="10"/>
  <c r="AI51" i="10"/>
  <c r="X49" i="10"/>
  <c r="AH51" i="10"/>
  <c r="AJ51" i="10"/>
  <c r="D43" i="12"/>
  <c r="D42" i="11"/>
  <c r="F43" i="11"/>
  <c r="AI158" i="10"/>
  <c r="AH158" i="10"/>
  <c r="AJ158" i="10"/>
  <c r="X157" i="10"/>
  <c r="X155" i="10" s="1"/>
  <c r="BN17" i="10" s="1"/>
  <c r="AE189" i="9"/>
  <c r="AG187" i="8"/>
  <c r="AG185" i="8" s="1"/>
  <c r="AJ189" i="8"/>
  <c r="AJ187" i="8" s="1"/>
  <c r="AJ185" i="8" s="1"/>
  <c r="X205" i="10"/>
  <c r="AH206" i="10"/>
  <c r="AH205" i="10" s="1"/>
  <c r="AG178" i="8"/>
  <c r="AE176" i="8"/>
  <c r="AE170" i="8" s="1"/>
  <c r="D74" i="16"/>
  <c r="G70" i="14"/>
  <c r="M70" i="13"/>
  <c r="I69" i="13"/>
  <c r="W50" i="16"/>
  <c r="AG94" i="8"/>
  <c r="AE91" i="8"/>
  <c r="G76" i="13"/>
  <c r="I75" i="12"/>
  <c r="V46" i="11"/>
  <c r="V44" i="10"/>
  <c r="V43" i="10" s="1"/>
  <c r="V14" i="10" s="1"/>
  <c r="X46" i="10"/>
  <c r="V213" i="16"/>
  <c r="X213" i="15"/>
  <c r="AI213" i="15" s="1"/>
  <c r="V142" i="12"/>
  <c r="V141" i="11"/>
  <c r="X142" i="11"/>
  <c r="AV24" i="7"/>
  <c r="AZ24" i="7"/>
  <c r="BC14" i="9"/>
  <c r="M64" i="9"/>
  <c r="M63" i="9" s="1"/>
  <c r="N64" i="9"/>
  <c r="N63" i="9" s="1"/>
  <c r="F63" i="9"/>
  <c r="V178" i="14"/>
  <c r="X178" i="13"/>
  <c r="AG99" i="8"/>
  <c r="AE96" i="8"/>
  <c r="D79" i="12"/>
  <c r="F79" i="11"/>
  <c r="D78" i="11"/>
  <c r="F78" i="11" s="1"/>
  <c r="AU24" i="7"/>
  <c r="AE193" i="8"/>
  <c r="D36" i="11"/>
  <c r="F36" i="10"/>
  <c r="N36" i="10" s="1"/>
  <c r="N35" i="10" s="1"/>
  <c r="D35" i="10"/>
  <c r="AQ24" i="8"/>
  <c r="V118" i="11"/>
  <c r="V114" i="10"/>
  <c r="V112" i="10" s="1"/>
  <c r="X118" i="10"/>
  <c r="V193" i="10"/>
  <c r="AG126" i="8"/>
  <c r="AE123" i="8"/>
  <c r="AE112" i="8" s="1"/>
  <c r="AE110" i="8" s="1"/>
  <c r="M43" i="10"/>
  <c r="BC16" i="10"/>
  <c r="F42" i="10"/>
  <c r="AQ10" i="10" s="1"/>
  <c r="X20" i="10"/>
  <c r="X16" i="10" s="1"/>
  <c r="BN12" i="10" s="1"/>
  <c r="AH21" i="10"/>
  <c r="AJ21" i="10"/>
  <c r="AJ92" i="10"/>
  <c r="AH92" i="10"/>
  <c r="X91" i="10"/>
  <c r="V85" i="11"/>
  <c r="V83" i="10"/>
  <c r="X85" i="10"/>
  <c r="V39" i="12"/>
  <c r="V35" i="11"/>
  <c r="X39" i="11"/>
  <c r="V214" i="12"/>
  <c r="X214" i="11"/>
  <c r="V211" i="11"/>
  <c r="V210" i="11" s="1"/>
  <c r="V209" i="11" s="1"/>
  <c r="D71" i="12"/>
  <c r="F71" i="12" s="1"/>
  <c r="D69" i="11"/>
  <c r="D45" i="11"/>
  <c r="F46" i="11"/>
  <c r="F45" i="11" s="1"/>
  <c r="D46" i="12"/>
  <c r="X14" i="8"/>
  <c r="W46" i="12"/>
  <c r="W44" i="11"/>
  <c r="M49" i="11"/>
  <c r="F48" i="11"/>
  <c r="D28" i="9"/>
  <c r="D21" i="9" s="1"/>
  <c r="D19" i="9" s="1"/>
  <c r="D17" i="9" s="1"/>
  <c r="D8" i="9" s="1"/>
  <c r="V151" i="12"/>
  <c r="X151" i="11"/>
  <c r="V149" i="11"/>
  <c r="V147" i="11" s="1"/>
  <c r="D12" i="11"/>
  <c r="F12" i="10"/>
  <c r="F10" i="10" s="1"/>
  <c r="AQ16" i="10" s="1"/>
  <c r="D10" i="10"/>
  <c r="V97" i="12"/>
  <c r="V96" i="11"/>
  <c r="X97" i="11"/>
  <c r="AG8" i="6"/>
  <c r="AC1" i="6" s="1"/>
  <c r="AG258" i="6"/>
  <c r="AS31" i="6" s="1"/>
  <c r="AS32" i="6" s="1"/>
  <c r="AY24" i="7"/>
  <c r="D83" i="13"/>
  <c r="D81" i="12"/>
  <c r="W94" i="16"/>
  <c r="X94" i="16" s="1"/>
  <c r="V201" i="12"/>
  <c r="X201" i="11"/>
  <c r="V197" i="11"/>
  <c r="V51" i="12"/>
  <c r="X51" i="11"/>
  <c r="V49" i="11"/>
  <c r="AJ50" i="14"/>
  <c r="AH50" i="14"/>
  <c r="V158" i="12"/>
  <c r="X158" i="11"/>
  <c r="V157" i="11"/>
  <c r="V155" i="11" s="1"/>
  <c r="V90" i="10"/>
  <c r="AV29" i="8"/>
  <c r="AU29" i="8"/>
  <c r="V206" i="12"/>
  <c r="V205" i="11"/>
  <c r="X206" i="11"/>
  <c r="AZ26" i="7"/>
  <c r="AU26" i="7"/>
  <c r="AV26" i="7"/>
  <c r="AE87" i="9"/>
  <c r="AJ87" i="8"/>
  <c r="AJ83" i="8" s="1"/>
  <c r="AG83" i="8"/>
  <c r="AS24" i="8" s="1"/>
  <c r="AX24" i="8" s="1"/>
  <c r="AH46" i="9"/>
  <c r="AJ46" i="9"/>
  <c r="AJ44" i="9" s="1"/>
  <c r="X44" i="9"/>
  <c r="X43" i="9" s="1"/>
  <c r="AE116" i="9"/>
  <c r="AJ116" i="8"/>
  <c r="AJ114" i="8" s="1"/>
  <c r="AG114" i="8"/>
  <c r="F76" i="10"/>
  <c r="BC17" i="10" s="1"/>
  <c r="D76" i="11"/>
  <c r="D75" i="10"/>
  <c r="AQ9" i="7"/>
  <c r="F21" i="7"/>
  <c r="F19" i="7" s="1"/>
  <c r="X141" i="10"/>
  <c r="BN20" i="10" s="1"/>
  <c r="AJ142" i="10"/>
  <c r="AH142" i="10"/>
  <c r="AI142" i="10"/>
  <c r="AI141" i="10" s="1"/>
  <c r="D64" i="11"/>
  <c r="D63" i="10"/>
  <c r="F64" i="10"/>
  <c r="BC13" i="9"/>
  <c r="N30" i="9"/>
  <c r="N29" i="9" s="1"/>
  <c r="F29" i="9"/>
  <c r="X196" i="9"/>
  <c r="BC12" i="9"/>
  <c r="N23" i="9"/>
  <c r="N79" i="10"/>
  <c r="M79" i="10"/>
  <c r="N12" i="9"/>
  <c r="AQ29" i="9"/>
  <c r="BN27" i="9"/>
  <c r="AU25" i="7"/>
  <c r="AY25" i="7"/>
  <c r="AE160" i="9"/>
  <c r="AJ160" i="8"/>
  <c r="AJ157" i="8" s="1"/>
  <c r="AJ155" i="8" s="1"/>
  <c r="AJ145" i="8" s="1"/>
  <c r="AG157" i="8"/>
  <c r="AG155" i="8" s="1"/>
  <c r="AG145" i="8" s="1"/>
  <c r="W39" i="12"/>
  <c r="W35" i="11"/>
  <c r="AJ118" i="9"/>
  <c r="AH118" i="9"/>
  <c r="X114" i="9"/>
  <c r="AI118" i="9"/>
  <c r="AI114" i="9" s="1"/>
  <c r="AI112" i="9" s="1"/>
  <c r="W21" i="12"/>
  <c r="W20" i="11"/>
  <c r="W16" i="11" s="1"/>
  <c r="AE106" i="9"/>
  <c r="AG105" i="8"/>
  <c r="AG104" i="8" s="1"/>
  <c r="AJ106" i="8"/>
  <c r="AJ105" i="8" s="1"/>
  <c r="AJ104" i="8" s="1"/>
  <c r="D52" i="12"/>
  <c r="D51" i="11"/>
  <c r="F52" i="11"/>
  <c r="N52" i="11" s="1"/>
  <c r="V50" i="16"/>
  <c r="X50" i="15"/>
  <c r="V21" i="12"/>
  <c r="V20" i="11"/>
  <c r="V16" i="11" s="1"/>
  <c r="X21" i="11"/>
  <c r="V92" i="12"/>
  <c r="V91" i="11"/>
  <c r="X92" i="11"/>
  <c r="AI85" i="9"/>
  <c r="AJ85" i="9"/>
  <c r="X83" i="9"/>
  <c r="X35" i="10"/>
  <c r="AJ39" i="10"/>
  <c r="AJ35" i="10" s="1"/>
  <c r="AH39" i="10"/>
  <c r="AH214" i="10"/>
  <c r="AI214" i="10"/>
  <c r="X211" i="10"/>
  <c r="X210" i="10" s="1"/>
  <c r="X209" i="10" s="1"/>
  <c r="AJ214" i="10"/>
  <c r="AV10" i="9"/>
  <c r="AU10" i="9"/>
  <c r="BC15" i="10"/>
  <c r="N46" i="10"/>
  <c r="G64" i="15"/>
  <c r="BD14" i="14"/>
  <c r="I63" i="14"/>
  <c r="M76" i="9"/>
  <c r="M75" i="9" s="1"/>
  <c r="N76" i="9"/>
  <c r="N75" i="9" s="1"/>
  <c r="F75" i="9"/>
  <c r="BH9" i="7"/>
  <c r="BH7" i="7" s="1"/>
  <c r="BH16" i="7" s="1"/>
  <c r="BN8" i="7"/>
  <c r="BN7" i="7" s="1"/>
  <c r="BN32" i="7" s="1"/>
  <c r="F49" i="12"/>
  <c r="D48" i="12"/>
  <c r="D49" i="13"/>
  <c r="D59" i="12"/>
  <c r="D57" i="11"/>
  <c r="AI178" i="12"/>
  <c r="AH178" i="12"/>
  <c r="D30" i="11"/>
  <c r="F30" i="10"/>
  <c r="N30" i="10" s="1"/>
  <c r="N29" i="10" s="1"/>
  <c r="D29" i="10"/>
  <c r="AJ151" i="10"/>
  <c r="AH151" i="10"/>
  <c r="AH149" i="10" s="1"/>
  <c r="AH147" i="10" s="1"/>
  <c r="X149" i="10"/>
  <c r="X147" i="10" s="1"/>
  <c r="W51" i="12"/>
  <c r="W49" i="11"/>
  <c r="D23" i="11"/>
  <c r="D22" i="11" s="1"/>
  <c r="F23" i="10"/>
  <c r="F22" i="10" s="1"/>
  <c r="AQ7" i="10" s="1"/>
  <c r="X96" i="10"/>
  <c r="AH97" i="10"/>
  <c r="AJ97" i="10"/>
  <c r="BO29" i="7"/>
  <c r="BI13" i="7" s="1"/>
  <c r="AD10" i="7"/>
  <c r="AD8" i="7" s="1"/>
  <c r="W244" i="11"/>
  <c r="W243" i="10"/>
  <c r="W232" i="10" s="1"/>
  <c r="X243" i="9"/>
  <c r="X232" i="9" s="1"/>
  <c r="AD244" i="8"/>
  <c r="AB243" i="8"/>
  <c r="AB232" i="8" s="1"/>
  <c r="T33" i="13"/>
  <c r="AG244" i="8"/>
  <c r="AE243" i="8"/>
  <c r="V244" i="11"/>
  <c r="X244" i="10"/>
  <c r="V243" i="10"/>
  <c r="V232" i="10" s="1"/>
  <c r="AQ30" i="8"/>
  <c r="AG232" i="7"/>
  <c r="AH234" i="8"/>
  <c r="G55" i="9"/>
  <c r="M55" i="8"/>
  <c r="M54" i="8" s="1"/>
  <c r="AW14" i="8"/>
  <c r="I54" i="8"/>
  <c r="BD17" i="8"/>
  <c r="AA244" i="8"/>
  <c r="Y243" i="8"/>
  <c r="Y232" i="8" s="1"/>
  <c r="AF258" i="7"/>
  <c r="AE234" i="8"/>
  <c r="BP29" i="7"/>
  <c r="BJ13" i="7" s="1"/>
  <c r="AR30" i="7"/>
  <c r="AW30" i="7" s="1"/>
  <c r="AY30" i="7" s="1"/>
  <c r="G65" i="16"/>
  <c r="Y230" i="16"/>
  <c r="AH230" i="15"/>
  <c r="G83" i="16"/>
  <c r="I81" i="15"/>
  <c r="I34" i="16"/>
  <c r="G32" i="16"/>
  <c r="I77" i="16"/>
  <c r="G59" i="16"/>
  <c r="I57" i="15"/>
  <c r="G71" i="16"/>
  <c r="X87" i="16"/>
  <c r="AI116" i="15"/>
  <c r="AH116" i="15"/>
  <c r="AI160" i="16"/>
  <c r="AH160" i="16"/>
  <c r="AI87" i="15"/>
  <c r="AH87" i="15"/>
  <c r="AI99" i="16"/>
  <c r="AH99" i="16"/>
  <c r="AH94" i="15"/>
  <c r="AI94" i="15"/>
  <c r="X48" i="16"/>
  <c r="X60" i="16"/>
  <c r="AJ60" i="16" s="1"/>
  <c r="AD58" i="14"/>
  <c r="AD57" i="14" s="1"/>
  <c r="AB59" i="15"/>
  <c r="AH106" i="15"/>
  <c r="X105" i="15"/>
  <c r="X104" i="15" s="1"/>
  <c r="AI106" i="15"/>
  <c r="AI79" i="14"/>
  <c r="AB79" i="15"/>
  <c r="AD79" i="15" s="1"/>
  <c r="X199" i="16"/>
  <c r="AH199" i="15"/>
  <c r="AI199" i="15"/>
  <c r="X116" i="16"/>
  <c r="Y51" i="15"/>
  <c r="F50" i="16"/>
  <c r="AJ48" i="15"/>
  <c r="AH48" i="15"/>
  <c r="AI48" i="15"/>
  <c r="V105" i="16"/>
  <c r="V104" i="16" s="1"/>
  <c r="X106" i="16"/>
  <c r="AH60" i="15"/>
  <c r="AI60" i="15"/>
  <c r="AJ60" i="15"/>
  <c r="G61" i="15"/>
  <c r="I61" i="15" s="1"/>
  <c r="G61" i="16" s="1"/>
  <c r="I61" i="16" s="1"/>
  <c r="V170" i="11"/>
  <c r="AH23" i="15"/>
  <c r="AI23" i="15"/>
  <c r="J44" i="11"/>
  <c r="N44" i="10"/>
  <c r="AA173" i="13"/>
  <c r="Y172" i="13"/>
  <c r="AJ37" i="15"/>
  <c r="AI37" i="15"/>
  <c r="AB66" i="15"/>
  <c r="AD66" i="15" s="1"/>
  <c r="BP10" i="14"/>
  <c r="AR22" i="14"/>
  <c r="AI66" i="14"/>
  <c r="AB22" i="11"/>
  <c r="AI22" i="10"/>
  <c r="AE86" i="11"/>
  <c r="AJ86" i="10"/>
  <c r="J56" i="11"/>
  <c r="AG93" i="11"/>
  <c r="AE152" i="11"/>
  <c r="AG149" i="10"/>
  <c r="AG147" i="10" s="1"/>
  <c r="AJ152" i="10"/>
  <c r="L50" i="11"/>
  <c r="AB98" i="16"/>
  <c r="AD127" i="11"/>
  <c r="AH75" i="14"/>
  <c r="AJ75" i="14"/>
  <c r="AG36" i="11"/>
  <c r="AE35" i="11"/>
  <c r="AJ26" i="13"/>
  <c r="AE26" i="14"/>
  <c r="AG26" i="14" s="1"/>
  <c r="AB100" i="11"/>
  <c r="AI100" i="10"/>
  <c r="J62" i="11"/>
  <c r="N62" i="10"/>
  <c r="AB85" i="16"/>
  <c r="AD85" i="16" s="1"/>
  <c r="AJ129" i="13"/>
  <c r="AE129" i="14"/>
  <c r="AG129" i="14" s="1"/>
  <c r="L74" i="11"/>
  <c r="Y225" i="13"/>
  <c r="AH225" i="12"/>
  <c r="L80" i="11"/>
  <c r="J78" i="11"/>
  <c r="L78" i="11" s="1"/>
  <c r="AB150" i="11"/>
  <c r="AI150" i="10"/>
  <c r="Y100" i="13"/>
  <c r="AH100" i="12"/>
  <c r="AA246" i="13"/>
  <c r="AE59" i="11"/>
  <c r="AG58" i="10"/>
  <c r="AG57" i="10" s="1"/>
  <c r="AJ59" i="10"/>
  <c r="AJ58" i="10" s="1"/>
  <c r="AJ57" i="10" s="1"/>
  <c r="J30" i="11"/>
  <c r="L29" i="10"/>
  <c r="Y200" i="13"/>
  <c r="AH200" i="12"/>
  <c r="Y46" i="15"/>
  <c r="AB117" i="11"/>
  <c r="AD114" i="10"/>
  <c r="AI117" i="10"/>
  <c r="AB238" i="11"/>
  <c r="AD235" i="10"/>
  <c r="AD234" i="10" s="1"/>
  <c r="AI238" i="10"/>
  <c r="AI235" i="10" s="1"/>
  <c r="AI234" i="10" s="1"/>
  <c r="X23" i="16"/>
  <c r="AD188" i="11"/>
  <c r="AI188" i="11" s="1"/>
  <c r="AI187" i="11" s="1"/>
  <c r="AI185" i="11" s="1"/>
  <c r="AB187" i="11"/>
  <c r="AB185" i="11" s="1"/>
  <c r="AB92" i="11"/>
  <c r="AD91" i="10"/>
  <c r="AI92" i="10"/>
  <c r="AI91" i="10" s="1"/>
  <c r="X37" i="16"/>
  <c r="Y190" i="13"/>
  <c r="AH190" i="12"/>
  <c r="F44" i="16"/>
  <c r="F62" i="16"/>
  <c r="AA179" i="13"/>
  <c r="AE115" i="11"/>
  <c r="AJ115" i="10"/>
  <c r="J68" i="11"/>
  <c r="AA117" i="13"/>
  <c r="AE47" i="11"/>
  <c r="AG44" i="10"/>
  <c r="AJ47" i="10"/>
  <c r="AB223" i="11"/>
  <c r="AD222" i="10"/>
  <c r="AI223" i="10"/>
  <c r="AI222" i="10" s="1"/>
  <c r="AA213" i="13"/>
  <c r="Y150" i="13"/>
  <c r="AH150" i="12"/>
  <c r="AD229" i="11"/>
  <c r="AA107" i="13"/>
  <c r="Y105" i="13"/>
  <c r="Y104" i="13" s="1"/>
  <c r="AJ67" i="15"/>
  <c r="AE67" i="16"/>
  <c r="AG67" i="16" s="1"/>
  <c r="AJ67" i="16" s="1"/>
  <c r="X75" i="15"/>
  <c r="V75" i="16"/>
  <c r="X75" i="16" s="1"/>
  <c r="AB198" i="11"/>
  <c r="AD197" i="10"/>
  <c r="AI198" i="10"/>
  <c r="BP26" i="10"/>
  <c r="AE98" i="11"/>
  <c r="AJ98" i="10"/>
  <c r="Y95" i="13"/>
  <c r="AH95" i="12"/>
  <c r="J36" i="11"/>
  <c r="L35" i="10"/>
  <c r="BL16" i="13"/>
  <c r="BL16" i="16" s="1"/>
  <c r="AD236" i="16"/>
  <c r="AH12" i="7"/>
  <c r="AH10" i="7" s="1"/>
  <c r="AH258" i="7" s="1"/>
  <c r="Y63" i="8"/>
  <c r="AE212" i="9"/>
  <c r="AG211" i="8"/>
  <c r="AG210" i="8" s="1"/>
  <c r="AG209" i="8" s="1"/>
  <c r="AJ212" i="8"/>
  <c r="AJ211" i="8" s="1"/>
  <c r="AJ210" i="8" s="1"/>
  <c r="AJ209" i="8" s="1"/>
  <c r="Y85" i="9"/>
  <c r="AA83" i="8"/>
  <c r="AH85" i="8"/>
  <c r="AH83" i="8" s="1"/>
  <c r="AJ202" i="8"/>
  <c r="AJ197" i="8" s="1"/>
  <c r="AJ196" i="8" s="1"/>
  <c r="AJ195" i="8" s="1"/>
  <c r="AJ193" i="8" s="1"/>
  <c r="AE202" i="9"/>
  <c r="AG197" i="8"/>
  <c r="AG196" i="8" s="1"/>
  <c r="AG195" i="8" s="1"/>
  <c r="AE174" i="14"/>
  <c r="Y61" i="10"/>
  <c r="BO31" i="9"/>
  <c r="BI15" i="9" s="1"/>
  <c r="AH61" i="9"/>
  <c r="AE241" i="9"/>
  <c r="AJ241" i="8"/>
  <c r="AJ235" i="8" s="1"/>
  <c r="AG235" i="8"/>
  <c r="AG234" i="8" s="1"/>
  <c r="Y28" i="14"/>
  <c r="AA28" i="14" s="1"/>
  <c r="AH28" i="13"/>
  <c r="Y37" i="9"/>
  <c r="AA35" i="8"/>
  <c r="AH37" i="8"/>
  <c r="AH35" i="8" s="1"/>
  <c r="Y70" i="14"/>
  <c r="AA70" i="14" s="1"/>
  <c r="AH70" i="13"/>
  <c r="AE53" i="14"/>
  <c r="AG53" i="14" s="1"/>
  <c r="AJ53" i="13"/>
  <c r="AS14" i="7"/>
  <c r="AS17" i="7" s="1"/>
  <c r="G8" i="7"/>
  <c r="G126" i="7" s="1"/>
  <c r="G130" i="7" s="1"/>
  <c r="I115" i="12"/>
  <c r="G113" i="12"/>
  <c r="AE52" i="9"/>
  <c r="AG49" i="8"/>
  <c r="AG43" i="8" s="1"/>
  <c r="AJ52" i="8"/>
  <c r="AJ49" i="8" s="1"/>
  <c r="AJ43" i="8" s="1"/>
  <c r="AB167" i="9"/>
  <c r="AD157" i="8"/>
  <c r="AD155" i="8" s="1"/>
  <c r="BP19" i="8"/>
  <c r="AI167" i="8"/>
  <c r="AI157" i="8" s="1"/>
  <c r="AI155" i="8" s="1"/>
  <c r="W133" i="12"/>
  <c r="W123" i="11"/>
  <c r="W112" i="11" s="1"/>
  <c r="W110" i="11" s="1"/>
  <c r="X133" i="11"/>
  <c r="BO9" i="7"/>
  <c r="Y71" i="9"/>
  <c r="AA69" i="8"/>
  <c r="AA65" i="8" s="1"/>
  <c r="AH71" i="8"/>
  <c r="AH69" i="8" s="1"/>
  <c r="AH65" i="8" s="1"/>
  <c r="AB180" i="9"/>
  <c r="AD176" i="8"/>
  <c r="AD170" i="8" s="1"/>
  <c r="AI180" i="8"/>
  <c r="AI176" i="8" s="1"/>
  <c r="AI170" i="8" s="1"/>
  <c r="F113" i="16"/>
  <c r="AQ15" i="16" s="1"/>
  <c r="BC20" i="16"/>
  <c r="AB39" i="9"/>
  <c r="AD35" i="8"/>
  <c r="AR24" i="8" s="1"/>
  <c r="AI39" i="8"/>
  <c r="AI35" i="8" s="1"/>
  <c r="AI133" i="10"/>
  <c r="AJ133" i="10"/>
  <c r="J115" i="13"/>
  <c r="L113" i="12"/>
  <c r="AS15" i="12" s="1"/>
  <c r="AX15" i="12" s="1"/>
  <c r="N115" i="12"/>
  <c r="N113" i="12" s="1"/>
  <c r="AE14" i="8"/>
  <c r="AE70" i="9"/>
  <c r="AJ70" i="8"/>
  <c r="AJ69" i="8" s="1"/>
  <c r="AJ65" i="8" s="1"/>
  <c r="AG69" i="8"/>
  <c r="AG65" i="8" s="1"/>
  <c r="Y27" i="9"/>
  <c r="AH27" i="8"/>
  <c r="AH20" i="8" s="1"/>
  <c r="AH16" i="8" s="1"/>
  <c r="AA20" i="8"/>
  <c r="AA16" i="8" s="1"/>
  <c r="AE23" i="9"/>
  <c r="AG20" i="8"/>
  <c r="AG16" i="8" s="1"/>
  <c r="AJ23" i="8"/>
  <c r="AJ20" i="8" s="1"/>
  <c r="AJ16" i="8" s="1"/>
  <c r="Y161" i="14"/>
  <c r="AA161" i="14" s="1"/>
  <c r="AH161" i="13"/>
  <c r="X207" i="16"/>
  <c r="BE21" i="11"/>
  <c r="C128" i="11"/>
  <c r="Q128" i="11"/>
  <c r="Q126" i="11" s="1"/>
  <c r="Q130" i="11" s="1"/>
  <c r="K128" i="11"/>
  <c r="K126" i="11" s="1"/>
  <c r="K130" i="11" s="1"/>
  <c r="H128" i="11"/>
  <c r="H126" i="11" s="1"/>
  <c r="H130" i="11" s="1"/>
  <c r="B24" i="12"/>
  <c r="P128" i="11"/>
  <c r="P126" i="11" s="1"/>
  <c r="P130" i="11" s="1"/>
  <c r="X69" i="11"/>
  <c r="X65" i="11" s="1"/>
  <c r="AI73" i="11"/>
  <c r="AH73" i="11"/>
  <c r="AJ73" i="11"/>
  <c r="AB216" i="10"/>
  <c r="AD211" i="9"/>
  <c r="AD210" i="9" s="1"/>
  <c r="AD209" i="9" s="1"/>
  <c r="AR29" i="9" s="1"/>
  <c r="AI216" i="9"/>
  <c r="AI211" i="9" s="1"/>
  <c r="AI210" i="9" s="1"/>
  <c r="AI209" i="9" s="1"/>
  <c r="V188" i="13"/>
  <c r="V187" i="12"/>
  <c r="V185" i="12" s="1"/>
  <c r="X188" i="12"/>
  <c r="AE162" i="14"/>
  <c r="AG162" i="14" s="1"/>
  <c r="AJ162" i="13"/>
  <c r="V238" i="13"/>
  <c r="X238" i="12"/>
  <c r="AJ238" i="12" s="1"/>
  <c r="AV11" i="16"/>
  <c r="AZ11" i="16"/>
  <c r="AR17" i="6"/>
  <c r="AU14" i="6"/>
  <c r="X172" i="11"/>
  <c r="AJ174" i="11"/>
  <c r="AH174" i="11"/>
  <c r="AH172" i="11" s="1"/>
  <c r="BN31" i="11"/>
  <c r="BH15" i="11" s="1"/>
  <c r="X170" i="10"/>
  <c r="X227" i="11"/>
  <c r="AH228" i="11"/>
  <c r="K24" i="20"/>
  <c r="BE22" i="10"/>
  <c r="BF22" i="10" s="1"/>
  <c r="AE124" i="10"/>
  <c r="AJ124" i="9"/>
  <c r="AE80" i="10"/>
  <c r="AJ80" i="9"/>
  <c r="J41" i="11"/>
  <c r="L41" i="11" s="1"/>
  <c r="J41" i="12" s="1"/>
  <c r="L41" i="12" s="1"/>
  <c r="V237" i="13"/>
  <c r="V235" i="12"/>
  <c r="V234" i="12" s="1"/>
  <c r="X237" i="12"/>
  <c r="J12" i="11"/>
  <c r="L12" i="11" s="1"/>
  <c r="V177" i="13"/>
  <c r="X177" i="12"/>
  <c r="V176" i="12"/>
  <c r="M86" i="16"/>
  <c r="F85" i="16"/>
  <c r="L95" i="12"/>
  <c r="J94" i="12"/>
  <c r="AH207" i="15"/>
  <c r="AI207" i="15"/>
  <c r="G41" i="11"/>
  <c r="I41" i="11" s="1"/>
  <c r="AV11" i="15"/>
  <c r="AZ11" i="15"/>
  <c r="F104" i="16"/>
  <c r="C22" i="20"/>
  <c r="V73" i="13"/>
  <c r="V69" i="12"/>
  <c r="V65" i="12" s="1"/>
  <c r="X73" i="12"/>
  <c r="F94" i="16"/>
  <c r="C18" i="20"/>
  <c r="AJ135" i="11"/>
  <c r="AI135" i="11"/>
  <c r="AH135" i="11"/>
  <c r="X123" i="11"/>
  <c r="G95" i="12"/>
  <c r="I94" i="11"/>
  <c r="M95" i="11"/>
  <c r="M94" i="11" s="1"/>
  <c r="X187" i="11"/>
  <c r="X185" i="11" s="1"/>
  <c r="J105" i="12"/>
  <c r="L104" i="11"/>
  <c r="N105" i="11"/>
  <c r="N104" i="11" s="1"/>
  <c r="BF21" i="10"/>
  <c r="BN24" i="9"/>
  <c r="BN22" i="9" s="1"/>
  <c r="BH11" i="9" s="1"/>
  <c r="AQ27" i="9"/>
  <c r="V174" i="13"/>
  <c r="V172" i="12"/>
  <c r="X174" i="12"/>
  <c r="J86" i="12"/>
  <c r="L85" i="11"/>
  <c r="N86" i="11"/>
  <c r="N85" i="11" s="1"/>
  <c r="AE161" i="10"/>
  <c r="AJ161" i="9"/>
  <c r="V228" i="13"/>
  <c r="V227" i="12"/>
  <c r="X228" i="12"/>
  <c r="G105" i="12"/>
  <c r="I104" i="11"/>
  <c r="M105" i="11"/>
  <c r="M104" i="11" s="1"/>
  <c r="V135" i="13"/>
  <c r="X135" i="12"/>
  <c r="V123" i="12"/>
  <c r="X235" i="11"/>
  <c r="X234" i="11" s="1"/>
  <c r="AI237" i="11"/>
  <c r="AH238" i="11"/>
  <c r="AI177" i="11"/>
  <c r="BN23" i="11"/>
  <c r="X176" i="11"/>
  <c r="AJ177" i="11"/>
  <c r="AB75" i="10"/>
  <c r="AI75" i="9"/>
  <c r="M21" i="7"/>
  <c r="M19" i="7" s="1"/>
  <c r="M17" i="7" s="1"/>
  <c r="AE258" i="7" s="1"/>
  <c r="I24" i="8"/>
  <c r="G22" i="8"/>
  <c r="BD22" i="7"/>
  <c r="J27" i="9"/>
  <c r="J128" i="9" s="1"/>
  <c r="N27" i="8"/>
  <c r="N25" i="8" s="1"/>
  <c r="L25" i="8"/>
  <c r="AS8" i="8" s="1"/>
  <c r="AV8" i="8" s="1"/>
  <c r="AX8" i="8"/>
  <c r="AZ8" i="8" s="1"/>
  <c r="I27" i="8"/>
  <c r="G25" i="8"/>
  <c r="G128" i="8"/>
  <c r="AR8" i="7"/>
  <c r="AU8" i="7" s="1"/>
  <c r="I21" i="7"/>
  <c r="I19" i="7" s="1"/>
  <c r="I8" i="6"/>
  <c r="BO33" i="6"/>
  <c r="I88" i="12"/>
  <c r="G85" i="12"/>
  <c r="L37" i="12"/>
  <c r="E37" i="15"/>
  <c r="E35" i="14"/>
  <c r="J31" i="13"/>
  <c r="E26" i="13"/>
  <c r="E25" i="12"/>
  <c r="F26" i="12"/>
  <c r="F66" i="11"/>
  <c r="I37" i="10"/>
  <c r="M53" i="11"/>
  <c r="F57" i="11"/>
  <c r="M59" i="11"/>
  <c r="M57" i="11" s="1"/>
  <c r="N31" i="11"/>
  <c r="M31" i="11"/>
  <c r="E14" i="13"/>
  <c r="E10" i="12"/>
  <c r="F14" i="12"/>
  <c r="E83" i="13"/>
  <c r="E81" i="12"/>
  <c r="F83" i="12"/>
  <c r="I74" i="10"/>
  <c r="G72" i="10"/>
  <c r="M33" i="12"/>
  <c r="L83" i="10"/>
  <c r="J81" i="10"/>
  <c r="F69" i="11"/>
  <c r="M71" i="11"/>
  <c r="M69" i="11" s="1"/>
  <c r="L59" i="10"/>
  <c r="J57" i="10"/>
  <c r="M65" i="11"/>
  <c r="L47" i="10"/>
  <c r="J45" i="10"/>
  <c r="M77" i="11"/>
  <c r="L65" i="10"/>
  <c r="J63" i="10"/>
  <c r="L53" i="10"/>
  <c r="J51" i="10"/>
  <c r="M13" i="11"/>
  <c r="D56" i="13"/>
  <c r="D54" i="12"/>
  <c r="F56" i="12"/>
  <c r="L71" i="10"/>
  <c r="J69" i="10"/>
  <c r="E47" i="13"/>
  <c r="E45" i="12"/>
  <c r="F47" i="12"/>
  <c r="D37" i="13"/>
  <c r="F37" i="12"/>
  <c r="I46" i="10"/>
  <c r="G45" i="10"/>
  <c r="BC11" i="11"/>
  <c r="M26" i="11"/>
  <c r="D68" i="13"/>
  <c r="D66" i="12"/>
  <c r="F68" i="12"/>
  <c r="E53" i="13"/>
  <c r="E51" i="12"/>
  <c r="F53" i="12"/>
  <c r="E59" i="13"/>
  <c r="E57" i="12"/>
  <c r="F59" i="12"/>
  <c r="D31" i="13"/>
  <c r="F31" i="12"/>
  <c r="M47" i="11"/>
  <c r="N37" i="11"/>
  <c r="M14" i="11"/>
  <c r="N14" i="11"/>
  <c r="L33" i="10"/>
  <c r="M83" i="11"/>
  <c r="M81" i="11" s="1"/>
  <c r="F81" i="11"/>
  <c r="I62" i="10"/>
  <c r="G60" i="10"/>
  <c r="I52" i="10"/>
  <c r="G51" i="10"/>
  <c r="L26" i="10"/>
  <c r="E33" i="14"/>
  <c r="E32" i="13"/>
  <c r="E28" i="13" s="1"/>
  <c r="F33" i="13"/>
  <c r="E71" i="13"/>
  <c r="E69" i="12"/>
  <c r="E65" i="13"/>
  <c r="E63" i="12"/>
  <c r="F65" i="12"/>
  <c r="E77" i="13"/>
  <c r="E75" i="12"/>
  <c r="F77" i="12"/>
  <c r="L77" i="10"/>
  <c r="J75" i="10"/>
  <c r="D13" i="13"/>
  <c r="F13" i="12"/>
  <c r="J15" i="12"/>
  <c r="L15" i="12" s="1"/>
  <c r="N15" i="11"/>
  <c r="N22" i="8"/>
  <c r="D24" i="12"/>
  <c r="F24" i="11"/>
  <c r="BC21" i="11" s="1"/>
  <c r="D128" i="11"/>
  <c r="J13" i="9"/>
  <c r="N13" i="8"/>
  <c r="N10" i="8" s="1"/>
  <c r="L10" i="8"/>
  <c r="AS7" i="8"/>
  <c r="AV7" i="8" s="1"/>
  <c r="F128" i="10"/>
  <c r="J14" i="14"/>
  <c r="L14" i="14" s="1"/>
  <c r="E24" i="12"/>
  <c r="E22" i="11"/>
  <c r="E21" i="11" s="1"/>
  <c r="E19" i="11" s="1"/>
  <c r="E17" i="11" s="1"/>
  <c r="E8" i="11" s="1"/>
  <c r="E128" i="11"/>
  <c r="L24" i="9"/>
  <c r="J22" i="9"/>
  <c r="AD88" i="9"/>
  <c r="AB83" i="9"/>
  <c r="AA237" i="9"/>
  <c r="Y235" i="9"/>
  <c r="Y234" i="9" s="1"/>
  <c r="Y133" i="10"/>
  <c r="AH133" i="9"/>
  <c r="AB107" i="10"/>
  <c r="AD105" i="9"/>
  <c r="AD104" i="9" s="1"/>
  <c r="AI107" i="9"/>
  <c r="AI105" i="9" s="1"/>
  <c r="AI104" i="9" s="1"/>
  <c r="AI245" i="11"/>
  <c r="AH245" i="11"/>
  <c r="AJ245" i="11"/>
  <c r="G56" i="10"/>
  <c r="M56" i="9"/>
  <c r="V225" i="16"/>
  <c r="X225" i="15"/>
  <c r="V134" i="16"/>
  <c r="X134" i="15"/>
  <c r="V245" i="13"/>
  <c r="X245" i="12"/>
  <c r="AI225" i="14"/>
  <c r="AH134" i="14"/>
  <c r="AJ134" i="14"/>
  <c r="AI134" i="14"/>
  <c r="AB50" i="10"/>
  <c r="AD49" i="9"/>
  <c r="AI50" i="9"/>
  <c r="AI49" i="9" s="1"/>
  <c r="L126" i="7"/>
  <c r="L130" i="7" s="1"/>
  <c r="AE158" i="14"/>
  <c r="AE127" i="14"/>
  <c r="AJ127" i="13"/>
  <c r="F40" i="14"/>
  <c r="D40" i="15"/>
  <c r="N39" i="13"/>
  <c r="M39" i="13"/>
  <c r="F38" i="13"/>
  <c r="D38" i="14"/>
  <c r="M40" i="13"/>
  <c r="N40" i="13"/>
  <c r="N38" i="12"/>
  <c r="M38" i="12"/>
  <c r="F39" i="14"/>
  <c r="D39" i="15"/>
  <c r="AI130" i="16"/>
  <c r="AG92" i="16"/>
  <c r="BH17" i="5"/>
  <c r="M126" i="5"/>
  <c r="M130" i="5" s="1"/>
  <c r="E126" i="6"/>
  <c r="E130" i="6" s="1"/>
  <c r="BQ33" i="5"/>
  <c r="N126" i="5"/>
  <c r="N130" i="5" s="1"/>
  <c r="D126" i="6"/>
  <c r="D130" i="6" s="1"/>
  <c r="D41" i="12"/>
  <c r="F41" i="11"/>
  <c r="M41" i="10"/>
  <c r="N41" i="10"/>
  <c r="B12" i="14"/>
  <c r="G12" i="9"/>
  <c r="I10" i="8"/>
  <c r="M12" i="8"/>
  <c r="AZ16" i="7"/>
  <c r="AX17" i="7"/>
  <c r="AW17" i="7"/>
  <c r="AZ27" i="7"/>
  <c r="AJ247" i="15"/>
  <c r="AE247" i="16"/>
  <c r="AG247" i="16" s="1"/>
  <c r="AJ247" i="16" s="1"/>
  <c r="AE181" i="10"/>
  <c r="AJ181" i="9"/>
  <c r="AJ215" i="12"/>
  <c r="AE215" i="13"/>
  <c r="AG215" i="13" s="1"/>
  <c r="AE238" i="13"/>
  <c r="AG238" i="13" s="1"/>
  <c r="AZ13" i="8"/>
  <c r="AJ229" i="11"/>
  <c r="AE229" i="12"/>
  <c r="AG229" i="12" s="1"/>
  <c r="AE190" i="13"/>
  <c r="AG190" i="13" s="1"/>
  <c r="AJ190" i="12"/>
  <c r="AE207" i="14"/>
  <c r="AG207" i="14" s="1"/>
  <c r="AJ207" i="13"/>
  <c r="AE252" i="13"/>
  <c r="AG252" i="13" s="1"/>
  <c r="AJ252" i="12"/>
  <c r="AG220" i="9"/>
  <c r="AG236" i="10"/>
  <c r="AJ213" i="12"/>
  <c r="AE213" i="13"/>
  <c r="AG213" i="13" s="1"/>
  <c r="AJ256" i="12"/>
  <c r="AE256" i="13"/>
  <c r="AG256" i="13" s="1"/>
  <c r="AE240" i="13"/>
  <c r="AG240" i="13" s="1"/>
  <c r="AJ240" i="12"/>
  <c r="I23" i="9"/>
  <c r="AE183" i="13"/>
  <c r="AG183" i="13" s="1"/>
  <c r="AJ183" i="12"/>
  <c r="AJ254" i="12"/>
  <c r="AE254" i="13"/>
  <c r="AG254" i="13" s="1"/>
  <c r="AG228" i="10"/>
  <c r="AE227" i="10"/>
  <c r="AE186" i="10"/>
  <c r="AJ186" i="9"/>
  <c r="AJ246" i="12"/>
  <c r="AE246" i="13"/>
  <c r="AG246" i="13" s="1"/>
  <c r="AE245" i="16"/>
  <c r="AG245" i="16" s="1"/>
  <c r="AJ204" i="12"/>
  <c r="AE204" i="13"/>
  <c r="AG204" i="13" s="1"/>
  <c r="AJ220" i="9"/>
  <c r="I30" i="9"/>
  <c r="G29" i="9"/>
  <c r="AE224" i="12"/>
  <c r="AG224" i="12" s="1"/>
  <c r="AJ224" i="11"/>
  <c r="AJ203" i="12"/>
  <c r="AE203" i="13"/>
  <c r="AG203" i="13" s="1"/>
  <c r="AJ225" i="12"/>
  <c r="AE225" i="13"/>
  <c r="AG225" i="13" s="1"/>
  <c r="AE255" i="13"/>
  <c r="AG255" i="13" s="1"/>
  <c r="AJ255" i="12"/>
  <c r="AW13" i="11"/>
  <c r="AY13" i="11" s="1"/>
  <c r="AR13" i="11"/>
  <c r="AU13" i="11" s="1"/>
  <c r="AE214" i="13"/>
  <c r="AG214" i="13" s="1"/>
  <c r="AJ230" i="15"/>
  <c r="AE230" i="16"/>
  <c r="AG230" i="16" s="1"/>
  <c r="AJ230" i="16" s="1"/>
  <c r="AE201" i="13"/>
  <c r="AG201" i="13" s="1"/>
  <c r="AE191" i="13"/>
  <c r="AG191" i="13" s="1"/>
  <c r="AJ191" i="12"/>
  <c r="AE206" i="10"/>
  <c r="AG205" i="9"/>
  <c r="AJ206" i="9"/>
  <c r="AJ205" i="9" s="1"/>
  <c r="AJ253" i="12"/>
  <c r="AE253" i="13"/>
  <c r="AG253" i="13" s="1"/>
  <c r="AJ249" i="15"/>
  <c r="AE249" i="16"/>
  <c r="AG249" i="16" s="1"/>
  <c r="AJ249" i="16" s="1"/>
  <c r="AE217" i="13"/>
  <c r="AG217" i="13" s="1"/>
  <c r="AJ217" i="12"/>
  <c r="AG180" i="13"/>
  <c r="AE222" i="10"/>
  <c r="AG223" i="10"/>
  <c r="AJ250" i="12"/>
  <c r="AE250" i="13"/>
  <c r="AG250" i="13" s="1"/>
  <c r="AE218" i="16"/>
  <c r="AG218" i="16" s="1"/>
  <c r="AJ218" i="16" s="1"/>
  <c r="AJ218" i="15"/>
  <c r="AE198" i="10"/>
  <c r="AJ198" i="9"/>
  <c r="AA53" i="16"/>
  <c r="AJ216" i="12"/>
  <c r="AE216" i="13"/>
  <c r="AG216" i="13" s="1"/>
  <c r="AG188" i="10"/>
  <c r="AJ251" i="12"/>
  <c r="AE251" i="13"/>
  <c r="AG251" i="13" s="1"/>
  <c r="AJ239" i="12"/>
  <c r="AE239" i="13"/>
  <c r="AG239" i="13" s="1"/>
  <c r="AE237" i="12"/>
  <c r="AG237" i="12" s="1"/>
  <c r="AJ237" i="11"/>
  <c r="AE182" i="13"/>
  <c r="AG182" i="13" s="1"/>
  <c r="AJ182" i="12"/>
  <c r="AJ199" i="12"/>
  <c r="AE199" i="13"/>
  <c r="AG199" i="13" s="1"/>
  <c r="AE200" i="13"/>
  <c r="AG200" i="13" s="1"/>
  <c r="AJ200" i="12"/>
  <c r="AE248" i="13"/>
  <c r="AG248" i="13" s="1"/>
  <c r="AJ248" i="12"/>
  <c r="V220" i="12" l="1"/>
  <c r="X12" i="8"/>
  <c r="AB10" i="8"/>
  <c r="AB8" i="8" s="1"/>
  <c r="BD10" i="8"/>
  <c r="BD9" i="8" s="1"/>
  <c r="BD8" i="8" s="1"/>
  <c r="W258" i="9"/>
  <c r="AQ23" i="10"/>
  <c r="AG63" i="7"/>
  <c r="AG12" i="7" s="1"/>
  <c r="AG10" i="7" s="1"/>
  <c r="AG258" i="7" s="1"/>
  <c r="AS31" i="7" s="1"/>
  <c r="AS25" i="7"/>
  <c r="V10" i="9"/>
  <c r="V8" i="9" s="1"/>
  <c r="F28" i="9"/>
  <c r="F21" i="9" s="1"/>
  <c r="F19" i="9" s="1"/>
  <c r="F17" i="9" s="1"/>
  <c r="F8" i="9" s="1"/>
  <c r="AU30" i="7"/>
  <c r="AD14" i="8"/>
  <c r="AD12" i="8" s="1"/>
  <c r="X145" i="10"/>
  <c r="W10" i="10"/>
  <c r="W258" i="10" s="1"/>
  <c r="AI14" i="8"/>
  <c r="AI12" i="8" s="1"/>
  <c r="AU35" i="6"/>
  <c r="BC7" i="10"/>
  <c r="AI145" i="8"/>
  <c r="AI110" i="8" s="1"/>
  <c r="BH7" i="8"/>
  <c r="BH16" i="8" s="1"/>
  <c r="AH112" i="8"/>
  <c r="AH110" i="8" s="1"/>
  <c r="X10" i="8"/>
  <c r="X258" i="8" s="1"/>
  <c r="X63" i="9"/>
  <c r="X90" i="10"/>
  <c r="BO17" i="8"/>
  <c r="AW22" i="14"/>
  <c r="AY22" i="14" s="1"/>
  <c r="AU22" i="14"/>
  <c r="W98" i="15"/>
  <c r="X98" i="14"/>
  <c r="W96" i="14"/>
  <c r="M34" i="11"/>
  <c r="M32" i="11" s="1"/>
  <c r="F32" i="11"/>
  <c r="D27" i="13"/>
  <c r="F27" i="12"/>
  <c r="F25" i="12" s="1"/>
  <c r="AQ8" i="12" s="1"/>
  <c r="D25" i="12"/>
  <c r="W59" i="14"/>
  <c r="W58" i="13"/>
  <c r="W57" i="13" s="1"/>
  <c r="W152" i="14"/>
  <c r="W149" i="13"/>
  <c r="W147" i="13" s="1"/>
  <c r="X152" i="13"/>
  <c r="W187" i="14"/>
  <c r="W185" i="14" s="1"/>
  <c r="W188" i="15"/>
  <c r="AD71" i="9"/>
  <c r="AB69" i="9"/>
  <c r="AB65" i="9" s="1"/>
  <c r="AB63" i="9" s="1"/>
  <c r="E67" i="13"/>
  <c r="E66" i="12"/>
  <c r="F67" i="12"/>
  <c r="AA152" i="11"/>
  <c r="Y149" i="11"/>
  <c r="Y147" i="11" s="1"/>
  <c r="X58" i="11"/>
  <c r="X57" i="11" s="1"/>
  <c r="AI59" i="11"/>
  <c r="AI58" i="11" s="1"/>
  <c r="AI57" i="11" s="1"/>
  <c r="Y157" i="9"/>
  <c r="Y155" i="9" s="1"/>
  <c r="Y145" i="9" s="1"/>
  <c r="AA159" i="9"/>
  <c r="X229" i="12"/>
  <c r="W229" i="13"/>
  <c r="W227" i="12"/>
  <c r="L73" i="9"/>
  <c r="J72" i="9"/>
  <c r="Y215" i="10"/>
  <c r="AA211" i="9"/>
  <c r="AA210" i="9" s="1"/>
  <c r="AA209" i="9" s="1"/>
  <c r="BO27" i="9" s="1"/>
  <c r="AH215" i="9"/>
  <c r="AH211" i="9" s="1"/>
  <c r="AH210" i="9" s="1"/>
  <c r="AH209" i="9" s="1"/>
  <c r="Y12" i="8"/>
  <c r="Y10" i="8" s="1"/>
  <c r="Y8" i="8" s="1"/>
  <c r="V8" i="8"/>
  <c r="AA220" i="9"/>
  <c r="BO30" i="9" s="1"/>
  <c r="BI14" i="9" s="1"/>
  <c r="AI98" i="13"/>
  <c r="AB206" i="10"/>
  <c r="AD205" i="9"/>
  <c r="AD196" i="9" s="1"/>
  <c r="AI206" i="9"/>
  <c r="AI205" i="9" s="1"/>
  <c r="AI196" i="9" s="1"/>
  <c r="AI195" i="9" s="1"/>
  <c r="AI193" i="9" s="1"/>
  <c r="AB228" i="11"/>
  <c r="AD227" i="10"/>
  <c r="AD220" i="10" s="1"/>
  <c r="BP30" i="10" s="1"/>
  <c r="BJ14" i="10" s="1"/>
  <c r="AI228" i="10"/>
  <c r="AI227" i="10" s="1"/>
  <c r="AA59" i="9"/>
  <c r="Y58" i="9"/>
  <c r="Y57" i="9" s="1"/>
  <c r="AA198" i="9"/>
  <c r="Y197" i="9"/>
  <c r="Y196" i="9" s="1"/>
  <c r="Y195" i="9" s="1"/>
  <c r="Y193" i="9" s="1"/>
  <c r="BO23" i="9"/>
  <c r="Y177" i="10"/>
  <c r="AA176" i="9"/>
  <c r="AA170" i="9" s="1"/>
  <c r="BO24" i="9" s="1"/>
  <c r="AH177" i="9"/>
  <c r="AH176" i="9" s="1"/>
  <c r="AH170" i="9" s="1"/>
  <c r="AR28" i="8"/>
  <c r="AW28" i="8" s="1"/>
  <c r="AY28" i="8" s="1"/>
  <c r="AD193" i="8"/>
  <c r="AB44" i="9"/>
  <c r="AB43" i="9" s="1"/>
  <c r="AD46" i="9"/>
  <c r="G42" i="9"/>
  <c r="I44" i="9"/>
  <c r="Y227" i="10"/>
  <c r="AA229" i="10"/>
  <c r="AI72" i="11"/>
  <c r="AJ72" i="11"/>
  <c r="AH72" i="11"/>
  <c r="V59" i="13"/>
  <c r="X59" i="12"/>
  <c r="V58" i="12"/>
  <c r="V57" i="12" s="1"/>
  <c r="AI159" i="11"/>
  <c r="AJ159" i="11"/>
  <c r="L55" i="10"/>
  <c r="J54" i="10"/>
  <c r="N12" i="10"/>
  <c r="AI8" i="7"/>
  <c r="W220" i="12"/>
  <c r="Y98" i="10"/>
  <c r="AA96" i="9"/>
  <c r="AH98" i="9"/>
  <c r="AH96" i="9" s="1"/>
  <c r="BO16" i="8"/>
  <c r="AA112" i="8"/>
  <c r="AA110" i="8" s="1"/>
  <c r="AB142" i="12"/>
  <c r="AD141" i="11"/>
  <c r="BP20" i="11" s="1"/>
  <c r="I36" i="9"/>
  <c r="G35" i="9"/>
  <c r="G28" i="9" s="1"/>
  <c r="AI152" i="12"/>
  <c r="AR23" i="8"/>
  <c r="BP12" i="8"/>
  <c r="BP9" i="8" s="1"/>
  <c r="AR25" i="8"/>
  <c r="AW25" i="8" s="1"/>
  <c r="AY25" i="8" s="1"/>
  <c r="BP13" i="8"/>
  <c r="L34" i="9"/>
  <c r="J32" i="9"/>
  <c r="J28" i="9" s="1"/>
  <c r="M67" i="11"/>
  <c r="E61" i="13"/>
  <c r="E60" i="12"/>
  <c r="L61" i="9"/>
  <c r="J60" i="9"/>
  <c r="L67" i="10"/>
  <c r="J66" i="10"/>
  <c r="AA125" i="9"/>
  <c r="Y123" i="9"/>
  <c r="X220" i="11"/>
  <c r="BN30" i="11" s="1"/>
  <c r="BH14" i="11" s="1"/>
  <c r="BJ16" i="7"/>
  <c r="AE141" i="10"/>
  <c r="AG143" i="10"/>
  <c r="AB124" i="11"/>
  <c r="AI124" i="10"/>
  <c r="AI123" i="10" s="1"/>
  <c r="AD123" i="10"/>
  <c r="D34" i="13"/>
  <c r="F34" i="12"/>
  <c r="D32" i="12"/>
  <c r="AD174" i="10"/>
  <c r="AB172" i="10"/>
  <c r="AA115" i="9"/>
  <c r="Y114" i="9"/>
  <c r="AB97" i="10"/>
  <c r="AD96" i="9"/>
  <c r="AD90" i="9" s="1"/>
  <c r="AI97" i="9"/>
  <c r="AI96" i="9" s="1"/>
  <c r="AI90" i="9" s="1"/>
  <c r="BO28" i="8"/>
  <c r="BO25" i="8" s="1"/>
  <c r="BI12" i="8" s="1"/>
  <c r="AA195" i="8"/>
  <c r="AA193" i="8" s="1"/>
  <c r="AD21" i="9"/>
  <c r="AB20" i="9"/>
  <c r="AB16" i="9" s="1"/>
  <c r="Y47" i="10"/>
  <c r="AH47" i="9"/>
  <c r="AH44" i="9" s="1"/>
  <c r="AH43" i="9" s="1"/>
  <c r="AA44" i="9"/>
  <c r="AA43" i="9" s="1"/>
  <c r="L49" i="9"/>
  <c r="J48" i="9"/>
  <c r="E43" i="13"/>
  <c r="E42" i="12"/>
  <c r="X72" i="12"/>
  <c r="W72" i="13"/>
  <c r="W69" i="12"/>
  <c r="W65" i="12" s="1"/>
  <c r="W63" i="12" s="1"/>
  <c r="M80" i="9"/>
  <c r="G80" i="10"/>
  <c r="G66" i="9"/>
  <c r="I68" i="9"/>
  <c r="AA93" i="9"/>
  <c r="Y91" i="9"/>
  <c r="Y90" i="9" s="1"/>
  <c r="AD151" i="9"/>
  <c r="AB149" i="9"/>
  <c r="AB147" i="9" s="1"/>
  <c r="X159" i="12"/>
  <c r="W159" i="13"/>
  <c r="W157" i="12"/>
  <c r="W155" i="12" s="1"/>
  <c r="W145" i="12" s="1"/>
  <c r="L43" i="10"/>
  <c r="J42" i="10"/>
  <c r="AJ8" i="7"/>
  <c r="U1" i="7"/>
  <c r="AQ9" i="8"/>
  <c r="AZ9" i="8" s="1"/>
  <c r="AQ24" i="9"/>
  <c r="Y1" i="7"/>
  <c r="BN14" i="9"/>
  <c r="BH9" i="9" s="1"/>
  <c r="BN26" i="12"/>
  <c r="AA143" i="10"/>
  <c r="Y141" i="10"/>
  <c r="N128" i="8"/>
  <c r="F54" i="11"/>
  <c r="AE232" i="8"/>
  <c r="D28" i="10"/>
  <c r="D21" i="10" s="1"/>
  <c r="D19" i="10" s="1"/>
  <c r="D17" i="10" s="1"/>
  <c r="D8" i="10" s="1"/>
  <c r="BC10" i="9"/>
  <c r="BC9" i="9" s="1"/>
  <c r="BC8" i="9" s="1"/>
  <c r="BC22" i="9" s="1"/>
  <c r="V110" i="10"/>
  <c r="X93" i="13"/>
  <c r="W93" i="14"/>
  <c r="W91" i="13"/>
  <c r="W90" i="13" s="1"/>
  <c r="AA52" i="10"/>
  <c r="Y49" i="10"/>
  <c r="M73" i="12"/>
  <c r="F72" i="12"/>
  <c r="AJ71" i="11"/>
  <c r="E55" i="14"/>
  <c r="E54" i="13"/>
  <c r="V223" i="14"/>
  <c r="X223" i="13"/>
  <c r="V222" i="13"/>
  <c r="D55" i="13"/>
  <c r="F55" i="12"/>
  <c r="W211" i="13"/>
  <c r="W210" i="13" s="1"/>
  <c r="W209" i="13" s="1"/>
  <c r="X215" i="13"/>
  <c r="W215" i="14"/>
  <c r="AD173" i="13"/>
  <c r="W83" i="13"/>
  <c r="W86" i="14"/>
  <c r="X86" i="13"/>
  <c r="W197" i="13"/>
  <c r="W196" i="13" s="1"/>
  <c r="W195" i="13" s="1"/>
  <c r="W198" i="14"/>
  <c r="X198" i="13"/>
  <c r="AI143" i="12"/>
  <c r="AI115" i="12"/>
  <c r="W223" i="14"/>
  <c r="W222" i="13"/>
  <c r="AI93" i="12"/>
  <c r="X222" i="12"/>
  <c r="W141" i="13"/>
  <c r="X143" i="13"/>
  <c r="W143" i="14"/>
  <c r="W238" i="14"/>
  <c r="W235" i="13"/>
  <c r="W234" i="13" s="1"/>
  <c r="F51" i="11"/>
  <c r="AI197" i="10"/>
  <c r="AJ149" i="10"/>
  <c r="AJ147" i="10" s="1"/>
  <c r="F73" i="13"/>
  <c r="D73" i="14"/>
  <c r="D72" i="13"/>
  <c r="V71" i="13"/>
  <c r="V69" i="13" s="1"/>
  <c r="V65" i="13" s="1"/>
  <c r="X71" i="12"/>
  <c r="X69" i="12" s="1"/>
  <c r="X65" i="12" s="1"/>
  <c r="AI215" i="12"/>
  <c r="D60" i="13"/>
  <c r="D61" i="14"/>
  <c r="E49" i="14"/>
  <c r="E48" i="13"/>
  <c r="W176" i="13"/>
  <c r="W170" i="13" s="1"/>
  <c r="W177" i="14"/>
  <c r="F60" i="12"/>
  <c r="M61" i="12"/>
  <c r="I50" i="10"/>
  <c r="G48" i="10"/>
  <c r="X115" i="13"/>
  <c r="W115" i="14"/>
  <c r="W114" i="13"/>
  <c r="BP14" i="8"/>
  <c r="BJ9" i="8" s="1"/>
  <c r="AD258" i="7"/>
  <c r="BP33" i="7" s="1"/>
  <c r="AA188" i="10"/>
  <c r="Y187" i="10"/>
  <c r="Y185" i="10" s="1"/>
  <c r="AB143" i="14"/>
  <c r="E73" i="14"/>
  <c r="E72" i="13"/>
  <c r="AH86" i="12"/>
  <c r="AI86" i="12"/>
  <c r="E79" i="14"/>
  <c r="E78" i="13"/>
  <c r="AE173" i="11"/>
  <c r="AG172" i="10"/>
  <c r="AJ173" i="10"/>
  <c r="AJ172" i="10" s="1"/>
  <c r="W193" i="12"/>
  <c r="AA223" i="10"/>
  <c r="Y222" i="10"/>
  <c r="W8" i="10"/>
  <c r="W43" i="11"/>
  <c r="V196" i="11"/>
  <c r="V195" i="11" s="1"/>
  <c r="V193" i="11" s="1"/>
  <c r="AQ25" i="9"/>
  <c r="BN13" i="9"/>
  <c r="X14" i="9"/>
  <c r="N78" i="11"/>
  <c r="N23" i="10"/>
  <c r="BC12" i="10"/>
  <c r="D57" i="12"/>
  <c r="D59" i="13"/>
  <c r="AQ29" i="10"/>
  <c r="BN27" i="10"/>
  <c r="AH21" i="11"/>
  <c r="AJ21" i="11"/>
  <c r="X20" i="11"/>
  <c r="X16" i="11" s="1"/>
  <c r="AQ23" i="11" s="1"/>
  <c r="AJ50" i="15"/>
  <c r="AH50" i="15"/>
  <c r="F52" i="12"/>
  <c r="N52" i="12" s="1"/>
  <c r="D52" i="13"/>
  <c r="D51" i="12"/>
  <c r="W14" i="11"/>
  <c r="W12" i="11" s="1"/>
  <c r="W10" i="11" s="1"/>
  <c r="X195" i="9"/>
  <c r="BN28" i="9"/>
  <c r="BN25" i="9" s="1"/>
  <c r="BH12" i="9" s="1"/>
  <c r="V206" i="13"/>
  <c r="V205" i="12"/>
  <c r="X206" i="12"/>
  <c r="V145" i="11"/>
  <c r="V51" i="13"/>
  <c r="X51" i="12"/>
  <c r="V49" i="12"/>
  <c r="AJ97" i="11"/>
  <c r="AH97" i="11"/>
  <c r="X96" i="11"/>
  <c r="AJ151" i="11"/>
  <c r="AH151" i="11"/>
  <c r="X149" i="11"/>
  <c r="X147" i="11" s="1"/>
  <c r="F46" i="12"/>
  <c r="D46" i="13"/>
  <c r="D45" i="12"/>
  <c r="D71" i="13"/>
  <c r="F71" i="13" s="1"/>
  <c r="D69" i="12"/>
  <c r="AJ39" i="11"/>
  <c r="X35" i="11"/>
  <c r="AH39" i="11"/>
  <c r="V63" i="10"/>
  <c r="V12" i="10" s="1"/>
  <c r="AJ118" i="10"/>
  <c r="AH118" i="10"/>
  <c r="X114" i="10"/>
  <c r="AI118" i="10"/>
  <c r="AI114" i="10" s="1"/>
  <c r="AE90" i="8"/>
  <c r="AE63" i="8" s="1"/>
  <c r="AE12" i="8" s="1"/>
  <c r="AE10" i="8" s="1"/>
  <c r="V178" i="15"/>
  <c r="X178" i="14"/>
  <c r="X44" i="10"/>
  <c r="X43" i="10" s="1"/>
  <c r="X14" i="10" s="1"/>
  <c r="AJ46" i="10"/>
  <c r="AJ44" i="10" s="1"/>
  <c r="AH46" i="10"/>
  <c r="I76" i="13"/>
  <c r="G75" i="13"/>
  <c r="F43" i="12"/>
  <c r="D43" i="13"/>
  <c r="D42" i="12"/>
  <c r="D23" i="12"/>
  <c r="D22" i="12" s="1"/>
  <c r="F23" i="11"/>
  <c r="F22" i="11" s="1"/>
  <c r="AQ7" i="11" s="1"/>
  <c r="BC13" i="10"/>
  <c r="F29" i="10"/>
  <c r="F49" i="13"/>
  <c r="D48" i="13"/>
  <c r="D49" i="14"/>
  <c r="AH92" i="11"/>
  <c r="AJ92" i="11"/>
  <c r="X91" i="11"/>
  <c r="X50" i="16"/>
  <c r="W21" i="13"/>
  <c r="W20" i="12"/>
  <c r="W16" i="12" s="1"/>
  <c r="D64" i="12"/>
  <c r="D63" i="11"/>
  <c r="F64" i="11"/>
  <c r="D76" i="12"/>
  <c r="D75" i="11"/>
  <c r="F76" i="11"/>
  <c r="AG116" i="9"/>
  <c r="AE114" i="9"/>
  <c r="AG87" i="9"/>
  <c r="AE83" i="9"/>
  <c r="AH158" i="11"/>
  <c r="AI158" i="11"/>
  <c r="X157" i="11"/>
  <c r="X155" i="11" s="1"/>
  <c r="BN17" i="11" s="1"/>
  <c r="AJ158" i="11"/>
  <c r="V151" i="13"/>
  <c r="X151" i="12"/>
  <c r="V149" i="12"/>
  <c r="V147" i="12" s="1"/>
  <c r="BC15" i="11"/>
  <c r="N46" i="11"/>
  <c r="V85" i="12"/>
  <c r="X85" i="11"/>
  <c r="V83" i="11"/>
  <c r="AU10" i="10"/>
  <c r="AV10" i="10"/>
  <c r="F35" i="10"/>
  <c r="AE99" i="9"/>
  <c r="AJ99" i="8"/>
  <c r="AJ96" i="8" s="1"/>
  <c r="AG96" i="8"/>
  <c r="V142" i="13"/>
  <c r="V141" i="12"/>
  <c r="X142" i="12"/>
  <c r="AG189" i="9"/>
  <c r="AE187" i="9"/>
  <c r="AE185" i="9" s="1"/>
  <c r="D30" i="12"/>
  <c r="F30" i="11"/>
  <c r="D29" i="11"/>
  <c r="V90" i="11"/>
  <c r="V21" i="13"/>
  <c r="X21" i="12"/>
  <c r="V20" i="12"/>
  <c r="V16" i="12" s="1"/>
  <c r="AG160" i="9"/>
  <c r="AE157" i="9"/>
  <c r="AE155" i="9" s="1"/>
  <c r="AE145" i="9" s="1"/>
  <c r="AQ9" i="9"/>
  <c r="AQ14" i="7"/>
  <c r="F17" i="7"/>
  <c r="N76" i="10"/>
  <c r="M76" i="10"/>
  <c r="M75" i="10" s="1"/>
  <c r="F75" i="10"/>
  <c r="X205" i="11"/>
  <c r="AH206" i="11"/>
  <c r="AH205" i="11" s="1"/>
  <c r="V158" i="13"/>
  <c r="X158" i="12"/>
  <c r="V157" i="12"/>
  <c r="V155" i="12" s="1"/>
  <c r="AH201" i="11"/>
  <c r="AI201" i="11"/>
  <c r="X197" i="11"/>
  <c r="AJ201" i="11"/>
  <c r="V97" i="13"/>
  <c r="X97" i="12"/>
  <c r="V96" i="12"/>
  <c r="D12" i="12"/>
  <c r="F12" i="11"/>
  <c r="F10" i="11" s="1"/>
  <c r="AQ16" i="11" s="1"/>
  <c r="D10" i="11"/>
  <c r="W46" i="13"/>
  <c r="W44" i="12"/>
  <c r="AH214" i="11"/>
  <c r="AI214" i="11"/>
  <c r="X211" i="11"/>
  <c r="X210" i="11" s="1"/>
  <c r="X209" i="11" s="1"/>
  <c r="AJ214" i="11"/>
  <c r="V39" i="13"/>
  <c r="X39" i="12"/>
  <c r="V35" i="12"/>
  <c r="AE126" i="9"/>
  <c r="AJ126" i="8"/>
  <c r="AJ123" i="8" s="1"/>
  <c r="AJ112" i="8" s="1"/>
  <c r="AJ110" i="8" s="1"/>
  <c r="AG123" i="8"/>
  <c r="AG112" i="8" s="1"/>
  <c r="AG110" i="8" s="1"/>
  <c r="AS26" i="8" s="1"/>
  <c r="AX26" i="8" s="1"/>
  <c r="AZ26" i="8" s="1"/>
  <c r="V118" i="12"/>
  <c r="X118" i="11"/>
  <c r="V114" i="11"/>
  <c r="V112" i="11" s="1"/>
  <c r="D36" i="12"/>
  <c r="F36" i="11"/>
  <c r="D35" i="11"/>
  <c r="N79" i="11"/>
  <c r="M79" i="11"/>
  <c r="V46" i="12"/>
  <c r="V44" i="11"/>
  <c r="V43" i="11" s="1"/>
  <c r="V14" i="11" s="1"/>
  <c r="X46" i="11"/>
  <c r="AE94" i="9"/>
  <c r="AJ94" i="8"/>
  <c r="AJ91" i="8" s="1"/>
  <c r="AG91" i="8"/>
  <c r="F42" i="11"/>
  <c r="AQ10" i="11" s="1"/>
  <c r="BC16" i="11"/>
  <c r="M43" i="11"/>
  <c r="X196" i="10"/>
  <c r="X150" i="16"/>
  <c r="AJ150" i="16" s="1"/>
  <c r="F74" i="16"/>
  <c r="W51" i="13"/>
  <c r="W49" i="12"/>
  <c r="F48" i="12"/>
  <c r="M49" i="12"/>
  <c r="I64" i="15"/>
  <c r="G63" i="15"/>
  <c r="V92" i="13"/>
  <c r="X92" i="12"/>
  <c r="V91" i="12"/>
  <c r="AG106" i="9"/>
  <c r="AE105" i="9"/>
  <c r="AE104" i="9" s="1"/>
  <c r="BN16" i="9"/>
  <c r="BN15" i="9" s="1"/>
  <c r="BH10" i="9" s="1"/>
  <c r="X112" i="9"/>
  <c r="X110" i="9" s="1"/>
  <c r="AQ26" i="9" s="1"/>
  <c r="W39" i="13"/>
  <c r="W35" i="12"/>
  <c r="AV29" i="9"/>
  <c r="AU29" i="9"/>
  <c r="BN8" i="8"/>
  <c r="BN7" i="8" s="1"/>
  <c r="BN32" i="8" s="1"/>
  <c r="BC14" i="10"/>
  <c r="M64" i="10"/>
  <c r="M63" i="10" s="1"/>
  <c r="N64" i="10"/>
  <c r="F63" i="10"/>
  <c r="AZ9" i="7"/>
  <c r="AV9" i="7"/>
  <c r="AY9" i="7"/>
  <c r="AU9" i="7"/>
  <c r="AJ51" i="11"/>
  <c r="AI51" i="11"/>
  <c r="AH51" i="11"/>
  <c r="X49" i="11"/>
  <c r="V201" i="13"/>
  <c r="X201" i="12"/>
  <c r="V197" i="12"/>
  <c r="D83" i="14"/>
  <c r="D81" i="13"/>
  <c r="V214" i="13"/>
  <c r="X214" i="12"/>
  <c r="V211" i="12"/>
  <c r="V210" i="12" s="1"/>
  <c r="V209" i="12" s="1"/>
  <c r="AJ85" i="10"/>
  <c r="AI85" i="10"/>
  <c r="X83" i="10"/>
  <c r="AV24" i="8"/>
  <c r="AZ24" i="8"/>
  <c r="D78" i="12"/>
  <c r="F78" i="12" s="1"/>
  <c r="D79" i="13"/>
  <c r="F79" i="12"/>
  <c r="AH178" i="13"/>
  <c r="AI178" i="13"/>
  <c r="AJ142" i="11"/>
  <c r="AI142" i="11"/>
  <c r="AI141" i="11" s="1"/>
  <c r="AH142" i="11"/>
  <c r="X141" i="11"/>
  <c r="BN20" i="11" s="1"/>
  <c r="X213" i="16"/>
  <c r="AI213" i="16" s="1"/>
  <c r="I70" i="14"/>
  <c r="G69" i="14"/>
  <c r="AE178" i="9"/>
  <c r="AJ178" i="8"/>
  <c r="AJ176" i="8" s="1"/>
  <c r="AJ170" i="8" s="1"/>
  <c r="AG176" i="8"/>
  <c r="AG170" i="8" s="1"/>
  <c r="AS27" i="8" s="1"/>
  <c r="AV27" i="8" s="1"/>
  <c r="AJ234" i="8"/>
  <c r="AS29" i="8"/>
  <c r="AX29" i="8" s="1"/>
  <c r="AZ29" i="8" s="1"/>
  <c r="I55" i="9"/>
  <c r="G54" i="9"/>
  <c r="V244" i="12"/>
  <c r="X244" i="11"/>
  <c r="V243" i="11"/>
  <c r="V232" i="11" s="1"/>
  <c r="AS28" i="8"/>
  <c r="AX28" i="8" s="1"/>
  <c r="AZ28" i="8" s="1"/>
  <c r="AG193" i="8"/>
  <c r="AJ244" i="8"/>
  <c r="AJ243" i="8" s="1"/>
  <c r="AG243" i="8"/>
  <c r="AG232" i="8" s="1"/>
  <c r="AE244" i="9"/>
  <c r="AB244" i="9"/>
  <c r="AD243" i="8"/>
  <c r="AD232" i="8" s="1"/>
  <c r="AI244" i="8"/>
  <c r="AI243" i="8" s="1"/>
  <c r="AI232" i="8" s="1"/>
  <c r="BP32" i="7"/>
  <c r="AQ30" i="9"/>
  <c r="BN29" i="9"/>
  <c r="BH13" i="9" s="1"/>
  <c r="W243" i="11"/>
  <c r="W232" i="11" s="1"/>
  <c r="W244" i="12"/>
  <c r="Y244" i="9"/>
  <c r="AA243" i="8"/>
  <c r="AA232" i="8" s="1"/>
  <c r="BO29" i="8" s="1"/>
  <c r="BI13" i="8" s="1"/>
  <c r="AH244" i="8"/>
  <c r="AH243" i="8" s="1"/>
  <c r="AH232" i="8" s="1"/>
  <c r="AS30" i="7"/>
  <c r="X243" i="10"/>
  <c r="X232" i="10" s="1"/>
  <c r="T33" i="14"/>
  <c r="AA230" i="16"/>
  <c r="I71" i="16"/>
  <c r="I83" i="16"/>
  <c r="I81" i="16" s="1"/>
  <c r="G81" i="16"/>
  <c r="I65" i="16"/>
  <c r="I59" i="16"/>
  <c r="I57" i="16" s="1"/>
  <c r="G57" i="16"/>
  <c r="I32" i="16"/>
  <c r="AA51" i="15"/>
  <c r="AH199" i="16"/>
  <c r="AI199" i="16"/>
  <c r="AH87" i="16"/>
  <c r="AI87" i="16"/>
  <c r="AI79" i="15"/>
  <c r="AB79" i="16"/>
  <c r="AD79" i="16" s="1"/>
  <c r="AI79" i="16" s="1"/>
  <c r="AH94" i="16"/>
  <c r="AI94" i="16"/>
  <c r="AI106" i="16"/>
  <c r="AH106" i="16"/>
  <c r="X105" i="16"/>
  <c r="X104" i="16" s="1"/>
  <c r="AH116" i="16"/>
  <c r="AI116" i="16"/>
  <c r="AD59" i="15"/>
  <c r="AB58" i="15"/>
  <c r="AB57" i="15" s="1"/>
  <c r="AI60" i="16"/>
  <c r="AH60" i="16"/>
  <c r="AH48" i="16"/>
  <c r="AJ48" i="16"/>
  <c r="AI48" i="16"/>
  <c r="AA95" i="13"/>
  <c r="AJ75" i="16"/>
  <c r="AH75" i="16"/>
  <c r="AA150" i="13"/>
  <c r="AD117" i="11"/>
  <c r="AB114" i="11"/>
  <c r="Y246" i="14"/>
  <c r="AH246" i="13"/>
  <c r="AE129" i="15"/>
  <c r="AG129" i="15" s="1"/>
  <c r="AJ129" i="14"/>
  <c r="AG86" i="11"/>
  <c r="AI66" i="15"/>
  <c r="AR22" i="15"/>
  <c r="BP10" i="15"/>
  <c r="AB66" i="16"/>
  <c r="AD66" i="16" s="1"/>
  <c r="AG98" i="11"/>
  <c r="AD198" i="11"/>
  <c r="AB197" i="11"/>
  <c r="Y107" i="14"/>
  <c r="AA105" i="13"/>
  <c r="AA104" i="13" s="1"/>
  <c r="AH107" i="13"/>
  <c r="AH105" i="13" s="1"/>
  <c r="AH104" i="13" s="1"/>
  <c r="AD223" i="11"/>
  <c r="AB222" i="11"/>
  <c r="AG115" i="11"/>
  <c r="AB188" i="12"/>
  <c r="AD187" i="11"/>
  <c r="AD185" i="11" s="1"/>
  <c r="AD112" i="10"/>
  <c r="AA46" i="15"/>
  <c r="L30" i="11"/>
  <c r="J29" i="11"/>
  <c r="AA100" i="13"/>
  <c r="AD150" i="11"/>
  <c r="L62" i="11"/>
  <c r="AD98" i="16"/>
  <c r="AG152" i="11"/>
  <c r="AE149" i="11"/>
  <c r="AE147" i="11" s="1"/>
  <c r="AE93" i="12"/>
  <c r="AJ93" i="11"/>
  <c r="Y173" i="14"/>
  <c r="AA172" i="13"/>
  <c r="AH173" i="13"/>
  <c r="L44" i="11"/>
  <c r="AA200" i="13"/>
  <c r="L36" i="11"/>
  <c r="J35" i="11"/>
  <c r="AJ75" i="15"/>
  <c r="AH75" i="15"/>
  <c r="AB229" i="12"/>
  <c r="AI229" i="11"/>
  <c r="Y179" i="14"/>
  <c r="AH179" i="13"/>
  <c r="AI37" i="16"/>
  <c r="AJ37" i="16"/>
  <c r="AD92" i="11"/>
  <c r="AB91" i="11"/>
  <c r="AD238" i="11"/>
  <c r="AB235" i="11"/>
  <c r="AB234" i="11" s="1"/>
  <c r="AI220" i="10"/>
  <c r="AD100" i="11"/>
  <c r="AB127" i="12"/>
  <c r="AI127" i="11"/>
  <c r="L56" i="11"/>
  <c r="L68" i="11"/>
  <c r="AA190" i="13"/>
  <c r="AH23" i="16"/>
  <c r="AI23" i="16"/>
  <c r="AA225" i="13"/>
  <c r="AD22" i="11"/>
  <c r="Y213" i="14"/>
  <c r="AH213" i="13"/>
  <c r="AG47" i="11"/>
  <c r="AE44" i="11"/>
  <c r="Y117" i="14"/>
  <c r="AH117" i="13"/>
  <c r="AG59" i="11"/>
  <c r="AE58" i="11"/>
  <c r="AE57" i="11" s="1"/>
  <c r="J80" i="12"/>
  <c r="N80" i="11"/>
  <c r="J74" i="12"/>
  <c r="N74" i="11"/>
  <c r="AE26" i="15"/>
  <c r="AG26" i="15" s="1"/>
  <c r="AJ26" i="14"/>
  <c r="AE36" i="12"/>
  <c r="AJ36" i="11"/>
  <c r="AG35" i="11"/>
  <c r="J50" i="12"/>
  <c r="N50" i="11"/>
  <c r="AI236" i="16"/>
  <c r="AH8" i="7"/>
  <c r="AJ14" i="8"/>
  <c r="AH14" i="8"/>
  <c r="AH63" i="8"/>
  <c r="BO14" i="8"/>
  <c r="BI9" i="8" s="1"/>
  <c r="G21" i="8"/>
  <c r="G19" i="8" s="1"/>
  <c r="G17" i="8" s="1"/>
  <c r="AA63" i="8"/>
  <c r="AG241" i="9"/>
  <c r="AE235" i="9"/>
  <c r="AE234" i="9" s="1"/>
  <c r="AA61" i="10"/>
  <c r="AG174" i="14"/>
  <c r="AG212" i="9"/>
  <c r="AE211" i="9"/>
  <c r="AE210" i="9" s="1"/>
  <c r="AE209" i="9" s="1"/>
  <c r="AG202" i="9"/>
  <c r="AE197" i="9"/>
  <c r="AE196" i="9" s="1"/>
  <c r="AE195" i="9" s="1"/>
  <c r="AA85" i="9"/>
  <c r="Y83" i="9"/>
  <c r="AA37" i="9"/>
  <c r="Y35" i="9"/>
  <c r="V170" i="12"/>
  <c r="Y70" i="15"/>
  <c r="AA70" i="15" s="1"/>
  <c r="AH70" i="14"/>
  <c r="AE53" i="15"/>
  <c r="AG53" i="15" s="1"/>
  <c r="AJ53" i="14"/>
  <c r="Y28" i="15"/>
  <c r="AA28" i="15" s="1"/>
  <c r="AH28" i="14"/>
  <c r="AG70" i="9"/>
  <c r="AE69" i="9"/>
  <c r="AE65" i="9" s="1"/>
  <c r="AD39" i="9"/>
  <c r="AB35" i="9"/>
  <c r="AA71" i="9"/>
  <c r="Y69" i="9"/>
  <c r="Y65" i="9" s="1"/>
  <c r="AJ133" i="11"/>
  <c r="AI133" i="11"/>
  <c r="AG14" i="8"/>
  <c r="AS23" i="8"/>
  <c r="AA27" i="9"/>
  <c r="Y20" i="9"/>
  <c r="Y16" i="9" s="1"/>
  <c r="AR27" i="8"/>
  <c r="BP24" i="8"/>
  <c r="BP22" i="8" s="1"/>
  <c r="BJ11" i="8" s="1"/>
  <c r="BP17" i="8"/>
  <c r="BP15" i="8" s="1"/>
  <c r="BJ10" i="8" s="1"/>
  <c r="AD145" i="8"/>
  <c r="AD110" i="8" s="1"/>
  <c r="AR26" i="8" s="1"/>
  <c r="AW26" i="8" s="1"/>
  <c r="AY26" i="8" s="1"/>
  <c r="AG52" i="9"/>
  <c r="AE49" i="9"/>
  <c r="AE43" i="9" s="1"/>
  <c r="AG23" i="9"/>
  <c r="AE20" i="9"/>
  <c r="AE16" i="9" s="1"/>
  <c r="AD180" i="9"/>
  <c r="AB176" i="9"/>
  <c r="AB170" i="9" s="1"/>
  <c r="W133" i="13"/>
  <c r="W123" i="12"/>
  <c r="W112" i="12" s="1"/>
  <c r="X133" i="12"/>
  <c r="X123" i="12" s="1"/>
  <c r="AD167" i="9"/>
  <c r="AB157" i="9"/>
  <c r="AB155" i="9" s="1"/>
  <c r="AB145" i="9" s="1"/>
  <c r="AB110" i="9" s="1"/>
  <c r="AA14" i="8"/>
  <c r="BO12" i="8"/>
  <c r="BO9" i="8" s="1"/>
  <c r="L115" i="13"/>
  <c r="J113" i="13"/>
  <c r="BI8" i="7"/>
  <c r="BI7" i="7" s="1"/>
  <c r="BI16" i="7" s="1"/>
  <c r="BO8" i="7"/>
  <c r="BO7" i="7" s="1"/>
  <c r="BO32" i="7" s="1"/>
  <c r="BD20" i="12"/>
  <c r="G115" i="13"/>
  <c r="I113" i="12"/>
  <c r="AR15" i="12" s="1"/>
  <c r="AW15" i="12" s="1"/>
  <c r="M115" i="12"/>
  <c r="M113" i="12" s="1"/>
  <c r="AR16" i="8"/>
  <c r="AW16" i="8" s="1"/>
  <c r="AY16" i="8" s="1"/>
  <c r="AS16" i="8"/>
  <c r="AX16" i="8" s="1"/>
  <c r="M8" i="7"/>
  <c r="I105" i="12"/>
  <c r="BD19" i="12" s="1"/>
  <c r="G104" i="12"/>
  <c r="V228" i="14"/>
  <c r="V227" i="13"/>
  <c r="X228" i="13"/>
  <c r="L86" i="12"/>
  <c r="J85" i="12"/>
  <c r="I95" i="12"/>
  <c r="BD18" i="12" s="1"/>
  <c r="G94" i="12"/>
  <c r="V73" i="14"/>
  <c r="X73" i="13"/>
  <c r="BN23" i="12"/>
  <c r="AJ177" i="12"/>
  <c r="AI177" i="12"/>
  <c r="X176" i="12"/>
  <c r="AJ162" i="14"/>
  <c r="AE162" i="15"/>
  <c r="AG162" i="15" s="1"/>
  <c r="AD216" i="10"/>
  <c r="AB211" i="10"/>
  <c r="AB210" i="10" s="1"/>
  <c r="AB209" i="10" s="1"/>
  <c r="L24" i="20"/>
  <c r="BE22" i="11"/>
  <c r="Y161" i="15"/>
  <c r="AA161" i="15" s="1"/>
  <c r="AH161" i="14"/>
  <c r="AW24" i="8"/>
  <c r="AY24" i="8" s="1"/>
  <c r="AU24" i="8"/>
  <c r="AJ135" i="12"/>
  <c r="AI135" i="12"/>
  <c r="AH135" i="12"/>
  <c r="X172" i="12"/>
  <c r="AH174" i="12"/>
  <c r="AH172" i="12" s="1"/>
  <c r="AJ174" i="12"/>
  <c r="BN31" i="12"/>
  <c r="BH15" i="12" s="1"/>
  <c r="V177" i="14"/>
  <c r="V176" i="13"/>
  <c r="X177" i="13"/>
  <c r="J12" i="12"/>
  <c r="L12" i="12" s="1"/>
  <c r="N12" i="11"/>
  <c r="V237" i="14"/>
  <c r="V235" i="13"/>
  <c r="V234" i="13" s="1"/>
  <c r="X237" i="13"/>
  <c r="BN24" i="10"/>
  <c r="AQ27" i="10"/>
  <c r="X187" i="12"/>
  <c r="X185" i="12" s="1"/>
  <c r="AI207" i="16"/>
  <c r="AH207" i="16"/>
  <c r="AD75" i="10"/>
  <c r="V135" i="14"/>
  <c r="X135" i="13"/>
  <c r="V123" i="13"/>
  <c r="AH228" i="12"/>
  <c r="X227" i="12"/>
  <c r="L105" i="12"/>
  <c r="J104" i="12"/>
  <c r="AH73" i="12"/>
  <c r="AI73" i="12"/>
  <c r="AJ73" i="12"/>
  <c r="G41" i="12"/>
  <c r="I41" i="12" s="1"/>
  <c r="BN9" i="10"/>
  <c r="AG124" i="10"/>
  <c r="AH238" i="12"/>
  <c r="AG161" i="10"/>
  <c r="V174" i="14"/>
  <c r="V172" i="13"/>
  <c r="X174" i="13"/>
  <c r="X170" i="11"/>
  <c r="J95" i="13"/>
  <c r="L94" i="12"/>
  <c r="N95" i="12"/>
  <c r="N94" i="12" s="1"/>
  <c r="AI237" i="12"/>
  <c r="X235" i="12"/>
  <c r="X234" i="12" s="1"/>
  <c r="AG80" i="10"/>
  <c r="V238" i="14"/>
  <c r="X238" i="13"/>
  <c r="AJ238" i="13" s="1"/>
  <c r="V188" i="14"/>
  <c r="V187" i="13"/>
  <c r="V185" i="13" s="1"/>
  <c r="X188" i="13"/>
  <c r="AW29" i="9"/>
  <c r="AY29" i="9" s="1"/>
  <c r="BP27" i="9"/>
  <c r="BE21" i="12"/>
  <c r="B24" i="13"/>
  <c r="P128" i="12"/>
  <c r="P126" i="12" s="1"/>
  <c r="P130" i="12" s="1"/>
  <c r="C128" i="12"/>
  <c r="H128" i="12"/>
  <c r="H126" i="12" s="1"/>
  <c r="H130" i="12" s="1"/>
  <c r="Q128" i="12"/>
  <c r="Q126" i="12" s="1"/>
  <c r="Q130" i="12" s="1"/>
  <c r="K128" i="12"/>
  <c r="K126" i="12" s="1"/>
  <c r="K130" i="12" s="1"/>
  <c r="G24" i="9"/>
  <c r="BD21" i="8"/>
  <c r="M24" i="8"/>
  <c r="M22" i="8" s="1"/>
  <c r="I22" i="8"/>
  <c r="AR7" i="8" s="1"/>
  <c r="AU7" i="8" s="1"/>
  <c r="AW7" i="8"/>
  <c r="AY7" i="8" s="1"/>
  <c r="N21" i="8"/>
  <c r="N19" i="8" s="1"/>
  <c r="N17" i="8" s="1"/>
  <c r="N8" i="8" s="1"/>
  <c r="L21" i="8"/>
  <c r="L19" i="8" s="1"/>
  <c r="AS14" i="8" s="1"/>
  <c r="L27" i="9"/>
  <c r="J25" i="9"/>
  <c r="I126" i="6"/>
  <c r="I130" i="6" s="1"/>
  <c r="K1" i="6"/>
  <c r="J5" i="6"/>
  <c r="I17" i="7"/>
  <c r="AA258" i="7" s="1"/>
  <c r="AR14" i="7"/>
  <c r="G27" i="9"/>
  <c r="I25" i="8"/>
  <c r="AW8" i="8"/>
  <c r="AY8" i="8" s="1"/>
  <c r="M27" i="8"/>
  <c r="M25" i="8" s="1"/>
  <c r="I128" i="8"/>
  <c r="G88" i="13"/>
  <c r="M88" i="12"/>
  <c r="M85" i="12" s="1"/>
  <c r="I85" i="12"/>
  <c r="AW11" i="12"/>
  <c r="AY11" i="12" s="1"/>
  <c r="AR11" i="12"/>
  <c r="AU11" i="12" s="1"/>
  <c r="E37" i="16"/>
  <c r="E35" i="16" s="1"/>
  <c r="E35" i="15"/>
  <c r="J37" i="13"/>
  <c r="L31" i="13"/>
  <c r="M71" i="12"/>
  <c r="M69" i="12" s="1"/>
  <c r="F69" i="12"/>
  <c r="J26" i="11"/>
  <c r="N26" i="10"/>
  <c r="F57" i="12"/>
  <c r="M59" i="12"/>
  <c r="M57" i="12" s="1"/>
  <c r="D68" i="14"/>
  <c r="D66" i="13"/>
  <c r="F68" i="13"/>
  <c r="N37" i="12"/>
  <c r="F54" i="12"/>
  <c r="E77" i="14"/>
  <c r="E75" i="13"/>
  <c r="F77" i="13"/>
  <c r="M31" i="12"/>
  <c r="N31" i="12"/>
  <c r="E53" i="14"/>
  <c r="E51" i="13"/>
  <c r="F53" i="13"/>
  <c r="E47" i="14"/>
  <c r="E45" i="13"/>
  <c r="F47" i="13"/>
  <c r="J53" i="11"/>
  <c r="L51" i="10"/>
  <c r="N53" i="10"/>
  <c r="N51" i="10" s="1"/>
  <c r="J83" i="11"/>
  <c r="L81" i="10"/>
  <c r="N83" i="10"/>
  <c r="N81" i="10" s="1"/>
  <c r="F81" i="12"/>
  <c r="M83" i="12"/>
  <c r="M81" i="12" s="1"/>
  <c r="G37" i="11"/>
  <c r="M37" i="10"/>
  <c r="BC11" i="12"/>
  <c r="M26" i="12"/>
  <c r="M13" i="12"/>
  <c r="J77" i="11"/>
  <c r="L75" i="10"/>
  <c r="N77" i="10"/>
  <c r="M65" i="12"/>
  <c r="E71" i="14"/>
  <c r="E69" i="13"/>
  <c r="E33" i="15"/>
  <c r="E32" i="14"/>
  <c r="E28" i="14" s="1"/>
  <c r="F33" i="14"/>
  <c r="E59" i="14"/>
  <c r="E57" i="13"/>
  <c r="F59" i="13"/>
  <c r="F66" i="12"/>
  <c r="D37" i="14"/>
  <c r="F37" i="13"/>
  <c r="D56" i="14"/>
  <c r="D54" i="13"/>
  <c r="F56" i="13"/>
  <c r="J47" i="11"/>
  <c r="L45" i="10"/>
  <c r="N47" i="10"/>
  <c r="N45" i="10" s="1"/>
  <c r="G74" i="11"/>
  <c r="I72" i="10"/>
  <c r="M74" i="10"/>
  <c r="M72" i="10" s="1"/>
  <c r="E14" i="14"/>
  <c r="E10" i="13"/>
  <c r="F14" i="13"/>
  <c r="D13" i="14"/>
  <c r="F13" i="13"/>
  <c r="E65" i="14"/>
  <c r="E63" i="13"/>
  <c r="F65" i="13"/>
  <c r="M33" i="13"/>
  <c r="G52" i="11"/>
  <c r="I51" i="10"/>
  <c r="M52" i="10"/>
  <c r="M51" i="10" s="1"/>
  <c r="J33" i="11"/>
  <c r="N33" i="10"/>
  <c r="J59" i="11"/>
  <c r="L57" i="10"/>
  <c r="N59" i="10"/>
  <c r="N57" i="10" s="1"/>
  <c r="M14" i="12"/>
  <c r="N14" i="12"/>
  <c r="M77" i="12"/>
  <c r="G62" i="11"/>
  <c r="I60" i="10"/>
  <c r="M62" i="10"/>
  <c r="M60" i="10" s="1"/>
  <c r="D31" i="14"/>
  <c r="F31" i="13"/>
  <c r="F51" i="12"/>
  <c r="M53" i="12"/>
  <c r="G46" i="11"/>
  <c r="I45" i="10"/>
  <c r="BD15" i="10"/>
  <c r="M46" i="10"/>
  <c r="M45" i="10" s="1"/>
  <c r="M47" i="12"/>
  <c r="J71" i="11"/>
  <c r="L69" i="10"/>
  <c r="N71" i="10"/>
  <c r="N69" i="10" s="1"/>
  <c r="J65" i="11"/>
  <c r="L63" i="10"/>
  <c r="N65" i="10"/>
  <c r="E83" i="14"/>
  <c r="F83" i="13"/>
  <c r="E81" i="13"/>
  <c r="E26" i="14"/>
  <c r="E25" i="13"/>
  <c r="F26" i="13"/>
  <c r="E24" i="13"/>
  <c r="E22" i="12"/>
  <c r="E128" i="12"/>
  <c r="M10" i="8"/>
  <c r="J24" i="10"/>
  <c r="AX7" i="9"/>
  <c r="AZ7" i="9" s="1"/>
  <c r="L22" i="9"/>
  <c r="N24" i="9"/>
  <c r="L13" i="9"/>
  <c r="J10" i="9"/>
  <c r="F128" i="11"/>
  <c r="J14" i="15"/>
  <c r="L14" i="15" s="1"/>
  <c r="D24" i="13"/>
  <c r="F24" i="12"/>
  <c r="BC21" i="12" s="1"/>
  <c r="D128" i="12"/>
  <c r="J15" i="13"/>
  <c r="L15" i="13" s="1"/>
  <c r="N15" i="12"/>
  <c r="AB88" i="10"/>
  <c r="BP31" i="9"/>
  <c r="BJ15" i="9" s="1"/>
  <c r="AI88" i="9"/>
  <c r="AI83" i="9" s="1"/>
  <c r="AD83" i="9"/>
  <c r="Y237" i="10"/>
  <c r="AA235" i="9"/>
  <c r="AH237" i="9"/>
  <c r="AH235" i="9" s="1"/>
  <c r="AH234" i="9" s="1"/>
  <c r="AI245" i="12"/>
  <c r="AH245" i="12"/>
  <c r="AJ245" i="12"/>
  <c r="AH134" i="15"/>
  <c r="AI134" i="15"/>
  <c r="AJ134" i="15"/>
  <c r="I56" i="10"/>
  <c r="X225" i="16"/>
  <c r="V245" i="14"/>
  <c r="X245" i="13"/>
  <c r="X134" i="16"/>
  <c r="AA133" i="10"/>
  <c r="AD50" i="10"/>
  <c r="AB49" i="10"/>
  <c r="AI225" i="15"/>
  <c r="AD107" i="10"/>
  <c r="AB105" i="10"/>
  <c r="AB104" i="10" s="1"/>
  <c r="AG127" i="14"/>
  <c r="AG158" i="14"/>
  <c r="F38" i="14"/>
  <c r="D38" i="15"/>
  <c r="D39" i="16"/>
  <c r="F39" i="16" s="1"/>
  <c r="F39" i="15"/>
  <c r="N38" i="13"/>
  <c r="M38" i="13"/>
  <c r="M39" i="14"/>
  <c r="N39" i="14"/>
  <c r="D40" i="16"/>
  <c r="F40" i="16" s="1"/>
  <c r="F40" i="15"/>
  <c r="M40" i="14"/>
  <c r="N40" i="14"/>
  <c r="AE220" i="10"/>
  <c r="D126" i="7"/>
  <c r="D130" i="7" s="1"/>
  <c r="J126" i="8"/>
  <c r="J130" i="8" s="1"/>
  <c r="F126" i="5"/>
  <c r="F130" i="5" s="1"/>
  <c r="E126" i="7"/>
  <c r="E130" i="7" s="1"/>
  <c r="M41" i="11"/>
  <c r="N41" i="11"/>
  <c r="F41" i="12"/>
  <c r="D41" i="13"/>
  <c r="J41" i="13"/>
  <c r="B12" i="15"/>
  <c r="BD7" i="8"/>
  <c r="I12" i="9"/>
  <c r="G10" i="9"/>
  <c r="AG198" i="10"/>
  <c r="AE201" i="14"/>
  <c r="AG201" i="14" s="1"/>
  <c r="AE255" i="14"/>
  <c r="AG255" i="14" s="1"/>
  <c r="AJ255" i="13"/>
  <c r="AJ224" i="12"/>
  <c r="AE224" i="13"/>
  <c r="AG224" i="13" s="1"/>
  <c r="AJ254" i="13"/>
  <c r="AE254" i="14"/>
  <c r="AG254" i="14" s="1"/>
  <c r="AJ183" i="13"/>
  <c r="AE183" i="14"/>
  <c r="AG183" i="14" s="1"/>
  <c r="AJ236" i="10"/>
  <c r="AE236" i="11"/>
  <c r="AJ229" i="12"/>
  <c r="AE229" i="13"/>
  <c r="AG229" i="13" s="1"/>
  <c r="AE216" i="14"/>
  <c r="AG216" i="14" s="1"/>
  <c r="AJ216" i="13"/>
  <c r="AJ180" i="13"/>
  <c r="AE180" i="14"/>
  <c r="AE205" i="10"/>
  <c r="AG206" i="10"/>
  <c r="AE214" i="14"/>
  <c r="AG214" i="14" s="1"/>
  <c r="AE215" i="14"/>
  <c r="AG215" i="14" s="1"/>
  <c r="AE237" i="13"/>
  <c r="AG237" i="13" s="1"/>
  <c r="AJ237" i="12"/>
  <c r="AE251" i="14"/>
  <c r="AG251" i="14" s="1"/>
  <c r="AJ251" i="13"/>
  <c r="AH53" i="16"/>
  <c r="AJ223" i="10"/>
  <c r="AJ222" i="10" s="1"/>
  <c r="AE223" i="11"/>
  <c r="AG222" i="10"/>
  <c r="AJ228" i="10"/>
  <c r="AJ227" i="10" s="1"/>
  <c r="AE228" i="11"/>
  <c r="AG227" i="10"/>
  <c r="AG181" i="10"/>
  <c r="AJ200" i="13"/>
  <c r="AE200" i="14"/>
  <c r="AG200" i="14" s="1"/>
  <c r="AJ182" i="13"/>
  <c r="AE182" i="14"/>
  <c r="AG182" i="14" s="1"/>
  <c r="AJ239" i="13"/>
  <c r="AE239" i="14"/>
  <c r="AG239" i="14" s="1"/>
  <c r="AS13" i="9"/>
  <c r="AV13" i="9" s="1"/>
  <c r="AX13" i="9"/>
  <c r="AJ217" i="13"/>
  <c r="AE217" i="14"/>
  <c r="AG217" i="14" s="1"/>
  <c r="AE253" i="14"/>
  <c r="AG253" i="14" s="1"/>
  <c r="AJ253" i="13"/>
  <c r="AR13" i="12"/>
  <c r="AU13" i="12" s="1"/>
  <c r="AW13" i="12"/>
  <c r="AY13" i="12" s="1"/>
  <c r="AE225" i="14"/>
  <c r="AG225" i="14" s="1"/>
  <c r="AJ225" i="13"/>
  <c r="AJ203" i="13"/>
  <c r="AE203" i="14"/>
  <c r="AG203" i="14" s="1"/>
  <c r="AJ204" i="13"/>
  <c r="AE204" i="14"/>
  <c r="AG204" i="14" s="1"/>
  <c r="AJ246" i="13"/>
  <c r="AE246" i="14"/>
  <c r="AG246" i="14" s="1"/>
  <c r="AJ240" i="13"/>
  <c r="AE240" i="14"/>
  <c r="AG240" i="14" s="1"/>
  <c r="AE238" i="14"/>
  <c r="AG238" i="14" s="1"/>
  <c r="AJ248" i="13"/>
  <c r="AE248" i="14"/>
  <c r="AG248" i="14" s="1"/>
  <c r="AJ199" i="13"/>
  <c r="AE199" i="14"/>
  <c r="AG199" i="14" s="1"/>
  <c r="AE188" i="11"/>
  <c r="AJ188" i="10"/>
  <c r="AJ250" i="13"/>
  <c r="AE250" i="14"/>
  <c r="AG250" i="14" s="1"/>
  <c r="AE191" i="14"/>
  <c r="AG191" i="14" s="1"/>
  <c r="AJ191" i="13"/>
  <c r="G30" i="10"/>
  <c r="M30" i="9"/>
  <c r="M29" i="9" s="1"/>
  <c r="I29" i="9"/>
  <c r="BD13" i="9"/>
  <c r="AG186" i="10"/>
  <c r="G23" i="10"/>
  <c r="BD12" i="9"/>
  <c r="M23" i="9"/>
  <c r="AJ256" i="13"/>
  <c r="AE256" i="14"/>
  <c r="AG256" i="14" s="1"/>
  <c r="AJ213" i="13"/>
  <c r="AE213" i="14"/>
  <c r="AG213" i="14" s="1"/>
  <c r="AJ252" i="13"/>
  <c r="AE252" i="14"/>
  <c r="AG252" i="14" s="1"/>
  <c r="AE207" i="15"/>
  <c r="AG207" i="15" s="1"/>
  <c r="AJ207" i="14"/>
  <c r="AE190" i="14"/>
  <c r="AG190" i="14" s="1"/>
  <c r="AJ190" i="13"/>
  <c r="E21" i="12" l="1"/>
  <c r="E19" i="12" s="1"/>
  <c r="E17" i="12" s="1"/>
  <c r="E8" i="12" s="1"/>
  <c r="W193" i="13"/>
  <c r="N63" i="10"/>
  <c r="V258" i="9"/>
  <c r="AS17" i="8"/>
  <c r="BC10" i="10"/>
  <c r="BC9" i="10" s="1"/>
  <c r="BC8" i="10" s="1"/>
  <c r="BC22" i="10" s="1"/>
  <c r="AB258" i="8"/>
  <c r="BO15" i="8"/>
  <c r="BI10" i="8" s="1"/>
  <c r="AJ35" i="11"/>
  <c r="AG8" i="7"/>
  <c r="AC1" i="7" s="1"/>
  <c r="X220" i="12"/>
  <c r="BN30" i="12" s="1"/>
  <c r="BH14" i="12" s="1"/>
  <c r="AV9" i="8"/>
  <c r="AX25" i="7"/>
  <c r="AZ25" i="7" s="1"/>
  <c r="AV25" i="7"/>
  <c r="AE8" i="8"/>
  <c r="Y112" i="9"/>
  <c r="AY9" i="8"/>
  <c r="AX30" i="7"/>
  <c r="AZ30" i="7" s="1"/>
  <c r="AV30" i="7"/>
  <c r="AV28" i="8"/>
  <c r="AU28" i="8"/>
  <c r="AW27" i="8"/>
  <c r="AY27" i="8" s="1"/>
  <c r="AU27" i="8"/>
  <c r="Y110" i="9"/>
  <c r="AV26" i="8"/>
  <c r="AU26" i="8"/>
  <c r="AU25" i="8"/>
  <c r="BP8" i="8"/>
  <c r="BP7" i="8" s="1"/>
  <c r="AB14" i="9"/>
  <c r="AB12" i="9" s="1"/>
  <c r="AB10" i="9" s="1"/>
  <c r="AV16" i="8"/>
  <c r="X196" i="11"/>
  <c r="BN28" i="11" s="1"/>
  <c r="AI10" i="8"/>
  <c r="AI258" i="8" s="1"/>
  <c r="X8" i="8"/>
  <c r="X12" i="9"/>
  <c r="X10" i="9" s="1"/>
  <c r="X63" i="10"/>
  <c r="X12" i="10" s="1"/>
  <c r="AW23" i="8"/>
  <c r="AY23" i="8" s="1"/>
  <c r="AU23" i="8"/>
  <c r="AX23" i="8"/>
  <c r="AZ23" i="8" s="1"/>
  <c r="AV23" i="8"/>
  <c r="BO22" i="9"/>
  <c r="BI11" i="9" s="1"/>
  <c r="AB151" i="10"/>
  <c r="AD149" i="9"/>
  <c r="AD147" i="9" s="1"/>
  <c r="BP16" i="9" s="1"/>
  <c r="AI151" i="9"/>
  <c r="AI149" i="9" s="1"/>
  <c r="AI147" i="9" s="1"/>
  <c r="J67" i="11"/>
  <c r="N67" i="10"/>
  <c r="N66" i="10" s="1"/>
  <c r="L66" i="10"/>
  <c r="E61" i="14"/>
  <c r="E60" i="13"/>
  <c r="J34" i="10"/>
  <c r="AX9" i="9"/>
  <c r="AZ9" i="9" s="1"/>
  <c r="L32" i="9"/>
  <c r="L28" i="9" s="1"/>
  <c r="AS9" i="9" s="1"/>
  <c r="AV9" i="9" s="1"/>
  <c r="N34" i="9"/>
  <c r="N32" i="9" s="1"/>
  <c r="N28" i="9" s="1"/>
  <c r="G36" i="10"/>
  <c r="I35" i="9"/>
  <c r="M36" i="9"/>
  <c r="M35" i="9" s="1"/>
  <c r="M28" i="9" s="1"/>
  <c r="AA227" i="10"/>
  <c r="Y229" i="11"/>
  <c r="AH229" i="10"/>
  <c r="AH227" i="10" s="1"/>
  <c r="AB46" i="10"/>
  <c r="AD44" i="9"/>
  <c r="AD43" i="9" s="1"/>
  <c r="AI46" i="9"/>
  <c r="AI44" i="9" s="1"/>
  <c r="AI43" i="9" s="1"/>
  <c r="Y59" i="10"/>
  <c r="AA58" i="9"/>
  <c r="AA57" i="9" s="1"/>
  <c r="AH59" i="9"/>
  <c r="AH58" i="9" s="1"/>
  <c r="AH57" i="9" s="1"/>
  <c r="E67" i="14"/>
  <c r="E66" i="13"/>
  <c r="F67" i="13"/>
  <c r="D27" i="14"/>
  <c r="F27" i="13"/>
  <c r="F25" i="13" s="1"/>
  <c r="AQ8" i="13" s="1"/>
  <c r="D25" i="13"/>
  <c r="AW9" i="9"/>
  <c r="AY9" i="9" s="1"/>
  <c r="W159" i="14"/>
  <c r="W157" i="13"/>
  <c r="W155" i="13" s="1"/>
  <c r="W145" i="13" s="1"/>
  <c r="X159" i="13"/>
  <c r="G78" i="10"/>
  <c r="I78" i="10" s="1"/>
  <c r="M78" i="10" s="1"/>
  <c r="I80" i="10"/>
  <c r="AJ72" i="12"/>
  <c r="AH72" i="12"/>
  <c r="AI72" i="12"/>
  <c r="J49" i="10"/>
  <c r="L48" i="9"/>
  <c r="N49" i="9"/>
  <c r="N48" i="9" s="1"/>
  <c r="AX14" i="9"/>
  <c r="Y115" i="10"/>
  <c r="AA114" i="9"/>
  <c r="BO16" i="9" s="1"/>
  <c r="AH115" i="9"/>
  <c r="AH114" i="9" s="1"/>
  <c r="M34" i="12"/>
  <c r="M32" i="12" s="1"/>
  <c r="F32" i="12"/>
  <c r="AD124" i="11"/>
  <c r="AB123" i="11"/>
  <c r="AB112" i="11" s="1"/>
  <c r="BP28" i="9"/>
  <c r="BP25" i="9" s="1"/>
  <c r="BJ12" i="9" s="1"/>
  <c r="AD195" i="9"/>
  <c r="W227" i="13"/>
  <c r="W220" i="13" s="1"/>
  <c r="W229" i="14"/>
  <c r="X229" i="13"/>
  <c r="Y152" i="12"/>
  <c r="AA149" i="11"/>
  <c r="AA147" i="11" s="1"/>
  <c r="AH152" i="11"/>
  <c r="AH149" i="11" s="1"/>
  <c r="AH147" i="11" s="1"/>
  <c r="AI152" i="13"/>
  <c r="W58" i="14"/>
  <c r="W57" i="14" s="1"/>
  <c r="W59" i="15"/>
  <c r="AI98" i="14"/>
  <c r="W72" i="14"/>
  <c r="W69" i="13"/>
  <c r="W65" i="13" s="1"/>
  <c r="W63" i="13" s="1"/>
  <c r="X72" i="13"/>
  <c r="Y44" i="10"/>
  <c r="Y43" i="10" s="1"/>
  <c r="AA47" i="10"/>
  <c r="V59" i="14"/>
  <c r="X59" i="13"/>
  <c r="V58" i="13"/>
  <c r="V57" i="13" s="1"/>
  <c r="AA215" i="10"/>
  <c r="Y211" i="10"/>
  <c r="Y210" i="10" s="1"/>
  <c r="Y209" i="10" s="1"/>
  <c r="AW22" i="15"/>
  <c r="AY22" i="15" s="1"/>
  <c r="AU22" i="15"/>
  <c r="J21" i="9"/>
  <c r="J19" i="9" s="1"/>
  <c r="J17" i="9" s="1"/>
  <c r="J8" i="9" s="1"/>
  <c r="W110" i="12"/>
  <c r="Y220" i="10"/>
  <c r="AQ14" i="8"/>
  <c r="AY14" i="8" s="1"/>
  <c r="AJ159" i="12"/>
  <c r="AI159" i="12"/>
  <c r="Y93" i="10"/>
  <c r="AA91" i="9"/>
  <c r="AA90" i="9" s="1"/>
  <c r="AH93" i="9"/>
  <c r="AH91" i="9" s="1"/>
  <c r="AH90" i="9" s="1"/>
  <c r="AB21" i="10"/>
  <c r="AD20" i="9"/>
  <c r="AD16" i="9" s="1"/>
  <c r="AI21" i="9"/>
  <c r="AI20" i="9" s="1"/>
  <c r="AI16" i="9" s="1"/>
  <c r="D32" i="13"/>
  <c r="D34" i="14"/>
  <c r="F34" i="13"/>
  <c r="AE143" i="11"/>
  <c r="AG141" i="10"/>
  <c r="AJ143" i="10"/>
  <c r="AJ141" i="10" s="1"/>
  <c r="Y125" i="10"/>
  <c r="AH125" i="9"/>
  <c r="AH123" i="9" s="1"/>
  <c r="AA123" i="9"/>
  <c r="J61" i="10"/>
  <c r="N61" i="9"/>
  <c r="N60" i="9" s="1"/>
  <c r="L60" i="9"/>
  <c r="AD142" i="12"/>
  <c r="AI142" i="12" s="1"/>
  <c r="AI141" i="12" s="1"/>
  <c r="AB141" i="12"/>
  <c r="J55" i="11"/>
  <c r="N55" i="10"/>
  <c r="N54" i="10" s="1"/>
  <c r="L54" i="10"/>
  <c r="M44" i="9"/>
  <c r="M42" i="9" s="1"/>
  <c r="G44" i="10"/>
  <c r="I42" i="9"/>
  <c r="AR10" i="9" s="1"/>
  <c r="AW10" i="9"/>
  <c r="AY10" i="9" s="1"/>
  <c r="AA177" i="10"/>
  <c r="Y176" i="10"/>
  <c r="Y170" i="10" s="1"/>
  <c r="BO26" i="9"/>
  <c r="Y198" i="10"/>
  <c r="AA197" i="9"/>
  <c r="AA196" i="9" s="1"/>
  <c r="AH198" i="9"/>
  <c r="AH197" i="9" s="1"/>
  <c r="AH196" i="9" s="1"/>
  <c r="AH195" i="9" s="1"/>
  <c r="AH193" i="9" s="1"/>
  <c r="AD206" i="10"/>
  <c r="AB205" i="10"/>
  <c r="AB196" i="10" s="1"/>
  <c r="AB195" i="10" s="1"/>
  <c r="AB193" i="10" s="1"/>
  <c r="M67" i="12"/>
  <c r="AB71" i="10"/>
  <c r="AI71" i="9"/>
  <c r="AI69" i="9" s="1"/>
  <c r="AI65" i="9" s="1"/>
  <c r="AI63" i="9" s="1"/>
  <c r="AD69" i="9"/>
  <c r="AD65" i="9" s="1"/>
  <c r="AD63" i="9" s="1"/>
  <c r="W98" i="16"/>
  <c r="W96" i="15"/>
  <c r="X98" i="15"/>
  <c r="L128" i="9"/>
  <c r="AU16" i="8"/>
  <c r="AR31" i="7"/>
  <c r="AR32" i="7" s="1"/>
  <c r="AV35" i="7" s="1"/>
  <c r="AI112" i="10"/>
  <c r="F61" i="13"/>
  <c r="F60" i="13" s="1"/>
  <c r="J43" i="11"/>
  <c r="N43" i="10"/>
  <c r="N42" i="10" s="1"/>
  <c r="L42" i="10"/>
  <c r="AS10" i="10" s="1"/>
  <c r="AX10" i="10"/>
  <c r="AZ10" i="10" s="1"/>
  <c r="G68" i="10"/>
  <c r="I66" i="9"/>
  <c r="M68" i="9"/>
  <c r="M66" i="9" s="1"/>
  <c r="E43" i="14"/>
  <c r="E42" i="13"/>
  <c r="AD97" i="10"/>
  <c r="AB96" i="10"/>
  <c r="AB90" i="10" s="1"/>
  <c r="AB174" i="11"/>
  <c r="AD172" i="10"/>
  <c r="AI174" i="10"/>
  <c r="AI172" i="10" s="1"/>
  <c r="BJ8" i="8"/>
  <c r="BJ7" i="8" s="1"/>
  <c r="AA98" i="10"/>
  <c r="Y96" i="10"/>
  <c r="AI59" i="12"/>
  <c r="AI58" i="12" s="1"/>
  <c r="AI57" i="12" s="1"/>
  <c r="X58" i="12"/>
  <c r="X57" i="12" s="1"/>
  <c r="AD228" i="11"/>
  <c r="AB227" i="11"/>
  <c r="AB220" i="11" s="1"/>
  <c r="J73" i="10"/>
  <c r="L72" i="9"/>
  <c r="N73" i="9"/>
  <c r="N72" i="9" s="1"/>
  <c r="AA157" i="9"/>
  <c r="AA155" i="9" s="1"/>
  <c r="AA145" i="9" s="1"/>
  <c r="AH159" i="9"/>
  <c r="AH157" i="9" s="1"/>
  <c r="AH155" i="9" s="1"/>
  <c r="AH145" i="9" s="1"/>
  <c r="Y159" i="10"/>
  <c r="W187" i="15"/>
  <c r="W185" i="15" s="1"/>
  <c r="W188" i="16"/>
  <c r="W187" i="16" s="1"/>
  <c r="W185" i="16" s="1"/>
  <c r="W152" i="15"/>
  <c r="W149" i="14"/>
  <c r="W147" i="14" s="1"/>
  <c r="X152" i="14"/>
  <c r="BN12" i="11"/>
  <c r="BN9" i="11" s="1"/>
  <c r="AU9" i="8"/>
  <c r="AQ14" i="9"/>
  <c r="V90" i="12"/>
  <c r="E79" i="15"/>
  <c r="E78" i="14"/>
  <c r="D60" i="14"/>
  <c r="F61" i="14"/>
  <c r="D61" i="15"/>
  <c r="W141" i="14"/>
  <c r="W143" i="15"/>
  <c r="X143" i="14"/>
  <c r="X198" i="14"/>
  <c r="W197" i="14"/>
  <c r="W196" i="14" s="1"/>
  <c r="W195" i="14" s="1"/>
  <c r="W198" i="15"/>
  <c r="AI215" i="13"/>
  <c r="Y143" i="11"/>
  <c r="AA141" i="10"/>
  <c r="BO20" i="10" s="1"/>
  <c r="AH143" i="10"/>
  <c r="AH141" i="10" s="1"/>
  <c r="AJ215" i="13"/>
  <c r="V220" i="13"/>
  <c r="M50" i="10"/>
  <c r="M48" i="10" s="1"/>
  <c r="I48" i="10"/>
  <c r="G50" i="11"/>
  <c r="F73" i="14"/>
  <c r="D73" i="15"/>
  <c r="D72" i="14"/>
  <c r="AI143" i="13"/>
  <c r="X222" i="13"/>
  <c r="E55" i="15"/>
  <c r="E54" i="14"/>
  <c r="W177" i="15"/>
  <c r="W176" i="14"/>
  <c r="W170" i="14" s="1"/>
  <c r="BC7" i="11"/>
  <c r="N75" i="10"/>
  <c r="V10" i="10"/>
  <c r="V8" i="10" s="1"/>
  <c r="Y223" i="11"/>
  <c r="AA222" i="10"/>
  <c r="AH223" i="10"/>
  <c r="AH222" i="10" s="1"/>
  <c r="AH220" i="10" s="1"/>
  <c r="AG173" i="11"/>
  <c r="AE172" i="11"/>
  <c r="E73" i="15"/>
  <c r="E72" i="14"/>
  <c r="X115" i="14"/>
  <c r="W115" i="15"/>
  <c r="W114" i="14"/>
  <c r="AJ71" i="12"/>
  <c r="M73" i="13"/>
  <c r="F72" i="13"/>
  <c r="W222" i="14"/>
  <c r="W223" i="15"/>
  <c r="AI86" i="13"/>
  <c r="AH86" i="13"/>
  <c r="AB173" i="14"/>
  <c r="AI173" i="13"/>
  <c r="V223" i="15"/>
  <c r="X223" i="14"/>
  <c r="V222" i="14"/>
  <c r="Y52" i="11"/>
  <c r="AA49" i="10"/>
  <c r="AH52" i="10"/>
  <c r="AH49" i="10" s="1"/>
  <c r="X93" i="14"/>
  <c r="W93" i="15"/>
  <c r="W91" i="14"/>
  <c r="W90" i="14" s="1"/>
  <c r="V110" i="11"/>
  <c r="AD143" i="14"/>
  <c r="Y188" i="11"/>
  <c r="AA187" i="10"/>
  <c r="AA185" i="10" s="1"/>
  <c r="AH188" i="10"/>
  <c r="AH187" i="10" s="1"/>
  <c r="AH185" i="10" s="1"/>
  <c r="AI115" i="13"/>
  <c r="E49" i="15"/>
  <c r="E48" i="14"/>
  <c r="V71" i="14"/>
  <c r="V69" i="14" s="1"/>
  <c r="V65" i="14" s="1"/>
  <c r="X71" i="13"/>
  <c r="W238" i="15"/>
  <c r="W235" i="14"/>
  <c r="W234" i="14" s="1"/>
  <c r="BN26" i="13"/>
  <c r="W83" i="14"/>
  <c r="W86" i="15"/>
  <c r="X86" i="14"/>
  <c r="W215" i="15"/>
  <c r="W211" i="14"/>
  <c r="W210" i="14" s="1"/>
  <c r="W209" i="14" s="1"/>
  <c r="X215" i="14"/>
  <c r="D55" i="14"/>
  <c r="F55" i="13"/>
  <c r="AI93" i="13"/>
  <c r="AJ232" i="8"/>
  <c r="V63" i="11"/>
  <c r="V12" i="11" s="1"/>
  <c r="AJ90" i="8"/>
  <c r="AJ63" i="8" s="1"/>
  <c r="AJ12" i="8" s="1"/>
  <c r="AJ10" i="8" s="1"/>
  <c r="V145" i="12"/>
  <c r="D28" i="11"/>
  <c r="D21" i="11" s="1"/>
  <c r="D19" i="11" s="1"/>
  <c r="D17" i="11" s="1"/>
  <c r="D8" i="11" s="1"/>
  <c r="V201" i="14"/>
  <c r="X201" i="13"/>
  <c r="V197" i="13"/>
  <c r="V92" i="14"/>
  <c r="X92" i="13"/>
  <c r="V91" i="13"/>
  <c r="AY14" i="7"/>
  <c r="AZ14" i="7"/>
  <c r="AV14" i="7"/>
  <c r="AH21" i="12"/>
  <c r="AJ21" i="12"/>
  <c r="X20" i="12"/>
  <c r="X16" i="12" s="1"/>
  <c r="AJ85" i="11"/>
  <c r="AI85" i="11"/>
  <c r="X83" i="11"/>
  <c r="AQ24" i="11" s="1"/>
  <c r="D64" i="13"/>
  <c r="D63" i="12"/>
  <c r="F64" i="12"/>
  <c r="BC15" i="12"/>
  <c r="N46" i="12"/>
  <c r="F45" i="12"/>
  <c r="V214" i="14"/>
  <c r="X214" i="13"/>
  <c r="V211" i="13"/>
  <c r="V210" i="13" s="1"/>
  <c r="V209" i="13" s="1"/>
  <c r="D81" i="14"/>
  <c r="D83" i="15"/>
  <c r="AE106" i="10"/>
  <c r="AG105" i="9"/>
  <c r="AG104" i="9" s="1"/>
  <c r="AJ106" i="9"/>
  <c r="AJ105" i="9" s="1"/>
  <c r="AJ104" i="9" s="1"/>
  <c r="X195" i="10"/>
  <c r="BN28" i="10"/>
  <c r="BN25" i="10" s="1"/>
  <c r="BH12" i="10" s="1"/>
  <c r="X44" i="11"/>
  <c r="X43" i="11" s="1"/>
  <c r="X14" i="11" s="1"/>
  <c r="AJ46" i="11"/>
  <c r="AH46" i="11"/>
  <c r="V39" i="14"/>
  <c r="X39" i="13"/>
  <c r="V35" i="13"/>
  <c r="AS32" i="7"/>
  <c r="D79" i="14"/>
  <c r="D78" i="13"/>
  <c r="F78" i="13" s="1"/>
  <c r="F79" i="13"/>
  <c r="AI201" i="12"/>
  <c r="AH201" i="12"/>
  <c r="X197" i="12"/>
  <c r="AJ201" i="12"/>
  <c r="AJ92" i="12"/>
  <c r="AH92" i="12"/>
  <c r="X91" i="12"/>
  <c r="V46" i="13"/>
  <c r="X46" i="12"/>
  <c r="V44" i="12"/>
  <c r="V43" i="12" s="1"/>
  <c r="V14" i="12" s="1"/>
  <c r="F35" i="11"/>
  <c r="V118" i="13"/>
  <c r="X118" i="12"/>
  <c r="V114" i="12"/>
  <c r="V112" i="12" s="1"/>
  <c r="AQ29" i="11"/>
  <c r="BN27" i="11"/>
  <c r="W46" i="14"/>
  <c r="W44" i="13"/>
  <c r="AH158" i="12"/>
  <c r="AI158" i="12"/>
  <c r="X157" i="12"/>
  <c r="X155" i="12" s="1"/>
  <c r="BN17" i="12" s="1"/>
  <c r="AJ158" i="12"/>
  <c r="X258" i="7"/>
  <c r="F8" i="7"/>
  <c r="AE189" i="10"/>
  <c r="AJ189" i="9"/>
  <c r="AJ187" i="9" s="1"/>
  <c r="AJ185" i="9" s="1"/>
  <c r="AG187" i="9"/>
  <c r="AG185" i="9" s="1"/>
  <c r="AG90" i="8"/>
  <c r="M76" i="11"/>
  <c r="M75" i="11" s="1"/>
  <c r="N76" i="11"/>
  <c r="F75" i="11"/>
  <c r="F49" i="14"/>
  <c r="D49" i="15"/>
  <c r="D48" i="14"/>
  <c r="F46" i="13"/>
  <c r="D46" i="14"/>
  <c r="D45" i="13"/>
  <c r="X145" i="11"/>
  <c r="X90" i="11"/>
  <c r="X205" i="12"/>
  <c r="AH206" i="12"/>
  <c r="AH205" i="12" s="1"/>
  <c r="AQ28" i="9"/>
  <c r="X193" i="9"/>
  <c r="W258" i="11"/>
  <c r="G70" i="15"/>
  <c r="M70" i="14"/>
  <c r="I69" i="14"/>
  <c r="V158" i="14"/>
  <c r="X158" i="13"/>
  <c r="V157" i="13"/>
  <c r="V155" i="13" s="1"/>
  <c r="AJ142" i="12"/>
  <c r="AH142" i="12"/>
  <c r="X141" i="12"/>
  <c r="BN20" i="12" s="1"/>
  <c r="AE87" i="10"/>
  <c r="AJ87" i="9"/>
  <c r="AJ83" i="9" s="1"/>
  <c r="AG83" i="9"/>
  <c r="AS24" i="9" s="1"/>
  <c r="AX24" i="9" s="1"/>
  <c r="AZ24" i="9" s="1"/>
  <c r="AJ50" i="16"/>
  <c r="AH50" i="16"/>
  <c r="AQ25" i="10"/>
  <c r="BN13" i="10"/>
  <c r="BH8" i="10" s="1"/>
  <c r="AJ51" i="12"/>
  <c r="AH51" i="12"/>
  <c r="AI51" i="12"/>
  <c r="X49" i="12"/>
  <c r="AV29" i="10"/>
  <c r="AU29" i="10"/>
  <c r="AX27" i="8"/>
  <c r="AZ27" i="8" s="1"/>
  <c r="AI214" i="12"/>
  <c r="AH214" i="12"/>
  <c r="X211" i="12"/>
  <c r="X210" i="12" s="1"/>
  <c r="X209" i="12" s="1"/>
  <c r="AJ214" i="12"/>
  <c r="AG94" i="9"/>
  <c r="AE91" i="9"/>
  <c r="D36" i="13"/>
  <c r="F36" i="12"/>
  <c r="D35" i="12"/>
  <c r="AJ39" i="12"/>
  <c r="AH39" i="12"/>
  <c r="X35" i="12"/>
  <c r="AH97" i="12"/>
  <c r="AJ97" i="12"/>
  <c r="X96" i="12"/>
  <c r="BC12" i="11"/>
  <c r="N23" i="11"/>
  <c r="W39" i="14"/>
  <c r="W35" i="13"/>
  <c r="G64" i="16"/>
  <c r="BD14" i="15"/>
  <c r="I63" i="15"/>
  <c r="AV10" i="11"/>
  <c r="AU10" i="11"/>
  <c r="V97" i="14"/>
  <c r="X97" i="13"/>
  <c r="V96" i="13"/>
  <c r="V21" i="14"/>
  <c r="X21" i="13"/>
  <c r="V20" i="13"/>
  <c r="V16" i="13" s="1"/>
  <c r="BC13" i="11"/>
  <c r="F29" i="11"/>
  <c r="AG99" i="9"/>
  <c r="AE96" i="9"/>
  <c r="V85" i="13"/>
  <c r="X85" i="12"/>
  <c r="V83" i="12"/>
  <c r="AJ151" i="12"/>
  <c r="AH151" i="12"/>
  <c r="X149" i="12"/>
  <c r="X147" i="12" s="1"/>
  <c r="D76" i="13"/>
  <c r="F76" i="12"/>
  <c r="D75" i="12"/>
  <c r="AQ24" i="10"/>
  <c r="M49" i="13"/>
  <c r="F48" i="13"/>
  <c r="D23" i="13"/>
  <c r="D22" i="13" s="1"/>
  <c r="F23" i="12"/>
  <c r="F43" i="13"/>
  <c r="D43" i="14"/>
  <c r="D42" i="13"/>
  <c r="G76" i="14"/>
  <c r="I75" i="13"/>
  <c r="AI178" i="14"/>
  <c r="AH178" i="14"/>
  <c r="BN16" i="10"/>
  <c r="BN15" i="10" s="1"/>
  <c r="BH10" i="10" s="1"/>
  <c r="X112" i="10"/>
  <c r="X110" i="10" s="1"/>
  <c r="AQ26" i="10" s="1"/>
  <c r="D69" i="13"/>
  <c r="D71" i="14"/>
  <c r="F71" i="14" s="1"/>
  <c r="V51" i="14"/>
  <c r="X51" i="13"/>
  <c r="V49" i="13"/>
  <c r="V206" i="14"/>
  <c r="V205" i="13"/>
  <c r="X206" i="13"/>
  <c r="D59" i="14"/>
  <c r="D57" i="13"/>
  <c r="AE193" i="9"/>
  <c r="AG178" i="9"/>
  <c r="AE176" i="9"/>
  <c r="AE170" i="9" s="1"/>
  <c r="N79" i="12"/>
  <c r="M79" i="12"/>
  <c r="V196" i="12"/>
  <c r="V195" i="12" s="1"/>
  <c r="V193" i="12" s="1"/>
  <c r="W51" i="14"/>
  <c r="W49" i="13"/>
  <c r="AH118" i="11"/>
  <c r="AI118" i="11"/>
  <c r="AJ118" i="11"/>
  <c r="X114" i="11"/>
  <c r="AG126" i="9"/>
  <c r="AE123" i="9"/>
  <c r="AE112" i="9" s="1"/>
  <c r="AE110" i="9" s="1"/>
  <c r="W43" i="12"/>
  <c r="W14" i="12" s="1"/>
  <c r="W12" i="12" s="1"/>
  <c r="D12" i="13"/>
  <c r="F12" i="12"/>
  <c r="F10" i="12" s="1"/>
  <c r="BC7" i="12" s="1"/>
  <c r="D10" i="12"/>
  <c r="AE160" i="10"/>
  <c r="AJ160" i="9"/>
  <c r="AJ157" i="9" s="1"/>
  <c r="AJ155" i="9" s="1"/>
  <c r="AJ145" i="9" s="1"/>
  <c r="AG157" i="9"/>
  <c r="AG155" i="9" s="1"/>
  <c r="AG145" i="9" s="1"/>
  <c r="D30" i="13"/>
  <c r="F30" i="12"/>
  <c r="D29" i="12"/>
  <c r="V142" i="14"/>
  <c r="V141" i="13"/>
  <c r="X142" i="13"/>
  <c r="V151" i="14"/>
  <c r="X151" i="13"/>
  <c r="V149" i="13"/>
  <c r="V147" i="13" s="1"/>
  <c r="AE116" i="10"/>
  <c r="AJ116" i="9"/>
  <c r="AJ114" i="9" s="1"/>
  <c r="AG114" i="9"/>
  <c r="M64" i="11"/>
  <c r="M63" i="11" s="1"/>
  <c r="N64" i="11"/>
  <c r="BC14" i="11"/>
  <c r="F63" i="11"/>
  <c r="W21" i="14"/>
  <c r="W20" i="13"/>
  <c r="W16" i="13" s="1"/>
  <c r="BN14" i="10"/>
  <c r="BH9" i="10" s="1"/>
  <c r="F28" i="10"/>
  <c r="BC17" i="11"/>
  <c r="BC16" i="12"/>
  <c r="F42" i="12"/>
  <c r="AQ10" i="12" s="1"/>
  <c r="M43" i="12"/>
  <c r="V178" i="16"/>
  <c r="X178" i="16" s="1"/>
  <c r="X178" i="15"/>
  <c r="D51" i="13"/>
  <c r="F52" i="13"/>
  <c r="N52" i="13" s="1"/>
  <c r="D52" i="14"/>
  <c r="BN8" i="9"/>
  <c r="BN7" i="9" s="1"/>
  <c r="BN32" i="9" s="1"/>
  <c r="BH8" i="9"/>
  <c r="BH7" i="9" s="1"/>
  <c r="BH16" i="9" s="1"/>
  <c r="AQ30" i="10"/>
  <c r="BN29" i="10"/>
  <c r="BH13" i="10" s="1"/>
  <c r="AD244" i="9"/>
  <c r="AB243" i="9"/>
  <c r="AB232" i="9" s="1"/>
  <c r="X243" i="11"/>
  <c r="X232" i="11" s="1"/>
  <c r="AA234" i="9"/>
  <c r="AG244" i="9"/>
  <c r="AE243" i="9"/>
  <c r="AE232" i="9" s="1"/>
  <c r="V244" i="13"/>
  <c r="X244" i="12"/>
  <c r="V243" i="12"/>
  <c r="V232" i="12" s="1"/>
  <c r="G55" i="10"/>
  <c r="M55" i="9"/>
  <c r="M54" i="9" s="1"/>
  <c r="BD17" i="9"/>
  <c r="BD10" i="9" s="1"/>
  <c r="BD9" i="9" s="1"/>
  <c r="BD8" i="9" s="1"/>
  <c r="I54" i="9"/>
  <c r="AW14" i="9"/>
  <c r="AA244" i="9"/>
  <c r="Y243" i="9"/>
  <c r="Y232" i="9" s="1"/>
  <c r="W243" i="12"/>
  <c r="W232" i="12" s="1"/>
  <c r="W244" i="13"/>
  <c r="AF258" i="8"/>
  <c r="W8" i="11"/>
  <c r="G8" i="8"/>
  <c r="G126" i="8" s="1"/>
  <c r="G130" i="8" s="1"/>
  <c r="Y258" i="8"/>
  <c r="T33" i="15"/>
  <c r="AD10" i="8"/>
  <c r="AD8" i="8" s="1"/>
  <c r="AR30" i="8"/>
  <c r="BP29" i="8"/>
  <c r="BJ13" i="8" s="1"/>
  <c r="AH230" i="16"/>
  <c r="AB59" i="16"/>
  <c r="AD58" i="15"/>
  <c r="AD57" i="15" s="1"/>
  <c r="Y51" i="16"/>
  <c r="Y63" i="9"/>
  <c r="AS30" i="8"/>
  <c r="AA117" i="14"/>
  <c r="Y190" i="14"/>
  <c r="AH190" i="13"/>
  <c r="J56" i="12"/>
  <c r="N56" i="11"/>
  <c r="AD229" i="12"/>
  <c r="AA173" i="14"/>
  <c r="Y172" i="14"/>
  <c r="AE98" i="12"/>
  <c r="AJ98" i="11"/>
  <c r="AJ26" i="15"/>
  <c r="AE26" i="16"/>
  <c r="AG26" i="16" s="1"/>
  <c r="AJ26" i="16" s="1"/>
  <c r="L80" i="12"/>
  <c r="J78" i="12"/>
  <c r="L78" i="12" s="1"/>
  <c r="N78" i="12" s="1"/>
  <c r="AA213" i="14"/>
  <c r="AB22" i="12"/>
  <c r="AI22" i="11"/>
  <c r="AD127" i="12"/>
  <c r="AB92" i="12"/>
  <c r="AD91" i="11"/>
  <c r="AI92" i="11"/>
  <c r="AI91" i="11" s="1"/>
  <c r="AE152" i="12"/>
  <c r="AJ152" i="11"/>
  <c r="AJ149" i="11" s="1"/>
  <c r="AJ147" i="11" s="1"/>
  <c r="AG149" i="11"/>
  <c r="AG147" i="11" s="1"/>
  <c r="J62" i="12"/>
  <c r="N62" i="11"/>
  <c r="Y100" i="14"/>
  <c r="AH100" i="13"/>
  <c r="AE115" i="12"/>
  <c r="AJ115" i="11"/>
  <c r="AE129" i="16"/>
  <c r="AG129" i="16" s="1"/>
  <c r="AJ129" i="16" s="1"/>
  <c r="AJ129" i="15"/>
  <c r="AB117" i="12"/>
  <c r="AD114" i="11"/>
  <c r="AI117" i="11"/>
  <c r="AG36" i="12"/>
  <c r="AE35" i="12"/>
  <c r="AE59" i="12"/>
  <c r="AG58" i="11"/>
  <c r="AG57" i="11" s="1"/>
  <c r="AJ59" i="11"/>
  <c r="AJ58" i="11" s="1"/>
  <c r="AJ57" i="11" s="1"/>
  <c r="Y225" i="14"/>
  <c r="AH225" i="13"/>
  <c r="AB100" i="12"/>
  <c r="AI100" i="11"/>
  <c r="AB238" i="12"/>
  <c r="AD235" i="11"/>
  <c r="AD234" i="11" s="1"/>
  <c r="AI238" i="11"/>
  <c r="AI235" i="11" s="1"/>
  <c r="AI234" i="11" s="1"/>
  <c r="AA179" i="14"/>
  <c r="J44" i="12"/>
  <c r="N44" i="11"/>
  <c r="AG93" i="12"/>
  <c r="AB150" i="12"/>
  <c r="AI150" i="11"/>
  <c r="J30" i="12"/>
  <c r="N30" i="11"/>
  <c r="N29" i="11" s="1"/>
  <c r="L29" i="11"/>
  <c r="Y46" i="16"/>
  <c r="AD188" i="12"/>
  <c r="AB187" i="12"/>
  <c r="AB185" i="12" s="1"/>
  <c r="AB223" i="12"/>
  <c r="AD222" i="11"/>
  <c r="AI223" i="11"/>
  <c r="AI222" i="11" s="1"/>
  <c r="BP10" i="16"/>
  <c r="E33" i="20" s="1"/>
  <c r="AR22" i="16"/>
  <c r="AI66" i="16"/>
  <c r="J68" i="12"/>
  <c r="N68" i="11"/>
  <c r="J36" i="12"/>
  <c r="N36" i="11"/>
  <c r="N35" i="11" s="1"/>
  <c r="L35" i="11"/>
  <c r="AA107" i="14"/>
  <c r="Y105" i="14"/>
  <c r="Y104" i="14" s="1"/>
  <c r="L50" i="12"/>
  <c r="L74" i="12"/>
  <c r="AE47" i="12"/>
  <c r="AG44" i="11"/>
  <c r="AJ47" i="11"/>
  <c r="Y200" i="14"/>
  <c r="AH200" i="13"/>
  <c r="AB198" i="12"/>
  <c r="AD197" i="11"/>
  <c r="BP26" i="11"/>
  <c r="AI198" i="11"/>
  <c r="AI197" i="11" s="1"/>
  <c r="AE86" i="12"/>
  <c r="AJ86" i="11"/>
  <c r="AA246" i="14"/>
  <c r="Y150" i="14"/>
  <c r="AH150" i="13"/>
  <c r="Y95" i="14"/>
  <c r="AH95" i="13"/>
  <c r="AH12" i="8"/>
  <c r="AH10" i="8" s="1"/>
  <c r="AH258" i="8" s="1"/>
  <c r="L17" i="8"/>
  <c r="AA12" i="8"/>
  <c r="Y14" i="9"/>
  <c r="Y85" i="10"/>
  <c r="AA83" i="9"/>
  <c r="AH85" i="9"/>
  <c r="AH83" i="9" s="1"/>
  <c r="AE174" i="15"/>
  <c r="AE241" i="10"/>
  <c r="AJ241" i="9"/>
  <c r="AJ235" i="9" s="1"/>
  <c r="AJ234" i="9" s="1"/>
  <c r="AG235" i="9"/>
  <c r="AE202" i="10"/>
  <c r="AJ202" i="9"/>
  <c r="AJ197" i="9" s="1"/>
  <c r="AJ196" i="9" s="1"/>
  <c r="AJ195" i="9" s="1"/>
  <c r="AG197" i="9"/>
  <c r="AG196" i="9" s="1"/>
  <c r="AG195" i="9" s="1"/>
  <c r="AE212" i="10"/>
  <c r="AG211" i="9"/>
  <c r="AG210" i="9" s="1"/>
  <c r="AG209" i="9" s="1"/>
  <c r="AS29" i="9" s="1"/>
  <c r="AJ212" i="9"/>
  <c r="AJ211" i="9" s="1"/>
  <c r="AJ210" i="9" s="1"/>
  <c r="AJ209" i="9" s="1"/>
  <c r="Y61" i="11"/>
  <c r="BO31" i="10"/>
  <c r="AH61" i="10"/>
  <c r="AE14" i="9"/>
  <c r="Y28" i="16"/>
  <c r="AA28" i="16" s="1"/>
  <c r="AH28" i="16" s="1"/>
  <c r="AH28" i="15"/>
  <c r="Y37" i="10"/>
  <c r="AH37" i="9"/>
  <c r="AH35" i="9" s="1"/>
  <c r="AA35" i="9"/>
  <c r="Y70" i="16"/>
  <c r="AA70" i="16" s="1"/>
  <c r="AH70" i="16" s="1"/>
  <c r="AH70" i="15"/>
  <c r="AE53" i="16"/>
  <c r="AG53" i="16" s="1"/>
  <c r="AJ53" i="16" s="1"/>
  <c r="AJ53" i="15"/>
  <c r="X170" i="12"/>
  <c r="AQ27" i="12" s="1"/>
  <c r="J115" i="14"/>
  <c r="L113" i="13"/>
  <c r="AS15" i="13" s="1"/>
  <c r="AX15" i="13" s="1"/>
  <c r="N115" i="13"/>
  <c r="N113" i="13" s="1"/>
  <c r="W133" i="14"/>
  <c r="W123" i="13"/>
  <c r="W112" i="13" s="1"/>
  <c r="X133" i="13"/>
  <c r="X123" i="13" s="1"/>
  <c r="Y27" i="10"/>
  <c r="AA20" i="9"/>
  <c r="AA16" i="9" s="1"/>
  <c r="AH27" i="9"/>
  <c r="AH20" i="9" s="1"/>
  <c r="AH16" i="9" s="1"/>
  <c r="AB39" i="10"/>
  <c r="AI39" i="9"/>
  <c r="AI35" i="9" s="1"/>
  <c r="AD35" i="9"/>
  <c r="AR24" i="9" s="1"/>
  <c r="BO8" i="8"/>
  <c r="BI8" i="8"/>
  <c r="AB167" i="10"/>
  <c r="AD157" i="9"/>
  <c r="AD155" i="9" s="1"/>
  <c r="AI167" i="9"/>
  <c r="AI157" i="9" s="1"/>
  <c r="AI155" i="9" s="1"/>
  <c r="BP19" i="9"/>
  <c r="AE70" i="10"/>
  <c r="AJ70" i="9"/>
  <c r="AJ69" i="9" s="1"/>
  <c r="AJ65" i="9" s="1"/>
  <c r="AG69" i="9"/>
  <c r="AG65" i="9" s="1"/>
  <c r="AJ133" i="12"/>
  <c r="AI133" i="12"/>
  <c r="AE23" i="10"/>
  <c r="AG20" i="9"/>
  <c r="AG16" i="9" s="1"/>
  <c r="AJ23" i="9"/>
  <c r="AJ20" i="9" s="1"/>
  <c r="AJ16" i="9" s="1"/>
  <c r="AE52" i="10"/>
  <c r="AG49" i="9"/>
  <c r="AG43" i="9" s="1"/>
  <c r="AJ52" i="9"/>
  <c r="AJ49" i="9" s="1"/>
  <c r="AJ43" i="9" s="1"/>
  <c r="Y71" i="10"/>
  <c r="AA69" i="9"/>
  <c r="AA65" i="9" s="1"/>
  <c r="AH71" i="9"/>
  <c r="AH69" i="9" s="1"/>
  <c r="AH65" i="9" s="1"/>
  <c r="I115" i="13"/>
  <c r="G113" i="13"/>
  <c r="AB180" i="10"/>
  <c r="AD176" i="9"/>
  <c r="AD170" i="9" s="1"/>
  <c r="AI180" i="9"/>
  <c r="AI176" i="9" s="1"/>
  <c r="AI170" i="9" s="1"/>
  <c r="M128" i="8"/>
  <c r="AR17" i="7"/>
  <c r="AU14" i="7"/>
  <c r="M24" i="20"/>
  <c r="BE22" i="12"/>
  <c r="X187" i="13"/>
  <c r="X185" i="13" s="1"/>
  <c r="V238" i="15"/>
  <c r="X238" i="14"/>
  <c r="AJ238" i="14" s="1"/>
  <c r="V170" i="13"/>
  <c r="G41" i="13"/>
  <c r="I41" i="13" s="1"/>
  <c r="J105" i="13"/>
  <c r="L104" i="12"/>
  <c r="N105" i="12"/>
  <c r="N104" i="12" s="1"/>
  <c r="BN23" i="13"/>
  <c r="X176" i="13"/>
  <c r="AJ177" i="13"/>
  <c r="AI177" i="13"/>
  <c r="AJ73" i="13"/>
  <c r="AH73" i="13"/>
  <c r="AI73" i="13"/>
  <c r="G95" i="13"/>
  <c r="I94" i="12"/>
  <c r="M95" i="12"/>
  <c r="M94" i="12" s="1"/>
  <c r="V228" i="15"/>
  <c r="V227" i="14"/>
  <c r="X228" i="14"/>
  <c r="V174" i="15"/>
  <c r="V172" i="14"/>
  <c r="X174" i="14"/>
  <c r="BN22" i="10"/>
  <c r="BH11" i="10" s="1"/>
  <c r="V237" i="15"/>
  <c r="V235" i="14"/>
  <c r="V234" i="14" s="1"/>
  <c r="X237" i="14"/>
  <c r="AB216" i="11"/>
  <c r="AD211" i="10"/>
  <c r="AD210" i="10" s="1"/>
  <c r="AD209" i="10" s="1"/>
  <c r="AI216" i="10"/>
  <c r="AI211" i="10" s="1"/>
  <c r="AI210" i="10" s="1"/>
  <c r="AI209" i="10" s="1"/>
  <c r="J86" i="13"/>
  <c r="L85" i="12"/>
  <c r="N86" i="12"/>
  <c r="N85" i="12" s="1"/>
  <c r="N41" i="12"/>
  <c r="BC17" i="12"/>
  <c r="V188" i="15"/>
  <c r="V187" i="14"/>
  <c r="V185" i="14" s="1"/>
  <c r="X188" i="14"/>
  <c r="AE80" i="11"/>
  <c r="AJ80" i="10"/>
  <c r="AQ27" i="11"/>
  <c r="BN24" i="11"/>
  <c r="BN22" i="11" s="1"/>
  <c r="BH11" i="11" s="1"/>
  <c r="AE124" i="11"/>
  <c r="AJ124" i="10"/>
  <c r="AJ135" i="13"/>
  <c r="AH135" i="13"/>
  <c r="AI135" i="13"/>
  <c r="AB75" i="11"/>
  <c r="AI75" i="10"/>
  <c r="V177" i="15"/>
  <c r="V176" i="14"/>
  <c r="X177" i="14"/>
  <c r="Y161" i="16"/>
  <c r="AA161" i="16" s="1"/>
  <c r="AH161" i="16" s="1"/>
  <c r="AH161" i="15"/>
  <c r="V73" i="15"/>
  <c r="X73" i="14"/>
  <c r="X227" i="13"/>
  <c r="AH228" i="13"/>
  <c r="G105" i="13"/>
  <c r="I104" i="12"/>
  <c r="M105" i="12"/>
  <c r="M104" i="12" s="1"/>
  <c r="BE21" i="13"/>
  <c r="H128" i="13"/>
  <c r="H126" i="13" s="1"/>
  <c r="H130" i="13" s="1"/>
  <c r="B24" i="14"/>
  <c r="P128" i="13"/>
  <c r="K128" i="13"/>
  <c r="C128" i="13"/>
  <c r="Q128" i="13"/>
  <c r="Q126" i="13" s="1"/>
  <c r="Q130" i="13" s="1"/>
  <c r="AH238" i="13"/>
  <c r="L95" i="13"/>
  <c r="J94" i="13"/>
  <c r="AH174" i="13"/>
  <c r="AH172" i="13" s="1"/>
  <c r="X172" i="13"/>
  <c r="AJ174" i="13"/>
  <c r="BN31" i="13"/>
  <c r="BH15" i="13" s="1"/>
  <c r="AE161" i="11"/>
  <c r="AJ161" i="10"/>
  <c r="V135" i="15"/>
  <c r="X135" i="14"/>
  <c r="V123" i="14"/>
  <c r="X235" i="13"/>
  <c r="X234" i="13" s="1"/>
  <c r="AI237" i="13"/>
  <c r="J12" i="13"/>
  <c r="L12" i="13" s="1"/>
  <c r="AJ162" i="15"/>
  <c r="AE162" i="16"/>
  <c r="AG162" i="16" s="1"/>
  <c r="AJ162" i="16" s="1"/>
  <c r="BD22" i="8"/>
  <c r="M21" i="8"/>
  <c r="M19" i="8" s="1"/>
  <c r="M17" i="8" s="1"/>
  <c r="M8" i="8" s="1"/>
  <c r="I24" i="9"/>
  <c r="G22" i="9"/>
  <c r="J27" i="10"/>
  <c r="J128" i="10" s="1"/>
  <c r="N27" i="9"/>
  <c r="N25" i="9" s="1"/>
  <c r="L25" i="9"/>
  <c r="AS8" i="9" s="1"/>
  <c r="AV8" i="9" s="1"/>
  <c r="AX8" i="9"/>
  <c r="AZ8" i="9" s="1"/>
  <c r="I27" i="9"/>
  <c r="G25" i="9"/>
  <c r="G128" i="9"/>
  <c r="AR8" i="8"/>
  <c r="AU8" i="8" s="1"/>
  <c r="I21" i="8"/>
  <c r="I19" i="8" s="1"/>
  <c r="I8" i="7"/>
  <c r="BO33" i="7"/>
  <c r="I88" i="13"/>
  <c r="G85" i="13"/>
  <c r="J31" i="14"/>
  <c r="L37" i="13"/>
  <c r="N37" i="13" s="1"/>
  <c r="L71" i="11"/>
  <c r="J69" i="11"/>
  <c r="I62" i="11"/>
  <c r="G60" i="11"/>
  <c r="L59" i="11"/>
  <c r="J57" i="11"/>
  <c r="M13" i="13"/>
  <c r="I74" i="11"/>
  <c r="G72" i="11"/>
  <c r="D56" i="15"/>
  <c r="D54" i="14"/>
  <c r="F56" i="14"/>
  <c r="E33" i="16"/>
  <c r="E32" i="15"/>
  <c r="E28" i="15" s="1"/>
  <c r="F33" i="15"/>
  <c r="I37" i="11"/>
  <c r="L26" i="11"/>
  <c r="BC11" i="13"/>
  <c r="M26" i="13"/>
  <c r="M83" i="13"/>
  <c r="M81" i="13" s="1"/>
  <c r="F81" i="13"/>
  <c r="L65" i="11"/>
  <c r="J63" i="11"/>
  <c r="D31" i="15"/>
  <c r="F31" i="14"/>
  <c r="L33" i="11"/>
  <c r="I52" i="11"/>
  <c r="G51" i="11"/>
  <c r="M65" i="13"/>
  <c r="E14" i="15"/>
  <c r="E10" i="14"/>
  <c r="F14" i="14"/>
  <c r="E59" i="15"/>
  <c r="E57" i="14"/>
  <c r="F59" i="14"/>
  <c r="F69" i="13"/>
  <c r="M71" i="13"/>
  <c r="M69" i="13" s="1"/>
  <c r="L77" i="11"/>
  <c r="J75" i="11"/>
  <c r="F45" i="13"/>
  <c r="M47" i="13"/>
  <c r="E53" i="15"/>
  <c r="E51" i="14"/>
  <c r="F53" i="14"/>
  <c r="M77" i="13"/>
  <c r="D68" i="15"/>
  <c r="D66" i="14"/>
  <c r="F68" i="14"/>
  <c r="E83" i="15"/>
  <c r="E81" i="14"/>
  <c r="F83" i="14"/>
  <c r="D13" i="15"/>
  <c r="F13" i="14"/>
  <c r="M33" i="14"/>
  <c r="L53" i="11"/>
  <c r="J51" i="11"/>
  <c r="E26" i="15"/>
  <c r="E25" i="14"/>
  <c r="F26" i="14"/>
  <c r="I46" i="11"/>
  <c r="G45" i="11"/>
  <c r="M31" i="13"/>
  <c r="N31" i="13"/>
  <c r="E65" i="15"/>
  <c r="E63" i="14"/>
  <c r="F65" i="14"/>
  <c r="M14" i="13"/>
  <c r="N14" i="13"/>
  <c r="L47" i="11"/>
  <c r="J45" i="11"/>
  <c r="D37" i="15"/>
  <c r="F37" i="14"/>
  <c r="F57" i="13"/>
  <c r="M59" i="13"/>
  <c r="M57" i="13" s="1"/>
  <c r="E71" i="15"/>
  <c r="E69" i="14"/>
  <c r="L83" i="11"/>
  <c r="J81" i="11"/>
  <c r="E47" i="15"/>
  <c r="E45" i="14"/>
  <c r="F47" i="14"/>
  <c r="M53" i="13"/>
  <c r="E77" i="15"/>
  <c r="E75" i="14"/>
  <c r="F77" i="14"/>
  <c r="F66" i="13"/>
  <c r="D24" i="14"/>
  <c r="F24" i="13"/>
  <c r="D128" i="13"/>
  <c r="F22" i="12"/>
  <c r="AQ7" i="12" s="1"/>
  <c r="F128" i="12"/>
  <c r="J14" i="16"/>
  <c r="L14" i="16" s="1"/>
  <c r="J15" i="14"/>
  <c r="L15" i="14" s="1"/>
  <c r="N15" i="13"/>
  <c r="N22" i="9"/>
  <c r="L24" i="10"/>
  <c r="J22" i="10"/>
  <c r="J13" i="10"/>
  <c r="L10" i="9"/>
  <c r="N13" i="9"/>
  <c r="N10" i="9" s="1"/>
  <c r="E24" i="14"/>
  <c r="E22" i="13"/>
  <c r="E128" i="13"/>
  <c r="AS7" i="9"/>
  <c r="AV7" i="9" s="1"/>
  <c r="AD88" i="10"/>
  <c r="AB83" i="10"/>
  <c r="AA237" i="10"/>
  <c r="Y235" i="10"/>
  <c r="Y234" i="10" s="1"/>
  <c r="AH134" i="16"/>
  <c r="AI134" i="16"/>
  <c r="AJ134" i="16"/>
  <c r="Y133" i="11"/>
  <c r="AH133" i="10"/>
  <c r="AH245" i="13"/>
  <c r="AI245" i="13"/>
  <c r="AJ245" i="13"/>
  <c r="G56" i="11"/>
  <c r="M56" i="10"/>
  <c r="AB107" i="11"/>
  <c r="AD105" i="10"/>
  <c r="AD104" i="10" s="1"/>
  <c r="AI107" i="10"/>
  <c r="AI105" i="10" s="1"/>
  <c r="AI104" i="10" s="1"/>
  <c r="AB50" i="11"/>
  <c r="AD49" i="10"/>
  <c r="AI50" i="10"/>
  <c r="AI49" i="10" s="1"/>
  <c r="V245" i="15"/>
  <c r="X245" i="14"/>
  <c r="AI225" i="16"/>
  <c r="AJ127" i="14"/>
  <c r="AE127" i="15"/>
  <c r="AE158" i="15"/>
  <c r="M40" i="15"/>
  <c r="N40" i="15"/>
  <c r="N39" i="15"/>
  <c r="M39" i="15"/>
  <c r="N40" i="16"/>
  <c r="M40" i="16"/>
  <c r="N39" i="16"/>
  <c r="M39" i="16"/>
  <c r="F38" i="15"/>
  <c r="D38" i="16"/>
  <c r="M38" i="14"/>
  <c r="N38" i="14"/>
  <c r="I28" i="9"/>
  <c r="AR9" i="9" s="1"/>
  <c r="AU9" i="9" s="1"/>
  <c r="BN33" i="5"/>
  <c r="AQ31" i="5"/>
  <c r="AQ32" i="5" s="1"/>
  <c r="D126" i="8"/>
  <c r="D130" i="8" s="1"/>
  <c r="AU15" i="5"/>
  <c r="AZ15" i="5"/>
  <c r="AZ17" i="5" s="1"/>
  <c r="AV15" i="5"/>
  <c r="AY15" i="5"/>
  <c r="AY17" i="5" s="1"/>
  <c r="AQ17" i="5"/>
  <c r="E126" i="8"/>
  <c r="E130" i="8" s="1"/>
  <c r="A1" i="5"/>
  <c r="T15" i="5"/>
  <c r="F41" i="13"/>
  <c r="D41" i="14"/>
  <c r="M41" i="12"/>
  <c r="L41" i="13"/>
  <c r="B12" i="16"/>
  <c r="G12" i="10"/>
  <c r="I10" i="9"/>
  <c r="M12" i="9"/>
  <c r="AZ16" i="8"/>
  <c r="AW17" i="8"/>
  <c r="AX17" i="8"/>
  <c r="AG188" i="11"/>
  <c r="AJ248" i="14"/>
  <c r="AE248" i="15"/>
  <c r="AG248" i="15" s="1"/>
  <c r="AE238" i="15"/>
  <c r="AG238" i="15" s="1"/>
  <c r="AE203" i="15"/>
  <c r="AG203" i="15" s="1"/>
  <c r="AJ203" i="14"/>
  <c r="AE253" i="15"/>
  <c r="AG253" i="15" s="1"/>
  <c r="AJ253" i="14"/>
  <c r="AE181" i="11"/>
  <c r="AJ181" i="10"/>
  <c r="AE214" i="15"/>
  <c r="AG214" i="15" s="1"/>
  <c r="AJ252" i="14"/>
  <c r="AE252" i="15"/>
  <c r="AG252" i="15" s="1"/>
  <c r="AJ256" i="14"/>
  <c r="AE256" i="15"/>
  <c r="AG256" i="15" s="1"/>
  <c r="I30" i="10"/>
  <c r="G29" i="10"/>
  <c r="AJ191" i="14"/>
  <c r="AE191" i="15"/>
  <c r="AG191" i="15" s="1"/>
  <c r="AE240" i="15"/>
  <c r="AG240" i="15" s="1"/>
  <c r="AJ240" i="14"/>
  <c r="AE225" i="15"/>
  <c r="AG225" i="15" s="1"/>
  <c r="AJ225" i="14"/>
  <c r="AJ239" i="14"/>
  <c r="AE239" i="15"/>
  <c r="AG239" i="15" s="1"/>
  <c r="AE200" i="15"/>
  <c r="AG200" i="15" s="1"/>
  <c r="AJ200" i="14"/>
  <c r="AJ220" i="10"/>
  <c r="AJ237" i="13"/>
  <c r="AE237" i="14"/>
  <c r="AG237" i="14" s="1"/>
  <c r="AG180" i="14"/>
  <c r="AJ254" i="14"/>
  <c r="AE254" i="15"/>
  <c r="AG254" i="15" s="1"/>
  <c r="AJ255" i="14"/>
  <c r="AE255" i="15"/>
  <c r="AG255" i="15" s="1"/>
  <c r="AJ224" i="13"/>
  <c r="AE224" i="14"/>
  <c r="AG224" i="14" s="1"/>
  <c r="AJ198" i="10"/>
  <c r="AE198" i="11"/>
  <c r="AJ190" i="14"/>
  <c r="AE190" i="15"/>
  <c r="AG190" i="15" s="1"/>
  <c r="AE186" i="11"/>
  <c r="AJ186" i="10"/>
  <c r="AE246" i="15"/>
  <c r="AG246" i="15" s="1"/>
  <c r="AJ246" i="14"/>
  <c r="AR13" i="13"/>
  <c r="AU13" i="13" s="1"/>
  <c r="AW13" i="13"/>
  <c r="AY13" i="13" s="1"/>
  <c r="AJ213" i="14"/>
  <c r="AE213" i="15"/>
  <c r="AG213" i="15" s="1"/>
  <c r="I23" i="10"/>
  <c r="AE217" i="15"/>
  <c r="AG217" i="15" s="1"/>
  <c r="AJ217" i="14"/>
  <c r="AJ182" i="14"/>
  <c r="AE182" i="15"/>
  <c r="AG182" i="15" s="1"/>
  <c r="AG220" i="10"/>
  <c r="AE251" i="15"/>
  <c r="AG251" i="15" s="1"/>
  <c r="AJ251" i="14"/>
  <c r="AE215" i="15"/>
  <c r="AG215" i="15" s="1"/>
  <c r="AJ215" i="14"/>
  <c r="AE183" i="15"/>
  <c r="AG183" i="15" s="1"/>
  <c r="AJ183" i="14"/>
  <c r="AJ207" i="15"/>
  <c r="AE207" i="16"/>
  <c r="AG207" i="16" s="1"/>
  <c r="AJ207" i="16" s="1"/>
  <c r="AJ250" i="14"/>
  <c r="AE250" i="15"/>
  <c r="AG250" i="15" s="1"/>
  <c r="AJ199" i="14"/>
  <c r="AE199" i="15"/>
  <c r="AG199" i="15" s="1"/>
  <c r="AE204" i="15"/>
  <c r="AG204" i="15" s="1"/>
  <c r="AJ204" i="14"/>
  <c r="AZ13" i="9"/>
  <c r="AG228" i="11"/>
  <c r="AE227" i="11"/>
  <c r="AE222" i="11"/>
  <c r="AG223" i="11"/>
  <c r="AE206" i="11"/>
  <c r="AG205" i="10"/>
  <c r="AJ206" i="10"/>
  <c r="AJ205" i="10" s="1"/>
  <c r="AJ216" i="14"/>
  <c r="AE216" i="15"/>
  <c r="AG216" i="15" s="1"/>
  <c r="AJ229" i="13"/>
  <c r="AE229" i="14"/>
  <c r="AG229" i="14" s="1"/>
  <c r="AG236" i="11"/>
  <c r="AE201" i="15"/>
  <c r="AG201" i="15" s="1"/>
  <c r="X195" i="11" l="1"/>
  <c r="X193" i="11" s="1"/>
  <c r="BI7" i="8"/>
  <c r="BI16" i="8" s="1"/>
  <c r="BO7" i="8"/>
  <c r="BO32" i="8" s="1"/>
  <c r="F28" i="11"/>
  <c r="AJ44" i="11"/>
  <c r="M61" i="13"/>
  <c r="V63" i="12"/>
  <c r="V12" i="12" s="1"/>
  <c r="V10" i="11"/>
  <c r="V258" i="11" s="1"/>
  <c r="AI145" i="9"/>
  <c r="AI110" i="9" s="1"/>
  <c r="AE90" i="9"/>
  <c r="AE63" i="9" s="1"/>
  <c r="AE12" i="9" s="1"/>
  <c r="AE10" i="9" s="1"/>
  <c r="AE8" i="9" s="1"/>
  <c r="W10" i="12"/>
  <c r="W258" i="12" s="1"/>
  <c r="AV14" i="8"/>
  <c r="AX30" i="8"/>
  <c r="AZ30" i="8" s="1"/>
  <c r="AV30" i="8"/>
  <c r="AW30" i="8"/>
  <c r="AY30" i="8" s="1"/>
  <c r="AU30" i="8"/>
  <c r="AH112" i="9"/>
  <c r="AH110" i="9" s="1"/>
  <c r="AI8" i="8"/>
  <c r="BP14" i="9"/>
  <c r="BJ9" i="9" s="1"/>
  <c r="AI14" i="9"/>
  <c r="AI12" i="9" s="1"/>
  <c r="AZ14" i="8"/>
  <c r="BC21" i="13"/>
  <c r="X220" i="13"/>
  <c r="BN30" i="13" s="1"/>
  <c r="BH14" i="13" s="1"/>
  <c r="F21" i="11"/>
  <c r="F19" i="11" s="1"/>
  <c r="F17" i="11" s="1"/>
  <c r="F8" i="11" s="1"/>
  <c r="I68" i="10"/>
  <c r="G66" i="10"/>
  <c r="L43" i="11"/>
  <c r="J42" i="11"/>
  <c r="AI98" i="15"/>
  <c r="AA195" i="9"/>
  <c r="AA193" i="9" s="1"/>
  <c r="BO28" i="9"/>
  <c r="BO25" i="9" s="1"/>
  <c r="BI12" i="9" s="1"/>
  <c r="AA176" i="10"/>
  <c r="AA170" i="10" s="1"/>
  <c r="BO24" i="10" s="1"/>
  <c r="BO23" i="10"/>
  <c r="Y177" i="11"/>
  <c r="AH177" i="10"/>
  <c r="AH176" i="10" s="1"/>
  <c r="AH170" i="10" s="1"/>
  <c r="L61" i="10"/>
  <c r="J60" i="10"/>
  <c r="D32" i="14"/>
  <c r="D34" i="15"/>
  <c r="F34" i="14"/>
  <c r="AD21" i="10"/>
  <c r="AB20" i="10"/>
  <c r="AB16" i="10" s="1"/>
  <c r="X58" i="13"/>
  <c r="X57" i="13" s="1"/>
  <c r="AI59" i="13"/>
  <c r="AI58" i="13" s="1"/>
  <c r="AI57" i="13" s="1"/>
  <c r="AH72" i="13"/>
  <c r="AI72" i="13"/>
  <c r="AJ72" i="13"/>
  <c r="W59" i="16"/>
  <c r="W58" i="16" s="1"/>
  <c r="W57" i="16" s="1"/>
  <c r="W58" i="15"/>
  <c r="W57" i="15" s="1"/>
  <c r="W229" i="15"/>
  <c r="W227" i="14"/>
  <c r="W220" i="14" s="1"/>
  <c r="X229" i="14"/>
  <c r="D27" i="15"/>
  <c r="F27" i="14"/>
  <c r="F25" i="14" s="1"/>
  <c r="AQ8" i="14" s="1"/>
  <c r="D25" i="14"/>
  <c r="AR25" i="9"/>
  <c r="BP13" i="9"/>
  <c r="L67" i="11"/>
  <c r="J66" i="11"/>
  <c r="AQ16" i="12"/>
  <c r="AD14" i="9"/>
  <c r="AD12" i="9" s="1"/>
  <c r="AA220" i="10"/>
  <c r="BO30" i="10" s="1"/>
  <c r="BI14" i="10" s="1"/>
  <c r="AI152" i="14"/>
  <c r="AB228" i="12"/>
  <c r="AI228" i="11"/>
  <c r="AI227" i="11" s="1"/>
  <c r="AI220" i="11" s="1"/>
  <c r="AD227" i="11"/>
  <c r="AD220" i="11" s="1"/>
  <c r="BP30" i="11" s="1"/>
  <c r="BJ14" i="11" s="1"/>
  <c r="Y98" i="11"/>
  <c r="AA96" i="10"/>
  <c r="AH98" i="10"/>
  <c r="AH96" i="10" s="1"/>
  <c r="AD174" i="11"/>
  <c r="AB172" i="11"/>
  <c r="E43" i="15"/>
  <c r="E42" i="14"/>
  <c r="AA198" i="10"/>
  <c r="Y197" i="10"/>
  <c r="Y196" i="10" s="1"/>
  <c r="Y195" i="10" s="1"/>
  <c r="Y193" i="10" s="1"/>
  <c r="AB142" i="13"/>
  <c r="AD141" i="12"/>
  <c r="BP20" i="12" s="1"/>
  <c r="AA112" i="9"/>
  <c r="AA110" i="9" s="1"/>
  <c r="BO17" i="9"/>
  <c r="BO15" i="9" s="1"/>
  <c r="BI10" i="9" s="1"/>
  <c r="V59" i="15"/>
  <c r="V58" i="14"/>
  <c r="V57" i="14" s="1"/>
  <c r="X59" i="14"/>
  <c r="AB124" i="12"/>
  <c r="AI124" i="11"/>
  <c r="AI123" i="11" s="1"/>
  <c r="AD123" i="11"/>
  <c r="AD112" i="11" s="1"/>
  <c r="AJ159" i="13"/>
  <c r="AI159" i="13"/>
  <c r="M67" i="13"/>
  <c r="BO13" i="9"/>
  <c r="AD46" i="10"/>
  <c r="AB44" i="10"/>
  <c r="AB43" i="10" s="1"/>
  <c r="E61" i="15"/>
  <c r="E60" i="14"/>
  <c r="AW22" i="16"/>
  <c r="AY22" i="16" s="1"/>
  <c r="AU22" i="16"/>
  <c r="AZ14" i="9"/>
  <c r="Y157" i="10"/>
  <c r="Y155" i="10" s="1"/>
  <c r="Y145" i="10" s="1"/>
  <c r="AA159" i="10"/>
  <c r="W96" i="16"/>
  <c r="X98" i="16"/>
  <c r="AD71" i="10"/>
  <c r="AB69" i="10"/>
  <c r="AB65" i="10" s="1"/>
  <c r="AB63" i="10" s="1"/>
  <c r="AB206" i="11"/>
  <c r="AD205" i="10"/>
  <c r="AD196" i="10" s="1"/>
  <c r="AI206" i="10"/>
  <c r="AI205" i="10" s="1"/>
  <c r="AI196" i="10" s="1"/>
  <c r="AI195" i="10" s="1"/>
  <c r="AI193" i="10" s="1"/>
  <c r="AE141" i="11"/>
  <c r="AG143" i="11"/>
  <c r="AV24" i="9"/>
  <c r="AA211" i="10"/>
  <c r="AA210" i="10" s="1"/>
  <c r="AA209" i="10" s="1"/>
  <c r="BO27" i="10" s="1"/>
  <c r="Y215" i="11"/>
  <c r="AH215" i="10"/>
  <c r="AH211" i="10" s="1"/>
  <c r="AH210" i="10" s="1"/>
  <c r="AH209" i="10" s="1"/>
  <c r="Y47" i="11"/>
  <c r="AA44" i="10"/>
  <c r="AA43" i="10" s="1"/>
  <c r="AH47" i="10"/>
  <c r="AH44" i="10" s="1"/>
  <c r="AH43" i="10" s="1"/>
  <c r="W69" i="14"/>
  <c r="W65" i="14" s="1"/>
  <c r="W63" i="14" s="1"/>
  <c r="W72" i="15"/>
  <c r="X72" i="14"/>
  <c r="AA152" i="12"/>
  <c r="Y149" i="12"/>
  <c r="Y147" i="12" s="1"/>
  <c r="AR28" i="9"/>
  <c r="AW28" i="9" s="1"/>
  <c r="AY28" i="9" s="1"/>
  <c r="AD193" i="9"/>
  <c r="AA59" i="10"/>
  <c r="Y58" i="10"/>
  <c r="Y57" i="10" s="1"/>
  <c r="W110" i="13"/>
  <c r="E21" i="13"/>
  <c r="E19" i="13" s="1"/>
  <c r="E17" i="13" s="1"/>
  <c r="E8" i="13" s="1"/>
  <c r="E126" i="13" s="1"/>
  <c r="AU35" i="7"/>
  <c r="X90" i="12"/>
  <c r="W152" i="16"/>
  <c r="W149" i="15"/>
  <c r="W147" i="15" s="1"/>
  <c r="X152" i="15"/>
  <c r="L73" i="10"/>
  <c r="J72" i="10"/>
  <c r="AB97" i="11"/>
  <c r="AI97" i="10"/>
  <c r="AI96" i="10" s="1"/>
  <c r="AI90" i="10" s="1"/>
  <c r="AD96" i="10"/>
  <c r="AD90" i="10" s="1"/>
  <c r="I44" i="10"/>
  <c r="G42" i="10"/>
  <c r="L55" i="11"/>
  <c r="J54" i="11"/>
  <c r="AA125" i="10"/>
  <c r="Y123" i="10"/>
  <c r="M34" i="13"/>
  <c r="M32" i="13" s="1"/>
  <c r="F32" i="13"/>
  <c r="BP12" i="9"/>
  <c r="BP9" i="9" s="1"/>
  <c r="AR23" i="9"/>
  <c r="Y91" i="10"/>
  <c r="Y90" i="10" s="1"/>
  <c r="AA93" i="10"/>
  <c r="AA115" i="10"/>
  <c r="Y114" i="10"/>
  <c r="L49" i="10"/>
  <c r="J48" i="10"/>
  <c r="M80" i="10"/>
  <c r="G80" i="11"/>
  <c r="W159" i="15"/>
  <c r="X159" i="14"/>
  <c r="W157" i="14"/>
  <c r="W155" i="14" s="1"/>
  <c r="W145" i="14" s="1"/>
  <c r="E67" i="15"/>
  <c r="E66" i="14"/>
  <c r="F67" i="14"/>
  <c r="Y227" i="11"/>
  <c r="AA229" i="11"/>
  <c r="I36" i="10"/>
  <c r="AW9" i="10" s="1"/>
  <c r="G35" i="10"/>
  <c r="G28" i="10" s="1"/>
  <c r="L34" i="10"/>
  <c r="J32" i="10"/>
  <c r="J28" i="10" s="1"/>
  <c r="AD151" i="10"/>
  <c r="AB149" i="10"/>
  <c r="AB147" i="10" s="1"/>
  <c r="X8" i="9"/>
  <c r="AQ9" i="11"/>
  <c r="AY14" i="9"/>
  <c r="W193" i="14"/>
  <c r="BN8" i="10"/>
  <c r="BN7" i="10" s="1"/>
  <c r="BN32" i="10" s="1"/>
  <c r="AJ8" i="8"/>
  <c r="AJ258" i="8"/>
  <c r="W215" i="16"/>
  <c r="W211" i="15"/>
  <c r="W210" i="15" s="1"/>
  <c r="W209" i="15" s="1"/>
  <c r="X215" i="15"/>
  <c r="AJ71" i="13"/>
  <c r="AB143" i="15"/>
  <c r="W115" i="16"/>
  <c r="X115" i="15"/>
  <c r="W114" i="15"/>
  <c r="M73" i="14"/>
  <c r="F72" i="14"/>
  <c r="G48" i="11"/>
  <c r="I50" i="11"/>
  <c r="X198" i="15"/>
  <c r="W197" i="15"/>
  <c r="W196" i="15" s="1"/>
  <c r="W195" i="15" s="1"/>
  <c r="W193" i="15" s="1"/>
  <c r="W198" i="16"/>
  <c r="D55" i="15"/>
  <c r="F55" i="14"/>
  <c r="AI86" i="14"/>
  <c r="AH86" i="14"/>
  <c r="V71" i="15"/>
  <c r="X71" i="14"/>
  <c r="X222" i="14"/>
  <c r="AD173" i="14"/>
  <c r="AI115" i="14"/>
  <c r="AE173" i="12"/>
  <c r="AJ173" i="11"/>
  <c r="AJ172" i="11" s="1"/>
  <c r="AG172" i="11"/>
  <c r="X69" i="13"/>
  <c r="X65" i="13" s="1"/>
  <c r="N12" i="12"/>
  <c r="V220" i="14"/>
  <c r="D28" i="12"/>
  <c r="D21" i="12" s="1"/>
  <c r="D19" i="12" s="1"/>
  <c r="D17" i="12" s="1"/>
  <c r="AI215" i="14"/>
  <c r="W83" i="15"/>
  <c r="W86" i="16"/>
  <c r="X86" i="15"/>
  <c r="AA188" i="11"/>
  <c r="Y187" i="11"/>
  <c r="Y185" i="11" s="1"/>
  <c r="V223" i="16"/>
  <c r="X223" i="15"/>
  <c r="V222" i="15"/>
  <c r="E55" i="16"/>
  <c r="E54" i="16" s="1"/>
  <c r="E54" i="15"/>
  <c r="BN26" i="14"/>
  <c r="D61" i="16"/>
  <c r="D60" i="15"/>
  <c r="E79" i="16"/>
  <c r="E78" i="16" s="1"/>
  <c r="E78" i="15"/>
  <c r="AI93" i="14"/>
  <c r="W223" i="16"/>
  <c r="W222" i="16" s="1"/>
  <c r="W222" i="15"/>
  <c r="AA223" i="11"/>
  <c r="Y222" i="11"/>
  <c r="Y220" i="11" s="1"/>
  <c r="W177" i="16"/>
  <c r="W176" i="16" s="1"/>
  <c r="W170" i="16" s="1"/>
  <c r="W176" i="15"/>
  <c r="W170" i="15" s="1"/>
  <c r="W143" i="16"/>
  <c r="X143" i="15"/>
  <c r="W141" i="15"/>
  <c r="F54" i="13"/>
  <c r="AI114" i="11"/>
  <c r="V258" i="10"/>
  <c r="W235" i="15"/>
  <c r="W234" i="15" s="1"/>
  <c r="W238" i="16"/>
  <c r="W235" i="16" s="1"/>
  <c r="W234" i="16" s="1"/>
  <c r="E49" i="16"/>
  <c r="E48" i="16" s="1"/>
  <c r="E48" i="15"/>
  <c r="X93" i="15"/>
  <c r="W93" i="16"/>
  <c r="W91" i="15"/>
  <c r="W90" i="15" s="1"/>
  <c r="AA52" i="11"/>
  <c r="Y49" i="11"/>
  <c r="E73" i="16"/>
  <c r="E72" i="16" s="1"/>
  <c r="E72" i="15"/>
  <c r="D73" i="16"/>
  <c r="F73" i="15"/>
  <c r="D72" i="15"/>
  <c r="AA143" i="11"/>
  <c r="Y141" i="11"/>
  <c r="AI143" i="14"/>
  <c r="F60" i="14"/>
  <c r="M61" i="14"/>
  <c r="V110" i="12"/>
  <c r="X258" i="9"/>
  <c r="X145" i="12"/>
  <c r="D71" i="15"/>
  <c r="D69" i="14"/>
  <c r="I76" i="14"/>
  <c r="G75" i="14"/>
  <c r="D75" i="13"/>
  <c r="F76" i="13"/>
  <c r="BC17" i="13" s="1"/>
  <c r="D76" i="14"/>
  <c r="AG87" i="10"/>
  <c r="AE83" i="10"/>
  <c r="D48" i="15"/>
  <c r="F49" i="15"/>
  <c r="D49" i="16"/>
  <c r="AH92" i="13"/>
  <c r="AJ92" i="13"/>
  <c r="X91" i="13"/>
  <c r="AQ23" i="12"/>
  <c r="W21" i="15"/>
  <c r="W20" i="14"/>
  <c r="W16" i="14" s="1"/>
  <c r="D30" i="14"/>
  <c r="F30" i="13"/>
  <c r="D29" i="13"/>
  <c r="D59" i="15"/>
  <c r="D57" i="14"/>
  <c r="D23" i="14"/>
  <c r="F23" i="13"/>
  <c r="F22" i="13" s="1"/>
  <c r="AQ7" i="13" s="1"/>
  <c r="AE99" i="10"/>
  <c r="AJ99" i="9"/>
  <c r="AJ96" i="9" s="1"/>
  <c r="AG96" i="9"/>
  <c r="AJ21" i="13"/>
  <c r="AH21" i="13"/>
  <c r="X20" i="13"/>
  <c r="X16" i="13" s="1"/>
  <c r="I64" i="16"/>
  <c r="G63" i="16"/>
  <c r="V145" i="13"/>
  <c r="D46" i="15"/>
  <c r="D45" i="14"/>
  <c r="F46" i="14"/>
  <c r="F48" i="14"/>
  <c r="M49" i="14"/>
  <c r="AG189" i="10"/>
  <c r="AE187" i="10"/>
  <c r="AE185" i="10" s="1"/>
  <c r="BN25" i="11"/>
  <c r="BH12" i="11" s="1"/>
  <c r="V118" i="14"/>
  <c r="X118" i="13"/>
  <c r="V114" i="13"/>
  <c r="V112" i="13" s="1"/>
  <c r="AH46" i="12"/>
  <c r="AJ46" i="12"/>
  <c r="X44" i="12"/>
  <c r="X43" i="12" s="1"/>
  <c r="BN14" i="11"/>
  <c r="X63" i="11"/>
  <c r="X12" i="11" s="1"/>
  <c r="V92" i="15"/>
  <c r="X92" i="14"/>
  <c r="V91" i="14"/>
  <c r="X10" i="10"/>
  <c r="AG116" i="10"/>
  <c r="AE114" i="10"/>
  <c r="AG160" i="10"/>
  <c r="AE157" i="10"/>
  <c r="AE155" i="10" s="1"/>
  <c r="AE145" i="10" s="1"/>
  <c r="W51" i="15"/>
  <c r="W49" i="14"/>
  <c r="D36" i="14"/>
  <c r="F36" i="13"/>
  <c r="D35" i="13"/>
  <c r="AI118" i="12"/>
  <c r="AH118" i="12"/>
  <c r="AJ118" i="12"/>
  <c r="X114" i="12"/>
  <c r="V214" i="15"/>
  <c r="X214" i="14"/>
  <c r="V211" i="14"/>
  <c r="V210" i="14" s="1"/>
  <c r="V209" i="14" s="1"/>
  <c r="F51" i="13"/>
  <c r="BN12" i="12"/>
  <c r="BN9" i="12" s="1"/>
  <c r="BP32" i="8"/>
  <c r="BJ16" i="8"/>
  <c r="AB8" i="9"/>
  <c r="AQ9" i="10"/>
  <c r="F21" i="10"/>
  <c r="F19" i="10" s="1"/>
  <c r="AH151" i="13"/>
  <c r="AJ151" i="13"/>
  <c r="X149" i="13"/>
  <c r="X147" i="13" s="1"/>
  <c r="V142" i="15"/>
  <c r="X142" i="14"/>
  <c r="V141" i="14"/>
  <c r="AE126" i="10"/>
  <c r="AJ126" i="9"/>
  <c r="AJ123" i="9" s="1"/>
  <c r="AJ112" i="9" s="1"/>
  <c r="AJ110" i="9" s="1"/>
  <c r="AG123" i="9"/>
  <c r="AG112" i="9" s="1"/>
  <c r="AG110" i="9" s="1"/>
  <c r="AS26" i="9" s="1"/>
  <c r="AH206" i="13"/>
  <c r="AH205" i="13" s="1"/>
  <c r="X205" i="13"/>
  <c r="AJ51" i="13"/>
  <c r="AI51" i="13"/>
  <c r="AH51" i="13"/>
  <c r="X49" i="13"/>
  <c r="D43" i="15"/>
  <c r="D42" i="14"/>
  <c r="F43" i="14"/>
  <c r="AJ85" i="12"/>
  <c r="X83" i="12"/>
  <c r="AQ24" i="12" s="1"/>
  <c r="AI85" i="12"/>
  <c r="V21" i="15"/>
  <c r="X21" i="14"/>
  <c r="V20" i="14"/>
  <c r="V16" i="14" s="1"/>
  <c r="AH97" i="13"/>
  <c r="AJ97" i="13"/>
  <c r="X96" i="13"/>
  <c r="BC10" i="11"/>
  <c r="BC9" i="11" s="1"/>
  <c r="BC8" i="11" s="1"/>
  <c r="BC22" i="11" s="1"/>
  <c r="AE94" i="10"/>
  <c r="AJ94" i="9"/>
  <c r="AJ91" i="9" s="1"/>
  <c r="AG91" i="9"/>
  <c r="AH158" i="13"/>
  <c r="AI158" i="13"/>
  <c r="X157" i="13"/>
  <c r="X155" i="13" s="1"/>
  <c r="BN17" i="13" s="1"/>
  <c r="AJ158" i="13"/>
  <c r="I70" i="15"/>
  <c r="G69" i="15"/>
  <c r="BC15" i="13"/>
  <c r="N46" i="13"/>
  <c r="AG63" i="8"/>
  <c r="AG12" i="8" s="1"/>
  <c r="AG10" i="8" s="1"/>
  <c r="AS25" i="8"/>
  <c r="AU29" i="11"/>
  <c r="AV29" i="11"/>
  <c r="V46" i="14"/>
  <c r="X46" i="13"/>
  <c r="V44" i="13"/>
  <c r="V43" i="13" s="1"/>
  <c r="V14" i="13" s="1"/>
  <c r="N79" i="13"/>
  <c r="M79" i="13"/>
  <c r="AJ39" i="13"/>
  <c r="AH39" i="13"/>
  <c r="X35" i="13"/>
  <c r="AQ25" i="11"/>
  <c r="BN13" i="11"/>
  <c r="BH8" i="11" s="1"/>
  <c r="N64" i="12"/>
  <c r="BC14" i="12"/>
  <c r="M64" i="12"/>
  <c r="M63" i="12" s="1"/>
  <c r="F63" i="12"/>
  <c r="V196" i="13"/>
  <c r="V195" i="13" s="1"/>
  <c r="V193" i="13" s="1"/>
  <c r="AI178" i="16"/>
  <c r="AH178" i="16"/>
  <c r="AJ142" i="13"/>
  <c r="AH142" i="13"/>
  <c r="X141" i="13"/>
  <c r="BN20" i="13" s="1"/>
  <c r="BC13" i="12"/>
  <c r="F29" i="12"/>
  <c r="V206" i="15"/>
  <c r="V205" i="14"/>
  <c r="X206" i="14"/>
  <c r="N23" i="12"/>
  <c r="BC12" i="12"/>
  <c r="AQ29" i="12"/>
  <c r="BN27" i="12"/>
  <c r="W46" i="15"/>
  <c r="W44" i="14"/>
  <c r="W43" i="14" s="1"/>
  <c r="F79" i="14"/>
  <c r="D79" i="15"/>
  <c r="D78" i="14"/>
  <c r="F78" i="14" s="1"/>
  <c r="AQ28" i="10"/>
  <c r="X193" i="10"/>
  <c r="D83" i="16"/>
  <c r="D81" i="16" s="1"/>
  <c r="D81" i="15"/>
  <c r="F64" i="13"/>
  <c r="D64" i="14"/>
  <c r="D63" i="13"/>
  <c r="V201" i="15"/>
  <c r="X201" i="14"/>
  <c r="V197" i="14"/>
  <c r="V196" i="14" s="1"/>
  <c r="V195" i="14" s="1"/>
  <c r="D52" i="15"/>
  <c r="D51" i="14"/>
  <c r="F52" i="14"/>
  <c r="N52" i="14" s="1"/>
  <c r="AI178" i="15"/>
  <c r="AH178" i="15"/>
  <c r="AV10" i="12"/>
  <c r="AU10" i="12"/>
  <c r="V151" i="15"/>
  <c r="X151" i="14"/>
  <c r="V149" i="14"/>
  <c r="V147" i="14" s="1"/>
  <c r="D12" i="14"/>
  <c r="F12" i="13"/>
  <c r="F10" i="13" s="1"/>
  <c r="BC7" i="13" s="1"/>
  <c r="D10" i="13"/>
  <c r="BN16" i="11"/>
  <c r="BN15" i="11" s="1"/>
  <c r="BH10" i="11" s="1"/>
  <c r="X112" i="11"/>
  <c r="X110" i="11" s="1"/>
  <c r="AQ26" i="11" s="1"/>
  <c r="AE178" i="10"/>
  <c r="AJ178" i="9"/>
  <c r="AJ176" i="9" s="1"/>
  <c r="AJ170" i="9" s="1"/>
  <c r="AG176" i="9"/>
  <c r="AG170" i="9" s="1"/>
  <c r="AS27" i="9" s="1"/>
  <c r="AV27" i="9" s="1"/>
  <c r="V51" i="15"/>
  <c r="X51" i="14"/>
  <c r="V49" i="14"/>
  <c r="M43" i="13"/>
  <c r="BC16" i="13"/>
  <c r="F42" i="13"/>
  <c r="AQ10" i="13" s="1"/>
  <c r="N76" i="12"/>
  <c r="M76" i="12"/>
  <c r="M75" i="12" s="1"/>
  <c r="F75" i="12"/>
  <c r="V85" i="14"/>
  <c r="X85" i="13"/>
  <c r="V83" i="13"/>
  <c r="V97" i="15"/>
  <c r="X97" i="14"/>
  <c r="V96" i="14"/>
  <c r="W39" i="15"/>
  <c r="W35" i="14"/>
  <c r="F35" i="12"/>
  <c r="V158" i="15"/>
  <c r="X158" i="14"/>
  <c r="V157" i="14"/>
  <c r="V155" i="14" s="1"/>
  <c r="W43" i="13"/>
  <c r="W14" i="13" s="1"/>
  <c r="W12" i="13" s="1"/>
  <c r="X196" i="12"/>
  <c r="V39" i="15"/>
  <c r="X39" i="14"/>
  <c r="V35" i="14"/>
  <c r="AG106" i="10"/>
  <c r="AE105" i="10"/>
  <c r="AE104" i="10" s="1"/>
  <c r="AH214" i="13"/>
  <c r="AI214" i="13"/>
  <c r="X211" i="13"/>
  <c r="X210" i="13" s="1"/>
  <c r="X209" i="13" s="1"/>
  <c r="AJ214" i="13"/>
  <c r="V90" i="13"/>
  <c r="AI201" i="13"/>
  <c r="AH201" i="13"/>
  <c r="X197" i="13"/>
  <c r="AJ201" i="13"/>
  <c r="AS28" i="9"/>
  <c r="AX28" i="9" s="1"/>
  <c r="AZ28" i="9" s="1"/>
  <c r="AG193" i="9"/>
  <c r="L8" i="8"/>
  <c r="L126" i="8" s="1"/>
  <c r="L130" i="8" s="1"/>
  <c r="AD258" i="8"/>
  <c r="BP33" i="8" s="1"/>
  <c r="T33" i="16"/>
  <c r="X243" i="12"/>
  <c r="X232" i="12" s="1"/>
  <c r="BN29" i="12" s="1"/>
  <c r="BH13" i="12" s="1"/>
  <c r="AJ244" i="9"/>
  <c r="AJ243" i="9" s="1"/>
  <c r="AJ232" i="9" s="1"/>
  <c r="AE244" i="10"/>
  <c r="AG243" i="9"/>
  <c r="AB258" i="9"/>
  <c r="AR29" i="10"/>
  <c r="AW29" i="10" s="1"/>
  <c r="AY29" i="10" s="1"/>
  <c r="AJ193" i="9"/>
  <c r="V244" i="14"/>
  <c r="X244" i="13"/>
  <c r="V243" i="13"/>
  <c r="V232" i="13" s="1"/>
  <c r="AH8" i="8"/>
  <c r="AA10" i="8"/>
  <c r="AA8" i="8" s="1"/>
  <c r="U1" i="8" s="1"/>
  <c r="D8" i="12"/>
  <c r="Y244" i="10"/>
  <c r="AA243" i="9"/>
  <c r="AA232" i="9" s="1"/>
  <c r="BO29" i="9" s="1"/>
  <c r="BI13" i="9" s="1"/>
  <c r="AH244" i="9"/>
  <c r="AH243" i="9" s="1"/>
  <c r="AH232" i="9" s="1"/>
  <c r="I55" i="10"/>
  <c r="G54" i="10"/>
  <c r="AB244" i="10"/>
  <c r="AD243" i="9"/>
  <c r="AD232" i="9" s="1"/>
  <c r="AI244" i="9"/>
  <c r="AI243" i="9" s="1"/>
  <c r="AI232" i="9" s="1"/>
  <c r="AG234" i="9"/>
  <c r="AE258" i="8"/>
  <c r="W243" i="13"/>
  <c r="W232" i="13" s="1"/>
  <c r="W244" i="14"/>
  <c r="AQ30" i="11"/>
  <c r="BN29" i="11"/>
  <c r="BH13" i="11" s="1"/>
  <c r="AA51" i="16"/>
  <c r="AD59" i="16"/>
  <c r="AB58" i="16"/>
  <c r="AB57" i="16" s="1"/>
  <c r="Y12" i="9"/>
  <c r="Y10" i="9" s="1"/>
  <c r="Y8" i="9" s="1"/>
  <c r="AX29" i="9"/>
  <c r="AZ29" i="9" s="1"/>
  <c r="Y246" i="15"/>
  <c r="AH246" i="14"/>
  <c r="L68" i="12"/>
  <c r="AD150" i="12"/>
  <c r="AD117" i="12"/>
  <c r="AB114" i="12"/>
  <c r="L62" i="12"/>
  <c r="AD92" i="12"/>
  <c r="AB91" i="12"/>
  <c r="AD22" i="12"/>
  <c r="AG98" i="12"/>
  <c r="AA190" i="14"/>
  <c r="AG47" i="12"/>
  <c r="AE44" i="12"/>
  <c r="J50" i="13"/>
  <c r="N50" i="12"/>
  <c r="L36" i="12"/>
  <c r="J35" i="12"/>
  <c r="AD223" i="12"/>
  <c r="AB222" i="12"/>
  <c r="L30" i="12"/>
  <c r="J29" i="12"/>
  <c r="AG59" i="12"/>
  <c r="AE58" i="12"/>
  <c r="AE57" i="12" s="1"/>
  <c r="AA100" i="14"/>
  <c r="L56" i="12"/>
  <c r="AA150" i="14"/>
  <c r="Y107" i="15"/>
  <c r="AA105" i="14"/>
  <c r="AA104" i="14" s="1"/>
  <c r="AH107" i="14"/>
  <c r="AH105" i="14" s="1"/>
  <c r="AH104" i="14" s="1"/>
  <c r="AA46" i="16"/>
  <c r="Y179" i="15"/>
  <c r="AH179" i="14"/>
  <c r="AD100" i="12"/>
  <c r="AA225" i="14"/>
  <c r="AG115" i="12"/>
  <c r="AB127" i="13"/>
  <c r="AI127" i="12"/>
  <c r="Y213" i="15"/>
  <c r="AH213" i="14"/>
  <c r="Y173" i="15"/>
  <c r="AA172" i="14"/>
  <c r="AH173" i="14"/>
  <c r="AB229" i="13"/>
  <c r="AI229" i="12"/>
  <c r="Y117" i="15"/>
  <c r="AH117" i="14"/>
  <c r="AA95" i="14"/>
  <c r="AG86" i="12"/>
  <c r="AD198" i="12"/>
  <c r="AB197" i="12"/>
  <c r="AA200" i="14"/>
  <c r="J74" i="13"/>
  <c r="N74" i="12"/>
  <c r="AB188" i="13"/>
  <c r="AD187" i="12"/>
  <c r="AD185" i="12" s="1"/>
  <c r="AI188" i="12"/>
  <c r="AI187" i="12" s="1"/>
  <c r="AI185" i="12" s="1"/>
  <c r="AE93" i="13"/>
  <c r="AJ93" i="12"/>
  <c r="L44" i="12"/>
  <c r="AD238" i="12"/>
  <c r="AB235" i="12"/>
  <c r="AB234" i="12" s="1"/>
  <c r="AE36" i="13"/>
  <c r="AJ36" i="12"/>
  <c r="AJ35" i="12" s="1"/>
  <c r="AG35" i="12"/>
  <c r="AE149" i="12"/>
  <c r="AE147" i="12" s="1"/>
  <c r="AG152" i="12"/>
  <c r="J80" i="13"/>
  <c r="N80" i="12"/>
  <c r="BN24" i="12"/>
  <c r="BN22" i="12" s="1"/>
  <c r="BH11" i="12" s="1"/>
  <c r="AA63" i="9"/>
  <c r="U262" i="5"/>
  <c r="U260" i="5" s="1"/>
  <c r="U264" i="5" s="1"/>
  <c r="AJ262" i="5"/>
  <c r="AJ260" i="5" s="1"/>
  <c r="AJ264" i="5" s="1"/>
  <c r="AF262" i="5"/>
  <c r="AF260" i="5" s="1"/>
  <c r="AF264" i="5" s="1"/>
  <c r="X262" i="5"/>
  <c r="X260" i="5" s="1"/>
  <c r="X264" i="5" s="1"/>
  <c r="AI262" i="5"/>
  <c r="AI260" i="5" s="1"/>
  <c r="AI264" i="5" s="1"/>
  <c r="AE262" i="5"/>
  <c r="AE260" i="5" s="1"/>
  <c r="AE264" i="5" s="1"/>
  <c r="AA262" i="5"/>
  <c r="AA260" i="5" s="1"/>
  <c r="AA264" i="5" s="1"/>
  <c r="W262" i="5"/>
  <c r="W260" i="5" s="1"/>
  <c r="W264" i="5" s="1"/>
  <c r="AH262" i="5"/>
  <c r="AH260" i="5" s="1"/>
  <c r="AH264" i="5" s="1"/>
  <c r="AD262" i="5"/>
  <c r="AD260" i="5" s="1"/>
  <c r="AD264" i="5" s="1"/>
  <c r="Z262" i="5"/>
  <c r="Z260" i="5" s="1"/>
  <c r="Z264" i="5" s="1"/>
  <c r="AG262" i="5"/>
  <c r="AG260" i="5" s="1"/>
  <c r="AG264" i="5" s="1"/>
  <c r="AC262" i="5"/>
  <c r="AC260" i="5" s="1"/>
  <c r="AC264" i="5" s="1"/>
  <c r="Y262" i="5"/>
  <c r="Y260" i="5" s="1"/>
  <c r="Y264" i="5" s="1"/>
  <c r="AB262" i="5"/>
  <c r="AB260" i="5" s="1"/>
  <c r="AB264" i="5" s="1"/>
  <c r="V262" i="5"/>
  <c r="V260" i="5" s="1"/>
  <c r="V264" i="5" s="1"/>
  <c r="BH7" i="10"/>
  <c r="BH16" i="10" s="1"/>
  <c r="BO14" i="9"/>
  <c r="BI9" i="9" s="1"/>
  <c r="AH63" i="9"/>
  <c r="AG202" i="10"/>
  <c r="AE197" i="10"/>
  <c r="AE196" i="10" s="1"/>
  <c r="AE195" i="10" s="1"/>
  <c r="AA85" i="10"/>
  <c r="Y83" i="10"/>
  <c r="BI15" i="10"/>
  <c r="AG212" i="10"/>
  <c r="AE211" i="10"/>
  <c r="AE210" i="10" s="1"/>
  <c r="AE209" i="10" s="1"/>
  <c r="AG174" i="15"/>
  <c r="AA61" i="11"/>
  <c r="AG241" i="10"/>
  <c r="AE235" i="10"/>
  <c r="AE234" i="10" s="1"/>
  <c r="AH14" i="9"/>
  <c r="AA37" i="10"/>
  <c r="Y35" i="10"/>
  <c r="AG52" i="10"/>
  <c r="AE49" i="10"/>
  <c r="AE43" i="10" s="1"/>
  <c r="AD145" i="9"/>
  <c r="AD110" i="9" s="1"/>
  <c r="AR26" i="9" s="1"/>
  <c r="BP17" i="9"/>
  <c r="BP15" i="9" s="1"/>
  <c r="BJ10" i="9" s="1"/>
  <c r="AA27" i="10"/>
  <c r="Y20" i="10"/>
  <c r="Y16" i="10" s="1"/>
  <c r="L115" i="14"/>
  <c r="J113" i="14"/>
  <c r="BP24" i="9"/>
  <c r="BP22" i="9" s="1"/>
  <c r="BJ11" i="9" s="1"/>
  <c r="AR27" i="9"/>
  <c r="G115" i="14"/>
  <c r="I113" i="13"/>
  <c r="AR15" i="13" s="1"/>
  <c r="AW15" i="13" s="1"/>
  <c r="BD20" i="13"/>
  <c r="M115" i="13"/>
  <c r="M113" i="13" s="1"/>
  <c r="AA71" i="10"/>
  <c r="Y69" i="10"/>
  <c r="Y65" i="10" s="1"/>
  <c r="AJ14" i="9"/>
  <c r="AD167" i="10"/>
  <c r="AB157" i="10"/>
  <c r="AB155" i="10" s="1"/>
  <c r="AB145" i="10" s="1"/>
  <c r="AB110" i="10" s="1"/>
  <c r="AD39" i="10"/>
  <c r="AB35" i="10"/>
  <c r="W133" i="15"/>
  <c r="X133" i="14"/>
  <c r="X123" i="14" s="1"/>
  <c r="W123" i="14"/>
  <c r="W112" i="14" s="1"/>
  <c r="AD180" i="10"/>
  <c r="AB176" i="10"/>
  <c r="AB170" i="10" s="1"/>
  <c r="AG14" i="9"/>
  <c r="AS23" i="9"/>
  <c r="AG23" i="10"/>
  <c r="AE20" i="10"/>
  <c r="AE16" i="10" s="1"/>
  <c r="AG70" i="10"/>
  <c r="AE69" i="10"/>
  <c r="AE65" i="10" s="1"/>
  <c r="AA14" i="9"/>
  <c r="BO12" i="9"/>
  <c r="BO9" i="9" s="1"/>
  <c r="AJ133" i="13"/>
  <c r="AI133" i="13"/>
  <c r="X170" i="13"/>
  <c r="AQ27" i="13" s="1"/>
  <c r="AR16" i="9"/>
  <c r="AW16" i="9" s="1"/>
  <c r="AY16" i="9" s="1"/>
  <c r="AS16" i="9"/>
  <c r="AX16" i="9" s="1"/>
  <c r="J95" i="14"/>
  <c r="L94" i="13"/>
  <c r="N95" i="13"/>
  <c r="N94" i="13" s="1"/>
  <c r="AI73" i="14"/>
  <c r="AJ73" i="14"/>
  <c r="X69" i="14"/>
  <c r="X65" i="14" s="1"/>
  <c r="AH73" i="14"/>
  <c r="AG124" i="11"/>
  <c r="AG80" i="11"/>
  <c r="V170" i="14"/>
  <c r="V228" i="16"/>
  <c r="V227" i="15"/>
  <c r="X228" i="15"/>
  <c r="AH238" i="14"/>
  <c r="AG161" i="11"/>
  <c r="K126" i="13"/>
  <c r="K130" i="13" s="1"/>
  <c r="N24" i="20"/>
  <c r="BE22" i="13"/>
  <c r="BF22" i="13" s="1"/>
  <c r="BF21" i="13"/>
  <c r="V177" i="16"/>
  <c r="V176" i="15"/>
  <c r="X177" i="15"/>
  <c r="X187" i="14"/>
  <c r="X185" i="14" s="1"/>
  <c r="BP27" i="10"/>
  <c r="AI237" i="14"/>
  <c r="X235" i="14"/>
  <c r="X234" i="14" s="1"/>
  <c r="V174" i="16"/>
  <c r="V172" i="15"/>
  <c r="X174" i="15"/>
  <c r="G41" i="14"/>
  <c r="I41" i="14" s="1"/>
  <c r="V238" i="16"/>
  <c r="X238" i="16" s="1"/>
  <c r="X238" i="15"/>
  <c r="AH135" i="14"/>
  <c r="AI135" i="14"/>
  <c r="AJ135" i="14"/>
  <c r="P126" i="13"/>
  <c r="P130" i="13" s="1"/>
  <c r="V73" i="16"/>
  <c r="V69" i="15"/>
  <c r="V65" i="15" s="1"/>
  <c r="X73" i="15"/>
  <c r="AD75" i="11"/>
  <c r="AD216" i="11"/>
  <c r="AB211" i="11"/>
  <c r="AB210" i="11" s="1"/>
  <c r="AB209" i="11" s="1"/>
  <c r="X227" i="14"/>
  <c r="AH228" i="14"/>
  <c r="AW24" i="9"/>
  <c r="AY24" i="9" s="1"/>
  <c r="AU24" i="9"/>
  <c r="J12" i="14"/>
  <c r="L12" i="14" s="1"/>
  <c r="V135" i="16"/>
  <c r="X135" i="15"/>
  <c r="V123" i="15"/>
  <c r="BE21" i="14"/>
  <c r="P128" i="14"/>
  <c r="P126" i="14" s="1"/>
  <c r="P130" i="14" s="1"/>
  <c r="C128" i="14"/>
  <c r="H128" i="14"/>
  <c r="H126" i="14" s="1"/>
  <c r="H130" i="14" s="1"/>
  <c r="Q128" i="14"/>
  <c r="Q126" i="14" s="1"/>
  <c r="Q130" i="14" s="1"/>
  <c r="B24" i="15"/>
  <c r="K128" i="14"/>
  <c r="K126" i="14" s="1"/>
  <c r="K130" i="14" s="1"/>
  <c r="I105" i="13"/>
  <c r="BD19" i="13" s="1"/>
  <c r="G104" i="13"/>
  <c r="BN23" i="14"/>
  <c r="X176" i="14"/>
  <c r="AI177" i="14"/>
  <c r="AJ177" i="14"/>
  <c r="V188" i="16"/>
  <c r="V187" i="15"/>
  <c r="V185" i="15" s="1"/>
  <c r="X188" i="15"/>
  <c r="L86" i="13"/>
  <c r="J85" i="13"/>
  <c r="V237" i="16"/>
  <c r="V235" i="15"/>
  <c r="V234" i="15" s="1"/>
  <c r="X237" i="15"/>
  <c r="AH174" i="14"/>
  <c r="X172" i="14"/>
  <c r="AJ174" i="14"/>
  <c r="BN31" i="14"/>
  <c r="BH15" i="14" s="1"/>
  <c r="I95" i="13"/>
  <c r="BD18" i="13" s="1"/>
  <c r="G94" i="13"/>
  <c r="L105" i="13"/>
  <c r="J104" i="13"/>
  <c r="G21" i="9"/>
  <c r="G19" i="9" s="1"/>
  <c r="G17" i="9" s="1"/>
  <c r="G24" i="10"/>
  <c r="BD21" i="9"/>
  <c r="M24" i="9"/>
  <c r="M22" i="9" s="1"/>
  <c r="I22" i="9"/>
  <c r="AR7" i="9" s="1"/>
  <c r="AU7" i="9" s="1"/>
  <c r="AW7" i="9"/>
  <c r="AY7" i="9" s="1"/>
  <c r="N128" i="9"/>
  <c r="N21" i="9"/>
  <c r="N19" i="9" s="1"/>
  <c r="N17" i="9" s="1"/>
  <c r="N8" i="9" s="1"/>
  <c r="L21" i="9"/>
  <c r="L19" i="9" s="1"/>
  <c r="AS14" i="9" s="1"/>
  <c r="AV14" i="9" s="1"/>
  <c r="L27" i="10"/>
  <c r="L128" i="10" s="1"/>
  <c r="J25" i="10"/>
  <c r="I17" i="8"/>
  <c r="AR14" i="8"/>
  <c r="I126" i="7"/>
  <c r="I130" i="7" s="1"/>
  <c r="J5" i="7"/>
  <c r="K1" i="7"/>
  <c r="G27" i="10"/>
  <c r="AW8" i="9"/>
  <c r="AY8" i="9" s="1"/>
  <c r="I25" i="9"/>
  <c r="AR8" i="9" s="1"/>
  <c r="AU8" i="9" s="1"/>
  <c r="M27" i="9"/>
  <c r="M25" i="9" s="1"/>
  <c r="I128" i="9"/>
  <c r="G88" i="14"/>
  <c r="M88" i="13"/>
  <c r="M85" i="13" s="1"/>
  <c r="I85" i="13"/>
  <c r="AW11" i="13"/>
  <c r="AY11" i="13" s="1"/>
  <c r="AR11" i="13"/>
  <c r="AU11" i="13" s="1"/>
  <c r="L31" i="14"/>
  <c r="J37" i="14"/>
  <c r="M31" i="14"/>
  <c r="M77" i="14"/>
  <c r="E47" i="16"/>
  <c r="E45" i="15"/>
  <c r="F47" i="15"/>
  <c r="M65" i="14"/>
  <c r="M26" i="14"/>
  <c r="BC11" i="14"/>
  <c r="D13" i="16"/>
  <c r="F13" i="15"/>
  <c r="D68" i="16"/>
  <c r="D66" i="15"/>
  <c r="F68" i="15"/>
  <c r="E53" i="16"/>
  <c r="E51" i="15"/>
  <c r="F53" i="15"/>
  <c r="J33" i="12"/>
  <c r="N33" i="11"/>
  <c r="D56" i="16"/>
  <c r="D54" i="15"/>
  <c r="F56" i="15"/>
  <c r="E77" i="16"/>
  <c r="E75" i="15"/>
  <c r="F77" i="15"/>
  <c r="F45" i="14"/>
  <c r="M47" i="14"/>
  <c r="J83" i="12"/>
  <c r="L81" i="11"/>
  <c r="N83" i="11"/>
  <c r="N81" i="11" s="1"/>
  <c r="E65" i="16"/>
  <c r="E63" i="15"/>
  <c r="F65" i="15"/>
  <c r="E26" i="16"/>
  <c r="E25" i="15"/>
  <c r="F26" i="15"/>
  <c r="M13" i="14"/>
  <c r="F66" i="14"/>
  <c r="M53" i="14"/>
  <c r="F51" i="14"/>
  <c r="G52" i="12"/>
  <c r="I51" i="11"/>
  <c r="M52" i="11"/>
  <c r="M51" i="11" s="1"/>
  <c r="J65" i="12"/>
  <c r="L63" i="11"/>
  <c r="N65" i="11"/>
  <c r="N63" i="11" s="1"/>
  <c r="G37" i="12"/>
  <c r="M37" i="11"/>
  <c r="F54" i="14"/>
  <c r="E71" i="16"/>
  <c r="E69" i="15"/>
  <c r="F71" i="15"/>
  <c r="J47" i="12"/>
  <c r="L45" i="11"/>
  <c r="N47" i="11"/>
  <c r="N45" i="11" s="1"/>
  <c r="E83" i="16"/>
  <c r="E81" i="15"/>
  <c r="F83" i="15"/>
  <c r="J77" i="12"/>
  <c r="L75" i="11"/>
  <c r="N77" i="11"/>
  <c r="N75" i="11" s="1"/>
  <c r="F57" i="14"/>
  <c r="M59" i="14"/>
  <c r="M57" i="14" s="1"/>
  <c r="E14" i="16"/>
  <c r="E10" i="15"/>
  <c r="F14" i="15"/>
  <c r="E32" i="16"/>
  <c r="E28" i="16" s="1"/>
  <c r="F33" i="16"/>
  <c r="G74" i="12"/>
  <c r="M74" i="11"/>
  <c r="M72" i="11" s="1"/>
  <c r="I72" i="11"/>
  <c r="J59" i="12"/>
  <c r="L57" i="11"/>
  <c r="N59" i="11"/>
  <c r="N57" i="11" s="1"/>
  <c r="F69" i="14"/>
  <c r="M71" i="14"/>
  <c r="M69" i="14" s="1"/>
  <c r="D37" i="16"/>
  <c r="F37" i="15"/>
  <c r="G46" i="12"/>
  <c r="I45" i="11"/>
  <c r="M46" i="11"/>
  <c r="M45" i="11" s="1"/>
  <c r="BD15" i="11"/>
  <c r="J53" i="12"/>
  <c r="L51" i="11"/>
  <c r="N53" i="11"/>
  <c r="N51" i="11" s="1"/>
  <c r="F81" i="14"/>
  <c r="M83" i="14"/>
  <c r="M81" i="14" s="1"/>
  <c r="E59" i="16"/>
  <c r="E57" i="15"/>
  <c r="F59" i="15"/>
  <c r="M14" i="14"/>
  <c r="N14" i="14"/>
  <c r="D31" i="16"/>
  <c r="F31" i="15"/>
  <c r="J26" i="12"/>
  <c r="N26" i="11"/>
  <c r="M33" i="15"/>
  <c r="G62" i="12"/>
  <c r="I60" i="11"/>
  <c r="M62" i="11"/>
  <c r="M60" i="11" s="1"/>
  <c r="J71" i="12"/>
  <c r="L69" i="11"/>
  <c r="N71" i="11"/>
  <c r="N69" i="11" s="1"/>
  <c r="J24" i="11"/>
  <c r="AX7" i="10"/>
  <c r="AZ7" i="10" s="1"/>
  <c r="L22" i="10"/>
  <c r="N24" i="10"/>
  <c r="F128" i="13"/>
  <c r="M10" i="9"/>
  <c r="L13" i="10"/>
  <c r="J10" i="10"/>
  <c r="J15" i="15"/>
  <c r="L15" i="15" s="1"/>
  <c r="N15" i="14"/>
  <c r="E24" i="15"/>
  <c r="E22" i="14"/>
  <c r="E128" i="14"/>
  <c r="D24" i="15"/>
  <c r="D22" i="14"/>
  <c r="F24" i="14"/>
  <c r="D128" i="14"/>
  <c r="AB88" i="11"/>
  <c r="BP31" i="10"/>
  <c r="AD83" i="10"/>
  <c r="AI88" i="10"/>
  <c r="AI83" i="10" s="1"/>
  <c r="Y237" i="11"/>
  <c r="AA235" i="10"/>
  <c r="AH237" i="10"/>
  <c r="AH235" i="10" s="1"/>
  <c r="AH234" i="10" s="1"/>
  <c r="V245" i="16"/>
  <c r="X245" i="15"/>
  <c r="AD50" i="11"/>
  <c r="AB49" i="11"/>
  <c r="AA133" i="11"/>
  <c r="AH245" i="14"/>
  <c r="AI245" i="14"/>
  <c r="AJ245" i="14"/>
  <c r="AD107" i="11"/>
  <c r="AB105" i="11"/>
  <c r="AB104" i="11" s="1"/>
  <c r="I56" i="11"/>
  <c r="AG127" i="15"/>
  <c r="AG158" i="15"/>
  <c r="F38" i="16"/>
  <c r="M38" i="15"/>
  <c r="N38" i="15"/>
  <c r="D126" i="9"/>
  <c r="D130" i="9" s="1"/>
  <c r="AU17" i="5"/>
  <c r="T15" i="6"/>
  <c r="E126" i="9"/>
  <c r="E130" i="9" s="1"/>
  <c r="J126" i="9"/>
  <c r="J130" i="9" s="1"/>
  <c r="AX31" i="5"/>
  <c r="AX32" i="5" s="1"/>
  <c r="AW31" i="5"/>
  <c r="AW32" i="5" s="1"/>
  <c r="AV31" i="5"/>
  <c r="F41" i="14"/>
  <c r="D41" i="15"/>
  <c r="M41" i="13"/>
  <c r="J41" i="14"/>
  <c r="N41" i="13"/>
  <c r="BD7" i="9"/>
  <c r="I12" i="10"/>
  <c r="G10" i="10"/>
  <c r="AE201" i="16"/>
  <c r="AG201" i="16" s="1"/>
  <c r="AE220" i="11"/>
  <c r="AX13" i="10"/>
  <c r="AS13" i="10"/>
  <c r="AV13" i="10" s="1"/>
  <c r="AJ217" i="15"/>
  <c r="AE217" i="16"/>
  <c r="AG217" i="16" s="1"/>
  <c r="AJ217" i="16" s="1"/>
  <c r="AE246" i="16"/>
  <c r="AG246" i="16" s="1"/>
  <c r="AJ246" i="16" s="1"/>
  <c r="AJ246" i="15"/>
  <c r="AE190" i="16"/>
  <c r="AG190" i="16" s="1"/>
  <c r="AJ190" i="16" s="1"/>
  <c r="AJ190" i="15"/>
  <c r="AG198" i="11"/>
  <c r="AE254" i="16"/>
  <c r="AG254" i="16" s="1"/>
  <c r="AJ254" i="16" s="1"/>
  <c r="AJ254" i="15"/>
  <c r="AJ256" i="15"/>
  <c r="AE256" i="16"/>
  <c r="AG256" i="16" s="1"/>
  <c r="AJ256" i="16" s="1"/>
  <c r="AE214" i="16"/>
  <c r="AG214" i="16" s="1"/>
  <c r="AG181" i="11"/>
  <c r="AJ203" i="15"/>
  <c r="AE203" i="16"/>
  <c r="AG203" i="16" s="1"/>
  <c r="AJ203" i="16" s="1"/>
  <c r="AE236" i="12"/>
  <c r="AJ236" i="11"/>
  <c r="AE183" i="16"/>
  <c r="AG183" i="16" s="1"/>
  <c r="AJ183" i="16" s="1"/>
  <c r="AJ183" i="15"/>
  <c r="AJ251" i="15"/>
  <c r="AE251" i="16"/>
  <c r="AG251" i="16" s="1"/>
  <c r="AJ251" i="16" s="1"/>
  <c r="AJ213" i="15"/>
  <c r="AE213" i="16"/>
  <c r="AG213" i="16" s="1"/>
  <c r="AJ213" i="16" s="1"/>
  <c r="AE180" i="15"/>
  <c r="AJ180" i="14"/>
  <c r="AE237" i="15"/>
  <c r="AG237" i="15" s="1"/>
  <c r="AJ237" i="14"/>
  <c r="AJ240" i="15"/>
  <c r="AE240" i="16"/>
  <c r="AG240" i="16" s="1"/>
  <c r="AJ240" i="16" s="1"/>
  <c r="G30" i="11"/>
  <c r="I29" i="10"/>
  <c r="M30" i="10"/>
  <c r="M29" i="10" s="1"/>
  <c r="BD13" i="10"/>
  <c r="AE238" i="16"/>
  <c r="AG238" i="16" s="1"/>
  <c r="AJ238" i="15"/>
  <c r="AE188" i="12"/>
  <c r="AJ188" i="11"/>
  <c r="AE229" i="15"/>
  <c r="AG229" i="15" s="1"/>
  <c r="AJ229" i="14"/>
  <c r="AJ216" i="15"/>
  <c r="AE216" i="16"/>
  <c r="AG216" i="16" s="1"/>
  <c r="AJ216" i="16" s="1"/>
  <c r="AE205" i="11"/>
  <c r="AG206" i="11"/>
  <c r="AG227" i="11"/>
  <c r="AJ228" i="11"/>
  <c r="AJ227" i="11" s="1"/>
  <c r="AE228" i="12"/>
  <c r="G23" i="11"/>
  <c r="BD12" i="10"/>
  <c r="M23" i="10"/>
  <c r="AR13" i="14"/>
  <c r="AU13" i="14" s="1"/>
  <c r="AW13" i="14"/>
  <c r="AY13" i="14" s="1"/>
  <c r="AJ255" i="15"/>
  <c r="AE255" i="16"/>
  <c r="AG255" i="16" s="1"/>
  <c r="AJ255" i="16" s="1"/>
  <c r="AJ200" i="15"/>
  <c r="AE200" i="16"/>
  <c r="AG200" i="16" s="1"/>
  <c r="AJ200" i="16" s="1"/>
  <c r="AJ191" i="15"/>
  <c r="AE191" i="16"/>
  <c r="AG191" i="16" s="1"/>
  <c r="AJ191" i="16" s="1"/>
  <c r="AJ252" i="15"/>
  <c r="AE252" i="16"/>
  <c r="AG252" i="16" s="1"/>
  <c r="AJ252" i="16" s="1"/>
  <c r="AJ253" i="15"/>
  <c r="AE253" i="16"/>
  <c r="AG253" i="16" s="1"/>
  <c r="AJ253" i="16" s="1"/>
  <c r="AE223" i="12"/>
  <c r="AG222" i="11"/>
  <c r="AJ223" i="11"/>
  <c r="AJ222" i="11" s="1"/>
  <c r="AJ204" i="15"/>
  <c r="AE204" i="16"/>
  <c r="AG204" i="16" s="1"/>
  <c r="AJ204" i="16" s="1"/>
  <c r="AJ199" i="15"/>
  <c r="AE199" i="16"/>
  <c r="AG199" i="16" s="1"/>
  <c r="AJ199" i="16" s="1"/>
  <c r="AE250" i="16"/>
  <c r="AG250" i="16" s="1"/>
  <c r="AJ250" i="16" s="1"/>
  <c r="AJ250" i="15"/>
  <c r="AJ215" i="15"/>
  <c r="AE215" i="16"/>
  <c r="AG215" i="16" s="1"/>
  <c r="AJ182" i="15"/>
  <c r="AE182" i="16"/>
  <c r="AG182" i="16" s="1"/>
  <c r="AJ182" i="16" s="1"/>
  <c r="AG186" i="11"/>
  <c r="AJ224" i="14"/>
  <c r="AE224" i="15"/>
  <c r="AG224" i="15" s="1"/>
  <c r="AJ239" i="15"/>
  <c r="AE239" i="16"/>
  <c r="AG239" i="16" s="1"/>
  <c r="AJ239" i="16" s="1"/>
  <c r="AE225" i="16"/>
  <c r="AG225" i="16" s="1"/>
  <c r="AJ225" i="16" s="1"/>
  <c r="AJ225" i="15"/>
  <c r="AJ248" i="15"/>
  <c r="AE248" i="16"/>
  <c r="AG248" i="16" s="1"/>
  <c r="AJ248" i="16" s="1"/>
  <c r="X220" i="14" l="1"/>
  <c r="BN30" i="14" s="1"/>
  <c r="BH14" i="14" s="1"/>
  <c r="V220" i="15"/>
  <c r="W8" i="12"/>
  <c r="BC21" i="14"/>
  <c r="J21" i="10"/>
  <c r="J19" i="10" s="1"/>
  <c r="J17" i="10" s="1"/>
  <c r="J8" i="10" s="1"/>
  <c r="V10" i="12"/>
  <c r="V8" i="12" s="1"/>
  <c r="AQ28" i="11"/>
  <c r="E21" i="14"/>
  <c r="E19" i="14" s="1"/>
  <c r="E17" i="14" s="1"/>
  <c r="E8" i="14" s="1"/>
  <c r="AX27" i="9"/>
  <c r="BO22" i="10"/>
  <c r="BI11" i="10" s="1"/>
  <c r="V110" i="13"/>
  <c r="V8" i="11"/>
  <c r="AI10" i="9"/>
  <c r="AI8" i="9" s="1"/>
  <c r="BJ8" i="9"/>
  <c r="BJ7" i="9" s="1"/>
  <c r="AV28" i="9"/>
  <c r="AU28" i="9"/>
  <c r="AW27" i="9"/>
  <c r="AY27" i="9" s="1"/>
  <c r="AU27" i="9"/>
  <c r="AA258" i="8"/>
  <c r="BO33" i="8" s="1"/>
  <c r="Y1" i="8"/>
  <c r="AX26" i="9"/>
  <c r="AZ26" i="9" s="1"/>
  <c r="AV26" i="9"/>
  <c r="AW26" i="9"/>
  <c r="AY26" i="9" s="1"/>
  <c r="AU26" i="9"/>
  <c r="Y258" i="9"/>
  <c r="BP8" i="9"/>
  <c r="BP7" i="9" s="1"/>
  <c r="AB14" i="10"/>
  <c r="AB12" i="10" s="1"/>
  <c r="AB10" i="10" s="1"/>
  <c r="AR31" i="8"/>
  <c r="AR32" i="8" s="1"/>
  <c r="AV35" i="8" s="1"/>
  <c r="W10" i="13"/>
  <c r="AQ14" i="11"/>
  <c r="AU16" i="9"/>
  <c r="AV16" i="9"/>
  <c r="X196" i="13"/>
  <c r="X195" i="13" s="1"/>
  <c r="AI112" i="11"/>
  <c r="X63" i="12"/>
  <c r="BN14" i="12"/>
  <c r="BH9" i="12" s="1"/>
  <c r="AX23" i="9"/>
  <c r="AZ23" i="9" s="1"/>
  <c r="AV23" i="9"/>
  <c r="W110" i="14"/>
  <c r="AW23" i="9"/>
  <c r="AY23" i="9" s="1"/>
  <c r="AU23" i="9"/>
  <c r="Y112" i="10"/>
  <c r="Y110" i="10" s="1"/>
  <c r="M67" i="14"/>
  <c r="AI159" i="14"/>
  <c r="AJ159" i="14"/>
  <c r="Y93" i="11"/>
  <c r="AA91" i="10"/>
  <c r="AA90" i="10" s="1"/>
  <c r="AH93" i="10"/>
  <c r="AH91" i="10" s="1"/>
  <c r="AH90" i="10" s="1"/>
  <c r="Y125" i="11"/>
  <c r="AH125" i="10"/>
  <c r="AH123" i="10" s="1"/>
  <c r="AA123" i="10"/>
  <c r="I42" i="10"/>
  <c r="AR10" i="10" s="1"/>
  <c r="AW10" i="10"/>
  <c r="AY10" i="10" s="1"/>
  <c r="M44" i="10"/>
  <c r="M42" i="10" s="1"/>
  <c r="G44" i="11"/>
  <c r="W149" i="16"/>
  <c r="W147" i="16" s="1"/>
  <c r="X152" i="16"/>
  <c r="AE143" i="12"/>
  <c r="AG141" i="11"/>
  <c r="AJ143" i="11"/>
  <c r="AJ141" i="11" s="1"/>
  <c r="BP28" i="10"/>
  <c r="BP25" i="10" s="1"/>
  <c r="BJ12" i="10" s="1"/>
  <c r="AD195" i="10"/>
  <c r="AI98" i="16"/>
  <c r="E61" i="16"/>
  <c r="E60" i="16" s="1"/>
  <c r="E60" i="15"/>
  <c r="D34" i="16"/>
  <c r="F34" i="15"/>
  <c r="D32" i="15"/>
  <c r="AB151" i="11"/>
  <c r="AD149" i="10"/>
  <c r="AD147" i="10" s="1"/>
  <c r="BP16" i="10" s="1"/>
  <c r="AI151" i="10"/>
  <c r="AI149" i="10" s="1"/>
  <c r="AI147" i="10" s="1"/>
  <c r="G36" i="11"/>
  <c r="I35" i="10"/>
  <c r="I28" i="10" s="1"/>
  <c r="AR9" i="10" s="1"/>
  <c r="AU9" i="10" s="1"/>
  <c r="M36" i="10"/>
  <c r="M35" i="10" s="1"/>
  <c r="M28" i="10" s="1"/>
  <c r="X159" i="15"/>
  <c r="W159" i="16"/>
  <c r="W157" i="15"/>
  <c r="W155" i="15" s="1"/>
  <c r="W145" i="15" s="1"/>
  <c r="J49" i="11"/>
  <c r="N49" i="10"/>
  <c r="N48" i="10" s="1"/>
  <c r="L48" i="10"/>
  <c r="AX14" i="10"/>
  <c r="J73" i="11"/>
  <c r="N73" i="10"/>
  <c r="N72" i="10" s="1"/>
  <c r="L72" i="10"/>
  <c r="AA58" i="10"/>
  <c r="AA57" i="10" s="1"/>
  <c r="Y59" i="11"/>
  <c r="AH59" i="10"/>
  <c r="AH58" i="10" s="1"/>
  <c r="AH57" i="10" s="1"/>
  <c r="Y152" i="13"/>
  <c r="AA149" i="12"/>
  <c r="AA147" i="12" s="1"/>
  <c r="AH152" i="12"/>
  <c r="AH149" i="12" s="1"/>
  <c r="AH147" i="12" s="1"/>
  <c r="AA215" i="11"/>
  <c r="Y211" i="11"/>
  <c r="Y210" i="11" s="1"/>
  <c r="Y209" i="11" s="1"/>
  <c r="AD206" i="11"/>
  <c r="AB205" i="11"/>
  <c r="AB196" i="11" s="1"/>
  <c r="AB195" i="11" s="1"/>
  <c r="AB193" i="11" s="1"/>
  <c r="V59" i="16"/>
  <c r="V58" i="15"/>
  <c r="V57" i="15" s="1"/>
  <c r="X59" i="15"/>
  <c r="AD142" i="13"/>
  <c r="AB141" i="13"/>
  <c r="E43" i="16"/>
  <c r="E42" i="16" s="1"/>
  <c r="E42" i="15"/>
  <c r="AD228" i="12"/>
  <c r="AB227" i="12"/>
  <c r="AB220" i="12" s="1"/>
  <c r="J67" i="12"/>
  <c r="N67" i="11"/>
  <c r="N66" i="11" s="1"/>
  <c r="L66" i="11"/>
  <c r="W229" i="16"/>
  <c r="X229" i="15"/>
  <c r="W227" i="15"/>
  <c r="W220" i="15" s="1"/>
  <c r="AA177" i="11"/>
  <c r="Y176" i="11"/>
  <c r="Y170" i="11" s="1"/>
  <c r="J43" i="12"/>
  <c r="N43" i="11"/>
  <c r="N42" i="11" s="1"/>
  <c r="L42" i="11"/>
  <c r="AS10" i="11" s="1"/>
  <c r="AX10" i="11"/>
  <c r="AZ10" i="11" s="1"/>
  <c r="AX25" i="8"/>
  <c r="AZ25" i="8" s="1"/>
  <c r="AV25" i="8"/>
  <c r="F61" i="15"/>
  <c r="F60" i="15" s="1"/>
  <c r="Y229" i="12"/>
  <c r="AA227" i="11"/>
  <c r="AH229" i="11"/>
  <c r="AH227" i="11" s="1"/>
  <c r="E67" i="16"/>
  <c r="E66" i="15"/>
  <c r="F67" i="15"/>
  <c r="G78" i="11"/>
  <c r="I78" i="11" s="1"/>
  <c r="M78" i="11" s="1"/>
  <c r="I80" i="11"/>
  <c r="J55" i="12"/>
  <c r="N55" i="11"/>
  <c r="N54" i="11" s="1"/>
  <c r="L54" i="11"/>
  <c r="AI152" i="15"/>
  <c r="AI72" i="14"/>
  <c r="AH72" i="14"/>
  <c r="AJ72" i="14"/>
  <c r="Y159" i="11"/>
  <c r="AH159" i="10"/>
  <c r="AH157" i="10" s="1"/>
  <c r="AH155" i="10" s="1"/>
  <c r="AH145" i="10" s="1"/>
  <c r="AA157" i="10"/>
  <c r="AA155" i="10" s="1"/>
  <c r="AA145" i="10" s="1"/>
  <c r="AD44" i="10"/>
  <c r="AD43" i="10" s="1"/>
  <c r="AI46" i="10"/>
  <c r="AI44" i="10" s="1"/>
  <c r="AI43" i="10" s="1"/>
  <c r="AB46" i="11"/>
  <c r="AD124" i="12"/>
  <c r="AB123" i="12"/>
  <c r="AB112" i="12" s="1"/>
  <c r="AA98" i="11"/>
  <c r="Y96" i="11"/>
  <c r="D27" i="16"/>
  <c r="F27" i="15"/>
  <c r="D25" i="15"/>
  <c r="AB21" i="11"/>
  <c r="AI21" i="10"/>
  <c r="AI20" i="10" s="1"/>
  <c r="AI16" i="10" s="1"/>
  <c r="AD20" i="10"/>
  <c r="AD16" i="10" s="1"/>
  <c r="J34" i="11"/>
  <c r="N34" i="10"/>
  <c r="N32" i="10" s="1"/>
  <c r="N28" i="10" s="1"/>
  <c r="L32" i="10"/>
  <c r="L28" i="10" s="1"/>
  <c r="AS9" i="10" s="1"/>
  <c r="AV9" i="10" s="1"/>
  <c r="AX9" i="10"/>
  <c r="AZ9" i="10" s="1"/>
  <c r="Y115" i="11"/>
  <c r="AA114" i="10"/>
  <c r="AH115" i="10"/>
  <c r="AH114" i="10" s="1"/>
  <c r="AD97" i="11"/>
  <c r="AB96" i="11"/>
  <c r="AB90" i="11" s="1"/>
  <c r="W72" i="16"/>
  <c r="W69" i="15"/>
  <c r="W65" i="15" s="1"/>
  <c r="W63" i="15" s="1"/>
  <c r="X72" i="15"/>
  <c r="AA47" i="11"/>
  <c r="Y44" i="11"/>
  <c r="Y43" i="11" s="1"/>
  <c r="AB71" i="11"/>
  <c r="AI71" i="10"/>
  <c r="AI69" i="10" s="1"/>
  <c r="AI65" i="10" s="1"/>
  <c r="AI63" i="10" s="1"/>
  <c r="AD69" i="10"/>
  <c r="AD65" i="10" s="1"/>
  <c r="AD63" i="10" s="1"/>
  <c r="X58" i="14"/>
  <c r="X57" i="14" s="1"/>
  <c r="AI59" i="14"/>
  <c r="AI58" i="14" s="1"/>
  <c r="AI57" i="14" s="1"/>
  <c r="Y198" i="11"/>
  <c r="BO26" i="10"/>
  <c r="AA197" i="10"/>
  <c r="AA196" i="10" s="1"/>
  <c r="AH198" i="10"/>
  <c r="AH197" i="10" s="1"/>
  <c r="AH196" i="10" s="1"/>
  <c r="AH195" i="10" s="1"/>
  <c r="AH193" i="10" s="1"/>
  <c r="AB174" i="12"/>
  <c r="AD172" i="11"/>
  <c r="AI174" i="11"/>
  <c r="AI172" i="11" s="1"/>
  <c r="AW25" i="9"/>
  <c r="AY25" i="9" s="1"/>
  <c r="AU25" i="9"/>
  <c r="M34" i="14"/>
  <c r="M32" i="14" s="1"/>
  <c r="F32" i="14"/>
  <c r="J61" i="11"/>
  <c r="L60" i="10"/>
  <c r="N61" i="10"/>
  <c r="N60" i="10" s="1"/>
  <c r="M68" i="10"/>
  <c r="M66" i="10" s="1"/>
  <c r="G68" i="11"/>
  <c r="I66" i="10"/>
  <c r="AY9" i="10"/>
  <c r="AG90" i="9"/>
  <c r="AS25" i="9" s="1"/>
  <c r="D28" i="13"/>
  <c r="D21" i="13" s="1"/>
  <c r="D19" i="13" s="1"/>
  <c r="D17" i="13" s="1"/>
  <c r="BN12" i="13"/>
  <c r="BN9" i="13" s="1"/>
  <c r="X93" i="16"/>
  <c r="W91" i="16"/>
  <c r="W90" i="16" s="1"/>
  <c r="W141" i="16"/>
  <c r="X143" i="16"/>
  <c r="Y223" i="12"/>
  <c r="AA222" i="11"/>
  <c r="AA220" i="11" s="1"/>
  <c r="BO30" i="11" s="1"/>
  <c r="BI14" i="11" s="1"/>
  <c r="AH223" i="11"/>
  <c r="AH222" i="11" s="1"/>
  <c r="AH220" i="11" s="1"/>
  <c r="W83" i="16"/>
  <c r="X86" i="16"/>
  <c r="AI115" i="15"/>
  <c r="X215" i="16"/>
  <c r="AJ215" i="16" s="1"/>
  <c r="W211" i="16"/>
  <c r="W210" i="16" s="1"/>
  <c r="W209" i="16" s="1"/>
  <c r="V145" i="14"/>
  <c r="AI93" i="15"/>
  <c r="M61" i="15"/>
  <c r="AG173" i="12"/>
  <c r="AE172" i="12"/>
  <c r="AB173" i="15"/>
  <c r="AI173" i="14"/>
  <c r="BN26" i="15"/>
  <c r="W114" i="16"/>
  <c r="X115" i="16"/>
  <c r="N12" i="13"/>
  <c r="AQ23" i="13"/>
  <c r="AQ16" i="13"/>
  <c r="M73" i="15"/>
  <c r="F72" i="15"/>
  <c r="Y52" i="12"/>
  <c r="AA49" i="11"/>
  <c r="AH52" i="11"/>
  <c r="AH49" i="11" s="1"/>
  <c r="F61" i="16"/>
  <c r="D60" i="16"/>
  <c r="X222" i="15"/>
  <c r="Y188" i="12"/>
  <c r="AA187" i="11"/>
  <c r="AA185" i="11" s="1"/>
  <c r="AH188" i="11"/>
  <c r="AH187" i="11" s="1"/>
  <c r="AH185" i="11" s="1"/>
  <c r="AJ71" i="14"/>
  <c r="I48" i="11"/>
  <c r="M50" i="11"/>
  <c r="M48" i="11" s="1"/>
  <c r="G50" i="12"/>
  <c r="AI215" i="15"/>
  <c r="Y143" i="12"/>
  <c r="AA141" i="11"/>
  <c r="BO20" i="11" s="1"/>
  <c r="AH143" i="11"/>
  <c r="AH141" i="11" s="1"/>
  <c r="F73" i="16"/>
  <c r="D72" i="16"/>
  <c r="X223" i="16"/>
  <c r="V222" i="16"/>
  <c r="AI86" i="15"/>
  <c r="AH86" i="15"/>
  <c r="V71" i="16"/>
  <c r="X71" i="16" s="1"/>
  <c r="X71" i="15"/>
  <c r="D55" i="16"/>
  <c r="F55" i="16" s="1"/>
  <c r="F55" i="15"/>
  <c r="W197" i="16"/>
  <c r="W196" i="16" s="1"/>
  <c r="W195" i="16" s="1"/>
  <c r="X198" i="16"/>
  <c r="AD143" i="15"/>
  <c r="X8" i="10"/>
  <c r="AQ30" i="12"/>
  <c r="W258" i="13"/>
  <c r="X145" i="13"/>
  <c r="V63" i="13"/>
  <c r="V12" i="13" s="1"/>
  <c r="V39" i="16"/>
  <c r="X39" i="15"/>
  <c r="V35" i="15"/>
  <c r="AH158" i="14"/>
  <c r="AI158" i="14"/>
  <c r="X157" i="14"/>
  <c r="X155" i="14" s="1"/>
  <c r="BN17" i="14" s="1"/>
  <c r="AJ158" i="14"/>
  <c r="W39" i="16"/>
  <c r="W35" i="16" s="1"/>
  <c r="W35" i="15"/>
  <c r="V51" i="16"/>
  <c r="X51" i="15"/>
  <c r="V49" i="15"/>
  <c r="D12" i="15"/>
  <c r="F12" i="14"/>
  <c r="F10" i="14" s="1"/>
  <c r="AQ16" i="14" s="1"/>
  <c r="D10" i="14"/>
  <c r="F52" i="15"/>
  <c r="N52" i="15" s="1"/>
  <c r="D51" i="15"/>
  <c r="D52" i="16"/>
  <c r="F79" i="15"/>
  <c r="D78" i="15"/>
  <c r="F78" i="15" s="1"/>
  <c r="D79" i="16"/>
  <c r="X205" i="14"/>
  <c r="AH206" i="14"/>
  <c r="AH205" i="14" s="1"/>
  <c r="AJ46" i="13"/>
  <c r="X44" i="13"/>
  <c r="X43" i="13" s="1"/>
  <c r="X14" i="13" s="1"/>
  <c r="AH46" i="13"/>
  <c r="AG94" i="10"/>
  <c r="AE91" i="10"/>
  <c r="V21" i="16"/>
  <c r="X21" i="15"/>
  <c r="V20" i="15"/>
  <c r="V16" i="15" s="1"/>
  <c r="M43" i="14"/>
  <c r="BC16" i="14"/>
  <c r="F42" i="14"/>
  <c r="AQ10" i="14" s="1"/>
  <c r="AG126" i="10"/>
  <c r="AE123" i="10"/>
  <c r="AE112" i="10" s="1"/>
  <c r="AE110" i="10" s="1"/>
  <c r="F17" i="10"/>
  <c r="AQ14" i="10"/>
  <c r="F35" i="13"/>
  <c r="AE160" i="11"/>
  <c r="AJ160" i="10"/>
  <c r="AJ157" i="10" s="1"/>
  <c r="AJ155" i="10" s="1"/>
  <c r="AJ145" i="10" s="1"/>
  <c r="AG157" i="10"/>
  <c r="AG155" i="10" s="1"/>
  <c r="AG145" i="10" s="1"/>
  <c r="X10" i="11"/>
  <c r="D45" i="15"/>
  <c r="D46" i="16"/>
  <c r="F46" i="15"/>
  <c r="BC12" i="13"/>
  <c r="N23" i="13"/>
  <c r="W21" i="16"/>
  <c r="W20" i="16" s="1"/>
  <c r="W16" i="16" s="1"/>
  <c r="W20" i="15"/>
  <c r="W16" i="15" s="1"/>
  <c r="M49" i="15"/>
  <c r="F48" i="15"/>
  <c r="F76" i="14"/>
  <c r="D76" i="15"/>
  <c r="D75" i="14"/>
  <c r="G76" i="15"/>
  <c r="I75" i="14"/>
  <c r="W8" i="13"/>
  <c r="AQ29" i="13"/>
  <c r="BN27" i="13"/>
  <c r="AE106" i="11"/>
  <c r="AJ106" i="10"/>
  <c r="AJ105" i="10" s="1"/>
  <c r="AJ104" i="10" s="1"/>
  <c r="AG105" i="10"/>
  <c r="AG104" i="10" s="1"/>
  <c r="BN28" i="12"/>
  <c r="BN25" i="12" s="1"/>
  <c r="BH12" i="12" s="1"/>
  <c r="X195" i="12"/>
  <c r="V158" i="16"/>
  <c r="X158" i="15"/>
  <c r="V157" i="15"/>
  <c r="V155" i="15" s="1"/>
  <c r="AJ85" i="13"/>
  <c r="X83" i="13"/>
  <c r="AQ24" i="13" s="1"/>
  <c r="AI85" i="13"/>
  <c r="V193" i="14"/>
  <c r="F64" i="14"/>
  <c r="D64" i="15"/>
  <c r="D63" i="14"/>
  <c r="N79" i="14"/>
  <c r="M79" i="14"/>
  <c r="AU29" i="12"/>
  <c r="AV29" i="12"/>
  <c r="V46" i="15"/>
  <c r="X46" i="14"/>
  <c r="V44" i="14"/>
  <c r="V43" i="14" s="1"/>
  <c r="V14" i="14" s="1"/>
  <c r="G70" i="16"/>
  <c r="M70" i="15"/>
  <c r="I69" i="15"/>
  <c r="AH214" i="14"/>
  <c r="AI214" i="14"/>
  <c r="X211" i="14"/>
  <c r="X210" i="14" s="1"/>
  <c r="X209" i="14" s="1"/>
  <c r="AJ214" i="14"/>
  <c r="D36" i="15"/>
  <c r="F36" i="14"/>
  <c r="D35" i="14"/>
  <c r="V90" i="14"/>
  <c r="BH9" i="11"/>
  <c r="BH7" i="11" s="1"/>
  <c r="BH16" i="11" s="1"/>
  <c r="BN8" i="11"/>
  <c r="BN7" i="11" s="1"/>
  <c r="BN32" i="11" s="1"/>
  <c r="AJ90" i="9"/>
  <c r="AJ63" i="9" s="1"/>
  <c r="AJ12" i="9" s="1"/>
  <c r="AJ10" i="9" s="1"/>
  <c r="D23" i="15"/>
  <c r="F23" i="14"/>
  <c r="F22" i="14" s="1"/>
  <c r="AQ7" i="14" s="1"/>
  <c r="BC13" i="13"/>
  <c r="F29" i="13"/>
  <c r="N76" i="13"/>
  <c r="M76" i="13"/>
  <c r="M75" i="13" s="1"/>
  <c r="F75" i="13"/>
  <c r="AJ97" i="14"/>
  <c r="AH97" i="14"/>
  <c r="X96" i="14"/>
  <c r="V85" i="15"/>
  <c r="X85" i="14"/>
  <c r="V83" i="14"/>
  <c r="AU10" i="13"/>
  <c r="AV10" i="13"/>
  <c r="AH151" i="14"/>
  <c r="AJ151" i="14"/>
  <c r="X149" i="14"/>
  <c r="X147" i="14" s="1"/>
  <c r="AH201" i="14"/>
  <c r="AI201" i="14"/>
  <c r="X197" i="14"/>
  <c r="AJ201" i="14"/>
  <c r="N64" i="13"/>
  <c r="M64" i="13"/>
  <c r="M63" i="13" s="1"/>
  <c r="BC14" i="13"/>
  <c r="F63" i="13"/>
  <c r="BC10" i="12"/>
  <c r="BC9" i="12" s="1"/>
  <c r="BC8" i="12" s="1"/>
  <c r="BC22" i="12" s="1"/>
  <c r="V206" i="16"/>
  <c r="V205" i="15"/>
  <c r="X206" i="15"/>
  <c r="D42" i="15"/>
  <c r="D43" i="16"/>
  <c r="F43" i="15"/>
  <c r="AH142" i="14"/>
  <c r="AJ142" i="14"/>
  <c r="X141" i="14"/>
  <c r="BN20" i="14" s="1"/>
  <c r="V214" i="16"/>
  <c r="X214" i="15"/>
  <c r="V211" i="15"/>
  <c r="V210" i="15" s="1"/>
  <c r="V209" i="15" s="1"/>
  <c r="W51" i="16"/>
  <c r="W49" i="16" s="1"/>
  <c r="W49" i="15"/>
  <c r="AE116" i="11"/>
  <c r="AJ116" i="10"/>
  <c r="AJ114" i="10" s="1"/>
  <c r="AG114" i="10"/>
  <c r="AH92" i="14"/>
  <c r="AJ92" i="14"/>
  <c r="X91" i="14"/>
  <c r="AQ25" i="12"/>
  <c r="BN13" i="12"/>
  <c r="AI118" i="13"/>
  <c r="AH118" i="13"/>
  <c r="AJ118" i="13"/>
  <c r="X114" i="13"/>
  <c r="AJ189" i="10"/>
  <c r="AJ187" i="10" s="1"/>
  <c r="AJ185" i="10" s="1"/>
  <c r="AE189" i="11"/>
  <c r="AG187" i="10"/>
  <c r="AG185" i="10" s="1"/>
  <c r="BC15" i="14"/>
  <c r="N46" i="14"/>
  <c r="AG99" i="10"/>
  <c r="AE96" i="10"/>
  <c r="AE90" i="10" s="1"/>
  <c r="AE63" i="10" s="1"/>
  <c r="D30" i="15"/>
  <c r="F30" i="14"/>
  <c r="D29" i="14"/>
  <c r="D28" i="14" s="1"/>
  <c r="X14" i="12"/>
  <c r="D71" i="16"/>
  <c r="D69" i="16" s="1"/>
  <c r="D69" i="15"/>
  <c r="AG232" i="9"/>
  <c r="AS30" i="9" s="1"/>
  <c r="AJ39" i="14"/>
  <c r="AH39" i="14"/>
  <c r="X35" i="14"/>
  <c r="V97" i="16"/>
  <c r="X97" i="15"/>
  <c r="V96" i="15"/>
  <c r="AI51" i="14"/>
  <c r="AJ51" i="14"/>
  <c r="X49" i="14"/>
  <c r="AH51" i="14"/>
  <c r="AG178" i="10"/>
  <c r="AE176" i="10"/>
  <c r="AE170" i="10" s="1"/>
  <c r="V151" i="16"/>
  <c r="X151" i="15"/>
  <c r="V149" i="15"/>
  <c r="V147" i="15" s="1"/>
  <c r="V201" i="16"/>
  <c r="X201" i="15"/>
  <c r="V197" i="15"/>
  <c r="W46" i="16"/>
  <c r="W44" i="16" s="1"/>
  <c r="W44" i="15"/>
  <c r="F28" i="12"/>
  <c r="AG258" i="8"/>
  <c r="AS31" i="8" s="1"/>
  <c r="AS32" i="8" s="1"/>
  <c r="AG8" i="8"/>
  <c r="AC1" i="8" s="1"/>
  <c r="AH21" i="14"/>
  <c r="AJ21" i="14"/>
  <c r="X20" i="14"/>
  <c r="X16" i="14" s="1"/>
  <c r="AQ23" i="14" s="1"/>
  <c r="V142" i="16"/>
  <c r="X142" i="15"/>
  <c r="V141" i="15"/>
  <c r="BN16" i="12"/>
  <c r="BN15" i="12" s="1"/>
  <c r="BH10" i="12" s="1"/>
  <c r="X112" i="12"/>
  <c r="X110" i="12" s="1"/>
  <c r="AQ26" i="12" s="1"/>
  <c r="V92" i="16"/>
  <c r="X92" i="15"/>
  <c r="V91" i="15"/>
  <c r="V118" i="15"/>
  <c r="X118" i="14"/>
  <c r="V114" i="14"/>
  <c r="V112" i="14" s="1"/>
  <c r="BD14" i="16"/>
  <c r="D14" i="20" s="1"/>
  <c r="I63" i="16"/>
  <c r="D57" i="15"/>
  <c r="D59" i="16"/>
  <c r="D57" i="16" s="1"/>
  <c r="W14" i="14"/>
  <c r="W12" i="14" s="1"/>
  <c r="W10" i="14" s="1"/>
  <c r="X90" i="13"/>
  <c r="D48" i="16"/>
  <c r="F49" i="16"/>
  <c r="AE87" i="11"/>
  <c r="AJ87" i="10"/>
  <c r="AJ83" i="10" s="1"/>
  <c r="AG83" i="10"/>
  <c r="AS24" i="10" s="1"/>
  <c r="AF258" i="9"/>
  <c r="BP29" i="9"/>
  <c r="BJ13" i="9" s="1"/>
  <c r="AR30" i="9"/>
  <c r="AE243" i="10"/>
  <c r="AE232" i="10" s="1"/>
  <c r="AG244" i="10"/>
  <c r="AD244" i="10"/>
  <c r="AB243" i="10"/>
  <c r="AB232" i="10" s="1"/>
  <c r="X243" i="13"/>
  <c r="X232" i="13" s="1"/>
  <c r="AD10" i="9"/>
  <c r="AD8" i="9" s="1"/>
  <c r="AA244" i="10"/>
  <c r="Y243" i="10"/>
  <c r="Y232" i="10" s="1"/>
  <c r="V244" i="15"/>
  <c r="X244" i="14"/>
  <c r="V243" i="14"/>
  <c r="V232" i="14" s="1"/>
  <c r="AA234" i="10"/>
  <c r="W244" i="15"/>
  <c r="W243" i="14"/>
  <c r="W232" i="14" s="1"/>
  <c r="G55" i="11"/>
  <c r="M55" i="10"/>
  <c r="M54" i="10" s="1"/>
  <c r="BD17" i="10"/>
  <c r="BD10" i="10" s="1"/>
  <c r="BD9" i="10" s="1"/>
  <c r="BD8" i="10" s="1"/>
  <c r="AW14" i="10"/>
  <c r="I54" i="10"/>
  <c r="AE193" i="10"/>
  <c r="Y14" i="10"/>
  <c r="AD58" i="16"/>
  <c r="AD57" i="16" s="1"/>
  <c r="X170" i="14"/>
  <c r="AQ27" i="14" s="1"/>
  <c r="AH172" i="14"/>
  <c r="Y63" i="10"/>
  <c r="AE152" i="13"/>
  <c r="AG149" i="12"/>
  <c r="AG147" i="12" s="1"/>
  <c r="AJ152" i="12"/>
  <c r="AJ149" i="12" s="1"/>
  <c r="AJ147" i="12" s="1"/>
  <c r="AB238" i="13"/>
  <c r="AD235" i="12"/>
  <c r="AD234" i="12" s="1"/>
  <c r="AI238" i="12"/>
  <c r="AI235" i="12" s="1"/>
  <c r="AI234" i="12" s="1"/>
  <c r="AD188" i="13"/>
  <c r="AB187" i="13"/>
  <c r="AB185" i="13" s="1"/>
  <c r="AE115" i="13"/>
  <c r="AJ115" i="12"/>
  <c r="AB100" i="13"/>
  <c r="AI100" i="12"/>
  <c r="AA179" i="15"/>
  <c r="AE47" i="13"/>
  <c r="AJ47" i="12"/>
  <c r="AJ44" i="12" s="1"/>
  <c r="AG44" i="12"/>
  <c r="L74" i="13"/>
  <c r="Y200" i="15"/>
  <c r="AH200" i="14"/>
  <c r="AE86" i="13"/>
  <c r="AJ86" i="12"/>
  <c r="AD229" i="13"/>
  <c r="AA173" i="15"/>
  <c r="Y172" i="15"/>
  <c r="AE59" i="13"/>
  <c r="AG58" i="12"/>
  <c r="AG57" i="12" s="1"/>
  <c r="AJ59" i="12"/>
  <c r="AJ58" i="12" s="1"/>
  <c r="AJ57" i="12" s="1"/>
  <c r="J30" i="13"/>
  <c r="N30" i="12"/>
  <c r="N29" i="12" s="1"/>
  <c r="L29" i="12"/>
  <c r="J36" i="13"/>
  <c r="N36" i="12"/>
  <c r="N35" i="12" s="1"/>
  <c r="L35" i="12"/>
  <c r="AE98" i="13"/>
  <c r="AJ98" i="12"/>
  <c r="AB92" i="13"/>
  <c r="AD91" i="12"/>
  <c r="AI92" i="12"/>
  <c r="AI91" i="12" s="1"/>
  <c r="AB117" i="13"/>
  <c r="AD114" i="12"/>
  <c r="AI117" i="12"/>
  <c r="AI114" i="12" s="1"/>
  <c r="AB150" i="13"/>
  <c r="AI150" i="12"/>
  <c r="J68" i="13"/>
  <c r="N68" i="12"/>
  <c r="AG93" i="13"/>
  <c r="AB198" i="13"/>
  <c r="AD197" i="12"/>
  <c r="BP26" i="12"/>
  <c r="AI198" i="12"/>
  <c r="AI197" i="12" s="1"/>
  <c r="Y95" i="15"/>
  <c r="AH95" i="14"/>
  <c r="AA117" i="15"/>
  <c r="AD127" i="13"/>
  <c r="Y150" i="15"/>
  <c r="AH150" i="14"/>
  <c r="Y100" i="15"/>
  <c r="AH100" i="14"/>
  <c r="AB223" i="13"/>
  <c r="AD222" i="12"/>
  <c r="AI223" i="12"/>
  <c r="AI222" i="12" s="1"/>
  <c r="AB22" i="13"/>
  <c r="AI22" i="12"/>
  <c r="J62" i="13"/>
  <c r="N62" i="12"/>
  <c r="AJ238" i="16"/>
  <c r="L80" i="13"/>
  <c r="J78" i="13"/>
  <c r="L78" i="13" s="1"/>
  <c r="N78" i="13" s="1"/>
  <c r="AE35" i="13"/>
  <c r="AG36" i="13"/>
  <c r="J44" i="13"/>
  <c r="N44" i="12"/>
  <c r="AA213" i="15"/>
  <c r="Y225" i="15"/>
  <c r="AH225" i="14"/>
  <c r="AA107" i="15"/>
  <c r="Y105" i="15"/>
  <c r="Y104" i="15" s="1"/>
  <c r="J56" i="13"/>
  <c r="N56" i="12"/>
  <c r="L50" i="13"/>
  <c r="Y190" i="15"/>
  <c r="AH190" i="14"/>
  <c r="AA246" i="15"/>
  <c r="AA12" i="9"/>
  <c r="AH12" i="9"/>
  <c r="AH10" i="9" s="1"/>
  <c r="X262" i="6"/>
  <c r="X260" i="6" s="1"/>
  <c r="X264" i="6" s="1"/>
  <c r="W262" i="6"/>
  <c r="W260" i="6" s="1"/>
  <c r="W264" i="6" s="1"/>
  <c r="V262" i="6"/>
  <c r="V260" i="6" s="1"/>
  <c r="V264" i="6" s="1"/>
  <c r="U262" i="6"/>
  <c r="U260" i="6" s="1"/>
  <c r="U264" i="6" s="1"/>
  <c r="AI262" i="6"/>
  <c r="AI260" i="6" s="1"/>
  <c r="AI264" i="6" s="1"/>
  <c r="AF262" i="6"/>
  <c r="AF260" i="6" s="1"/>
  <c r="AF264" i="6" s="1"/>
  <c r="AE262" i="6"/>
  <c r="AE260" i="6" s="1"/>
  <c r="AE264" i="6" s="1"/>
  <c r="AD262" i="6"/>
  <c r="AD260" i="6" s="1"/>
  <c r="AD264" i="6" s="1"/>
  <c r="AC262" i="6"/>
  <c r="AC260" i="6" s="1"/>
  <c r="AC264" i="6" s="1"/>
  <c r="AH262" i="6"/>
  <c r="AH260" i="6" s="1"/>
  <c r="AH264" i="6" s="1"/>
  <c r="AB262" i="6"/>
  <c r="AB260" i="6" s="1"/>
  <c r="AB264" i="6" s="1"/>
  <c r="AA262" i="6"/>
  <c r="AA260" i="6" s="1"/>
  <c r="AA264" i="6" s="1"/>
  <c r="Z262" i="6"/>
  <c r="Z260" i="6" s="1"/>
  <c r="Z264" i="6" s="1"/>
  <c r="Y262" i="6"/>
  <c r="Y260" i="6" s="1"/>
  <c r="Y264" i="6" s="1"/>
  <c r="AJ262" i="6"/>
  <c r="AJ260" i="6" s="1"/>
  <c r="AJ264" i="6" s="1"/>
  <c r="AG262" i="6"/>
  <c r="AG260" i="6" s="1"/>
  <c r="AG264" i="6" s="1"/>
  <c r="AE14" i="10"/>
  <c r="Y85" i="11"/>
  <c r="AA83" i="10"/>
  <c r="AH85" i="10"/>
  <c r="AH83" i="10" s="1"/>
  <c r="Y61" i="12"/>
  <c r="BO31" i="11"/>
  <c r="BI15" i="11" s="1"/>
  <c r="AH61" i="11"/>
  <c r="AJ212" i="10"/>
  <c r="AJ211" i="10" s="1"/>
  <c r="AJ210" i="10" s="1"/>
  <c r="AJ209" i="10" s="1"/>
  <c r="AG211" i="10"/>
  <c r="AG210" i="10" s="1"/>
  <c r="AG209" i="10" s="1"/>
  <c r="AE212" i="11"/>
  <c r="AJ202" i="10"/>
  <c r="AJ197" i="10" s="1"/>
  <c r="AJ196" i="10" s="1"/>
  <c r="AJ195" i="10" s="1"/>
  <c r="AE202" i="11"/>
  <c r="AG197" i="10"/>
  <c r="AG196" i="10" s="1"/>
  <c r="AG195" i="10" s="1"/>
  <c r="AS28" i="10" s="1"/>
  <c r="AV28" i="10" s="1"/>
  <c r="AJ241" i="10"/>
  <c r="AJ235" i="10" s="1"/>
  <c r="AJ234" i="10" s="1"/>
  <c r="AE241" i="11"/>
  <c r="AG235" i="10"/>
  <c r="AE174" i="16"/>
  <c r="Y37" i="11"/>
  <c r="AA35" i="10"/>
  <c r="AH37" i="10"/>
  <c r="AH35" i="10" s="1"/>
  <c r="AS17" i="9"/>
  <c r="AI133" i="14"/>
  <c r="AJ133" i="14"/>
  <c r="G8" i="9"/>
  <c r="G126" i="9" s="1"/>
  <c r="G130" i="9" s="1"/>
  <c r="AE70" i="11"/>
  <c r="AJ70" i="10"/>
  <c r="AJ69" i="10" s="1"/>
  <c r="AJ65" i="10" s="1"/>
  <c r="AG69" i="10"/>
  <c r="AG65" i="10" s="1"/>
  <c r="W133" i="16"/>
  <c r="X133" i="15"/>
  <c r="X123" i="15" s="1"/>
  <c r="W123" i="15"/>
  <c r="W112" i="15" s="1"/>
  <c r="AB167" i="11"/>
  <c r="AD157" i="10"/>
  <c r="AD155" i="10" s="1"/>
  <c r="BP19" i="10"/>
  <c r="AI167" i="10"/>
  <c r="AI157" i="10" s="1"/>
  <c r="AI155" i="10" s="1"/>
  <c r="Y71" i="11"/>
  <c r="AA69" i="10"/>
  <c r="AA65" i="10" s="1"/>
  <c r="AH71" i="10"/>
  <c r="AH69" i="10" s="1"/>
  <c r="AH65" i="10" s="1"/>
  <c r="Y27" i="11"/>
  <c r="AA20" i="10"/>
  <c r="AA16" i="10" s="1"/>
  <c r="AH27" i="10"/>
  <c r="AH20" i="10" s="1"/>
  <c r="AH16" i="10" s="1"/>
  <c r="BO8" i="9"/>
  <c r="BO7" i="9" s="1"/>
  <c r="BO32" i="9" s="1"/>
  <c r="BI8" i="9"/>
  <c r="BI7" i="9" s="1"/>
  <c r="BI16" i="9" s="1"/>
  <c r="G113" i="14"/>
  <c r="I115" i="14"/>
  <c r="AE52" i="11"/>
  <c r="AG49" i="10"/>
  <c r="AG43" i="10" s="1"/>
  <c r="AJ52" i="10"/>
  <c r="AJ49" i="10" s="1"/>
  <c r="AJ43" i="10" s="1"/>
  <c r="AE23" i="11"/>
  <c r="AG20" i="10"/>
  <c r="AG16" i="10" s="1"/>
  <c r="AJ23" i="10"/>
  <c r="AJ20" i="10" s="1"/>
  <c r="AJ16" i="10" s="1"/>
  <c r="AB180" i="11"/>
  <c r="AD176" i="10"/>
  <c r="AD170" i="10" s="1"/>
  <c r="AI180" i="10"/>
  <c r="AI176" i="10" s="1"/>
  <c r="AI170" i="10" s="1"/>
  <c r="AB39" i="11"/>
  <c r="AD35" i="10"/>
  <c r="AI39" i="10"/>
  <c r="AI35" i="10" s="1"/>
  <c r="J115" i="15"/>
  <c r="L113" i="14"/>
  <c r="AS15" i="14" s="1"/>
  <c r="AX15" i="14" s="1"/>
  <c r="N115" i="14"/>
  <c r="N113" i="14" s="1"/>
  <c r="BN24" i="13"/>
  <c r="BN22" i="13" s="1"/>
  <c r="BH11" i="13" s="1"/>
  <c r="AR17" i="8"/>
  <c r="AU14" i="8"/>
  <c r="X188" i="16"/>
  <c r="V187" i="16"/>
  <c r="V185" i="16" s="1"/>
  <c r="G105" i="14"/>
  <c r="I104" i="13"/>
  <c r="M105" i="13"/>
  <c r="M104" i="13" s="1"/>
  <c r="AB75" i="12"/>
  <c r="AI75" i="11"/>
  <c r="AE161" i="12"/>
  <c r="AJ161" i="11"/>
  <c r="AH228" i="15"/>
  <c r="X227" i="15"/>
  <c r="X220" i="15" s="1"/>
  <c r="BN30" i="15" s="1"/>
  <c r="BH14" i="15" s="1"/>
  <c r="J105" i="14"/>
  <c r="L104" i="13"/>
  <c r="N105" i="13"/>
  <c r="N104" i="13" s="1"/>
  <c r="AI237" i="15"/>
  <c r="X235" i="15"/>
  <c r="X234" i="15" s="1"/>
  <c r="J86" i="14"/>
  <c r="L85" i="13"/>
  <c r="N86" i="13"/>
  <c r="N85" i="13" s="1"/>
  <c r="AI135" i="15"/>
  <c r="AH135" i="15"/>
  <c r="AJ135" i="15"/>
  <c r="AI73" i="15"/>
  <c r="AH73" i="15"/>
  <c r="AJ73" i="15"/>
  <c r="G41" i="15"/>
  <c r="I41" i="15" s="1"/>
  <c r="AH174" i="15"/>
  <c r="X172" i="15"/>
  <c r="AJ174" i="15"/>
  <c r="BN31" i="15"/>
  <c r="BH15" i="15" s="1"/>
  <c r="BN23" i="15"/>
  <c r="X176" i="15"/>
  <c r="AI177" i="15"/>
  <c r="AJ177" i="15"/>
  <c r="X187" i="15"/>
  <c r="X185" i="15" s="1"/>
  <c r="BE21" i="15"/>
  <c r="H128" i="15"/>
  <c r="H126" i="15" s="1"/>
  <c r="H130" i="15" s="1"/>
  <c r="B24" i="16"/>
  <c r="Q128" i="15"/>
  <c r="Q126" i="15" s="1"/>
  <c r="Q130" i="15" s="1"/>
  <c r="K128" i="15"/>
  <c r="K126" i="15" s="1"/>
  <c r="K130" i="15" s="1"/>
  <c r="C128" i="15"/>
  <c r="P128" i="15"/>
  <c r="P126" i="15" s="1"/>
  <c r="P130" i="15" s="1"/>
  <c r="X135" i="16"/>
  <c r="V123" i="16"/>
  <c r="J12" i="15"/>
  <c r="L12" i="15" s="1"/>
  <c r="N12" i="14"/>
  <c r="AB216" i="12"/>
  <c r="AD211" i="11"/>
  <c r="AD210" i="11" s="1"/>
  <c r="AD209" i="11" s="1"/>
  <c r="AR29" i="11" s="1"/>
  <c r="AI216" i="11"/>
  <c r="AI211" i="11" s="1"/>
  <c r="AI210" i="11" s="1"/>
  <c r="AI209" i="11" s="1"/>
  <c r="AH238" i="15"/>
  <c r="V170" i="15"/>
  <c r="V227" i="16"/>
  <c r="V220" i="16" s="1"/>
  <c r="X228" i="16"/>
  <c r="AE80" i="12"/>
  <c r="AJ80" i="11"/>
  <c r="G95" i="14"/>
  <c r="I94" i="13"/>
  <c r="M95" i="13"/>
  <c r="M94" i="13" s="1"/>
  <c r="V235" i="16"/>
  <c r="V234" i="16" s="1"/>
  <c r="X237" i="16"/>
  <c r="O24" i="20"/>
  <c r="BE22" i="14"/>
  <c r="X73" i="16"/>
  <c r="AH238" i="16"/>
  <c r="V172" i="16"/>
  <c r="X174" i="16"/>
  <c r="V176" i="16"/>
  <c r="X177" i="16"/>
  <c r="AE124" i="12"/>
  <c r="AJ124" i="11"/>
  <c r="L95" i="14"/>
  <c r="J94" i="14"/>
  <c r="BD22" i="9"/>
  <c r="M21" i="9"/>
  <c r="M19" i="9" s="1"/>
  <c r="M17" i="9" s="1"/>
  <c r="M8" i="9" s="1"/>
  <c r="I21" i="9"/>
  <c r="I19" i="9" s="1"/>
  <c r="AR14" i="9" s="1"/>
  <c r="AU14" i="9" s="1"/>
  <c r="I24" i="10"/>
  <c r="G22" i="10"/>
  <c r="L17" i="9"/>
  <c r="M128" i="9"/>
  <c r="J27" i="11"/>
  <c r="J128" i="11" s="1"/>
  <c r="N27" i="10"/>
  <c r="N25" i="10" s="1"/>
  <c r="AX8" i="10"/>
  <c r="AZ8" i="10" s="1"/>
  <c r="L25" i="10"/>
  <c r="AS8" i="10" s="1"/>
  <c r="AV8" i="10" s="1"/>
  <c r="I27" i="10"/>
  <c r="G25" i="10"/>
  <c r="G128" i="10"/>
  <c r="I8" i="8"/>
  <c r="I88" i="14"/>
  <c r="G85" i="14"/>
  <c r="J31" i="15"/>
  <c r="N31" i="14"/>
  <c r="L37" i="14"/>
  <c r="L26" i="12"/>
  <c r="E10" i="16"/>
  <c r="F14" i="16"/>
  <c r="L47" i="12"/>
  <c r="J45" i="12"/>
  <c r="I37" i="12"/>
  <c r="I52" i="12"/>
  <c r="G51" i="12"/>
  <c r="M65" i="15"/>
  <c r="F54" i="15"/>
  <c r="M53" i="15"/>
  <c r="F51" i="15"/>
  <c r="F13" i="16"/>
  <c r="M31" i="15"/>
  <c r="L53" i="12"/>
  <c r="J51" i="12"/>
  <c r="I46" i="12"/>
  <c r="G45" i="12"/>
  <c r="E81" i="16"/>
  <c r="F83" i="16"/>
  <c r="M71" i="15"/>
  <c r="F69" i="15"/>
  <c r="F25" i="15"/>
  <c r="AQ8" i="15" s="1"/>
  <c r="BC11" i="15"/>
  <c r="M26" i="15"/>
  <c r="L83" i="12"/>
  <c r="J81" i="12"/>
  <c r="M77" i="15"/>
  <c r="D66" i="16"/>
  <c r="F68" i="16"/>
  <c r="F45" i="15"/>
  <c r="M47" i="15"/>
  <c r="M59" i="15"/>
  <c r="M57" i="15" s="1"/>
  <c r="F57" i="15"/>
  <c r="I74" i="12"/>
  <c r="G72" i="12"/>
  <c r="M14" i="15"/>
  <c r="N14" i="15"/>
  <c r="L77" i="12"/>
  <c r="J75" i="12"/>
  <c r="E63" i="16"/>
  <c r="F65" i="16"/>
  <c r="F56" i="16"/>
  <c r="E51" i="16"/>
  <c r="F53" i="16"/>
  <c r="M13" i="15"/>
  <c r="L71" i="12"/>
  <c r="J69" i="12"/>
  <c r="E57" i="16"/>
  <c r="F59" i="16"/>
  <c r="F37" i="16"/>
  <c r="I62" i="12"/>
  <c r="G60" i="12"/>
  <c r="F31" i="16"/>
  <c r="L59" i="12"/>
  <c r="J57" i="12"/>
  <c r="M33" i="16"/>
  <c r="M83" i="15"/>
  <c r="M81" i="15" s="1"/>
  <c r="F81" i="15"/>
  <c r="E69" i="16"/>
  <c r="L65" i="12"/>
  <c r="J63" i="12"/>
  <c r="E25" i="16"/>
  <c r="F26" i="16"/>
  <c r="E75" i="16"/>
  <c r="F77" i="16"/>
  <c r="L33" i="12"/>
  <c r="F66" i="15"/>
  <c r="E45" i="16"/>
  <c r="F47" i="16"/>
  <c r="J13" i="11"/>
  <c r="L10" i="10"/>
  <c r="N13" i="10"/>
  <c r="N10" i="10" s="1"/>
  <c r="F128" i="14"/>
  <c r="AS7" i="10"/>
  <c r="AV7" i="10" s="1"/>
  <c r="E24" i="16"/>
  <c r="E22" i="15"/>
  <c r="E21" i="15" s="1"/>
  <c r="E19" i="15" s="1"/>
  <c r="E17" i="15" s="1"/>
  <c r="E8" i="15" s="1"/>
  <c r="E128" i="15"/>
  <c r="J15" i="16"/>
  <c r="L15" i="16" s="1"/>
  <c r="N15" i="16" s="1"/>
  <c r="N15" i="15"/>
  <c r="D24" i="16"/>
  <c r="D22" i="15"/>
  <c r="F24" i="15"/>
  <c r="BC21" i="15" s="1"/>
  <c r="D128" i="15"/>
  <c r="N22" i="10"/>
  <c r="L24" i="11"/>
  <c r="J22" i="11"/>
  <c r="BJ15" i="10"/>
  <c r="AD88" i="11"/>
  <c r="AB83" i="11"/>
  <c r="AA237" i="11"/>
  <c r="Y235" i="11"/>
  <c r="Y234" i="11" s="1"/>
  <c r="AB107" i="12"/>
  <c r="AI107" i="11"/>
  <c r="AI105" i="11" s="1"/>
  <c r="AI104" i="11" s="1"/>
  <c r="AD105" i="11"/>
  <c r="AD104" i="11" s="1"/>
  <c r="AB50" i="12"/>
  <c r="AD49" i="11"/>
  <c r="AI50" i="11"/>
  <c r="AI49" i="11" s="1"/>
  <c r="X245" i="16"/>
  <c r="AJ220" i="11"/>
  <c r="G56" i="12"/>
  <c r="M56" i="11"/>
  <c r="Y133" i="12"/>
  <c r="AH133" i="11"/>
  <c r="AH245" i="15"/>
  <c r="AI245" i="15"/>
  <c r="AJ245" i="15"/>
  <c r="AJ158" i="15"/>
  <c r="AE158" i="16"/>
  <c r="AE127" i="16"/>
  <c r="AJ127" i="15"/>
  <c r="AG220" i="11"/>
  <c r="N38" i="16"/>
  <c r="M38" i="16"/>
  <c r="AZ31" i="5"/>
  <c r="AZ32" i="5" s="1"/>
  <c r="AV32" i="5"/>
  <c r="AQ33" i="5"/>
  <c r="E126" i="10"/>
  <c r="E130" i="10" s="1"/>
  <c r="AY31" i="5"/>
  <c r="AY32" i="5" s="1"/>
  <c r="D126" i="10"/>
  <c r="D130" i="10" s="1"/>
  <c r="T15" i="7"/>
  <c r="BC10" i="13"/>
  <c r="BC9" i="13" s="1"/>
  <c r="BC8" i="13" s="1"/>
  <c r="BC22" i="13" s="1"/>
  <c r="M41" i="14"/>
  <c r="F41" i="15"/>
  <c r="D41" i="16"/>
  <c r="L41" i="14"/>
  <c r="AZ16" i="9"/>
  <c r="AX17" i="9"/>
  <c r="AW17" i="9"/>
  <c r="G12" i="11"/>
  <c r="M12" i="10"/>
  <c r="I10" i="10"/>
  <c r="AE186" i="12"/>
  <c r="AJ186" i="11"/>
  <c r="AJ224" i="15"/>
  <c r="AE224" i="16"/>
  <c r="AG224" i="16" s="1"/>
  <c r="AJ224" i="16" s="1"/>
  <c r="AE222" i="12"/>
  <c r="AG223" i="12"/>
  <c r="AZ27" i="9"/>
  <c r="AR13" i="15"/>
  <c r="AU13" i="15" s="1"/>
  <c r="AW13" i="15"/>
  <c r="AY13" i="15" s="1"/>
  <c r="I23" i="11"/>
  <c r="AJ229" i="15"/>
  <c r="AE229" i="16"/>
  <c r="AG229" i="16" s="1"/>
  <c r="AE227" i="12"/>
  <c r="AG228" i="12"/>
  <c r="AG180" i="15"/>
  <c r="AJ198" i="11"/>
  <c r="AE198" i="12"/>
  <c r="I30" i="11"/>
  <c r="G29" i="11"/>
  <c r="AJ237" i="15"/>
  <c r="AE237" i="16"/>
  <c r="AG237" i="16" s="1"/>
  <c r="AJ206" i="11"/>
  <c r="AJ205" i="11" s="1"/>
  <c r="AE206" i="12"/>
  <c r="AG205" i="11"/>
  <c r="AG188" i="12"/>
  <c r="AG236" i="12"/>
  <c r="AJ181" i="11"/>
  <c r="AE181" i="12"/>
  <c r="AZ13" i="10"/>
  <c r="D54" i="16" l="1"/>
  <c r="F71" i="16"/>
  <c r="V258" i="12"/>
  <c r="V10" i="13"/>
  <c r="V8" i="13" s="1"/>
  <c r="BO13" i="10"/>
  <c r="X69" i="15"/>
  <c r="X65" i="15" s="1"/>
  <c r="AI258" i="9"/>
  <c r="BN13" i="13"/>
  <c r="M69" i="15"/>
  <c r="AB8" i="10"/>
  <c r="AX30" i="9"/>
  <c r="AZ30" i="9" s="1"/>
  <c r="AV30" i="9"/>
  <c r="AW30" i="9"/>
  <c r="AY30" i="9" s="1"/>
  <c r="AU30" i="9"/>
  <c r="AD258" i="9"/>
  <c r="BP33" i="9" s="1"/>
  <c r="AD14" i="10"/>
  <c r="AD12" i="10" s="1"/>
  <c r="AU35" i="8"/>
  <c r="AZ14" i="10"/>
  <c r="AI145" i="10"/>
  <c r="AI110" i="10" s="1"/>
  <c r="W110" i="15"/>
  <c r="AI14" i="10"/>
  <c r="AI12" i="10" s="1"/>
  <c r="BN28" i="13"/>
  <c r="BN25" i="13" s="1"/>
  <c r="BH12" i="13" s="1"/>
  <c r="BC7" i="14"/>
  <c r="X145" i="14"/>
  <c r="X12" i="12"/>
  <c r="X10" i="12" s="1"/>
  <c r="AH112" i="10"/>
  <c r="AH110" i="10" s="1"/>
  <c r="D8" i="13"/>
  <c r="D126" i="13" s="1"/>
  <c r="V258" i="13"/>
  <c r="AA44" i="11"/>
  <c r="AA43" i="11" s="1"/>
  <c r="Y47" i="12"/>
  <c r="AH47" i="11"/>
  <c r="AH44" i="11" s="1"/>
  <c r="AH43" i="11" s="1"/>
  <c r="BO16" i="10"/>
  <c r="AA112" i="10"/>
  <c r="AA110" i="10" s="1"/>
  <c r="AD21" i="11"/>
  <c r="AB20" i="11"/>
  <c r="AB16" i="11" s="1"/>
  <c r="AB44" i="11"/>
  <c r="AB43" i="11" s="1"/>
  <c r="AD46" i="11"/>
  <c r="M67" i="15"/>
  <c r="X58" i="15"/>
  <c r="X57" i="15" s="1"/>
  <c r="AI59" i="15"/>
  <c r="AI58" i="15" s="1"/>
  <c r="AI57" i="15" s="1"/>
  <c r="AB206" i="12"/>
  <c r="AD205" i="11"/>
  <c r="AD196" i="11" s="1"/>
  <c r="AI206" i="11"/>
  <c r="AI205" i="11" s="1"/>
  <c r="AI196" i="11" s="1"/>
  <c r="AI195" i="11" s="1"/>
  <c r="AI193" i="11" s="1"/>
  <c r="AD151" i="11"/>
  <c r="AB149" i="11"/>
  <c r="AB147" i="11" s="1"/>
  <c r="M34" i="15"/>
  <c r="M32" i="15" s="1"/>
  <c r="F32" i="15"/>
  <c r="W8" i="14"/>
  <c r="G66" i="11"/>
  <c r="I68" i="11"/>
  <c r="L61" i="11"/>
  <c r="J60" i="11"/>
  <c r="AD174" i="12"/>
  <c r="AB172" i="12"/>
  <c r="AA198" i="11"/>
  <c r="Y197" i="11"/>
  <c r="Y196" i="11" s="1"/>
  <c r="Y195" i="11" s="1"/>
  <c r="Y193" i="11" s="1"/>
  <c r="AI72" i="15"/>
  <c r="AJ72" i="15"/>
  <c r="AH72" i="15"/>
  <c r="AA115" i="11"/>
  <c r="Y114" i="11"/>
  <c r="L34" i="11"/>
  <c r="J32" i="11"/>
  <c r="J28" i="11" s="1"/>
  <c r="Y98" i="12"/>
  <c r="AA96" i="11"/>
  <c r="AH98" i="11"/>
  <c r="AH96" i="11" s="1"/>
  <c r="AA159" i="11"/>
  <c r="Y157" i="11"/>
  <c r="Y155" i="11" s="1"/>
  <c r="Y145" i="11" s="1"/>
  <c r="L55" i="12"/>
  <c r="J54" i="12"/>
  <c r="Y227" i="12"/>
  <c r="AA229" i="12"/>
  <c r="L43" i="12"/>
  <c r="J42" i="12"/>
  <c r="L67" i="12"/>
  <c r="J66" i="12"/>
  <c r="AA152" i="13"/>
  <c r="Y149" i="13"/>
  <c r="Y147" i="13" s="1"/>
  <c r="X159" i="16"/>
  <c r="W157" i="16"/>
  <c r="W155" i="16" s="1"/>
  <c r="W145" i="16" s="1"/>
  <c r="I36" i="11"/>
  <c r="BD13" i="11" s="1"/>
  <c r="G35" i="11"/>
  <c r="G28" i="11" s="1"/>
  <c r="F34" i="16"/>
  <c r="D32" i="16"/>
  <c r="I44" i="11"/>
  <c r="G42" i="11"/>
  <c r="BO17" i="10"/>
  <c r="AD71" i="11"/>
  <c r="AB69" i="11"/>
  <c r="AB65" i="11" s="1"/>
  <c r="AB63" i="11" s="1"/>
  <c r="AB97" i="12"/>
  <c r="AI97" i="11"/>
  <c r="AI96" i="11" s="1"/>
  <c r="AI90" i="11" s="1"/>
  <c r="AD96" i="11"/>
  <c r="AD90" i="11" s="1"/>
  <c r="BP12" i="10"/>
  <c r="BP9" i="10" s="1"/>
  <c r="AR23" i="10"/>
  <c r="AR25" i="10"/>
  <c r="BP13" i="10"/>
  <c r="G80" i="12"/>
  <c r="M80" i="11"/>
  <c r="E66" i="16"/>
  <c r="F67" i="16"/>
  <c r="F66" i="16" s="1"/>
  <c r="X229" i="16"/>
  <c r="AJ229" i="16" s="1"/>
  <c r="W227" i="16"/>
  <c r="W220" i="16" s="1"/>
  <c r="V58" i="16"/>
  <c r="V57" i="16" s="1"/>
  <c r="X59" i="16"/>
  <c r="Y215" i="12"/>
  <c r="AA211" i="11"/>
  <c r="AA210" i="11" s="1"/>
  <c r="AA209" i="11" s="1"/>
  <c r="BO27" i="11" s="1"/>
  <c r="AH215" i="11"/>
  <c r="AH211" i="11" s="1"/>
  <c r="AH210" i="11" s="1"/>
  <c r="AH209" i="11" s="1"/>
  <c r="AI159" i="15"/>
  <c r="AJ159" i="15"/>
  <c r="AR28" i="10"/>
  <c r="AD193" i="10"/>
  <c r="AG143" i="12"/>
  <c r="AE141" i="12"/>
  <c r="Y91" i="11"/>
  <c r="Y90" i="11" s="1"/>
  <c r="AA93" i="11"/>
  <c r="AX24" i="10"/>
  <c r="AZ24" i="10" s="1"/>
  <c r="AV24" i="10"/>
  <c r="AX25" i="9"/>
  <c r="AZ25" i="9" s="1"/>
  <c r="AV25" i="9"/>
  <c r="BO28" i="10"/>
  <c r="BO25" i="10" s="1"/>
  <c r="BI12" i="10" s="1"/>
  <c r="AA195" i="10"/>
  <c r="AA193" i="10" s="1"/>
  <c r="X72" i="16"/>
  <c r="W69" i="16"/>
  <c r="W65" i="16" s="1"/>
  <c r="F27" i="16"/>
  <c r="F25" i="16" s="1"/>
  <c r="AQ8" i="16" s="1"/>
  <c r="D25" i="16"/>
  <c r="AB124" i="13"/>
  <c r="AI124" i="12"/>
  <c r="AI123" i="12" s="1"/>
  <c r="AI112" i="12" s="1"/>
  <c r="AD123" i="12"/>
  <c r="AD112" i="12" s="1"/>
  <c r="Y177" i="12"/>
  <c r="BO23" i="11"/>
  <c r="AA176" i="11"/>
  <c r="AA170" i="11" s="1"/>
  <c r="BO24" i="11" s="1"/>
  <c r="AH177" i="11"/>
  <c r="AH176" i="11" s="1"/>
  <c r="AH170" i="11" s="1"/>
  <c r="AB228" i="13"/>
  <c r="AI228" i="12"/>
  <c r="AI227" i="12" s="1"/>
  <c r="AI220" i="12" s="1"/>
  <c r="AD227" i="12"/>
  <c r="AD220" i="12" s="1"/>
  <c r="BP30" i="12" s="1"/>
  <c r="BJ14" i="12" s="1"/>
  <c r="AB142" i="14"/>
  <c r="AD141" i="13"/>
  <c r="BP20" i="13" s="1"/>
  <c r="AI142" i="13"/>
  <c r="AI141" i="13" s="1"/>
  <c r="Y58" i="11"/>
  <c r="Y57" i="11" s="1"/>
  <c r="AA59" i="11"/>
  <c r="L73" i="11"/>
  <c r="J72" i="11"/>
  <c r="L49" i="11"/>
  <c r="J48" i="11"/>
  <c r="AI152" i="16"/>
  <c r="AA125" i="11"/>
  <c r="Y123" i="11"/>
  <c r="BN12" i="14"/>
  <c r="BN9" i="14" s="1"/>
  <c r="X196" i="14"/>
  <c r="X195" i="14" s="1"/>
  <c r="AG63" i="9"/>
  <c r="AG12" i="9" s="1"/>
  <c r="AG10" i="9" s="1"/>
  <c r="AG258" i="9" s="1"/>
  <c r="AS31" i="9" s="1"/>
  <c r="AS32" i="9" s="1"/>
  <c r="W63" i="16"/>
  <c r="V63" i="14"/>
  <c r="V12" i="14" s="1"/>
  <c r="F28" i="13"/>
  <c r="W193" i="16"/>
  <c r="AJ71" i="16"/>
  <c r="M73" i="16"/>
  <c r="F72" i="16"/>
  <c r="I50" i="12"/>
  <c r="G48" i="12"/>
  <c r="AD173" i="15"/>
  <c r="V69" i="16"/>
  <c r="V65" i="16" s="1"/>
  <c r="BJ16" i="9"/>
  <c r="BN26" i="16"/>
  <c r="C49" i="20" s="1"/>
  <c r="AJ71" i="15"/>
  <c r="AA143" i="12"/>
  <c r="Y141" i="12"/>
  <c r="BN24" i="14"/>
  <c r="BN22" i="14" s="1"/>
  <c r="BH11" i="14" s="1"/>
  <c r="AJ193" i="10"/>
  <c r="V110" i="14"/>
  <c r="AB143" i="16"/>
  <c r="AI143" i="15"/>
  <c r="AA52" i="12"/>
  <c r="Y49" i="12"/>
  <c r="AI115" i="16"/>
  <c r="AI215" i="16"/>
  <c r="X222" i="16"/>
  <c r="BP32" i="9"/>
  <c r="AA188" i="12"/>
  <c r="Y187" i="12"/>
  <c r="Y185" i="12" s="1"/>
  <c r="F60" i="16"/>
  <c r="M61" i="16"/>
  <c r="AE173" i="13"/>
  <c r="AJ173" i="12"/>
  <c r="AJ172" i="12" s="1"/>
  <c r="AG172" i="12"/>
  <c r="AH86" i="16"/>
  <c r="AI86" i="16"/>
  <c r="AA223" i="12"/>
  <c r="Y222" i="12"/>
  <c r="AI93" i="16"/>
  <c r="AE12" i="10"/>
  <c r="AE10" i="10" s="1"/>
  <c r="AE8" i="10" s="1"/>
  <c r="V196" i="15"/>
  <c r="V195" i="15" s="1"/>
  <c r="V193" i="15" s="1"/>
  <c r="X63" i="13"/>
  <c r="X12" i="13" s="1"/>
  <c r="D21" i="14"/>
  <c r="D19" i="14" s="1"/>
  <c r="D17" i="14" s="1"/>
  <c r="D8" i="14" s="1"/>
  <c r="AJ8" i="9"/>
  <c r="AJ258" i="9"/>
  <c r="AB258" i="10"/>
  <c r="AG87" i="11"/>
  <c r="AE83" i="11"/>
  <c r="V90" i="15"/>
  <c r="W43" i="16"/>
  <c r="W14" i="16" s="1"/>
  <c r="AE178" i="11"/>
  <c r="AJ178" i="10"/>
  <c r="AJ176" i="10" s="1"/>
  <c r="AJ170" i="10" s="1"/>
  <c r="AG176" i="10"/>
  <c r="AG170" i="10" s="1"/>
  <c r="AS27" i="10" s="1"/>
  <c r="AV27" i="10" s="1"/>
  <c r="BC13" i="14"/>
  <c r="F29" i="14"/>
  <c r="AG116" i="11"/>
  <c r="AE114" i="11"/>
  <c r="M43" i="15"/>
  <c r="F42" i="15"/>
  <c r="AQ10" i="15" s="1"/>
  <c r="AV10" i="15" s="1"/>
  <c r="BC16" i="15"/>
  <c r="V85" i="16"/>
  <c r="X85" i="15"/>
  <c r="V83" i="15"/>
  <c r="F35" i="14"/>
  <c r="I70" i="16"/>
  <c r="G69" i="16"/>
  <c r="AH158" i="15"/>
  <c r="AI158" i="15"/>
  <c r="X157" i="15"/>
  <c r="X155" i="15" s="1"/>
  <c r="BN17" i="15" s="1"/>
  <c r="AV29" i="13"/>
  <c r="AU29" i="13"/>
  <c r="I76" i="15"/>
  <c r="G75" i="15"/>
  <c r="BC15" i="15"/>
  <c r="N46" i="15"/>
  <c r="AE126" i="11"/>
  <c r="AJ126" i="10"/>
  <c r="AJ123" i="10" s="1"/>
  <c r="AJ112" i="10" s="1"/>
  <c r="AJ110" i="10" s="1"/>
  <c r="AG123" i="10"/>
  <c r="AG112" i="10" s="1"/>
  <c r="AG110" i="10" s="1"/>
  <c r="AS26" i="10" s="1"/>
  <c r="F79" i="16"/>
  <c r="D78" i="16"/>
  <c r="F78" i="16" s="1"/>
  <c r="D12" i="16"/>
  <c r="F12" i="15"/>
  <c r="F10" i="15" s="1"/>
  <c r="BC7" i="15" s="1"/>
  <c r="D10" i="15"/>
  <c r="X39" i="16"/>
  <c r="V35" i="16"/>
  <c r="M49" i="16"/>
  <c r="F48" i="16"/>
  <c r="AH92" i="15"/>
  <c r="AJ92" i="15"/>
  <c r="X91" i="15"/>
  <c r="AH151" i="15"/>
  <c r="AJ151" i="15"/>
  <c r="X149" i="15"/>
  <c r="X147" i="15" s="1"/>
  <c r="D30" i="16"/>
  <c r="F30" i="15"/>
  <c r="D29" i="15"/>
  <c r="BN16" i="13"/>
  <c r="BN15" i="13" s="1"/>
  <c r="BH10" i="13" s="1"/>
  <c r="X112" i="13"/>
  <c r="X110" i="13" s="1"/>
  <c r="AQ26" i="13" s="1"/>
  <c r="BN8" i="12"/>
  <c r="BN7" i="12" s="1"/>
  <c r="BN32" i="12" s="1"/>
  <c r="BH8" i="12"/>
  <c r="BH7" i="12" s="1"/>
  <c r="BH16" i="12" s="1"/>
  <c r="D42" i="16"/>
  <c r="F43" i="16"/>
  <c r="V205" i="16"/>
  <c r="X206" i="16"/>
  <c r="BC12" i="14"/>
  <c r="N23" i="14"/>
  <c r="D36" i="16"/>
  <c r="F36" i="15"/>
  <c r="D35" i="15"/>
  <c r="D64" i="16"/>
  <c r="D63" i="15"/>
  <c r="F64" i="15"/>
  <c r="X158" i="16"/>
  <c r="V157" i="16"/>
  <c r="V155" i="16" s="1"/>
  <c r="D45" i="16"/>
  <c r="F46" i="16"/>
  <c r="AV10" i="14"/>
  <c r="AU10" i="14"/>
  <c r="AE94" i="11"/>
  <c r="AJ94" i="10"/>
  <c r="AJ91" i="10" s="1"/>
  <c r="AG91" i="10"/>
  <c r="AY14" i="10"/>
  <c r="AH118" i="14"/>
  <c r="AI118" i="14"/>
  <c r="AJ118" i="14"/>
  <c r="X114" i="14"/>
  <c r="X92" i="16"/>
  <c r="V91" i="16"/>
  <c r="AH142" i="15"/>
  <c r="AJ142" i="15"/>
  <c r="X141" i="15"/>
  <c r="BN20" i="15" s="1"/>
  <c r="AQ9" i="12"/>
  <c r="F21" i="12"/>
  <c r="F19" i="12" s="1"/>
  <c r="AH201" i="15"/>
  <c r="AI201" i="15"/>
  <c r="X197" i="15"/>
  <c r="AJ201" i="15"/>
  <c r="X151" i="16"/>
  <c r="V149" i="16"/>
  <c r="V147" i="16" s="1"/>
  <c r="AH97" i="15"/>
  <c r="AJ97" i="15"/>
  <c r="X96" i="15"/>
  <c r="AH214" i="15"/>
  <c r="AI214" i="15"/>
  <c r="X211" i="15"/>
  <c r="X210" i="15" s="1"/>
  <c r="X209" i="15" s="1"/>
  <c r="AJ214" i="15"/>
  <c r="BN14" i="13"/>
  <c r="D23" i="16"/>
  <c r="F23" i="16" s="1"/>
  <c r="F23" i="15"/>
  <c r="AJ46" i="14"/>
  <c r="X44" i="14"/>
  <c r="X43" i="14" s="1"/>
  <c r="AH46" i="14"/>
  <c r="BC14" i="14"/>
  <c r="N64" i="14"/>
  <c r="M64" i="14"/>
  <c r="M63" i="14" s="1"/>
  <c r="F63" i="14"/>
  <c r="AQ28" i="12"/>
  <c r="X193" i="12"/>
  <c r="AG106" i="11"/>
  <c r="AE105" i="11"/>
  <c r="AE104" i="11" s="1"/>
  <c r="D75" i="15"/>
  <c r="F76" i="15"/>
  <c r="D76" i="16"/>
  <c r="AG160" i="11"/>
  <c r="AE157" i="11"/>
  <c r="AE155" i="11" s="1"/>
  <c r="AE145" i="11" s="1"/>
  <c r="X258" i="10"/>
  <c r="F8" i="10"/>
  <c r="AH21" i="15"/>
  <c r="AJ21" i="15"/>
  <c r="X20" i="15"/>
  <c r="X16" i="15" s="1"/>
  <c r="M79" i="15"/>
  <c r="N79" i="15"/>
  <c r="AI51" i="15"/>
  <c r="AJ51" i="15"/>
  <c r="X49" i="15"/>
  <c r="AH51" i="15"/>
  <c r="X193" i="13"/>
  <c r="AQ28" i="13"/>
  <c r="V118" i="16"/>
  <c r="X118" i="15"/>
  <c r="V114" i="15"/>
  <c r="V112" i="15" s="1"/>
  <c r="X142" i="16"/>
  <c r="V141" i="16"/>
  <c r="W43" i="15"/>
  <c r="W14" i="15" s="1"/>
  <c r="W12" i="15" s="1"/>
  <c r="X201" i="16"/>
  <c r="V197" i="16"/>
  <c r="X97" i="16"/>
  <c r="V96" i="16"/>
  <c r="AE99" i="11"/>
  <c r="AJ99" i="10"/>
  <c r="AJ96" i="10" s="1"/>
  <c r="AG96" i="10"/>
  <c r="AG189" i="11"/>
  <c r="AE187" i="11"/>
  <c r="AE185" i="11" s="1"/>
  <c r="X90" i="14"/>
  <c r="X214" i="16"/>
  <c r="V211" i="16"/>
  <c r="V210" i="16" s="1"/>
  <c r="V209" i="16" s="1"/>
  <c r="AH206" i="15"/>
  <c r="AH205" i="15" s="1"/>
  <c r="X205" i="15"/>
  <c r="AJ85" i="14"/>
  <c r="AI85" i="14"/>
  <c r="X83" i="14"/>
  <c r="AQ29" i="14"/>
  <c r="BN27" i="14"/>
  <c r="V46" i="16"/>
  <c r="X46" i="15"/>
  <c r="V44" i="15"/>
  <c r="V43" i="15" s="1"/>
  <c r="V14" i="15" s="1"/>
  <c r="V145" i="15"/>
  <c r="M76" i="14"/>
  <c r="M75" i="14" s="1"/>
  <c r="N76" i="14"/>
  <c r="F75" i="14"/>
  <c r="X8" i="11"/>
  <c r="X258" i="11"/>
  <c r="X21" i="16"/>
  <c r="V20" i="16"/>
  <c r="V16" i="16" s="1"/>
  <c r="AQ25" i="13"/>
  <c r="D51" i="16"/>
  <c r="F52" i="16"/>
  <c r="N52" i="16" s="1"/>
  <c r="X51" i="16"/>
  <c r="V49" i="16"/>
  <c r="AJ39" i="15"/>
  <c r="AH39" i="15"/>
  <c r="X35" i="15"/>
  <c r="BC17" i="14"/>
  <c r="AF262" i="7"/>
  <c r="AF260" i="7" s="1"/>
  <c r="AF264" i="7" s="1"/>
  <c r="V262" i="7"/>
  <c r="V260" i="7" s="1"/>
  <c r="V264" i="7" s="1"/>
  <c r="W262" i="7"/>
  <c r="W260" i="7" s="1"/>
  <c r="W264" i="7" s="1"/>
  <c r="AC262" i="7"/>
  <c r="AC260" i="7" s="1"/>
  <c r="AC264" i="7" s="1"/>
  <c r="AB262" i="7"/>
  <c r="AB260" i="7" s="1"/>
  <c r="AB264" i="7" s="1"/>
  <c r="AI262" i="7"/>
  <c r="AI260" i="7" s="1"/>
  <c r="AI264" i="7" s="1"/>
  <c r="AH262" i="7"/>
  <c r="AH260" i="7" s="1"/>
  <c r="AH264" i="7" s="1"/>
  <c r="Y262" i="7"/>
  <c r="Y260" i="7" s="1"/>
  <c r="Y264" i="7" s="1"/>
  <c r="X262" i="7"/>
  <c r="X260" i="7" s="1"/>
  <c r="X264" i="7" s="1"/>
  <c r="AE262" i="7"/>
  <c r="AE260" i="7" s="1"/>
  <c r="AE264" i="7" s="1"/>
  <c r="Z262" i="7"/>
  <c r="Z260" i="7" s="1"/>
  <c r="Z264" i="7" s="1"/>
  <c r="U262" i="7"/>
  <c r="U260" i="7" s="1"/>
  <c r="U264" i="7" s="1"/>
  <c r="AJ262" i="7"/>
  <c r="AJ260" i="7" s="1"/>
  <c r="AJ264" i="7" s="1"/>
  <c r="AD262" i="7"/>
  <c r="AD260" i="7" s="1"/>
  <c r="AD264" i="7" s="1"/>
  <c r="AA262" i="7"/>
  <c r="AA260" i="7" s="1"/>
  <c r="AA264" i="7" s="1"/>
  <c r="AG262" i="7"/>
  <c r="AG260" i="7" s="1"/>
  <c r="AG264" i="7" s="1"/>
  <c r="W258" i="14"/>
  <c r="X243" i="14"/>
  <c r="X232" i="14" s="1"/>
  <c r="Y244" i="11"/>
  <c r="AA243" i="10"/>
  <c r="AA232" i="10" s="1"/>
  <c r="BO29" i="10" s="1"/>
  <c r="BI13" i="10" s="1"/>
  <c r="AH244" i="10"/>
  <c r="AH243" i="10" s="1"/>
  <c r="AH232" i="10" s="1"/>
  <c r="BN29" i="13"/>
  <c r="BH13" i="13" s="1"/>
  <c r="AQ30" i="13"/>
  <c r="AJ244" i="10"/>
  <c r="AJ243" i="10" s="1"/>
  <c r="AJ232" i="10" s="1"/>
  <c r="AE244" i="11"/>
  <c r="AG243" i="10"/>
  <c r="AH8" i="9"/>
  <c r="AH258" i="9"/>
  <c r="AA10" i="9"/>
  <c r="AA8" i="9" s="1"/>
  <c r="Y1" i="9" s="1"/>
  <c r="V244" i="16"/>
  <c r="X244" i="15"/>
  <c r="V243" i="15"/>
  <c r="V232" i="15" s="1"/>
  <c r="AS29" i="10"/>
  <c r="AX29" i="10" s="1"/>
  <c r="AZ29" i="10" s="1"/>
  <c r="W243" i="15"/>
  <c r="W232" i="15" s="1"/>
  <c r="W244" i="16"/>
  <c r="W243" i="16" s="1"/>
  <c r="W232" i="16" s="1"/>
  <c r="AG234" i="10"/>
  <c r="I55" i="11"/>
  <c r="G54" i="11"/>
  <c r="AB244" i="11"/>
  <c r="AD243" i="10"/>
  <c r="AD232" i="10" s="1"/>
  <c r="AI244" i="10"/>
  <c r="AI243" i="10" s="1"/>
  <c r="AI232" i="10" s="1"/>
  <c r="AE258" i="9"/>
  <c r="BP14" i="10"/>
  <c r="AR24" i="10"/>
  <c r="AW24" i="10" s="1"/>
  <c r="AY24" i="10" s="1"/>
  <c r="AX28" i="10"/>
  <c r="AZ28" i="10" s="1"/>
  <c r="AG193" i="10"/>
  <c r="Y12" i="10"/>
  <c r="Y10" i="10" s="1"/>
  <c r="Y8" i="10" s="1"/>
  <c r="N128" i="10"/>
  <c r="AR17" i="9"/>
  <c r="L56" i="13"/>
  <c r="L68" i="13"/>
  <c r="AG98" i="13"/>
  <c r="AG47" i="13"/>
  <c r="AE44" i="13"/>
  <c r="AG115" i="13"/>
  <c r="J50" i="14"/>
  <c r="N50" i="13"/>
  <c r="AA225" i="15"/>
  <c r="L44" i="13"/>
  <c r="J80" i="14"/>
  <c r="N80" i="13"/>
  <c r="AD22" i="13"/>
  <c r="AA100" i="15"/>
  <c r="AD92" i="13"/>
  <c r="AB91" i="13"/>
  <c r="AG59" i="13"/>
  <c r="AE58" i="13"/>
  <c r="AE57" i="13" s="1"/>
  <c r="Y173" i="16"/>
  <c r="AH173" i="15"/>
  <c r="AH172" i="15" s="1"/>
  <c r="AA172" i="15"/>
  <c r="AA200" i="15"/>
  <c r="AD100" i="13"/>
  <c r="Y107" i="16"/>
  <c r="AA105" i="15"/>
  <c r="AA104" i="15" s="1"/>
  <c r="AH107" i="15"/>
  <c r="AH105" i="15" s="1"/>
  <c r="AH104" i="15" s="1"/>
  <c r="AE36" i="14"/>
  <c r="AJ36" i="13"/>
  <c r="AJ35" i="13" s="1"/>
  <c r="AG35" i="13"/>
  <c r="L62" i="13"/>
  <c r="AD223" i="13"/>
  <c r="AB222" i="13"/>
  <c r="AA95" i="15"/>
  <c r="AD198" i="13"/>
  <c r="AB197" i="13"/>
  <c r="AD117" i="13"/>
  <c r="AB114" i="13"/>
  <c r="L30" i="13"/>
  <c r="J29" i="13"/>
  <c r="AB229" i="14"/>
  <c r="AI229" i="13"/>
  <c r="AG86" i="13"/>
  <c r="Y179" i="16"/>
  <c r="AH179" i="15"/>
  <c r="AD238" i="13"/>
  <c r="AB235" i="13"/>
  <c r="AB234" i="13" s="1"/>
  <c r="AG152" i="13"/>
  <c r="AE149" i="13"/>
  <c r="AE147" i="13" s="1"/>
  <c r="Y246" i="16"/>
  <c r="AH246" i="15"/>
  <c r="AA190" i="15"/>
  <c r="Y213" i="16"/>
  <c r="AH213" i="15"/>
  <c r="AA150" i="15"/>
  <c r="AB127" i="14"/>
  <c r="AI127" i="13"/>
  <c r="Y117" i="16"/>
  <c r="AH117" i="15"/>
  <c r="AJ93" i="13"/>
  <c r="AE93" i="14"/>
  <c r="AD150" i="13"/>
  <c r="L36" i="13"/>
  <c r="J35" i="13"/>
  <c r="J74" i="14"/>
  <c r="N74" i="13"/>
  <c r="AB188" i="14"/>
  <c r="AD187" i="13"/>
  <c r="AD185" i="13" s="1"/>
  <c r="AI188" i="13"/>
  <c r="AI187" i="13" s="1"/>
  <c r="AI185" i="13" s="1"/>
  <c r="AJ14" i="10"/>
  <c r="AJ237" i="16"/>
  <c r="AA63" i="10"/>
  <c r="AG174" i="16"/>
  <c r="AE211" i="11"/>
  <c r="AE210" i="11" s="1"/>
  <c r="AE209" i="11" s="1"/>
  <c r="AG212" i="11"/>
  <c r="AG202" i="11"/>
  <c r="AE197" i="11"/>
  <c r="AE196" i="11" s="1"/>
  <c r="AE195" i="11" s="1"/>
  <c r="AH14" i="10"/>
  <c r="AH63" i="10"/>
  <c r="BO14" i="10"/>
  <c r="BI9" i="10" s="1"/>
  <c r="AG241" i="11"/>
  <c r="AE235" i="11"/>
  <c r="AE234" i="11" s="1"/>
  <c r="AA61" i="12"/>
  <c r="AA85" i="11"/>
  <c r="Y83" i="11"/>
  <c r="AA37" i="11"/>
  <c r="Y35" i="11"/>
  <c r="I17" i="9"/>
  <c r="L8" i="9"/>
  <c r="L126" i="9" s="1"/>
  <c r="L130" i="9" s="1"/>
  <c r="AD39" i="11"/>
  <c r="AB35" i="11"/>
  <c r="G115" i="15"/>
  <c r="I113" i="14"/>
  <c r="AR15" i="14" s="1"/>
  <c r="AW15" i="14" s="1"/>
  <c r="BD20" i="14"/>
  <c r="M115" i="14"/>
  <c r="M113" i="14" s="1"/>
  <c r="AI133" i="15"/>
  <c r="AJ133" i="15"/>
  <c r="AG70" i="11"/>
  <c r="AE69" i="11"/>
  <c r="AE65" i="11" s="1"/>
  <c r="L115" i="15"/>
  <c r="J113" i="15"/>
  <c r="AA14" i="10"/>
  <c r="BO12" i="10"/>
  <c r="BP17" i="10"/>
  <c r="AD145" i="10"/>
  <c r="AD110" i="10" s="1"/>
  <c r="AR26" i="10" s="1"/>
  <c r="X133" i="16"/>
  <c r="X123" i="16" s="1"/>
  <c r="W123" i="16"/>
  <c r="W112" i="16" s="1"/>
  <c r="BP24" i="10"/>
  <c r="AR27" i="10"/>
  <c r="AG14" i="10"/>
  <c r="AS23" i="10"/>
  <c r="AA27" i="11"/>
  <c r="Y20" i="11"/>
  <c r="Y16" i="11" s="1"/>
  <c r="AA71" i="11"/>
  <c r="Y69" i="11"/>
  <c r="Y65" i="11" s="1"/>
  <c r="AD167" i="11"/>
  <c r="AB157" i="11"/>
  <c r="AB155" i="11" s="1"/>
  <c r="AD180" i="11"/>
  <c r="AB176" i="11"/>
  <c r="AB170" i="11" s="1"/>
  <c r="AG23" i="11"/>
  <c r="AE20" i="11"/>
  <c r="AE16" i="11" s="1"/>
  <c r="AG52" i="11"/>
  <c r="AE49" i="11"/>
  <c r="AE43" i="11" s="1"/>
  <c r="AS16" i="10"/>
  <c r="AX16" i="10" s="1"/>
  <c r="AR16" i="10"/>
  <c r="AW16" i="10" s="1"/>
  <c r="AY16" i="10" s="1"/>
  <c r="AD216" i="12"/>
  <c r="AB211" i="12"/>
  <c r="AB210" i="12" s="1"/>
  <c r="AB209" i="12" s="1"/>
  <c r="J12" i="16"/>
  <c r="L12" i="16" s="1"/>
  <c r="X170" i="15"/>
  <c r="G41" i="16"/>
  <c r="I41" i="16" s="1"/>
  <c r="L105" i="14"/>
  <c r="J104" i="14"/>
  <c r="AH73" i="16"/>
  <c r="AI73" i="16"/>
  <c r="X69" i="16"/>
  <c r="X65" i="16" s="1"/>
  <c r="AJ73" i="16"/>
  <c r="AG80" i="12"/>
  <c r="P24" i="20"/>
  <c r="BE22" i="15"/>
  <c r="AD75" i="12"/>
  <c r="V170" i="16"/>
  <c r="L21" i="10"/>
  <c r="L19" i="10" s="1"/>
  <c r="L17" i="10" s="1"/>
  <c r="L8" i="10" s="1"/>
  <c r="L126" i="10" s="1"/>
  <c r="L130" i="10" s="1"/>
  <c r="J95" i="15"/>
  <c r="L94" i="14"/>
  <c r="N95" i="14"/>
  <c r="N94" i="14" s="1"/>
  <c r="AG124" i="12"/>
  <c r="I95" i="14"/>
  <c r="BD18" i="14" s="1"/>
  <c r="G94" i="14"/>
  <c r="AH228" i="16"/>
  <c r="X227" i="16"/>
  <c r="BH8" i="13"/>
  <c r="AI135" i="16"/>
  <c r="AH135" i="16"/>
  <c r="AJ135" i="16"/>
  <c r="I105" i="14"/>
  <c r="BD19" i="14" s="1"/>
  <c r="G104" i="14"/>
  <c r="X187" i="16"/>
  <c r="X185" i="16" s="1"/>
  <c r="BN23" i="16"/>
  <c r="C46" i="20" s="1"/>
  <c r="X176" i="16"/>
  <c r="AI177" i="16"/>
  <c r="AJ177" i="16"/>
  <c r="X172" i="16"/>
  <c r="AH174" i="16"/>
  <c r="BN31" i="16"/>
  <c r="AI237" i="16"/>
  <c r="X235" i="16"/>
  <c r="X234" i="16" s="1"/>
  <c r="AW29" i="11"/>
  <c r="AY29" i="11" s="1"/>
  <c r="BP27" i="11"/>
  <c r="BE21" i="16"/>
  <c r="H128" i="16"/>
  <c r="H126" i="16" s="1"/>
  <c r="H130" i="16" s="1"/>
  <c r="Q128" i="16"/>
  <c r="Q126" i="16" s="1"/>
  <c r="Q130" i="16" s="1"/>
  <c r="C128" i="16"/>
  <c r="K128" i="16"/>
  <c r="K126" i="16" s="1"/>
  <c r="K130" i="16" s="1"/>
  <c r="P128" i="16"/>
  <c r="P126" i="16" s="1"/>
  <c r="P130" i="16" s="1"/>
  <c r="L86" i="14"/>
  <c r="J85" i="14"/>
  <c r="AG161" i="12"/>
  <c r="G24" i="11"/>
  <c r="BD21" i="10"/>
  <c r="M24" i="10"/>
  <c r="M22" i="10" s="1"/>
  <c r="AW7" i="10"/>
  <c r="AY7" i="10" s="1"/>
  <c r="I22" i="10"/>
  <c r="AR7" i="10" s="1"/>
  <c r="AU7" i="10" s="1"/>
  <c r="G21" i="10"/>
  <c r="G19" i="10" s="1"/>
  <c r="G17" i="10" s="1"/>
  <c r="N21" i="10"/>
  <c r="N19" i="10" s="1"/>
  <c r="N17" i="10" s="1"/>
  <c r="N8" i="10" s="1"/>
  <c r="L27" i="11"/>
  <c r="L128" i="11" s="1"/>
  <c r="J25" i="11"/>
  <c r="I126" i="8"/>
  <c r="I130" i="8" s="1"/>
  <c r="J5" i="8"/>
  <c r="K1" i="8"/>
  <c r="G27" i="11"/>
  <c r="AW8" i="10"/>
  <c r="AY8" i="10" s="1"/>
  <c r="I25" i="10"/>
  <c r="AR8" i="10" s="1"/>
  <c r="AU8" i="10" s="1"/>
  <c r="M27" i="10"/>
  <c r="M25" i="10" s="1"/>
  <c r="I128" i="10"/>
  <c r="G88" i="15"/>
  <c r="M88" i="14"/>
  <c r="M85" i="14" s="1"/>
  <c r="I85" i="14"/>
  <c r="AR11" i="14"/>
  <c r="AU11" i="14" s="1"/>
  <c r="AW11" i="14"/>
  <c r="AY11" i="14" s="1"/>
  <c r="J37" i="15"/>
  <c r="N37" i="14"/>
  <c r="L31" i="15"/>
  <c r="J33" i="13"/>
  <c r="N33" i="12"/>
  <c r="J65" i="13"/>
  <c r="L63" i="12"/>
  <c r="N65" i="12"/>
  <c r="N63" i="12" s="1"/>
  <c r="J71" i="13"/>
  <c r="L69" i="12"/>
  <c r="N71" i="12"/>
  <c r="N69" i="12" s="1"/>
  <c r="J77" i="13"/>
  <c r="L75" i="12"/>
  <c r="N77" i="12"/>
  <c r="N75" i="12" s="1"/>
  <c r="G74" i="13"/>
  <c r="I72" i="12"/>
  <c r="M74" i="12"/>
  <c r="M72" i="12" s="1"/>
  <c r="F81" i="16"/>
  <c r="M83" i="16"/>
  <c r="M81" i="16" s="1"/>
  <c r="M13" i="16"/>
  <c r="M14" i="16"/>
  <c r="N14" i="16"/>
  <c r="M77" i="16"/>
  <c r="F51" i="16"/>
  <c r="M53" i="16"/>
  <c r="F45" i="16"/>
  <c r="M47" i="16"/>
  <c r="J59" i="13"/>
  <c r="L57" i="12"/>
  <c r="N59" i="12"/>
  <c r="N57" i="12" s="1"/>
  <c r="G62" i="13"/>
  <c r="I60" i="12"/>
  <c r="M62" i="12"/>
  <c r="M60" i="12" s="1"/>
  <c r="J83" i="13"/>
  <c r="L81" i="12"/>
  <c r="N83" i="12"/>
  <c r="N81" i="12" s="1"/>
  <c r="M71" i="16"/>
  <c r="F69" i="16"/>
  <c r="F57" i="16"/>
  <c r="M59" i="16"/>
  <c r="M57" i="16" s="1"/>
  <c r="M65" i="16"/>
  <c r="J53" i="13"/>
  <c r="L51" i="12"/>
  <c r="N53" i="12"/>
  <c r="N51" i="12" s="1"/>
  <c r="G37" i="13"/>
  <c r="M37" i="12"/>
  <c r="BC11" i="16"/>
  <c r="C11" i="20" s="1"/>
  <c r="M26" i="16"/>
  <c r="M31" i="16"/>
  <c r="F54" i="16"/>
  <c r="G46" i="13"/>
  <c r="I45" i="12"/>
  <c r="BD15" i="12"/>
  <c r="M46" i="12"/>
  <c r="M45" i="12" s="1"/>
  <c r="G52" i="13"/>
  <c r="I51" i="12"/>
  <c r="M52" i="12"/>
  <c r="M51" i="12" s="1"/>
  <c r="J47" i="13"/>
  <c r="L45" i="12"/>
  <c r="N47" i="12"/>
  <c r="N45" i="12" s="1"/>
  <c r="J26" i="13"/>
  <c r="N26" i="12"/>
  <c r="M10" i="10"/>
  <c r="J24" i="12"/>
  <c r="L22" i="11"/>
  <c r="AX7" i="11"/>
  <c r="AZ7" i="11" s="1"/>
  <c r="N24" i="11"/>
  <c r="F22" i="15"/>
  <c r="AQ7" i="15" s="1"/>
  <c r="F128" i="15"/>
  <c r="E22" i="16"/>
  <c r="E21" i="16" s="1"/>
  <c r="E19" i="16" s="1"/>
  <c r="E17" i="16" s="1"/>
  <c r="E8" i="16" s="1"/>
  <c r="E128" i="16"/>
  <c r="D22" i="16"/>
  <c r="F24" i="16"/>
  <c r="D128" i="16"/>
  <c r="L13" i="11"/>
  <c r="J10" i="11"/>
  <c r="AB88" i="12"/>
  <c r="AD83" i="11"/>
  <c r="BP31" i="11"/>
  <c r="BJ15" i="11" s="1"/>
  <c r="AI88" i="11"/>
  <c r="AI83" i="11" s="1"/>
  <c r="Y237" i="12"/>
  <c r="AA235" i="11"/>
  <c r="AH237" i="11"/>
  <c r="AH235" i="11" s="1"/>
  <c r="AH234" i="11" s="1"/>
  <c r="AD107" i="12"/>
  <c r="AB105" i="12"/>
  <c r="AB104" i="12" s="1"/>
  <c r="AA133" i="12"/>
  <c r="I56" i="12"/>
  <c r="AH245" i="16"/>
  <c r="AI245" i="16"/>
  <c r="AJ245" i="16"/>
  <c r="AD50" i="12"/>
  <c r="AB49" i="12"/>
  <c r="AG158" i="16"/>
  <c r="AG127" i="16"/>
  <c r="T15" i="8"/>
  <c r="J126" i="10"/>
  <c r="J130" i="10" s="1"/>
  <c r="E126" i="11"/>
  <c r="E130" i="11" s="1"/>
  <c r="D126" i="11"/>
  <c r="D130" i="11" s="1"/>
  <c r="AZ35" i="5"/>
  <c r="AY35" i="5"/>
  <c r="M41" i="15"/>
  <c r="F41" i="16"/>
  <c r="J41" i="15"/>
  <c r="N41" i="14"/>
  <c r="I12" i="11"/>
  <c r="G10" i="11"/>
  <c r="BD7" i="10"/>
  <c r="AE220" i="12"/>
  <c r="AE223" i="13"/>
  <c r="AJ223" i="12"/>
  <c r="AJ222" i="12" s="1"/>
  <c r="AG222" i="12"/>
  <c r="AE236" i="13"/>
  <c r="AJ236" i="12"/>
  <c r="AE188" i="13"/>
  <c r="AJ188" i="12"/>
  <c r="G30" i="12"/>
  <c r="I29" i="11"/>
  <c r="M30" i="11"/>
  <c r="M29" i="11" s="1"/>
  <c r="AW9" i="11"/>
  <c r="AY9" i="11" s="1"/>
  <c r="AE205" i="12"/>
  <c r="AG206" i="12"/>
  <c r="AS13" i="11"/>
  <c r="AV13" i="11" s="1"/>
  <c r="AX13" i="11"/>
  <c r="G23" i="12"/>
  <c r="M23" i="11"/>
  <c r="BD12" i="11"/>
  <c r="AG198" i="12"/>
  <c r="AW13" i="16"/>
  <c r="AY13" i="16" s="1"/>
  <c r="AR13" i="16"/>
  <c r="AU13" i="16" s="1"/>
  <c r="AG181" i="12"/>
  <c r="AJ180" i="15"/>
  <c r="AE180" i="16"/>
  <c r="AE228" i="13"/>
  <c r="AJ228" i="12"/>
  <c r="AJ227" i="12" s="1"/>
  <c r="AG227" i="12"/>
  <c r="AG186" i="12"/>
  <c r="X145" i="15" l="1"/>
  <c r="BN8" i="13"/>
  <c r="BN7" i="13" s="1"/>
  <c r="BN32" i="13" s="1"/>
  <c r="AB145" i="11"/>
  <c r="AB110" i="11" s="1"/>
  <c r="J21" i="11"/>
  <c r="J19" i="11" s="1"/>
  <c r="J17" i="11" s="1"/>
  <c r="J8" i="11" s="1"/>
  <c r="AQ16" i="15"/>
  <c r="AU24" i="10"/>
  <c r="BN12" i="15"/>
  <c r="BN9" i="15" s="1"/>
  <c r="BO15" i="10"/>
  <c r="BI10" i="10" s="1"/>
  <c r="Y220" i="12"/>
  <c r="AQ23" i="15"/>
  <c r="AS14" i="10"/>
  <c r="AV14" i="10" s="1"/>
  <c r="BO22" i="11"/>
  <c r="BI11" i="11" s="1"/>
  <c r="Y112" i="11"/>
  <c r="Y110" i="11" s="1"/>
  <c r="BN28" i="14"/>
  <c r="BN25" i="14" s="1"/>
  <c r="BH12" i="14" s="1"/>
  <c r="AW28" i="10"/>
  <c r="AY28" i="10" s="1"/>
  <c r="AU28" i="10"/>
  <c r="AW27" i="10"/>
  <c r="AY27" i="10" s="1"/>
  <c r="AU27" i="10"/>
  <c r="AX26" i="10"/>
  <c r="AZ26" i="10" s="1"/>
  <c r="AV26" i="10"/>
  <c r="AI10" i="10"/>
  <c r="AI258" i="10" s="1"/>
  <c r="AW26" i="10"/>
  <c r="AY26" i="10" s="1"/>
  <c r="AU26" i="10"/>
  <c r="BJ8" i="10"/>
  <c r="AB14" i="11"/>
  <c r="AB12" i="11" s="1"/>
  <c r="AG8" i="9"/>
  <c r="AC1" i="9" s="1"/>
  <c r="BP8" i="10"/>
  <c r="W10" i="15"/>
  <c r="W8" i="15" s="1"/>
  <c r="W12" i="16"/>
  <c r="BC21" i="16"/>
  <c r="C24" i="20" s="1"/>
  <c r="AU16" i="10"/>
  <c r="AV16" i="10"/>
  <c r="X220" i="16"/>
  <c r="BN30" i="16" s="1"/>
  <c r="C53" i="20" s="1"/>
  <c r="AJ90" i="10"/>
  <c r="AJ63" i="10" s="1"/>
  <c r="AJ12" i="10" s="1"/>
  <c r="AJ10" i="10" s="1"/>
  <c r="X63" i="14"/>
  <c r="AX23" i="10"/>
  <c r="AZ23" i="10" s="1"/>
  <c r="AV23" i="10"/>
  <c r="V10" i="14"/>
  <c r="V8" i="14" s="1"/>
  <c r="AW23" i="10"/>
  <c r="AY23" i="10" s="1"/>
  <c r="AU23" i="10"/>
  <c r="Y125" i="12"/>
  <c r="AH125" i="11"/>
  <c r="AH123" i="11" s="1"/>
  <c r="AA123" i="11"/>
  <c r="J49" i="12"/>
  <c r="N49" i="11"/>
  <c r="N48" i="11" s="1"/>
  <c r="L48" i="11"/>
  <c r="AX14" i="11"/>
  <c r="AZ14" i="11" s="1"/>
  <c r="AJ143" i="12"/>
  <c r="AJ141" i="12" s="1"/>
  <c r="AE143" i="13"/>
  <c r="AG141" i="12"/>
  <c r="X58" i="16"/>
  <c r="X57" i="16" s="1"/>
  <c r="AI59" i="16"/>
  <c r="AI58" i="16" s="1"/>
  <c r="AI57" i="16" s="1"/>
  <c r="M67" i="16"/>
  <c r="AB71" i="12"/>
  <c r="AI71" i="11"/>
  <c r="AI69" i="11" s="1"/>
  <c r="AI65" i="11" s="1"/>
  <c r="AI63" i="11" s="1"/>
  <c r="AD69" i="11"/>
  <c r="AD65" i="11" s="1"/>
  <c r="AD63" i="11" s="1"/>
  <c r="J43" i="13"/>
  <c r="N43" i="12"/>
  <c r="N42" i="12" s="1"/>
  <c r="L42" i="12"/>
  <c r="AS10" i="12" s="1"/>
  <c r="AX10" i="12"/>
  <c r="AZ10" i="12" s="1"/>
  <c r="J55" i="13"/>
  <c r="N55" i="12"/>
  <c r="N54" i="12" s="1"/>
  <c r="L54" i="12"/>
  <c r="AB174" i="13"/>
  <c r="AD172" i="12"/>
  <c r="AI174" i="12"/>
  <c r="AI172" i="12" s="1"/>
  <c r="AB151" i="12"/>
  <c r="AI151" i="11"/>
  <c r="AI149" i="11" s="1"/>
  <c r="AI147" i="11" s="1"/>
  <c r="AD149" i="11"/>
  <c r="AD147" i="11" s="1"/>
  <c r="BP16" i="11" s="1"/>
  <c r="AI46" i="11"/>
  <c r="AI44" i="11" s="1"/>
  <c r="AI43" i="11" s="1"/>
  <c r="AD44" i="11"/>
  <c r="AD43" i="11" s="1"/>
  <c r="AB46" i="12"/>
  <c r="W110" i="16"/>
  <c r="AD124" i="13"/>
  <c r="AB123" i="13"/>
  <c r="AB112" i="13" s="1"/>
  <c r="AJ72" i="16"/>
  <c r="AI72" i="16"/>
  <c r="AH72" i="16"/>
  <c r="Y93" i="12"/>
  <c r="AA91" i="11"/>
  <c r="AA90" i="11" s="1"/>
  <c r="AH93" i="11"/>
  <c r="AH91" i="11" s="1"/>
  <c r="AH90" i="11" s="1"/>
  <c r="AW25" i="10"/>
  <c r="AY25" i="10" s="1"/>
  <c r="AU25" i="10"/>
  <c r="M34" i="16"/>
  <c r="M32" i="16" s="1"/>
  <c r="F32" i="16"/>
  <c r="AI159" i="16"/>
  <c r="AJ159" i="16"/>
  <c r="AH229" i="12"/>
  <c r="AH227" i="12" s="1"/>
  <c r="AA227" i="12"/>
  <c r="Y229" i="13"/>
  <c r="AA98" i="12"/>
  <c r="Y96" i="12"/>
  <c r="Y115" i="12"/>
  <c r="AA114" i="11"/>
  <c r="AH115" i="11"/>
  <c r="AH114" i="11" s="1"/>
  <c r="J73" i="12"/>
  <c r="N73" i="11"/>
  <c r="N72" i="11" s="1"/>
  <c r="L72" i="11"/>
  <c r="AD228" i="13"/>
  <c r="AB227" i="13"/>
  <c r="AB220" i="13" s="1"/>
  <c r="AA177" i="12"/>
  <c r="Y176" i="12"/>
  <c r="Y170" i="12" s="1"/>
  <c r="AD97" i="12"/>
  <c r="AB96" i="12"/>
  <c r="AB90" i="12" s="1"/>
  <c r="J67" i="13"/>
  <c r="N67" i="12"/>
  <c r="N66" i="12" s="1"/>
  <c r="L66" i="12"/>
  <c r="Y159" i="12"/>
  <c r="AA157" i="11"/>
  <c r="AA155" i="11" s="1"/>
  <c r="AA145" i="11" s="1"/>
  <c r="AH159" i="11"/>
  <c r="AH157" i="11" s="1"/>
  <c r="AH155" i="11" s="1"/>
  <c r="AH145" i="11" s="1"/>
  <c r="Y198" i="12"/>
  <c r="BO26" i="11"/>
  <c r="AA197" i="11"/>
  <c r="AA196" i="11" s="1"/>
  <c r="AH198" i="11"/>
  <c r="AH197" i="11" s="1"/>
  <c r="AH196" i="11" s="1"/>
  <c r="AH195" i="11" s="1"/>
  <c r="AH193" i="11" s="1"/>
  <c r="J61" i="12"/>
  <c r="N61" i="11"/>
  <c r="N60" i="11" s="1"/>
  <c r="L60" i="11"/>
  <c r="AD195" i="11"/>
  <c r="BP28" i="11"/>
  <c r="BP25" i="11" s="1"/>
  <c r="BJ12" i="11" s="1"/>
  <c r="Y59" i="12"/>
  <c r="AA58" i="11"/>
  <c r="AA57" i="11" s="1"/>
  <c r="AH59" i="11"/>
  <c r="AH58" i="11" s="1"/>
  <c r="AH57" i="11" s="1"/>
  <c r="AD142" i="14"/>
  <c r="AB141" i="14"/>
  <c r="Y211" i="12"/>
  <c r="Y210" i="12" s="1"/>
  <c r="Y209" i="12" s="1"/>
  <c r="AA215" i="12"/>
  <c r="I80" i="12"/>
  <c r="G78" i="12"/>
  <c r="I78" i="12" s="1"/>
  <c r="M78" i="12" s="1"/>
  <c r="M44" i="11"/>
  <c r="M42" i="11" s="1"/>
  <c r="I42" i="11"/>
  <c r="AR10" i="11" s="1"/>
  <c r="AW10" i="11"/>
  <c r="AY10" i="11" s="1"/>
  <c r="G44" i="12"/>
  <c r="G36" i="12"/>
  <c r="M36" i="11"/>
  <c r="M35" i="11" s="1"/>
  <c r="M28" i="11" s="1"/>
  <c r="I35" i="11"/>
  <c r="I28" i="11" s="1"/>
  <c r="AR9" i="11" s="1"/>
  <c r="AU9" i="11" s="1"/>
  <c r="Y152" i="14"/>
  <c r="AH152" i="13"/>
  <c r="AH149" i="13" s="1"/>
  <c r="AH147" i="13" s="1"/>
  <c r="AA149" i="13"/>
  <c r="AA147" i="13" s="1"/>
  <c r="J34" i="12"/>
  <c r="N34" i="11"/>
  <c r="N32" i="11" s="1"/>
  <c r="N28" i="11" s="1"/>
  <c r="L32" i="11"/>
  <c r="L28" i="11" s="1"/>
  <c r="AS9" i="11" s="1"/>
  <c r="AV9" i="11" s="1"/>
  <c r="AX9" i="11"/>
  <c r="AZ9" i="11" s="1"/>
  <c r="I66" i="11"/>
  <c r="M68" i="11"/>
  <c r="M66" i="11" s="1"/>
  <c r="G68" i="12"/>
  <c r="AD206" i="12"/>
  <c r="AB205" i="12"/>
  <c r="AB196" i="12" s="1"/>
  <c r="AB195" i="12" s="1"/>
  <c r="AB193" i="12" s="1"/>
  <c r="AB21" i="12"/>
  <c r="AI21" i="11"/>
  <c r="AI20" i="11" s="1"/>
  <c r="AI16" i="11" s="1"/>
  <c r="AD20" i="11"/>
  <c r="AD16" i="11" s="1"/>
  <c r="AA47" i="12"/>
  <c r="Y44" i="12"/>
  <c r="Y43" i="12" s="1"/>
  <c r="AG90" i="10"/>
  <c r="AG63" i="10" s="1"/>
  <c r="AG12" i="10" s="1"/>
  <c r="AG10" i="10" s="1"/>
  <c r="AG232" i="10"/>
  <c r="AS30" i="10" s="1"/>
  <c r="AQ9" i="13"/>
  <c r="F21" i="13"/>
  <c r="F19" i="13" s="1"/>
  <c r="X8" i="12"/>
  <c r="Y52" i="13"/>
  <c r="AH52" i="12"/>
  <c r="AH49" i="12" s="1"/>
  <c r="AA49" i="12"/>
  <c r="AI173" i="15"/>
  <c r="AB173" i="16"/>
  <c r="AX27" i="10"/>
  <c r="AZ27" i="10" s="1"/>
  <c r="AG173" i="13"/>
  <c r="AE172" i="13"/>
  <c r="AD143" i="16"/>
  <c r="Y143" i="13"/>
  <c r="AA141" i="12"/>
  <c r="BO20" i="12" s="1"/>
  <c r="AH143" i="12"/>
  <c r="AH141" i="12" s="1"/>
  <c r="Y223" i="13"/>
  <c r="AA222" i="12"/>
  <c r="AH223" i="12"/>
  <c r="AH222" i="12" s="1"/>
  <c r="I48" i="12"/>
  <c r="G50" i="13"/>
  <c r="M50" i="12"/>
  <c r="M48" i="12" s="1"/>
  <c r="BN13" i="14"/>
  <c r="BH8" i="14" s="1"/>
  <c r="V196" i="16"/>
  <c r="V195" i="16" s="1"/>
  <c r="V193" i="16" s="1"/>
  <c r="Y188" i="13"/>
  <c r="AA187" i="12"/>
  <c r="AA185" i="12" s="1"/>
  <c r="AH188" i="12"/>
  <c r="AH187" i="12" s="1"/>
  <c r="AH185" i="12" s="1"/>
  <c r="N12" i="15"/>
  <c r="V110" i="15"/>
  <c r="X90" i="15"/>
  <c r="X10" i="13"/>
  <c r="X196" i="15"/>
  <c r="BN28" i="15" s="1"/>
  <c r="AJ46" i="15"/>
  <c r="X44" i="15"/>
  <c r="X43" i="15" s="1"/>
  <c r="X14" i="15" s="1"/>
  <c r="AH46" i="15"/>
  <c r="AH142" i="16"/>
  <c r="AJ142" i="16"/>
  <c r="X141" i="16"/>
  <c r="BN20" i="16" s="1"/>
  <c r="C43" i="20" s="1"/>
  <c r="D75" i="16"/>
  <c r="F76" i="16"/>
  <c r="BC17" i="16" s="1"/>
  <c r="AE106" i="12"/>
  <c r="AG105" i="11"/>
  <c r="AG104" i="11" s="1"/>
  <c r="AJ106" i="11"/>
  <c r="AJ105" i="11" s="1"/>
  <c r="AJ104" i="11" s="1"/>
  <c r="AQ25" i="14"/>
  <c r="F17" i="12"/>
  <c r="AQ14" i="12"/>
  <c r="BN16" i="14"/>
  <c r="BN15" i="14" s="1"/>
  <c r="BH10" i="14" s="1"/>
  <c r="X112" i="14"/>
  <c r="X110" i="14" s="1"/>
  <c r="AQ26" i="14" s="1"/>
  <c r="AG94" i="11"/>
  <c r="AE91" i="11"/>
  <c r="AH158" i="16"/>
  <c r="AI158" i="16"/>
  <c r="X157" i="16"/>
  <c r="X155" i="16" s="1"/>
  <c r="BN17" i="16" s="1"/>
  <c r="BC10" i="14"/>
  <c r="BC9" i="14" s="1"/>
  <c r="BC8" i="14" s="1"/>
  <c r="BC22" i="14" s="1"/>
  <c r="M79" i="16"/>
  <c r="N79" i="16"/>
  <c r="G76" i="16"/>
  <c r="I75" i="15"/>
  <c r="X85" i="16"/>
  <c r="V83" i="16"/>
  <c r="AE193" i="11"/>
  <c r="AI51" i="16"/>
  <c r="AJ51" i="16"/>
  <c r="X49" i="16"/>
  <c r="AH51" i="16"/>
  <c r="X46" i="16"/>
  <c r="V44" i="16"/>
  <c r="V43" i="16" s="1"/>
  <c r="V14" i="16" s="1"/>
  <c r="AG99" i="11"/>
  <c r="AE96" i="11"/>
  <c r="AH201" i="16"/>
  <c r="AI201" i="16"/>
  <c r="X197" i="16"/>
  <c r="AJ201" i="16"/>
  <c r="N76" i="15"/>
  <c r="M76" i="15"/>
  <c r="M75" i="15" s="1"/>
  <c r="F75" i="15"/>
  <c r="BH9" i="13"/>
  <c r="BH7" i="13" s="1"/>
  <c r="BH16" i="13" s="1"/>
  <c r="BC15" i="16"/>
  <c r="C15" i="20" s="1"/>
  <c r="N46" i="16"/>
  <c r="BC14" i="15"/>
  <c r="M64" i="15"/>
  <c r="M63" i="15" s="1"/>
  <c r="N64" i="15"/>
  <c r="F63" i="15"/>
  <c r="F35" i="15"/>
  <c r="X205" i="16"/>
  <c r="AH206" i="16"/>
  <c r="AH205" i="16" s="1"/>
  <c r="D28" i="15"/>
  <c r="D21" i="15" s="1"/>
  <c r="D19" i="15" s="1"/>
  <c r="D17" i="15" s="1"/>
  <c r="D8" i="15" s="1"/>
  <c r="AU10" i="15"/>
  <c r="X193" i="14"/>
  <c r="AQ28" i="14"/>
  <c r="AQ24" i="14"/>
  <c r="AG178" i="11"/>
  <c r="AE176" i="11"/>
  <c r="AE170" i="11" s="1"/>
  <c r="AH21" i="16"/>
  <c r="AJ21" i="16"/>
  <c r="X20" i="16"/>
  <c r="X16" i="16" s="1"/>
  <c r="BN12" i="16" s="1"/>
  <c r="AE189" i="12"/>
  <c r="AJ189" i="11"/>
  <c r="AJ187" i="11" s="1"/>
  <c r="AJ185" i="11" s="1"/>
  <c r="AG187" i="11"/>
  <c r="AG185" i="11" s="1"/>
  <c r="AJ118" i="15"/>
  <c r="AH118" i="15"/>
  <c r="AI118" i="15"/>
  <c r="X114" i="15"/>
  <c r="BC17" i="15"/>
  <c r="AE160" i="12"/>
  <c r="AJ160" i="11"/>
  <c r="AJ157" i="11" s="1"/>
  <c r="AJ155" i="11" s="1"/>
  <c r="AJ145" i="11" s="1"/>
  <c r="AG157" i="11"/>
  <c r="AG155" i="11" s="1"/>
  <c r="AG145" i="11" s="1"/>
  <c r="BC12" i="15"/>
  <c r="N23" i="15"/>
  <c r="V90" i="16"/>
  <c r="F36" i="16"/>
  <c r="D35" i="16"/>
  <c r="BC13" i="15"/>
  <c r="F29" i="15"/>
  <c r="F12" i="16"/>
  <c r="F10" i="16" s="1"/>
  <c r="AQ16" i="16" s="1"/>
  <c r="D10" i="16"/>
  <c r="V63" i="15"/>
  <c r="V12" i="15" s="1"/>
  <c r="AE116" i="12"/>
  <c r="AJ116" i="11"/>
  <c r="AJ114" i="11" s="1"/>
  <c r="AG114" i="11"/>
  <c r="BN14" i="14"/>
  <c r="AE87" i="12"/>
  <c r="AJ87" i="11"/>
  <c r="AJ83" i="11" s="1"/>
  <c r="AG83" i="11"/>
  <c r="AS24" i="11" s="1"/>
  <c r="AU29" i="14"/>
  <c r="AV29" i="14"/>
  <c r="AH214" i="16"/>
  <c r="AI214" i="16"/>
  <c r="X211" i="16"/>
  <c r="X210" i="16" s="1"/>
  <c r="X209" i="16" s="1"/>
  <c r="AJ214" i="16"/>
  <c r="AH97" i="16"/>
  <c r="AJ97" i="16"/>
  <c r="X96" i="16"/>
  <c r="X118" i="16"/>
  <c r="V114" i="16"/>
  <c r="V112" i="16" s="1"/>
  <c r="BC12" i="16"/>
  <c r="C12" i="20" s="1"/>
  <c r="N23" i="16"/>
  <c r="AQ29" i="15"/>
  <c r="BN27" i="15"/>
  <c r="AH151" i="16"/>
  <c r="AJ151" i="16"/>
  <c r="X149" i="16"/>
  <c r="X147" i="16" s="1"/>
  <c r="AH92" i="16"/>
  <c r="X91" i="16"/>
  <c r="AJ92" i="16"/>
  <c r="V145" i="16"/>
  <c r="F64" i="16"/>
  <c r="D63" i="16"/>
  <c r="BC16" i="16"/>
  <c r="C16" i="20" s="1"/>
  <c r="F42" i="16"/>
  <c r="AQ10" i="16" s="1"/>
  <c r="AV10" i="16" s="1"/>
  <c r="M43" i="16"/>
  <c r="F30" i="16"/>
  <c r="D29" i="16"/>
  <c r="AJ39" i="16"/>
  <c r="AH39" i="16"/>
  <c r="X35" i="16"/>
  <c r="AG126" i="11"/>
  <c r="AE123" i="11"/>
  <c r="AE112" i="11" s="1"/>
  <c r="AE110" i="11" s="1"/>
  <c r="M70" i="16"/>
  <c r="M69" i="16" s="1"/>
  <c r="I69" i="16"/>
  <c r="AJ85" i="15"/>
  <c r="X83" i="15"/>
  <c r="AI85" i="15"/>
  <c r="F28" i="14"/>
  <c r="X14" i="14"/>
  <c r="X243" i="15"/>
  <c r="X232" i="15" s="1"/>
  <c r="AQ30" i="15" s="1"/>
  <c r="X244" i="16"/>
  <c r="V243" i="16"/>
  <c r="V232" i="16" s="1"/>
  <c r="U1" i="9"/>
  <c r="AF258" i="10"/>
  <c r="AA244" i="11"/>
  <c r="Y243" i="11"/>
  <c r="Y232" i="11" s="1"/>
  <c r="AI262" i="8"/>
  <c r="AI260" i="8" s="1"/>
  <c r="AI264" i="8" s="1"/>
  <c r="Y262" i="8"/>
  <c r="Y260" i="8" s="1"/>
  <c r="Y264" i="8" s="1"/>
  <c r="V262" i="8"/>
  <c r="V260" i="8" s="1"/>
  <c r="V264" i="8" s="1"/>
  <c r="AB262" i="8"/>
  <c r="AB260" i="8" s="1"/>
  <c r="AB264" i="8" s="1"/>
  <c r="AE262" i="8"/>
  <c r="AE260" i="8" s="1"/>
  <c r="AE264" i="8" s="1"/>
  <c r="AH262" i="8"/>
  <c r="AH260" i="8" s="1"/>
  <c r="AH264" i="8" s="1"/>
  <c r="AC262" i="8"/>
  <c r="AC260" i="8" s="1"/>
  <c r="AC264" i="8" s="1"/>
  <c r="X262" i="8"/>
  <c r="X260" i="8" s="1"/>
  <c r="X264" i="8" s="1"/>
  <c r="AA262" i="8"/>
  <c r="AA260" i="8" s="1"/>
  <c r="AA264" i="8" s="1"/>
  <c r="AD262" i="8"/>
  <c r="AD260" i="8" s="1"/>
  <c r="AD264" i="8" s="1"/>
  <c r="AJ262" i="8"/>
  <c r="AJ260" i="8" s="1"/>
  <c r="AJ264" i="8" s="1"/>
  <c r="AG262" i="8"/>
  <c r="AG260" i="8" s="1"/>
  <c r="AG264" i="8" s="1"/>
  <c r="W262" i="8"/>
  <c r="W260" i="8" s="1"/>
  <c r="W264" i="8" s="1"/>
  <c r="Z262" i="8"/>
  <c r="Z260" i="8" s="1"/>
  <c r="Z264" i="8" s="1"/>
  <c r="AF262" i="8"/>
  <c r="AF260" i="8" s="1"/>
  <c r="AF264" i="8" s="1"/>
  <c r="U262" i="8"/>
  <c r="U260" i="8" s="1"/>
  <c r="U264" i="8" s="1"/>
  <c r="BJ9" i="10"/>
  <c r="Y258" i="10"/>
  <c r="AA234" i="11"/>
  <c r="BP29" i="10"/>
  <c r="BJ13" i="10" s="1"/>
  <c r="AR30" i="10"/>
  <c r="G55" i="12"/>
  <c r="M55" i="11"/>
  <c r="M54" i="11" s="1"/>
  <c r="BD17" i="11"/>
  <c r="BD10" i="11" s="1"/>
  <c r="BD9" i="11" s="1"/>
  <c r="BD8" i="11" s="1"/>
  <c r="AW14" i="11"/>
  <c r="AY14" i="11" s="1"/>
  <c r="I54" i="11"/>
  <c r="BN29" i="14"/>
  <c r="BH13" i="14" s="1"/>
  <c r="AQ30" i="14"/>
  <c r="AA258" i="9"/>
  <c r="BO33" i="9" s="1"/>
  <c r="AD244" i="11"/>
  <c r="AB243" i="11"/>
  <c r="AB232" i="11" s="1"/>
  <c r="AE243" i="11"/>
  <c r="AE232" i="11" s="1"/>
  <c r="AG244" i="11"/>
  <c r="AD10" i="10"/>
  <c r="AD8" i="10" s="1"/>
  <c r="AR31" i="9"/>
  <c r="AR32" i="9" s="1"/>
  <c r="AV35" i="9" s="1"/>
  <c r="AJ174" i="16"/>
  <c r="AD127" i="14"/>
  <c r="AA213" i="16"/>
  <c r="AA179" i="16"/>
  <c r="AB198" i="14"/>
  <c r="AD197" i="13"/>
  <c r="BP26" i="13"/>
  <c r="AI198" i="13"/>
  <c r="AI197" i="13" s="1"/>
  <c r="AB223" i="14"/>
  <c r="AD222" i="13"/>
  <c r="AI223" i="13"/>
  <c r="AI222" i="13" s="1"/>
  <c r="AA107" i="16"/>
  <c r="Y105" i="16"/>
  <c r="Y104" i="16" s="1"/>
  <c r="AA173" i="16"/>
  <c r="Y172" i="16"/>
  <c r="AB92" i="14"/>
  <c r="AD91" i="13"/>
  <c r="AI92" i="13"/>
  <c r="AI91" i="13" s="1"/>
  <c r="Y100" i="16"/>
  <c r="AH100" i="15"/>
  <c r="L80" i="14"/>
  <c r="J78" i="14"/>
  <c r="L78" i="14" s="1"/>
  <c r="N78" i="14" s="1"/>
  <c r="Y225" i="16"/>
  <c r="AH225" i="15"/>
  <c r="J68" i="14"/>
  <c r="N68" i="13"/>
  <c r="J36" i="14"/>
  <c r="N36" i="13"/>
  <c r="N35" i="13" s="1"/>
  <c r="L35" i="13"/>
  <c r="AA117" i="16"/>
  <c r="AA246" i="16"/>
  <c r="AB238" i="14"/>
  <c r="AD235" i="13"/>
  <c r="AD234" i="13" s="1"/>
  <c r="AI238" i="13"/>
  <c r="AI235" i="13" s="1"/>
  <c r="AI234" i="13" s="1"/>
  <c r="AB117" i="14"/>
  <c r="AD114" i="13"/>
  <c r="AI117" i="13"/>
  <c r="AI114" i="13" s="1"/>
  <c r="Y200" i="16"/>
  <c r="AH200" i="15"/>
  <c r="AG93" i="14"/>
  <c r="AD229" i="14"/>
  <c r="AG36" i="14"/>
  <c r="AE35" i="14"/>
  <c r="AE47" i="14"/>
  <c r="AJ47" i="13"/>
  <c r="AJ44" i="13" s="1"/>
  <c r="AG44" i="13"/>
  <c r="J56" i="14"/>
  <c r="N56" i="13"/>
  <c r="L74" i="14"/>
  <c r="Y150" i="16"/>
  <c r="AH150" i="15"/>
  <c r="Y190" i="16"/>
  <c r="AH190" i="15"/>
  <c r="AJ86" i="13"/>
  <c r="AE86" i="14"/>
  <c r="Y95" i="16"/>
  <c r="AH95" i="15"/>
  <c r="J62" i="14"/>
  <c r="N62" i="13"/>
  <c r="AE59" i="14"/>
  <c r="AG58" i="13"/>
  <c r="AG57" i="13" s="1"/>
  <c r="AJ59" i="13"/>
  <c r="AJ58" i="13" s="1"/>
  <c r="AJ57" i="13" s="1"/>
  <c r="AB22" i="14"/>
  <c r="AI22" i="13"/>
  <c r="J44" i="14"/>
  <c r="N44" i="13"/>
  <c r="AE115" i="14"/>
  <c r="AJ115" i="13"/>
  <c r="AE98" i="14"/>
  <c r="AJ98" i="13"/>
  <c r="AD188" i="14"/>
  <c r="AB187" i="14"/>
  <c r="AB185" i="14" s="1"/>
  <c r="AB150" i="14"/>
  <c r="AI150" i="13"/>
  <c r="AG149" i="13"/>
  <c r="AG147" i="13" s="1"/>
  <c r="AE152" i="14"/>
  <c r="AJ152" i="13"/>
  <c r="AJ149" i="13" s="1"/>
  <c r="AJ147" i="13" s="1"/>
  <c r="J30" i="14"/>
  <c r="N30" i="13"/>
  <c r="N29" i="13" s="1"/>
  <c r="L29" i="13"/>
  <c r="AB100" i="14"/>
  <c r="AI100" i="13"/>
  <c r="L50" i="14"/>
  <c r="AA12" i="10"/>
  <c r="AH12" i="10"/>
  <c r="Y63" i="11"/>
  <c r="Y61" i="13"/>
  <c r="AH61" i="12"/>
  <c r="BO31" i="12"/>
  <c r="BI15" i="12" s="1"/>
  <c r="Y85" i="12"/>
  <c r="AA83" i="11"/>
  <c r="AH85" i="11"/>
  <c r="AH83" i="11" s="1"/>
  <c r="AE241" i="12"/>
  <c r="AJ241" i="11"/>
  <c r="AJ235" i="11" s="1"/>
  <c r="AJ234" i="11" s="1"/>
  <c r="AG235" i="11"/>
  <c r="AG211" i="11"/>
  <c r="AG210" i="11" s="1"/>
  <c r="AG209" i="11" s="1"/>
  <c r="AJ212" i="11"/>
  <c r="AJ211" i="11" s="1"/>
  <c r="AJ210" i="11" s="1"/>
  <c r="AJ209" i="11" s="1"/>
  <c r="AE212" i="12"/>
  <c r="AE202" i="12"/>
  <c r="AJ202" i="11"/>
  <c r="AJ197" i="11" s="1"/>
  <c r="AJ196" i="11" s="1"/>
  <c r="AJ195" i="11" s="1"/>
  <c r="AG197" i="11"/>
  <c r="AG196" i="11" s="1"/>
  <c r="AG195" i="11" s="1"/>
  <c r="Y14" i="11"/>
  <c r="Y37" i="12"/>
  <c r="AA35" i="11"/>
  <c r="AH37" i="11"/>
  <c r="AH35" i="11" s="1"/>
  <c r="AE14" i="11"/>
  <c r="Y71" i="12"/>
  <c r="AA69" i="11"/>
  <c r="AA65" i="11" s="1"/>
  <c r="AH71" i="11"/>
  <c r="AH69" i="11" s="1"/>
  <c r="AH65" i="11" s="1"/>
  <c r="AE52" i="12"/>
  <c r="AG49" i="11"/>
  <c r="AG43" i="11" s="1"/>
  <c r="AJ52" i="11"/>
  <c r="AJ49" i="11" s="1"/>
  <c r="AJ43" i="11" s="1"/>
  <c r="AB180" i="12"/>
  <c r="AD176" i="11"/>
  <c r="AD170" i="11" s="1"/>
  <c r="AI180" i="11"/>
  <c r="AI176" i="11" s="1"/>
  <c r="AI170" i="11" s="1"/>
  <c r="BP15" i="10"/>
  <c r="AB39" i="12"/>
  <c r="AD35" i="11"/>
  <c r="AI39" i="11"/>
  <c r="AI35" i="11" s="1"/>
  <c r="I8" i="9"/>
  <c r="I126" i="9" s="1"/>
  <c r="I130" i="9" s="1"/>
  <c r="AB167" i="12"/>
  <c r="AD157" i="11"/>
  <c r="AD155" i="11" s="1"/>
  <c r="BP19" i="11"/>
  <c r="AI167" i="11"/>
  <c r="AI157" i="11" s="1"/>
  <c r="AI155" i="11" s="1"/>
  <c r="Y27" i="12"/>
  <c r="AA20" i="11"/>
  <c r="AA16" i="11" s="1"/>
  <c r="AH27" i="11"/>
  <c r="AH20" i="11" s="1"/>
  <c r="AH16" i="11" s="1"/>
  <c r="BO9" i="10"/>
  <c r="J115" i="16"/>
  <c r="L113" i="15"/>
  <c r="AS15" i="15" s="1"/>
  <c r="AX15" i="15" s="1"/>
  <c r="N115" i="15"/>
  <c r="N113" i="15" s="1"/>
  <c r="G8" i="10"/>
  <c r="G126" i="10" s="1"/>
  <c r="G130" i="10" s="1"/>
  <c r="AE23" i="12"/>
  <c r="AG20" i="11"/>
  <c r="AG16" i="11" s="1"/>
  <c r="AJ23" i="11"/>
  <c r="AJ20" i="11" s="1"/>
  <c r="AJ16" i="11" s="1"/>
  <c r="BP22" i="10"/>
  <c r="BJ11" i="10" s="1"/>
  <c r="AI133" i="16"/>
  <c r="AJ133" i="16"/>
  <c r="AE70" i="12"/>
  <c r="AJ70" i="11"/>
  <c r="AJ69" i="11" s="1"/>
  <c r="AJ65" i="11" s="1"/>
  <c r="AG69" i="11"/>
  <c r="AG65" i="11" s="1"/>
  <c r="I115" i="15"/>
  <c r="G113" i="15"/>
  <c r="M128" i="10"/>
  <c r="J86" i="15"/>
  <c r="L85" i="14"/>
  <c r="N86" i="14"/>
  <c r="N85" i="14" s="1"/>
  <c r="G105" i="15"/>
  <c r="I104" i="14"/>
  <c r="M105" i="14"/>
  <c r="M104" i="14" s="1"/>
  <c r="G95" i="15"/>
  <c r="I94" i="14"/>
  <c r="M95" i="14"/>
  <c r="M94" i="14" s="1"/>
  <c r="L95" i="15"/>
  <c r="J94" i="15"/>
  <c r="AE124" i="13"/>
  <c r="AJ124" i="12"/>
  <c r="AE161" i="13"/>
  <c r="AJ161" i="12"/>
  <c r="BH15" i="16"/>
  <c r="C54" i="20"/>
  <c r="X170" i="16"/>
  <c r="AE80" i="13"/>
  <c r="AJ80" i="12"/>
  <c r="J105" i="15"/>
  <c r="L104" i="14"/>
  <c r="N105" i="14"/>
  <c r="N104" i="14" s="1"/>
  <c r="BN24" i="15"/>
  <c r="BN22" i="15" s="1"/>
  <c r="BH11" i="15" s="1"/>
  <c r="AQ27" i="15"/>
  <c r="AB216" i="13"/>
  <c r="AD211" i="12"/>
  <c r="AD210" i="12" s="1"/>
  <c r="AD209" i="12" s="1"/>
  <c r="AR29" i="12" s="1"/>
  <c r="AI216" i="12"/>
  <c r="AI211" i="12" s="1"/>
  <c r="AI210" i="12" s="1"/>
  <c r="AI209" i="12" s="1"/>
  <c r="Q24" i="20"/>
  <c r="R24" i="20" s="1"/>
  <c r="BE22" i="16"/>
  <c r="BF22" i="16" s="1"/>
  <c r="BF21" i="16"/>
  <c r="AB75" i="13"/>
  <c r="AI75" i="12"/>
  <c r="M21" i="10"/>
  <c r="M19" i="10" s="1"/>
  <c r="M17" i="10" s="1"/>
  <c r="M8" i="10" s="1"/>
  <c r="I24" i="11"/>
  <c r="G22" i="11"/>
  <c r="BD22" i="10"/>
  <c r="I21" i="10"/>
  <c r="I19" i="10" s="1"/>
  <c r="I17" i="10" s="1"/>
  <c r="J27" i="12"/>
  <c r="J128" i="12" s="1"/>
  <c r="N27" i="11"/>
  <c r="N25" i="11" s="1"/>
  <c r="AX8" i="11"/>
  <c r="AZ8" i="11" s="1"/>
  <c r="L25" i="11"/>
  <c r="AS8" i="11" s="1"/>
  <c r="AV8" i="11" s="1"/>
  <c r="I27" i="11"/>
  <c r="G25" i="11"/>
  <c r="G128" i="11"/>
  <c r="I88" i="15"/>
  <c r="G85" i="15"/>
  <c r="J31" i="16"/>
  <c r="N31" i="15"/>
  <c r="L37" i="15"/>
  <c r="I74" i="13"/>
  <c r="G72" i="13"/>
  <c r="L83" i="13"/>
  <c r="J81" i="13"/>
  <c r="L65" i="13"/>
  <c r="J63" i="13"/>
  <c r="L33" i="13"/>
  <c r="L47" i="13"/>
  <c r="J45" i="13"/>
  <c r="I52" i="13"/>
  <c r="G51" i="13"/>
  <c r="I46" i="13"/>
  <c r="G45" i="13"/>
  <c r="L53" i="13"/>
  <c r="J51" i="13"/>
  <c r="L59" i="13"/>
  <c r="J57" i="13"/>
  <c r="L71" i="13"/>
  <c r="J69" i="13"/>
  <c r="L26" i="13"/>
  <c r="I37" i="13"/>
  <c r="I62" i="13"/>
  <c r="G60" i="13"/>
  <c r="L77" i="13"/>
  <c r="J75" i="13"/>
  <c r="J13" i="12"/>
  <c r="L10" i="11"/>
  <c r="N13" i="11"/>
  <c r="N10" i="11" s="1"/>
  <c r="F22" i="16"/>
  <c r="AQ7" i="16" s="1"/>
  <c r="F128" i="16"/>
  <c r="AS7" i="11"/>
  <c r="AV7" i="11" s="1"/>
  <c r="N22" i="11"/>
  <c r="L24" i="12"/>
  <c r="J22" i="12"/>
  <c r="AD88" i="12"/>
  <c r="AB83" i="12"/>
  <c r="AA237" i="12"/>
  <c r="Y235" i="12"/>
  <c r="Y234" i="12" s="1"/>
  <c r="G56" i="13"/>
  <c r="M56" i="12"/>
  <c r="AB50" i="13"/>
  <c r="AD49" i="12"/>
  <c r="AI50" i="12"/>
  <c r="AI49" i="12" s="1"/>
  <c r="Y133" i="13"/>
  <c r="AH133" i="12"/>
  <c r="AB107" i="13"/>
  <c r="AD105" i="12"/>
  <c r="AD104" i="12" s="1"/>
  <c r="AI107" i="12"/>
  <c r="AI105" i="12" s="1"/>
  <c r="AI104" i="12" s="1"/>
  <c r="AJ127" i="16"/>
  <c r="AJ158" i="16"/>
  <c r="AJ220" i="12"/>
  <c r="E126" i="12"/>
  <c r="E130" i="12" s="1"/>
  <c r="D126" i="12"/>
  <c r="D130" i="12" s="1"/>
  <c r="T15" i="9"/>
  <c r="M41" i="16"/>
  <c r="L41" i="15"/>
  <c r="AZ16" i="10"/>
  <c r="AX17" i="10"/>
  <c r="AW17" i="10"/>
  <c r="G12" i="12"/>
  <c r="I10" i="11"/>
  <c r="M12" i="11"/>
  <c r="AG205" i="12"/>
  <c r="AJ206" i="12"/>
  <c r="AJ205" i="12" s="1"/>
  <c r="AE206" i="13"/>
  <c r="AE186" i="13"/>
  <c r="AJ186" i="12"/>
  <c r="AG228" i="13"/>
  <c r="AE227" i="13"/>
  <c r="I23" i="12"/>
  <c r="AZ13" i="11"/>
  <c r="AG188" i="13"/>
  <c r="AG220" i="12"/>
  <c r="AG180" i="16"/>
  <c r="AJ181" i="12"/>
  <c r="AE181" i="13"/>
  <c r="I30" i="12"/>
  <c r="G29" i="12"/>
  <c r="AG236" i="13"/>
  <c r="AG223" i="13"/>
  <c r="AE222" i="13"/>
  <c r="AE198" i="13"/>
  <c r="AJ198" i="12"/>
  <c r="BH14" i="16" l="1"/>
  <c r="W258" i="15"/>
  <c r="AB10" i="11"/>
  <c r="AB8" i="11" s="1"/>
  <c r="AI145" i="11"/>
  <c r="AI110" i="11" s="1"/>
  <c r="AD14" i="11"/>
  <c r="AS17" i="10"/>
  <c r="W10" i="16"/>
  <c r="W8" i="16" s="1"/>
  <c r="D28" i="16"/>
  <c r="D21" i="16" s="1"/>
  <c r="D19" i="16" s="1"/>
  <c r="D17" i="16" s="1"/>
  <c r="D8" i="16" s="1"/>
  <c r="X145" i="16"/>
  <c r="V258" i="14"/>
  <c r="V10" i="15"/>
  <c r="V8" i="15" s="1"/>
  <c r="AI8" i="10"/>
  <c r="AG8" i="10"/>
  <c r="AC1" i="10" s="1"/>
  <c r="AX30" i="10"/>
  <c r="AZ30" i="10" s="1"/>
  <c r="AV30" i="10"/>
  <c r="AW30" i="10"/>
  <c r="AY30" i="10" s="1"/>
  <c r="AU30" i="10"/>
  <c r="BO13" i="11"/>
  <c r="AI14" i="11"/>
  <c r="AI12" i="11" s="1"/>
  <c r="AH220" i="12"/>
  <c r="X195" i="15"/>
  <c r="X193" i="15" s="1"/>
  <c r="AJ8" i="10"/>
  <c r="AJ258" i="10"/>
  <c r="X12" i="14"/>
  <c r="X10" i="14" s="1"/>
  <c r="X8" i="14" s="1"/>
  <c r="AD12" i="11"/>
  <c r="AS25" i="10"/>
  <c r="AV25" i="10" s="1"/>
  <c r="AJ193" i="11"/>
  <c r="BN25" i="15"/>
  <c r="BH12" i="15" s="1"/>
  <c r="AX24" i="11"/>
  <c r="AZ24" i="11" s="1"/>
  <c r="AV24" i="11"/>
  <c r="BP12" i="11"/>
  <c r="BP9" i="11" s="1"/>
  <c r="AR23" i="11"/>
  <c r="AD205" i="12"/>
  <c r="AD196" i="12" s="1"/>
  <c r="AB206" i="13"/>
  <c r="AI206" i="12"/>
  <c r="AI205" i="12" s="1"/>
  <c r="AI196" i="12" s="1"/>
  <c r="AI195" i="12" s="1"/>
  <c r="AI193" i="12" s="1"/>
  <c r="Y215" i="13"/>
  <c r="AA211" i="12"/>
  <c r="AA210" i="12" s="1"/>
  <c r="AA209" i="12" s="1"/>
  <c r="BO27" i="12" s="1"/>
  <c r="AH215" i="12"/>
  <c r="AH211" i="12" s="1"/>
  <c r="AH210" i="12" s="1"/>
  <c r="AH209" i="12" s="1"/>
  <c r="L61" i="12"/>
  <c r="J60" i="12"/>
  <c r="AA198" i="12"/>
  <c r="Y197" i="12"/>
  <c r="Y196" i="12" s="1"/>
  <c r="Y195" i="12" s="1"/>
  <c r="Y193" i="12" s="1"/>
  <c r="AB97" i="13"/>
  <c r="AI97" i="12"/>
  <c r="AI96" i="12" s="1"/>
  <c r="AI90" i="12" s="1"/>
  <c r="AD96" i="12"/>
  <c r="AD90" i="12" s="1"/>
  <c r="AB228" i="14"/>
  <c r="AI228" i="13"/>
  <c r="AI227" i="13" s="1"/>
  <c r="AI220" i="13" s="1"/>
  <c r="AD227" i="13"/>
  <c r="AD220" i="13" s="1"/>
  <c r="BP30" i="13" s="1"/>
  <c r="Y98" i="13"/>
  <c r="AA96" i="12"/>
  <c r="AH98" i="12"/>
  <c r="AH96" i="12" s="1"/>
  <c r="AB44" i="12"/>
  <c r="AB43" i="12" s="1"/>
  <c r="AD46" i="12"/>
  <c r="AD174" i="13"/>
  <c r="AB172" i="13"/>
  <c r="AE141" i="13"/>
  <c r="AG143" i="13"/>
  <c r="AA125" i="12"/>
  <c r="Y123" i="12"/>
  <c r="X63" i="15"/>
  <c r="X12" i="15" s="1"/>
  <c r="I68" i="12"/>
  <c r="G66" i="12"/>
  <c r="I36" i="12"/>
  <c r="AW9" i="12" s="1"/>
  <c r="AY9" i="12" s="1"/>
  <c r="G35" i="12"/>
  <c r="G28" i="12" s="1"/>
  <c r="AR28" i="11"/>
  <c r="AD193" i="11"/>
  <c r="BO16" i="11"/>
  <c r="AA112" i="11"/>
  <c r="AA110" i="11" s="1"/>
  <c r="AA229" i="13"/>
  <c r="Y227" i="13"/>
  <c r="AA93" i="12"/>
  <c r="Y91" i="12"/>
  <c r="Y90" i="12" s="1"/>
  <c r="AR25" i="11"/>
  <c r="BP13" i="11"/>
  <c r="AD151" i="12"/>
  <c r="AB149" i="12"/>
  <c r="AB147" i="12" s="1"/>
  <c r="L49" i="12"/>
  <c r="J48" i="12"/>
  <c r="AD21" i="12"/>
  <c r="AB20" i="12"/>
  <c r="AB16" i="12" s="1"/>
  <c r="AA152" i="14"/>
  <c r="Y149" i="14"/>
  <c r="Y147" i="14" s="1"/>
  <c r="I44" i="12"/>
  <c r="G42" i="12"/>
  <c r="AA59" i="12"/>
  <c r="Y58" i="12"/>
  <c r="Y57" i="12" s="1"/>
  <c r="AA195" i="11"/>
  <c r="AA193" i="11" s="1"/>
  <c r="BO28" i="11"/>
  <c r="BO25" i="11" s="1"/>
  <c r="BI12" i="11" s="1"/>
  <c r="L67" i="13"/>
  <c r="J66" i="13"/>
  <c r="BO23" i="12"/>
  <c r="AA176" i="12"/>
  <c r="AA170" i="12" s="1"/>
  <c r="BO24" i="12" s="1"/>
  <c r="Y177" i="13"/>
  <c r="AH177" i="12"/>
  <c r="AH176" i="12" s="1"/>
  <c r="AH170" i="12" s="1"/>
  <c r="Y114" i="12"/>
  <c r="AA115" i="12"/>
  <c r="AB124" i="14"/>
  <c r="AI124" i="13"/>
  <c r="AI123" i="13" s="1"/>
  <c r="AI112" i="13" s="1"/>
  <c r="AD123" i="13"/>
  <c r="AD112" i="13" s="1"/>
  <c r="AD71" i="12"/>
  <c r="AB69" i="12"/>
  <c r="AB65" i="12" s="1"/>
  <c r="AB63" i="12" s="1"/>
  <c r="BO17" i="11"/>
  <c r="AA220" i="12"/>
  <c r="BO30" i="12" s="1"/>
  <c r="BI14" i="12" s="1"/>
  <c r="Y47" i="13"/>
  <c r="AA44" i="12"/>
  <c r="AA43" i="12" s="1"/>
  <c r="AH47" i="12"/>
  <c r="AH44" i="12" s="1"/>
  <c r="AH43" i="12" s="1"/>
  <c r="L34" i="12"/>
  <c r="J32" i="12"/>
  <c r="J28" i="12" s="1"/>
  <c r="M80" i="12"/>
  <c r="G80" i="13"/>
  <c r="AB142" i="15"/>
  <c r="AD141" i="14"/>
  <c r="BP20" i="14" s="1"/>
  <c r="AI142" i="14"/>
  <c r="AI141" i="14" s="1"/>
  <c r="Y157" i="12"/>
  <c r="Y155" i="12" s="1"/>
  <c r="Y145" i="12" s="1"/>
  <c r="AA159" i="12"/>
  <c r="L73" i="12"/>
  <c r="J72" i="12"/>
  <c r="L55" i="13"/>
  <c r="J54" i="13"/>
  <c r="L43" i="13"/>
  <c r="J42" i="13"/>
  <c r="AH112" i="11"/>
  <c r="AH110" i="11" s="1"/>
  <c r="C8" i="20"/>
  <c r="BC7" i="16"/>
  <c r="BN13" i="15"/>
  <c r="BH8" i="15" s="1"/>
  <c r="F17" i="13"/>
  <c r="F8" i="13" s="1"/>
  <c r="F126" i="13" s="1"/>
  <c r="AQ14" i="13"/>
  <c r="I50" i="13"/>
  <c r="G48" i="13"/>
  <c r="AA223" i="13"/>
  <c r="Y222" i="13"/>
  <c r="Y220" i="13" s="1"/>
  <c r="AD173" i="16"/>
  <c r="AA52" i="13"/>
  <c r="Y49" i="13"/>
  <c r="AU35" i="9"/>
  <c r="AA188" i="13"/>
  <c r="Y187" i="13"/>
  <c r="Y185" i="13" s="1"/>
  <c r="BN29" i="15"/>
  <c r="BH13" i="15" s="1"/>
  <c r="F28" i="15"/>
  <c r="AQ9" i="15" s="1"/>
  <c r="V63" i="16"/>
  <c r="V12" i="16" s="1"/>
  <c r="AQ25" i="15"/>
  <c r="AA143" i="13"/>
  <c r="Y141" i="13"/>
  <c r="AI143" i="16"/>
  <c r="AE173" i="14"/>
  <c r="AJ173" i="13"/>
  <c r="AJ172" i="13" s="1"/>
  <c r="AG172" i="13"/>
  <c r="X8" i="13"/>
  <c r="AU10" i="16"/>
  <c r="AG258" i="10"/>
  <c r="AS31" i="10" s="1"/>
  <c r="N12" i="16"/>
  <c r="BC14" i="16"/>
  <c r="C14" i="20" s="1"/>
  <c r="N64" i="16"/>
  <c r="M64" i="16"/>
  <c r="M63" i="16" s="1"/>
  <c r="F63" i="16"/>
  <c r="AG160" i="12"/>
  <c r="AE157" i="12"/>
  <c r="AE155" i="12" s="1"/>
  <c r="AE145" i="12" s="1"/>
  <c r="AG189" i="12"/>
  <c r="AE187" i="12"/>
  <c r="AE185" i="12" s="1"/>
  <c r="AJ46" i="16"/>
  <c r="X44" i="16"/>
  <c r="X43" i="16" s="1"/>
  <c r="AH46" i="16"/>
  <c r="I76" i="16"/>
  <c r="I75" i="16" s="1"/>
  <c r="G75" i="16"/>
  <c r="AE126" i="12"/>
  <c r="AJ126" i="11"/>
  <c r="AJ123" i="11" s="1"/>
  <c r="AJ112" i="11" s="1"/>
  <c r="AJ110" i="11" s="1"/>
  <c r="AG123" i="11"/>
  <c r="AG112" i="11" s="1"/>
  <c r="AG110" i="11" s="1"/>
  <c r="AS26" i="11" s="1"/>
  <c r="AQ29" i="16"/>
  <c r="BN27" i="16"/>
  <c r="BC10" i="15"/>
  <c r="BC9" i="15" s="1"/>
  <c r="BC8" i="15" s="1"/>
  <c r="BC22" i="15" s="1"/>
  <c r="AE178" i="12"/>
  <c r="AJ178" i="11"/>
  <c r="AJ176" i="11" s="1"/>
  <c r="AJ170" i="11" s="1"/>
  <c r="AG176" i="11"/>
  <c r="AG170" i="11" s="1"/>
  <c r="AS27" i="11" s="1"/>
  <c r="AE90" i="11"/>
  <c r="AE63" i="11" s="1"/>
  <c r="AE12" i="11" s="1"/>
  <c r="AE10" i="11" s="1"/>
  <c r="AE8" i="11" s="1"/>
  <c r="AE94" i="12"/>
  <c r="AJ94" i="11"/>
  <c r="AJ91" i="11" s="1"/>
  <c r="AG91" i="11"/>
  <c r="X258" i="12"/>
  <c r="F8" i="12"/>
  <c r="AG106" i="12"/>
  <c r="AE105" i="12"/>
  <c r="AE104" i="12" s="1"/>
  <c r="AQ23" i="16"/>
  <c r="AQ9" i="14"/>
  <c r="F21" i="14"/>
  <c r="F19" i="14" s="1"/>
  <c r="BC13" i="16"/>
  <c r="C13" i="20" s="1"/>
  <c r="F29" i="16"/>
  <c r="AU29" i="15"/>
  <c r="AV29" i="15"/>
  <c r="V110" i="16"/>
  <c r="AG87" i="12"/>
  <c r="AE83" i="12"/>
  <c r="AG116" i="12"/>
  <c r="AE114" i="12"/>
  <c r="F35" i="16"/>
  <c r="BN16" i="15"/>
  <c r="BN15" i="15" s="1"/>
  <c r="BH10" i="15" s="1"/>
  <c r="X112" i="15"/>
  <c r="X110" i="15" s="1"/>
  <c r="AQ26" i="15" s="1"/>
  <c r="X196" i="16"/>
  <c r="AE99" i="12"/>
  <c r="AJ99" i="11"/>
  <c r="AJ96" i="11" s="1"/>
  <c r="AG96" i="11"/>
  <c r="AQ24" i="15"/>
  <c r="AJ85" i="16"/>
  <c r="X83" i="16"/>
  <c r="BN14" i="16" s="1"/>
  <c r="AI85" i="16"/>
  <c r="N76" i="16"/>
  <c r="F75" i="16"/>
  <c r="X90" i="16"/>
  <c r="AH118" i="16"/>
  <c r="AJ118" i="16"/>
  <c r="AI118" i="16"/>
  <c r="X114" i="16"/>
  <c r="BH9" i="14"/>
  <c r="BH7" i="14" s="1"/>
  <c r="BH16" i="14" s="1"/>
  <c r="BN8" i="14"/>
  <c r="BN7" i="14" s="1"/>
  <c r="BN32" i="14" s="1"/>
  <c r="BN14" i="15"/>
  <c r="AS29" i="11"/>
  <c r="AX29" i="11" s="1"/>
  <c r="AZ29" i="11" s="1"/>
  <c r="Y244" i="12"/>
  <c r="AA243" i="11"/>
  <c r="AA232" i="11" s="1"/>
  <c r="BO29" i="11" s="1"/>
  <c r="BI13" i="11" s="1"/>
  <c r="AH244" i="11"/>
  <c r="AH243" i="11" s="1"/>
  <c r="AH232" i="11" s="1"/>
  <c r="X243" i="16"/>
  <c r="X232" i="16" s="1"/>
  <c r="AG234" i="11"/>
  <c r="I55" i="12"/>
  <c r="G54" i="12"/>
  <c r="AD258" i="10"/>
  <c r="BP33" i="10" s="1"/>
  <c r="W262" i="9"/>
  <c r="W260" i="9" s="1"/>
  <c r="W264" i="9" s="1"/>
  <c r="V262" i="9"/>
  <c r="V260" i="9" s="1"/>
  <c r="V264" i="9" s="1"/>
  <c r="U262" i="9"/>
  <c r="U260" i="9" s="1"/>
  <c r="U264" i="9" s="1"/>
  <c r="X262" i="9"/>
  <c r="X260" i="9" s="1"/>
  <c r="X264" i="9" s="1"/>
  <c r="AI262" i="9"/>
  <c r="AI260" i="9" s="1"/>
  <c r="AI264" i="9" s="1"/>
  <c r="AH262" i="9"/>
  <c r="AH260" i="9" s="1"/>
  <c r="AH264" i="9" s="1"/>
  <c r="AG262" i="9"/>
  <c r="AG260" i="9" s="1"/>
  <c r="AG264" i="9" s="1"/>
  <c r="AF262" i="9"/>
  <c r="AF260" i="9" s="1"/>
  <c r="AF264" i="9" s="1"/>
  <c r="AE262" i="9"/>
  <c r="AE260" i="9" s="1"/>
  <c r="AE264" i="9" s="1"/>
  <c r="AD262" i="9"/>
  <c r="AD260" i="9" s="1"/>
  <c r="AD264" i="9" s="1"/>
  <c r="AC262" i="9"/>
  <c r="AC260" i="9" s="1"/>
  <c r="AC264" i="9" s="1"/>
  <c r="AB262" i="9"/>
  <c r="AB260" i="9" s="1"/>
  <c r="AB264" i="9" s="1"/>
  <c r="AA262" i="9"/>
  <c r="AA260" i="9" s="1"/>
  <c r="AA264" i="9" s="1"/>
  <c r="Z262" i="9"/>
  <c r="Z260" i="9" s="1"/>
  <c r="Z264" i="9" s="1"/>
  <c r="Y262" i="9"/>
  <c r="Y260" i="9" s="1"/>
  <c r="Y264" i="9" s="1"/>
  <c r="AJ262" i="9"/>
  <c r="AJ260" i="9" s="1"/>
  <c r="AJ264" i="9" s="1"/>
  <c r="AE244" i="12"/>
  <c r="AG243" i="11"/>
  <c r="AJ244" i="11"/>
  <c r="AJ243" i="11" s="1"/>
  <c r="AJ232" i="11" s="1"/>
  <c r="AE258" i="10"/>
  <c r="AS28" i="11"/>
  <c r="AG193" i="11"/>
  <c r="AD243" i="11"/>
  <c r="AD232" i="11" s="1"/>
  <c r="AB244" i="12"/>
  <c r="AI244" i="11"/>
  <c r="AI243" i="11" s="1"/>
  <c r="AI232" i="11" s="1"/>
  <c r="AH10" i="10"/>
  <c r="AH8" i="10" s="1"/>
  <c r="AA10" i="10"/>
  <c r="AA8" i="10" s="1"/>
  <c r="J50" i="15"/>
  <c r="N50" i="14"/>
  <c r="AD150" i="14"/>
  <c r="AG115" i="14"/>
  <c r="L44" i="14"/>
  <c r="J74" i="15"/>
  <c r="N74" i="14"/>
  <c r="AE36" i="15"/>
  <c r="AJ36" i="14"/>
  <c r="AJ35" i="14" s="1"/>
  <c r="AG35" i="14"/>
  <c r="AE93" i="15"/>
  <c r="AJ93" i="14"/>
  <c r="AA200" i="16"/>
  <c r="AH246" i="16"/>
  <c r="AH117" i="16"/>
  <c r="AD92" i="14"/>
  <c r="AB91" i="14"/>
  <c r="AA105" i="16"/>
  <c r="AA104" i="16" s="1"/>
  <c r="AH107" i="16"/>
  <c r="AH105" i="16" s="1"/>
  <c r="AH104" i="16" s="1"/>
  <c r="AH213" i="16"/>
  <c r="AG98" i="14"/>
  <c r="AA95" i="16"/>
  <c r="AA225" i="16"/>
  <c r="AG152" i="14"/>
  <c r="AE149" i="14"/>
  <c r="AE147" i="14" s="1"/>
  <c r="AD187" i="14"/>
  <c r="AD185" i="14" s="1"/>
  <c r="AB188" i="15"/>
  <c r="AI188" i="14"/>
  <c r="AI187" i="14" s="1"/>
  <c r="AI185" i="14" s="1"/>
  <c r="AG59" i="14"/>
  <c r="AE58" i="14"/>
  <c r="AE57" i="14" s="1"/>
  <c r="L62" i="14"/>
  <c r="AA150" i="16"/>
  <c r="AG47" i="14"/>
  <c r="AE44" i="14"/>
  <c r="AB229" i="15"/>
  <c r="AI229" i="14"/>
  <c r="AD238" i="14"/>
  <c r="AB235" i="14"/>
  <c r="AB234" i="14" s="1"/>
  <c r="L68" i="14"/>
  <c r="AA100" i="16"/>
  <c r="AH173" i="16"/>
  <c r="AH172" i="16" s="1"/>
  <c r="AA172" i="16"/>
  <c r="AH179" i="16"/>
  <c r="AB127" i="15"/>
  <c r="AI127" i="14"/>
  <c r="AD100" i="14"/>
  <c r="L30" i="14"/>
  <c r="J29" i="14"/>
  <c r="AD22" i="14"/>
  <c r="AG86" i="14"/>
  <c r="AA190" i="16"/>
  <c r="L56" i="14"/>
  <c r="AD117" i="14"/>
  <c r="AB114" i="14"/>
  <c r="L36" i="14"/>
  <c r="J35" i="14"/>
  <c r="J80" i="15"/>
  <c r="N80" i="14"/>
  <c r="AB222" i="14"/>
  <c r="AD223" i="14"/>
  <c r="AD198" i="14"/>
  <c r="AB197" i="14"/>
  <c r="AR24" i="11"/>
  <c r="AW24" i="11" s="1"/>
  <c r="AY24" i="11" s="1"/>
  <c r="AH63" i="11"/>
  <c r="BP14" i="11"/>
  <c r="BJ9" i="11" s="1"/>
  <c r="AJ14" i="11"/>
  <c r="AA63" i="11"/>
  <c r="Y12" i="11"/>
  <c r="Y10" i="11" s="1"/>
  <c r="Y8" i="11" s="1"/>
  <c r="BO14" i="11"/>
  <c r="BI9" i="11" s="1"/>
  <c r="AH14" i="11"/>
  <c r="AE211" i="12"/>
  <c r="AE210" i="12" s="1"/>
  <c r="AE209" i="12" s="1"/>
  <c r="AG212" i="12"/>
  <c r="AA85" i="12"/>
  <c r="Y83" i="12"/>
  <c r="AG241" i="12"/>
  <c r="AE235" i="12"/>
  <c r="AE234" i="12" s="1"/>
  <c r="AA61" i="13"/>
  <c r="AG202" i="12"/>
  <c r="AE197" i="12"/>
  <c r="AE196" i="12" s="1"/>
  <c r="AE195" i="12" s="1"/>
  <c r="AA37" i="12"/>
  <c r="Y35" i="12"/>
  <c r="N128" i="11"/>
  <c r="BO12" i="11"/>
  <c r="BO9" i="11" s="1"/>
  <c r="AA14" i="11"/>
  <c r="BP17" i="11"/>
  <c r="BP15" i="11" s="1"/>
  <c r="BJ10" i="11" s="1"/>
  <c r="AD145" i="11"/>
  <c r="AD110" i="11" s="1"/>
  <c r="AR26" i="11" s="1"/>
  <c r="BJ10" i="10"/>
  <c r="BJ7" i="10" s="1"/>
  <c r="BJ16" i="10" s="1"/>
  <c r="BP7" i="10"/>
  <c r="BP32" i="10" s="1"/>
  <c r="AD180" i="12"/>
  <c r="AB176" i="12"/>
  <c r="AB170" i="12" s="1"/>
  <c r="BI8" i="10"/>
  <c r="BI7" i="10" s="1"/>
  <c r="BI16" i="10" s="1"/>
  <c r="BO8" i="10"/>
  <c r="BO7" i="10" s="1"/>
  <c r="BO32" i="10" s="1"/>
  <c r="AA27" i="12"/>
  <c r="Y20" i="12"/>
  <c r="Y16" i="12" s="1"/>
  <c r="AD167" i="12"/>
  <c r="AB157" i="12"/>
  <c r="AB155" i="12" s="1"/>
  <c r="K1" i="9"/>
  <c r="J5" i="9"/>
  <c r="I113" i="15"/>
  <c r="AR15" i="15" s="1"/>
  <c r="AW15" i="15" s="1"/>
  <c r="BD20" i="15"/>
  <c r="G115" i="16"/>
  <c r="M115" i="15"/>
  <c r="M113" i="15" s="1"/>
  <c r="AG14" i="11"/>
  <c r="AS23" i="11"/>
  <c r="AD39" i="12"/>
  <c r="AB35" i="12"/>
  <c r="AA71" i="12"/>
  <c r="Y69" i="12"/>
  <c r="Y65" i="12" s="1"/>
  <c r="AG70" i="12"/>
  <c r="AE69" i="12"/>
  <c r="AE65" i="12" s="1"/>
  <c r="AG23" i="12"/>
  <c r="AE20" i="12"/>
  <c r="AE16" i="12" s="1"/>
  <c r="L115" i="16"/>
  <c r="J113" i="16"/>
  <c r="AR27" i="11"/>
  <c r="BP24" i="11"/>
  <c r="BP22" i="11" s="1"/>
  <c r="BJ11" i="11" s="1"/>
  <c r="AG52" i="12"/>
  <c r="AE49" i="12"/>
  <c r="AE43" i="12" s="1"/>
  <c r="N21" i="11"/>
  <c r="N19" i="11" s="1"/>
  <c r="N17" i="11" s="1"/>
  <c r="AF258" i="11" s="1"/>
  <c r="AR16" i="11"/>
  <c r="AW16" i="11" s="1"/>
  <c r="AY16" i="11" s="1"/>
  <c r="AS16" i="11"/>
  <c r="AX16" i="11" s="1"/>
  <c r="AG80" i="13"/>
  <c r="AG161" i="13"/>
  <c r="L86" i="15"/>
  <c r="J85" i="15"/>
  <c r="BP27" i="12"/>
  <c r="AW29" i="12"/>
  <c r="AY29" i="12" s="1"/>
  <c r="AG124" i="13"/>
  <c r="L21" i="11"/>
  <c r="L19" i="11" s="1"/>
  <c r="L17" i="11" s="1"/>
  <c r="AD216" i="13"/>
  <c r="AB211" i="13"/>
  <c r="AB210" i="13" s="1"/>
  <c r="AB209" i="13" s="1"/>
  <c r="L105" i="15"/>
  <c r="J104" i="15"/>
  <c r="C40" i="20"/>
  <c r="AD75" i="13"/>
  <c r="BN9" i="16"/>
  <c r="C35" i="20"/>
  <c r="C32" i="20" s="1"/>
  <c r="BN24" i="16"/>
  <c r="AQ27" i="16"/>
  <c r="J95" i="16"/>
  <c r="L94" i="15"/>
  <c r="N95" i="15"/>
  <c r="N94" i="15" s="1"/>
  <c r="I95" i="15"/>
  <c r="BD18" i="15" s="1"/>
  <c r="G94" i="15"/>
  <c r="I105" i="15"/>
  <c r="BD19" i="15" s="1"/>
  <c r="G104" i="15"/>
  <c r="AR14" i="10"/>
  <c r="G24" i="12"/>
  <c r="BD21" i="11"/>
  <c r="M24" i="11"/>
  <c r="M22" i="11" s="1"/>
  <c r="I22" i="11"/>
  <c r="AR7" i="11" s="1"/>
  <c r="AU7" i="11" s="1"/>
  <c r="AW7" i="11"/>
  <c r="AY7" i="11" s="1"/>
  <c r="G21" i="11"/>
  <c r="G19" i="11" s="1"/>
  <c r="G17" i="11" s="1"/>
  <c r="I8" i="10"/>
  <c r="I126" i="10" s="1"/>
  <c r="I130" i="10" s="1"/>
  <c r="L27" i="12"/>
  <c r="L128" i="12" s="1"/>
  <c r="J25" i="12"/>
  <c r="G27" i="12"/>
  <c r="I25" i="11"/>
  <c r="AR8" i="11" s="1"/>
  <c r="AU8" i="11" s="1"/>
  <c r="AW8" i="11"/>
  <c r="AY8" i="11" s="1"/>
  <c r="M27" i="11"/>
  <c r="M25" i="11" s="1"/>
  <c r="I128" i="11"/>
  <c r="G88" i="16"/>
  <c r="M88" i="15"/>
  <c r="M85" i="15" s="1"/>
  <c r="I85" i="15"/>
  <c r="AR11" i="15"/>
  <c r="AU11" i="15" s="1"/>
  <c r="AW11" i="15"/>
  <c r="AY11" i="15" s="1"/>
  <c r="J37" i="16"/>
  <c r="N37" i="15"/>
  <c r="L31" i="16"/>
  <c r="G62" i="14"/>
  <c r="I60" i="13"/>
  <c r="M62" i="13"/>
  <c r="M60" i="13" s="1"/>
  <c r="G52" i="14"/>
  <c r="I51" i="13"/>
  <c r="M52" i="13"/>
  <c r="M51" i="13" s="1"/>
  <c r="G74" i="14"/>
  <c r="I72" i="13"/>
  <c r="M74" i="13"/>
  <c r="M72" i="13" s="1"/>
  <c r="J71" i="14"/>
  <c r="L69" i="13"/>
  <c r="N71" i="13"/>
  <c r="N69" i="13" s="1"/>
  <c r="J59" i="14"/>
  <c r="L57" i="13"/>
  <c r="N59" i="13"/>
  <c r="N57" i="13" s="1"/>
  <c r="J33" i="14"/>
  <c r="N33" i="13"/>
  <c r="G37" i="14"/>
  <c r="M37" i="13"/>
  <c r="I45" i="13"/>
  <c r="M46" i="13"/>
  <c r="M45" i="13" s="1"/>
  <c r="G46" i="14"/>
  <c r="BD15" i="13"/>
  <c r="J47" i="14"/>
  <c r="L45" i="13"/>
  <c r="N47" i="13"/>
  <c r="N45" i="13" s="1"/>
  <c r="J77" i="14"/>
  <c r="L75" i="13"/>
  <c r="N77" i="13"/>
  <c r="N75" i="13" s="1"/>
  <c r="J26" i="14"/>
  <c r="N26" i="13"/>
  <c r="J53" i="14"/>
  <c r="L51" i="13"/>
  <c r="N53" i="13"/>
  <c r="N51" i="13" s="1"/>
  <c r="J65" i="14"/>
  <c r="L63" i="13"/>
  <c r="N65" i="13"/>
  <c r="N63" i="13" s="1"/>
  <c r="J83" i="14"/>
  <c r="L81" i="13"/>
  <c r="N83" i="13"/>
  <c r="N81" i="13" s="1"/>
  <c r="L13" i="12"/>
  <c r="J10" i="12"/>
  <c r="M10" i="11"/>
  <c r="J24" i="13"/>
  <c r="AX7" i="12"/>
  <c r="AZ7" i="12" s="1"/>
  <c r="L22" i="12"/>
  <c r="N24" i="12"/>
  <c r="AB88" i="13"/>
  <c r="BP31" i="12"/>
  <c r="BJ15" i="12" s="1"/>
  <c r="AD83" i="12"/>
  <c r="AI88" i="12"/>
  <c r="AI83" i="12" s="1"/>
  <c r="Y237" i="13"/>
  <c r="AA235" i="12"/>
  <c r="AH237" i="12"/>
  <c r="AH235" i="12" s="1"/>
  <c r="AH234" i="12" s="1"/>
  <c r="AA133" i="13"/>
  <c r="AD107" i="13"/>
  <c r="AB105" i="13"/>
  <c r="AB104" i="13" s="1"/>
  <c r="AD50" i="13"/>
  <c r="AB49" i="13"/>
  <c r="I56" i="13"/>
  <c r="AE220" i="13"/>
  <c r="E130" i="13"/>
  <c r="T15" i="10"/>
  <c r="J126" i="11"/>
  <c r="J130" i="11" s="1"/>
  <c r="D130" i="13"/>
  <c r="C17" i="20"/>
  <c r="J41" i="16"/>
  <c r="N41" i="15"/>
  <c r="BD7" i="11"/>
  <c r="I12" i="12"/>
  <c r="G10" i="12"/>
  <c r="AG198" i="13"/>
  <c r="AX13" i="12"/>
  <c r="AS13" i="12"/>
  <c r="AV13" i="12" s="1"/>
  <c r="AJ236" i="13"/>
  <c r="AE236" i="14"/>
  <c r="AJ180" i="16"/>
  <c r="G23" i="13"/>
  <c r="BD12" i="12"/>
  <c r="M23" i="12"/>
  <c r="AG222" i="13"/>
  <c r="AE223" i="14"/>
  <c r="AJ223" i="13"/>
  <c r="AJ222" i="13" s="1"/>
  <c r="G30" i="13"/>
  <c r="I29" i="12"/>
  <c r="M30" i="12"/>
  <c r="M29" i="12" s="1"/>
  <c r="AG186" i="13"/>
  <c r="AG181" i="13"/>
  <c r="AJ188" i="13"/>
  <c r="AE188" i="14"/>
  <c r="AJ228" i="13"/>
  <c r="AJ227" i="13" s="1"/>
  <c r="AG227" i="13"/>
  <c r="AE228" i="14"/>
  <c r="AG206" i="13"/>
  <c r="AE205" i="13"/>
  <c r="BD13" i="12" l="1"/>
  <c r="AB258" i="11"/>
  <c r="AI10" i="11"/>
  <c r="AI8" i="11" s="1"/>
  <c r="AV16" i="11"/>
  <c r="W258" i="16"/>
  <c r="AB14" i="12"/>
  <c r="AB12" i="12" s="1"/>
  <c r="BC10" i="16"/>
  <c r="BC9" i="16" s="1"/>
  <c r="BC8" i="16" s="1"/>
  <c r="BC22" i="16" s="1"/>
  <c r="AB145" i="12"/>
  <c r="AB110" i="12" s="1"/>
  <c r="V258" i="15"/>
  <c r="BO22" i="12"/>
  <c r="BI11" i="12" s="1"/>
  <c r="AS32" i="10"/>
  <c r="AX25" i="10"/>
  <c r="AZ25" i="10" s="1"/>
  <c r="M76" i="16"/>
  <c r="M75" i="16" s="1"/>
  <c r="AX28" i="11"/>
  <c r="AZ28" i="11" s="1"/>
  <c r="AV28" i="11"/>
  <c r="AW28" i="11"/>
  <c r="AY28" i="11" s="1"/>
  <c r="AU28" i="11"/>
  <c r="AW27" i="11"/>
  <c r="AY27" i="11" s="1"/>
  <c r="AU27" i="11"/>
  <c r="AX26" i="11"/>
  <c r="AZ26" i="11" s="1"/>
  <c r="AV26" i="11"/>
  <c r="AW26" i="11"/>
  <c r="AY26" i="11" s="1"/>
  <c r="AU26" i="11"/>
  <c r="Y258" i="11"/>
  <c r="J21" i="12"/>
  <c r="J19" i="12" s="1"/>
  <c r="J17" i="12" s="1"/>
  <c r="J8" i="12" s="1"/>
  <c r="AQ28" i="15"/>
  <c r="AX23" i="11"/>
  <c r="AZ23" i="11" s="1"/>
  <c r="AV23" i="11"/>
  <c r="BO15" i="11"/>
  <c r="BI10" i="11" s="1"/>
  <c r="AW23" i="11"/>
  <c r="AY23" i="11" s="1"/>
  <c r="AU23" i="11"/>
  <c r="J43" i="14"/>
  <c r="N43" i="13"/>
  <c r="N42" i="13" s="1"/>
  <c r="AX10" i="13"/>
  <c r="AZ10" i="13" s="1"/>
  <c r="L42" i="13"/>
  <c r="AS10" i="13" s="1"/>
  <c r="J73" i="13"/>
  <c r="N73" i="12"/>
  <c r="N72" i="12" s="1"/>
  <c r="L72" i="12"/>
  <c r="AA47" i="13"/>
  <c r="Y44" i="13"/>
  <c r="Y43" i="13" s="1"/>
  <c r="AB71" i="13"/>
  <c r="AI71" i="12"/>
  <c r="AI69" i="12" s="1"/>
  <c r="AI65" i="12" s="1"/>
  <c r="AI63" i="12" s="1"/>
  <c r="AD69" i="12"/>
  <c r="AD65" i="12" s="1"/>
  <c r="AD63" i="12" s="1"/>
  <c r="AH115" i="12"/>
  <c r="AH114" i="12" s="1"/>
  <c r="Y115" i="13"/>
  <c r="AA114" i="12"/>
  <c r="AB151" i="13"/>
  <c r="AI151" i="12"/>
  <c r="AI149" i="12" s="1"/>
  <c r="AI147" i="12" s="1"/>
  <c r="AD149" i="12"/>
  <c r="AD147" i="12" s="1"/>
  <c r="BP16" i="12" s="1"/>
  <c r="AA91" i="12"/>
  <c r="AA90" i="12" s="1"/>
  <c r="AH93" i="12"/>
  <c r="AH91" i="12" s="1"/>
  <c r="AH90" i="12" s="1"/>
  <c r="Y93" i="13"/>
  <c r="AE143" i="14"/>
  <c r="AG141" i="13"/>
  <c r="AJ143" i="13"/>
  <c r="AJ141" i="13" s="1"/>
  <c r="AB46" i="13"/>
  <c r="AD44" i="12"/>
  <c r="AD43" i="12" s="1"/>
  <c r="AI46" i="12"/>
  <c r="AI44" i="12" s="1"/>
  <c r="AI43" i="12" s="1"/>
  <c r="AA98" i="13"/>
  <c r="Y96" i="13"/>
  <c r="BO26" i="12"/>
  <c r="Y198" i="13"/>
  <c r="AA197" i="12"/>
  <c r="AA196" i="12" s="1"/>
  <c r="AH198" i="12"/>
  <c r="AH197" i="12" s="1"/>
  <c r="AH196" i="12" s="1"/>
  <c r="AH195" i="12" s="1"/>
  <c r="AH193" i="12" s="1"/>
  <c r="BP28" i="12"/>
  <c r="BP25" i="12" s="1"/>
  <c r="BJ12" i="12" s="1"/>
  <c r="AD195" i="12"/>
  <c r="AU24" i="11"/>
  <c r="AA157" i="12"/>
  <c r="AA155" i="12" s="1"/>
  <c r="AA145" i="12" s="1"/>
  <c r="AH159" i="12"/>
  <c r="AH157" i="12" s="1"/>
  <c r="AH155" i="12" s="1"/>
  <c r="AH145" i="12" s="1"/>
  <c r="Y159" i="13"/>
  <c r="AD142" i="15"/>
  <c r="AB141" i="15"/>
  <c r="J34" i="13"/>
  <c r="N34" i="12"/>
  <c r="N32" i="12" s="1"/>
  <c r="N28" i="12" s="1"/>
  <c r="L32" i="12"/>
  <c r="L28" i="12" s="1"/>
  <c r="AS9" i="12" s="1"/>
  <c r="AV9" i="12" s="1"/>
  <c r="AX9" i="12"/>
  <c r="AZ9" i="12" s="1"/>
  <c r="M44" i="12"/>
  <c r="M42" i="12" s="1"/>
  <c r="G44" i="13"/>
  <c r="I42" i="12"/>
  <c r="AR10" i="12" s="1"/>
  <c r="AW10" i="12"/>
  <c r="AY10" i="12" s="1"/>
  <c r="AB21" i="13"/>
  <c r="AI21" i="12"/>
  <c r="AI20" i="12" s="1"/>
  <c r="AI16" i="12" s="1"/>
  <c r="AD20" i="12"/>
  <c r="AD16" i="12" s="1"/>
  <c r="G36" i="13"/>
  <c r="M36" i="12"/>
  <c r="M35" i="12" s="1"/>
  <c r="M28" i="12" s="1"/>
  <c r="I35" i="12"/>
  <c r="Y211" i="13"/>
  <c r="Y210" i="13" s="1"/>
  <c r="Y209" i="13" s="1"/>
  <c r="AA215" i="13"/>
  <c r="AU16" i="11"/>
  <c r="J55" i="14"/>
  <c r="N55" i="13"/>
  <c r="N54" i="13" s="1"/>
  <c r="L54" i="13"/>
  <c r="G78" i="13"/>
  <c r="I78" i="13" s="1"/>
  <c r="M78" i="13" s="1"/>
  <c r="I80" i="13"/>
  <c r="J49" i="13"/>
  <c r="N49" i="12"/>
  <c r="N48" i="12" s="1"/>
  <c r="L48" i="12"/>
  <c r="AX14" i="12"/>
  <c r="AZ14" i="12" s="1"/>
  <c r="AW25" i="11"/>
  <c r="AY25" i="11" s="1"/>
  <c r="AU25" i="11"/>
  <c r="AH229" i="13"/>
  <c r="AH227" i="13" s="1"/>
  <c r="Y229" i="14"/>
  <c r="AA227" i="13"/>
  <c r="Y112" i="12"/>
  <c r="Y110" i="12" s="1"/>
  <c r="AD97" i="13"/>
  <c r="AB96" i="13"/>
  <c r="AB90" i="13" s="1"/>
  <c r="J61" i="13"/>
  <c r="N61" i="12"/>
  <c r="N60" i="12" s="1"/>
  <c r="L60" i="12"/>
  <c r="BJ8" i="11"/>
  <c r="BJ7" i="11" s="1"/>
  <c r="AD124" i="14"/>
  <c r="AB123" i="14"/>
  <c r="AB112" i="14" s="1"/>
  <c r="AA177" i="13"/>
  <c r="Y176" i="13"/>
  <c r="Y170" i="13" s="1"/>
  <c r="J67" i="14"/>
  <c r="N67" i="13"/>
  <c r="N66" i="13" s="1"/>
  <c r="L66" i="13"/>
  <c r="Y59" i="13"/>
  <c r="AA58" i="12"/>
  <c r="AA57" i="12" s="1"/>
  <c r="AH59" i="12"/>
  <c r="AH58" i="12" s="1"/>
  <c r="AH57" i="12" s="1"/>
  <c r="Y152" i="15"/>
  <c r="AH152" i="14"/>
  <c r="AH149" i="14" s="1"/>
  <c r="AH147" i="14" s="1"/>
  <c r="AA149" i="14"/>
  <c r="AA147" i="14" s="1"/>
  <c r="I66" i="12"/>
  <c r="M68" i="12"/>
  <c r="M66" i="12" s="1"/>
  <c r="G68" i="13"/>
  <c r="Y125" i="13"/>
  <c r="AH125" i="12"/>
  <c r="AH123" i="12" s="1"/>
  <c r="AA123" i="12"/>
  <c r="AB174" i="14"/>
  <c r="AI174" i="13"/>
  <c r="AI172" i="13" s="1"/>
  <c r="AD172" i="13"/>
  <c r="AD228" i="14"/>
  <c r="AB227" i="14"/>
  <c r="AB220" i="14" s="1"/>
  <c r="AB205" i="13"/>
  <c r="AB196" i="13" s="1"/>
  <c r="AB195" i="13" s="1"/>
  <c r="AB193" i="13" s="1"/>
  <c r="AD206" i="13"/>
  <c r="X258" i="13"/>
  <c r="F21" i="15"/>
  <c r="F19" i="15" s="1"/>
  <c r="F17" i="15" s="1"/>
  <c r="F8" i="15" s="1"/>
  <c r="AG90" i="11"/>
  <c r="C10" i="20"/>
  <c r="C9" i="20" s="1"/>
  <c r="AQ24" i="16"/>
  <c r="AG173" i="14"/>
  <c r="AE172" i="14"/>
  <c r="Y143" i="14"/>
  <c r="AA141" i="13"/>
  <c r="BO20" i="13" s="1"/>
  <c r="AH143" i="13"/>
  <c r="AH141" i="13" s="1"/>
  <c r="Y188" i="14"/>
  <c r="AH188" i="13"/>
  <c r="AH187" i="13" s="1"/>
  <c r="AH185" i="13" s="1"/>
  <c r="AA187" i="13"/>
  <c r="AA185" i="13" s="1"/>
  <c r="Y52" i="14"/>
  <c r="AH52" i="13"/>
  <c r="AH49" i="13" s="1"/>
  <c r="AA49" i="13"/>
  <c r="Y223" i="14"/>
  <c r="AH223" i="13"/>
  <c r="AH222" i="13" s="1"/>
  <c r="AA222" i="13"/>
  <c r="BN13" i="16"/>
  <c r="C36" i="20" s="1"/>
  <c r="C31" i="20" s="1"/>
  <c r="AI173" i="16"/>
  <c r="G50" i="14"/>
  <c r="I48" i="13"/>
  <c r="M50" i="13"/>
  <c r="M48" i="13" s="1"/>
  <c r="X14" i="16"/>
  <c r="BH9" i="15"/>
  <c r="BH7" i="15" s="1"/>
  <c r="BH16" i="15" s="1"/>
  <c r="BN8" i="15"/>
  <c r="BN7" i="15" s="1"/>
  <c r="BN32" i="15" s="1"/>
  <c r="BN28" i="16"/>
  <c r="C51" i="20" s="1"/>
  <c r="X195" i="16"/>
  <c r="AE116" i="13"/>
  <c r="AJ116" i="12"/>
  <c r="AJ114" i="12" s="1"/>
  <c r="AG114" i="12"/>
  <c r="AU29" i="16"/>
  <c r="AV29" i="16"/>
  <c r="BH9" i="16"/>
  <c r="C37" i="20"/>
  <c r="AE106" i="13"/>
  <c r="AG105" i="12"/>
  <c r="AG104" i="12" s="1"/>
  <c r="AJ106" i="12"/>
  <c r="AJ105" i="12" s="1"/>
  <c r="AJ104" i="12" s="1"/>
  <c r="AV27" i="11"/>
  <c r="AX27" i="11"/>
  <c r="AZ27" i="11" s="1"/>
  <c r="AE160" i="13"/>
  <c r="AJ160" i="12"/>
  <c r="AJ157" i="12" s="1"/>
  <c r="AJ155" i="12" s="1"/>
  <c r="AJ145" i="12" s="1"/>
  <c r="AG157" i="12"/>
  <c r="AG155" i="12" s="1"/>
  <c r="AG145" i="12" s="1"/>
  <c r="X63" i="16"/>
  <c r="X12" i="16" s="1"/>
  <c r="AJ90" i="11"/>
  <c r="AJ63" i="11" s="1"/>
  <c r="AJ12" i="11" s="1"/>
  <c r="AJ10" i="11" s="1"/>
  <c r="AE87" i="13"/>
  <c r="AJ87" i="12"/>
  <c r="AJ83" i="12" s="1"/>
  <c r="AG83" i="12"/>
  <c r="AS24" i="12" s="1"/>
  <c r="F28" i="16"/>
  <c r="AQ14" i="14"/>
  <c r="F17" i="14"/>
  <c r="AG94" i="12"/>
  <c r="AE91" i="12"/>
  <c r="AE193" i="12"/>
  <c r="BN16" i="16"/>
  <c r="X112" i="16"/>
  <c r="X110" i="16" s="1"/>
  <c r="AQ26" i="16" s="1"/>
  <c r="AQ25" i="16"/>
  <c r="AG99" i="12"/>
  <c r="AE96" i="12"/>
  <c r="V10" i="16"/>
  <c r="V8" i="16" s="1"/>
  <c r="AG178" i="12"/>
  <c r="AE176" i="12"/>
  <c r="AE170" i="12" s="1"/>
  <c r="C50" i="20"/>
  <c r="AG126" i="12"/>
  <c r="AE123" i="12"/>
  <c r="AE112" i="12" s="1"/>
  <c r="AE110" i="12" s="1"/>
  <c r="AE189" i="13"/>
  <c r="AJ189" i="12"/>
  <c r="AJ187" i="12" s="1"/>
  <c r="AJ185" i="12" s="1"/>
  <c r="AG187" i="12"/>
  <c r="AG185" i="12" s="1"/>
  <c r="X10" i="15"/>
  <c r="X8" i="15" s="1"/>
  <c r="BP29" i="11"/>
  <c r="BJ13" i="11" s="1"/>
  <c r="AR30" i="11"/>
  <c r="AG232" i="11"/>
  <c r="AQ30" i="16"/>
  <c r="BN29" i="16"/>
  <c r="AA244" i="12"/>
  <c r="Y243" i="12"/>
  <c r="Y232" i="12" s="1"/>
  <c r="AA234" i="12"/>
  <c r="Y1" i="10"/>
  <c r="G55" i="13"/>
  <c r="M55" i="12"/>
  <c r="M54" i="12" s="1"/>
  <c r="BD17" i="12"/>
  <c r="AW14" i="12"/>
  <c r="AY14" i="12" s="1"/>
  <c r="I54" i="12"/>
  <c r="AD10" i="11"/>
  <c r="AD258" i="11" s="1"/>
  <c r="AI262" i="10"/>
  <c r="AI260" i="10" s="1"/>
  <c r="AI264" i="10" s="1"/>
  <c r="AH262" i="10"/>
  <c r="AH260" i="10" s="1"/>
  <c r="AH264" i="10" s="1"/>
  <c r="AG262" i="10"/>
  <c r="AG260" i="10" s="1"/>
  <c r="AG264" i="10" s="1"/>
  <c r="X262" i="10"/>
  <c r="X260" i="10" s="1"/>
  <c r="X264" i="10" s="1"/>
  <c r="AE262" i="10"/>
  <c r="AE260" i="10" s="1"/>
  <c r="AE264" i="10" s="1"/>
  <c r="AD262" i="10"/>
  <c r="AD260" i="10" s="1"/>
  <c r="AD264" i="10" s="1"/>
  <c r="AC262" i="10"/>
  <c r="AC260" i="10" s="1"/>
  <c r="AC264" i="10" s="1"/>
  <c r="AJ262" i="10"/>
  <c r="AJ260" i="10" s="1"/>
  <c r="AJ264" i="10" s="1"/>
  <c r="AA262" i="10"/>
  <c r="AA260" i="10" s="1"/>
  <c r="AA264" i="10" s="1"/>
  <c r="Z262" i="10"/>
  <c r="Z260" i="10" s="1"/>
  <c r="Z264" i="10" s="1"/>
  <c r="Y262" i="10"/>
  <c r="Y260" i="10" s="1"/>
  <c r="Y264" i="10" s="1"/>
  <c r="AB262" i="10"/>
  <c r="AB260" i="10" s="1"/>
  <c r="AB264" i="10" s="1"/>
  <c r="W262" i="10"/>
  <c r="W260" i="10" s="1"/>
  <c r="W264" i="10" s="1"/>
  <c r="V262" i="10"/>
  <c r="V260" i="10" s="1"/>
  <c r="V264" i="10" s="1"/>
  <c r="U262" i="10"/>
  <c r="U260" i="10" s="1"/>
  <c r="U264" i="10" s="1"/>
  <c r="AF262" i="10"/>
  <c r="AF260" i="10" s="1"/>
  <c r="AF264" i="10" s="1"/>
  <c r="AH258" i="10"/>
  <c r="AD244" i="12"/>
  <c r="AB243" i="12"/>
  <c r="AB232" i="12" s="1"/>
  <c r="AG244" i="12"/>
  <c r="AE243" i="12"/>
  <c r="AE232" i="12" s="1"/>
  <c r="AA258" i="10"/>
  <c r="BO33" i="10" s="1"/>
  <c r="AA12" i="11"/>
  <c r="AH12" i="11"/>
  <c r="AH10" i="11" s="1"/>
  <c r="AH258" i="11" s="1"/>
  <c r="U1" i="10"/>
  <c r="K1" i="10"/>
  <c r="J5" i="10"/>
  <c r="BP8" i="11"/>
  <c r="BP7" i="11" s="1"/>
  <c r="J36" i="15"/>
  <c r="N36" i="14"/>
  <c r="N35" i="14" s="1"/>
  <c r="L35" i="14"/>
  <c r="J68" i="15"/>
  <c r="N68" i="14"/>
  <c r="AE47" i="15"/>
  <c r="AJ47" i="14"/>
  <c r="AJ44" i="14" s="1"/>
  <c r="AG44" i="14"/>
  <c r="J62" i="15"/>
  <c r="N62" i="14"/>
  <c r="AD188" i="15"/>
  <c r="AB187" i="15"/>
  <c r="AB185" i="15" s="1"/>
  <c r="AI92" i="14"/>
  <c r="AI91" i="14" s="1"/>
  <c r="AB92" i="15"/>
  <c r="AD91" i="14"/>
  <c r="L74" i="15"/>
  <c r="AE115" i="15"/>
  <c r="AJ115" i="14"/>
  <c r="L50" i="15"/>
  <c r="AH190" i="16"/>
  <c r="AB22" i="15"/>
  <c r="AI22" i="14"/>
  <c r="AB100" i="15"/>
  <c r="AI100" i="14"/>
  <c r="AD127" i="15"/>
  <c r="AB238" i="15"/>
  <c r="AD235" i="14"/>
  <c r="AD234" i="14" s="1"/>
  <c r="AI238" i="14"/>
  <c r="AI235" i="14" s="1"/>
  <c r="AI234" i="14" s="1"/>
  <c r="AE98" i="15"/>
  <c r="AJ98" i="14"/>
  <c r="AG36" i="15"/>
  <c r="AE35" i="15"/>
  <c r="AD197" i="14"/>
  <c r="BP26" i="14"/>
  <c r="AB198" i="15"/>
  <c r="AI198" i="14"/>
  <c r="AI197" i="14" s="1"/>
  <c r="L80" i="15"/>
  <c r="J78" i="15"/>
  <c r="L78" i="15" s="1"/>
  <c r="N78" i="15" s="1"/>
  <c r="AB117" i="15"/>
  <c r="AD114" i="14"/>
  <c r="AI117" i="14"/>
  <c r="AI114" i="14" s="1"/>
  <c r="AH100" i="16"/>
  <c r="AD229" i="15"/>
  <c r="AH150" i="16"/>
  <c r="AJ59" i="14"/>
  <c r="AJ58" i="14" s="1"/>
  <c r="AJ57" i="14" s="1"/>
  <c r="AE59" i="15"/>
  <c r="AG58" i="14"/>
  <c r="AG57" i="14" s="1"/>
  <c r="AG93" i="15"/>
  <c r="J44" i="15"/>
  <c r="N44" i="14"/>
  <c r="AB150" i="15"/>
  <c r="AI150" i="14"/>
  <c r="AD222" i="14"/>
  <c r="AB223" i="15"/>
  <c r="AI223" i="14"/>
  <c r="AI222" i="14" s="1"/>
  <c r="J56" i="15"/>
  <c r="N56" i="14"/>
  <c r="AE86" i="15"/>
  <c r="AJ86" i="14"/>
  <c r="J30" i="15"/>
  <c r="N30" i="14"/>
  <c r="N29" i="14" s="1"/>
  <c r="L29" i="14"/>
  <c r="AG149" i="14"/>
  <c r="AG147" i="14" s="1"/>
  <c r="AE152" i="15"/>
  <c r="AJ152" i="14"/>
  <c r="AJ149" i="14" s="1"/>
  <c r="AJ147" i="14" s="1"/>
  <c r="AH225" i="16"/>
  <c r="AH95" i="16"/>
  <c r="AH200" i="16"/>
  <c r="BJ14" i="13"/>
  <c r="M128" i="11"/>
  <c r="AR31" i="10"/>
  <c r="AR32" i="10" s="1"/>
  <c r="AV35" i="10" s="1"/>
  <c r="AS14" i="11"/>
  <c r="AV14" i="11" s="1"/>
  <c r="Y14" i="12"/>
  <c r="AE241" i="13"/>
  <c r="AJ241" i="12"/>
  <c r="AJ235" i="12" s="1"/>
  <c r="AJ234" i="12" s="1"/>
  <c r="AG235" i="12"/>
  <c r="Y61" i="14"/>
  <c r="AH61" i="13"/>
  <c r="BO31" i="13"/>
  <c r="Y85" i="13"/>
  <c r="AA83" i="12"/>
  <c r="AH85" i="12"/>
  <c r="AH83" i="12" s="1"/>
  <c r="N8" i="11"/>
  <c r="Y63" i="12"/>
  <c r="AJ202" i="12"/>
  <c r="AJ197" i="12" s="1"/>
  <c r="AJ196" i="12" s="1"/>
  <c r="AJ195" i="12" s="1"/>
  <c r="AE202" i="13"/>
  <c r="AG197" i="12"/>
  <c r="AG196" i="12" s="1"/>
  <c r="AG195" i="12" s="1"/>
  <c r="AG211" i="12"/>
  <c r="AG210" i="12" s="1"/>
  <c r="AG209" i="12" s="1"/>
  <c r="AJ212" i="12"/>
  <c r="AJ211" i="12" s="1"/>
  <c r="AJ210" i="12" s="1"/>
  <c r="AJ209" i="12" s="1"/>
  <c r="AE212" i="13"/>
  <c r="Y37" i="13"/>
  <c r="AA35" i="12"/>
  <c r="AH37" i="12"/>
  <c r="AH35" i="12" s="1"/>
  <c r="L8" i="11"/>
  <c r="L126" i="11" s="1"/>
  <c r="L130" i="11" s="1"/>
  <c r="AE52" i="13"/>
  <c r="AG49" i="12"/>
  <c r="AG43" i="12" s="1"/>
  <c r="AJ52" i="12"/>
  <c r="AJ49" i="12" s="1"/>
  <c r="AJ43" i="12" s="1"/>
  <c r="L113" i="16"/>
  <c r="AS15" i="16" s="1"/>
  <c r="AX15" i="16" s="1"/>
  <c r="N115" i="16"/>
  <c r="N113" i="16" s="1"/>
  <c r="AE70" i="13"/>
  <c r="AJ70" i="12"/>
  <c r="AJ69" i="12" s="1"/>
  <c r="AJ65" i="12" s="1"/>
  <c r="AG69" i="12"/>
  <c r="AG65" i="12" s="1"/>
  <c r="AB167" i="13"/>
  <c r="AD157" i="12"/>
  <c r="AD155" i="12" s="1"/>
  <c r="BP19" i="12"/>
  <c r="AI167" i="12"/>
  <c r="AI157" i="12" s="1"/>
  <c r="AI155" i="12" s="1"/>
  <c r="BI8" i="11"/>
  <c r="BO8" i="11"/>
  <c r="AB39" i="13"/>
  <c r="AD35" i="12"/>
  <c r="AI39" i="12"/>
  <c r="AI35" i="12" s="1"/>
  <c r="AE23" i="13"/>
  <c r="AG20" i="12"/>
  <c r="AG16" i="12" s="1"/>
  <c r="AJ23" i="12"/>
  <c r="AJ20" i="12" s="1"/>
  <c r="AJ16" i="12" s="1"/>
  <c r="Y27" i="13"/>
  <c r="AA20" i="12"/>
  <c r="AA16" i="12" s="1"/>
  <c r="AH27" i="12"/>
  <c r="AH20" i="12" s="1"/>
  <c r="AH16" i="12" s="1"/>
  <c r="AB180" i="13"/>
  <c r="AD176" i="12"/>
  <c r="AD170" i="12" s="1"/>
  <c r="AI180" i="12"/>
  <c r="AI176" i="12" s="1"/>
  <c r="AI170" i="12" s="1"/>
  <c r="AE14" i="12"/>
  <c r="Y71" i="13"/>
  <c r="AA69" i="12"/>
  <c r="AA65" i="12" s="1"/>
  <c r="AH71" i="12"/>
  <c r="AH69" i="12" s="1"/>
  <c r="AH65" i="12" s="1"/>
  <c r="I115" i="16"/>
  <c r="G113" i="16"/>
  <c r="AR17" i="10"/>
  <c r="AU14" i="10"/>
  <c r="L95" i="16"/>
  <c r="J94" i="16"/>
  <c r="BN22" i="16"/>
  <c r="BH11" i="16" s="1"/>
  <c r="C47" i="20"/>
  <c r="C45" i="20" s="1"/>
  <c r="AB216" i="14"/>
  <c r="AI216" i="13"/>
  <c r="AI211" i="13" s="1"/>
  <c r="AI210" i="13" s="1"/>
  <c r="AI209" i="13" s="1"/>
  <c r="AD211" i="13"/>
  <c r="AD210" i="13" s="1"/>
  <c r="AD209" i="13" s="1"/>
  <c r="AR29" i="13" s="1"/>
  <c r="AE124" i="14"/>
  <c r="AJ124" i="13"/>
  <c r="G95" i="16"/>
  <c r="I94" i="15"/>
  <c r="M95" i="15"/>
  <c r="M94" i="15" s="1"/>
  <c r="AB75" i="14"/>
  <c r="AI75" i="13"/>
  <c r="AE161" i="14"/>
  <c r="AJ161" i="13"/>
  <c r="J105" i="16"/>
  <c r="L104" i="15"/>
  <c r="N105" i="15"/>
  <c r="N104" i="15" s="1"/>
  <c r="J86" i="16"/>
  <c r="L85" i="15"/>
  <c r="N86" i="15"/>
  <c r="N85" i="15" s="1"/>
  <c r="G105" i="16"/>
  <c r="I104" i="15"/>
  <c r="M105" i="15"/>
  <c r="M104" i="15" s="1"/>
  <c r="AE80" i="14"/>
  <c r="AJ80" i="13"/>
  <c r="M21" i="11"/>
  <c r="M19" i="11" s="1"/>
  <c r="M17" i="11" s="1"/>
  <c r="M8" i="11" s="1"/>
  <c r="BD22" i="11"/>
  <c r="I24" i="12"/>
  <c r="G22" i="12"/>
  <c r="G8" i="11"/>
  <c r="G126" i="11" s="1"/>
  <c r="G130" i="11" s="1"/>
  <c r="J27" i="13"/>
  <c r="J128" i="13" s="1"/>
  <c r="N27" i="12"/>
  <c r="N25" i="12" s="1"/>
  <c r="AX8" i="12"/>
  <c r="AZ8" i="12" s="1"/>
  <c r="L25" i="12"/>
  <c r="AS8" i="12" s="1"/>
  <c r="AV8" i="12" s="1"/>
  <c r="I27" i="12"/>
  <c r="G25" i="12"/>
  <c r="G128" i="12"/>
  <c r="I21" i="11"/>
  <c r="I19" i="11" s="1"/>
  <c r="I17" i="11" s="1"/>
  <c r="I88" i="16"/>
  <c r="G85" i="16"/>
  <c r="N31" i="16"/>
  <c r="L37" i="16"/>
  <c r="L65" i="14"/>
  <c r="J63" i="14"/>
  <c r="L77" i="14"/>
  <c r="J75" i="14"/>
  <c r="G45" i="14"/>
  <c r="I46" i="14"/>
  <c r="L59" i="14"/>
  <c r="J57" i="14"/>
  <c r="I62" i="14"/>
  <c r="G60" i="14"/>
  <c r="L83" i="14"/>
  <c r="J81" i="14"/>
  <c r="L26" i="14"/>
  <c r="I37" i="14"/>
  <c r="L33" i="14"/>
  <c r="L47" i="14"/>
  <c r="J45" i="14"/>
  <c r="L53" i="14"/>
  <c r="J51" i="14"/>
  <c r="L71" i="14"/>
  <c r="J69" i="14"/>
  <c r="I74" i="14"/>
  <c r="G72" i="14"/>
  <c r="I52" i="14"/>
  <c r="G51" i="14"/>
  <c r="N22" i="12"/>
  <c r="L24" i="13"/>
  <c r="J22" i="13"/>
  <c r="J13" i="13"/>
  <c r="L10" i="12"/>
  <c r="N13" i="12"/>
  <c r="N10" i="12" s="1"/>
  <c r="AS7" i="12"/>
  <c r="AV7" i="12" s="1"/>
  <c r="AD88" i="13"/>
  <c r="AB83" i="13"/>
  <c r="AA237" i="13"/>
  <c r="Y235" i="13"/>
  <c r="Y234" i="13" s="1"/>
  <c r="AB50" i="14"/>
  <c r="AD49" i="13"/>
  <c r="AI50" i="13"/>
  <c r="AI49" i="13" s="1"/>
  <c r="AB107" i="14"/>
  <c r="AD105" i="13"/>
  <c r="AD104" i="13" s="1"/>
  <c r="AI107" i="13"/>
  <c r="AI105" i="13" s="1"/>
  <c r="AI104" i="13" s="1"/>
  <c r="G56" i="14"/>
  <c r="M56" i="13"/>
  <c r="Y133" i="14"/>
  <c r="AH133" i="13"/>
  <c r="AJ220" i="13"/>
  <c r="I28" i="12"/>
  <c r="AR9" i="12" s="1"/>
  <c r="AU9" i="12" s="1"/>
  <c r="T15" i="11"/>
  <c r="E126" i="14"/>
  <c r="E130" i="14" s="1"/>
  <c r="D126" i="14"/>
  <c r="D130" i="14" s="1"/>
  <c r="L41" i="16"/>
  <c r="AZ16" i="11"/>
  <c r="AX17" i="11"/>
  <c r="AW17" i="11"/>
  <c r="G12" i="13"/>
  <c r="I10" i="12"/>
  <c r="M12" i="12"/>
  <c r="AG236" i="14"/>
  <c r="AZ13" i="12"/>
  <c r="AE198" i="14"/>
  <c r="AJ198" i="13"/>
  <c r="AG205" i="13"/>
  <c r="AE206" i="14"/>
  <c r="AJ206" i="13"/>
  <c r="AJ205" i="13" s="1"/>
  <c r="AG228" i="14"/>
  <c r="AE227" i="14"/>
  <c r="AE222" i="14"/>
  <c r="AG223" i="14"/>
  <c r="AG188" i="14"/>
  <c r="AE181" i="14"/>
  <c r="AJ181" i="13"/>
  <c r="AJ186" i="13"/>
  <c r="AE186" i="14"/>
  <c r="AG220" i="13"/>
  <c r="I30" i="13"/>
  <c r="G29" i="13"/>
  <c r="I23" i="13"/>
  <c r="AI145" i="12" l="1"/>
  <c r="AI110" i="12" s="1"/>
  <c r="AI258" i="11"/>
  <c r="BD10" i="12"/>
  <c r="BD9" i="12" s="1"/>
  <c r="BD8" i="12" s="1"/>
  <c r="AB10" i="12"/>
  <c r="AB258" i="12" s="1"/>
  <c r="BO7" i="11"/>
  <c r="BO32" i="11" s="1"/>
  <c r="AA220" i="13"/>
  <c r="BO30" i="13" s="1"/>
  <c r="BI14" i="13" s="1"/>
  <c r="BO17" i="12"/>
  <c r="AW30" i="11"/>
  <c r="AY30" i="11" s="1"/>
  <c r="AU30" i="11"/>
  <c r="BI7" i="11"/>
  <c r="BI16" i="11" s="1"/>
  <c r="AH112" i="12"/>
  <c r="AH110" i="12" s="1"/>
  <c r="AI14" i="12"/>
  <c r="AI12" i="12" s="1"/>
  <c r="AD14" i="12"/>
  <c r="AD12" i="12" s="1"/>
  <c r="Y12" i="12"/>
  <c r="Y10" i="12" s="1"/>
  <c r="Y8" i="12" s="1"/>
  <c r="BN25" i="16"/>
  <c r="BH12" i="16" s="1"/>
  <c r="AH220" i="13"/>
  <c r="BO13" i="12"/>
  <c r="AA125" i="13"/>
  <c r="Y123" i="13"/>
  <c r="L67" i="14"/>
  <c r="J66" i="14"/>
  <c r="AB124" i="15"/>
  <c r="AI124" i="14"/>
  <c r="AI123" i="14" s="1"/>
  <c r="AI112" i="14" s="1"/>
  <c r="AD123" i="14"/>
  <c r="AD112" i="14" s="1"/>
  <c r="L61" i="13"/>
  <c r="J60" i="13"/>
  <c r="L49" i="13"/>
  <c r="J48" i="13"/>
  <c r="AD21" i="13"/>
  <c r="AB20" i="13"/>
  <c r="AB16" i="13" s="1"/>
  <c r="L34" i="13"/>
  <c r="J32" i="13"/>
  <c r="J28" i="13" s="1"/>
  <c r="AR28" i="12"/>
  <c r="AD193" i="12"/>
  <c r="AA198" i="13"/>
  <c r="Y197" i="13"/>
  <c r="Y196" i="13" s="1"/>
  <c r="Y195" i="13" s="1"/>
  <c r="Y193" i="13" s="1"/>
  <c r="BO16" i="12"/>
  <c r="AA112" i="12"/>
  <c r="AA110" i="12" s="1"/>
  <c r="AE90" i="12"/>
  <c r="AE63" i="12" s="1"/>
  <c r="AE12" i="12" s="1"/>
  <c r="AE10" i="12" s="1"/>
  <c r="AE8" i="12" s="1"/>
  <c r="AX24" i="12"/>
  <c r="AZ24" i="12" s="1"/>
  <c r="AV24" i="12"/>
  <c r="AD174" i="14"/>
  <c r="AB172" i="14"/>
  <c r="G66" i="13"/>
  <c r="I68" i="13"/>
  <c r="AA59" i="13"/>
  <c r="Y58" i="13"/>
  <c r="Y57" i="13" s="1"/>
  <c r="Y227" i="14"/>
  <c r="AA229" i="14"/>
  <c r="G80" i="14"/>
  <c r="M80" i="13"/>
  <c r="L55" i="14"/>
  <c r="J54" i="14"/>
  <c r="Y215" i="14"/>
  <c r="AA211" i="13"/>
  <c r="AA210" i="13" s="1"/>
  <c r="AA209" i="13" s="1"/>
  <c r="BO27" i="13" s="1"/>
  <c r="AH215" i="13"/>
  <c r="AH211" i="13" s="1"/>
  <c r="AH210" i="13" s="1"/>
  <c r="AH209" i="13" s="1"/>
  <c r="I36" i="13"/>
  <c r="AW9" i="13" s="1"/>
  <c r="AY9" i="13" s="1"/>
  <c r="G35" i="13"/>
  <c r="G28" i="13" s="1"/>
  <c r="BP13" i="12"/>
  <c r="AR25" i="12"/>
  <c r="AG143" i="14"/>
  <c r="AE141" i="14"/>
  <c r="AA115" i="13"/>
  <c r="Y114" i="13"/>
  <c r="AD71" i="13"/>
  <c r="AB69" i="13"/>
  <c r="AB65" i="13" s="1"/>
  <c r="AB63" i="13" s="1"/>
  <c r="AB228" i="15"/>
  <c r="AI228" i="14"/>
  <c r="AI227" i="14" s="1"/>
  <c r="AI220" i="14" s="1"/>
  <c r="AD227" i="14"/>
  <c r="AD220" i="14" s="1"/>
  <c r="BP30" i="14" s="1"/>
  <c r="BJ14" i="14" s="1"/>
  <c r="AA152" i="15"/>
  <c r="Y149" i="15"/>
  <c r="Y147" i="15" s="1"/>
  <c r="AH177" i="13"/>
  <c r="AH176" i="13" s="1"/>
  <c r="AH170" i="13" s="1"/>
  <c r="Y177" i="14"/>
  <c r="BO23" i="13"/>
  <c r="AA176" i="13"/>
  <c r="AA170" i="13" s="1"/>
  <c r="BO24" i="13" s="1"/>
  <c r="AB97" i="14"/>
  <c r="AI97" i="13"/>
  <c r="AI96" i="13" s="1"/>
  <c r="AI90" i="13" s="1"/>
  <c r="AD96" i="13"/>
  <c r="AD90" i="13" s="1"/>
  <c r="BP12" i="12"/>
  <c r="BP9" i="12" s="1"/>
  <c r="AR23" i="12"/>
  <c r="AB142" i="16"/>
  <c r="AD141" i="15"/>
  <c r="BP20" i="15" s="1"/>
  <c r="AI142" i="15"/>
  <c r="AI141" i="15" s="1"/>
  <c r="AD46" i="13"/>
  <c r="AB44" i="13"/>
  <c r="AB43" i="13" s="1"/>
  <c r="AA93" i="13"/>
  <c r="Y91" i="13"/>
  <c r="Y90" i="13" s="1"/>
  <c r="L73" i="13"/>
  <c r="J72" i="13"/>
  <c r="L43" i="14"/>
  <c r="J42" i="14"/>
  <c r="AD205" i="13"/>
  <c r="AD196" i="13" s="1"/>
  <c r="AB206" i="14"/>
  <c r="AI206" i="13"/>
  <c r="AI205" i="13" s="1"/>
  <c r="AI196" i="13" s="1"/>
  <c r="AI195" i="13" s="1"/>
  <c r="AI193" i="13" s="1"/>
  <c r="I44" i="13"/>
  <c r="G42" i="13"/>
  <c r="Y157" i="13"/>
  <c r="Y155" i="13" s="1"/>
  <c r="Y145" i="13" s="1"/>
  <c r="AA159" i="13"/>
  <c r="BO28" i="12"/>
  <c r="BO25" i="12" s="1"/>
  <c r="BI12" i="12" s="1"/>
  <c r="AA195" i="12"/>
  <c r="AA193" i="12" s="1"/>
  <c r="Y98" i="14"/>
  <c r="AH98" i="13"/>
  <c r="AH96" i="13" s="1"/>
  <c r="AA96" i="13"/>
  <c r="AD151" i="13"/>
  <c r="AB149" i="13"/>
  <c r="AB147" i="13" s="1"/>
  <c r="AH47" i="13"/>
  <c r="AH44" i="13" s="1"/>
  <c r="AH43" i="13" s="1"/>
  <c r="AA44" i="13"/>
  <c r="AA43" i="13" s="1"/>
  <c r="Y47" i="14"/>
  <c r="AQ14" i="15"/>
  <c r="AS25" i="11"/>
  <c r="AG63" i="11"/>
  <c r="AG12" i="11" s="1"/>
  <c r="AG10" i="11" s="1"/>
  <c r="AG258" i="11" s="1"/>
  <c r="AS31" i="11" s="1"/>
  <c r="C30" i="20"/>
  <c r="AA52" i="14"/>
  <c r="Y49" i="14"/>
  <c r="AE173" i="15"/>
  <c r="AJ173" i="14"/>
  <c r="AJ172" i="14" s="1"/>
  <c r="AG172" i="14"/>
  <c r="AA223" i="14"/>
  <c r="Y222" i="14"/>
  <c r="Y220" i="14" s="1"/>
  <c r="BH8" i="16"/>
  <c r="AA143" i="14"/>
  <c r="Y141" i="14"/>
  <c r="BN8" i="16"/>
  <c r="BJ16" i="11"/>
  <c r="BP32" i="11"/>
  <c r="G48" i="14"/>
  <c r="I50" i="14"/>
  <c r="AA188" i="14"/>
  <c r="Y187" i="14"/>
  <c r="Y185" i="14" s="1"/>
  <c r="AJ8" i="11"/>
  <c r="AJ258" i="11"/>
  <c r="AE99" i="13"/>
  <c r="AJ99" i="12"/>
  <c r="AJ96" i="12" s="1"/>
  <c r="AG96" i="12"/>
  <c r="AE94" i="13"/>
  <c r="AJ94" i="12"/>
  <c r="AJ91" i="12" s="1"/>
  <c r="AG91" i="12"/>
  <c r="X10" i="16"/>
  <c r="AG160" i="13"/>
  <c r="AE157" i="13"/>
  <c r="AE155" i="13" s="1"/>
  <c r="AE145" i="13" s="1"/>
  <c r="C48" i="20"/>
  <c r="AD8" i="11"/>
  <c r="AE126" i="13"/>
  <c r="AJ126" i="12"/>
  <c r="AJ123" i="12" s="1"/>
  <c r="AJ112" i="12" s="1"/>
  <c r="AJ110" i="12" s="1"/>
  <c r="AG123" i="12"/>
  <c r="AG112" i="12" s="1"/>
  <c r="AG110" i="12" s="1"/>
  <c r="AS26" i="12" s="1"/>
  <c r="AE178" i="13"/>
  <c r="AJ178" i="12"/>
  <c r="AJ176" i="12" s="1"/>
  <c r="AJ170" i="12" s="1"/>
  <c r="AG176" i="12"/>
  <c r="AG170" i="12" s="1"/>
  <c r="AS27" i="12" s="1"/>
  <c r="X258" i="14"/>
  <c r="F8" i="14"/>
  <c r="AE105" i="13"/>
  <c r="AE104" i="13" s="1"/>
  <c r="AG106" i="13"/>
  <c r="V258" i="16"/>
  <c r="AG87" i="13"/>
  <c r="AE83" i="13"/>
  <c r="AG116" i="13"/>
  <c r="AE114" i="13"/>
  <c r="AG189" i="13"/>
  <c r="AE187" i="13"/>
  <c r="AE185" i="13" s="1"/>
  <c r="C39" i="20"/>
  <c r="C38" i="20" s="1"/>
  <c r="BN15" i="16"/>
  <c r="BH10" i="16" s="1"/>
  <c r="AQ9" i="16"/>
  <c r="F21" i="16"/>
  <c r="F19" i="16" s="1"/>
  <c r="X193" i="16"/>
  <c r="AQ28" i="16"/>
  <c r="X258" i="15"/>
  <c r="AJ193" i="12"/>
  <c r="AD243" i="12"/>
  <c r="AD232" i="12" s="1"/>
  <c r="AI244" i="12"/>
  <c r="AI243" i="12" s="1"/>
  <c r="AI232" i="12" s="1"/>
  <c r="AB244" i="13"/>
  <c r="I55" i="13"/>
  <c r="G54" i="13"/>
  <c r="C52" i="20"/>
  <c r="BH13" i="16"/>
  <c r="AI262" i="11"/>
  <c r="AI260" i="11" s="1"/>
  <c r="AI264" i="11" s="1"/>
  <c r="AH262" i="11"/>
  <c r="AJ262" i="11"/>
  <c r="AC262" i="11"/>
  <c r="AC260" i="11" s="1"/>
  <c r="AC264" i="11" s="1"/>
  <c r="AE262" i="11"/>
  <c r="AE260" i="11" s="1"/>
  <c r="AE264" i="11" s="1"/>
  <c r="AD262" i="11"/>
  <c r="AF262" i="11"/>
  <c r="AF260" i="11" s="1"/>
  <c r="AF264" i="11" s="1"/>
  <c r="Y262" i="11"/>
  <c r="Y260" i="11" s="1"/>
  <c r="Y264" i="11" s="1"/>
  <c r="AA262" i="11"/>
  <c r="Z262" i="11"/>
  <c r="Z260" i="11" s="1"/>
  <c r="Z264" i="11" s="1"/>
  <c r="AB262" i="11"/>
  <c r="AB260" i="11" s="1"/>
  <c r="AB264" i="11" s="1"/>
  <c r="U262" i="11"/>
  <c r="U260" i="11" s="1"/>
  <c r="U264" i="11" s="1"/>
  <c r="W262" i="11"/>
  <c r="W260" i="11" s="1"/>
  <c r="W264" i="11" s="1"/>
  <c r="V262" i="11"/>
  <c r="V260" i="11" s="1"/>
  <c r="V264" i="11" s="1"/>
  <c r="X262" i="11"/>
  <c r="X260" i="11" s="1"/>
  <c r="X264" i="11" s="1"/>
  <c r="AG262" i="11"/>
  <c r="AS29" i="12"/>
  <c r="AX29" i="12" s="1"/>
  <c r="AZ29" i="12" s="1"/>
  <c r="AE258" i="11"/>
  <c r="AG193" i="12"/>
  <c r="AS28" i="12"/>
  <c r="AG234" i="12"/>
  <c r="AA10" i="11"/>
  <c r="AA8" i="11" s="1"/>
  <c r="U1" i="11" s="1"/>
  <c r="AE244" i="13"/>
  <c r="AG243" i="12"/>
  <c r="AJ244" i="12"/>
  <c r="AJ243" i="12" s="1"/>
  <c r="AJ232" i="12" s="1"/>
  <c r="AH8" i="11"/>
  <c r="AS30" i="11"/>
  <c r="Y244" i="13"/>
  <c r="AA243" i="12"/>
  <c r="AA232" i="12" s="1"/>
  <c r="AH244" i="12"/>
  <c r="AH243" i="12" s="1"/>
  <c r="AH232" i="12" s="1"/>
  <c r="AS17" i="11"/>
  <c r="BO14" i="12"/>
  <c r="BI9" i="12" s="1"/>
  <c r="AA63" i="12"/>
  <c r="L56" i="15"/>
  <c r="AD150" i="15"/>
  <c r="L44" i="15"/>
  <c r="AD117" i="15"/>
  <c r="AB114" i="15"/>
  <c r="AD198" i="15"/>
  <c r="AB197" i="15"/>
  <c r="AD100" i="15"/>
  <c r="J74" i="16"/>
  <c r="N74" i="15"/>
  <c r="AG47" i="15"/>
  <c r="AE44" i="15"/>
  <c r="L68" i="15"/>
  <c r="AG86" i="15"/>
  <c r="AG59" i="15"/>
  <c r="AE58" i="15"/>
  <c r="AE57" i="15" s="1"/>
  <c r="AE36" i="16"/>
  <c r="AJ36" i="15"/>
  <c r="AJ35" i="15" s="1"/>
  <c r="AG35" i="15"/>
  <c r="AG98" i="15"/>
  <c r="AB127" i="16"/>
  <c r="AI127" i="15"/>
  <c r="L62" i="15"/>
  <c r="L30" i="15"/>
  <c r="J29" i="15"/>
  <c r="AD223" i="15"/>
  <c r="AB222" i="15"/>
  <c r="AE93" i="16"/>
  <c r="AJ93" i="15"/>
  <c r="AB229" i="16"/>
  <c r="AI229" i="15"/>
  <c r="J80" i="16"/>
  <c r="N80" i="15"/>
  <c r="AG115" i="15"/>
  <c r="AB188" i="16"/>
  <c r="AD187" i="15"/>
  <c r="AD185" i="15" s="1"/>
  <c r="AI188" i="15"/>
  <c r="AI187" i="15" s="1"/>
  <c r="AI185" i="15" s="1"/>
  <c r="L36" i="15"/>
  <c r="J35" i="15"/>
  <c r="AG152" i="15"/>
  <c r="AE149" i="15"/>
  <c r="AE147" i="15" s="1"/>
  <c r="AD238" i="15"/>
  <c r="AB235" i="15"/>
  <c r="AB234" i="15" s="1"/>
  <c r="AD22" i="15"/>
  <c r="J50" i="16"/>
  <c r="N50" i="15"/>
  <c r="AD92" i="15"/>
  <c r="AB91" i="15"/>
  <c r="AU35" i="10"/>
  <c r="BP14" i="12"/>
  <c r="BJ9" i="12" s="1"/>
  <c r="AR14" i="11"/>
  <c r="AR17" i="11" s="1"/>
  <c r="AR24" i="12"/>
  <c r="AW24" i="12" s="1"/>
  <c r="AY24" i="12" s="1"/>
  <c r="L21" i="12"/>
  <c r="L19" i="12" s="1"/>
  <c r="AS14" i="12" s="1"/>
  <c r="AJ14" i="12"/>
  <c r="AH63" i="12"/>
  <c r="N128" i="12"/>
  <c r="AE211" i="13"/>
  <c r="AE210" i="13" s="1"/>
  <c r="AE209" i="13" s="1"/>
  <c r="AG212" i="13"/>
  <c r="AG202" i="13"/>
  <c r="AE197" i="13"/>
  <c r="AE196" i="13" s="1"/>
  <c r="AE195" i="13" s="1"/>
  <c r="AE193" i="13" s="1"/>
  <c r="BI15" i="13"/>
  <c r="AA85" i="13"/>
  <c r="Y83" i="13"/>
  <c r="AA61" i="14"/>
  <c r="AG241" i="13"/>
  <c r="AE235" i="13"/>
  <c r="AE234" i="13" s="1"/>
  <c r="AH14" i="12"/>
  <c r="AS23" i="12"/>
  <c r="AA37" i="13"/>
  <c r="Y35" i="13"/>
  <c r="I113" i="16"/>
  <c r="AR15" i="16" s="1"/>
  <c r="AW15" i="16" s="1"/>
  <c r="M115" i="16"/>
  <c r="M113" i="16" s="1"/>
  <c r="BD20" i="16"/>
  <c r="AD180" i="13"/>
  <c r="AB176" i="13"/>
  <c r="AB170" i="13" s="1"/>
  <c r="AD167" i="13"/>
  <c r="AB157" i="13"/>
  <c r="AB155" i="13" s="1"/>
  <c r="AG70" i="13"/>
  <c r="AE69" i="13"/>
  <c r="AE65" i="13" s="1"/>
  <c r="AG14" i="12"/>
  <c r="I8" i="11"/>
  <c r="I126" i="11" s="1"/>
  <c r="I130" i="11" s="1"/>
  <c r="AG52" i="13"/>
  <c r="AE49" i="13"/>
  <c r="AE43" i="13" s="1"/>
  <c r="AA14" i="12"/>
  <c r="BO12" i="12"/>
  <c r="BO9" i="12" s="1"/>
  <c r="AG23" i="13"/>
  <c r="AE20" i="13"/>
  <c r="AE16" i="13" s="1"/>
  <c r="AA71" i="13"/>
  <c r="Y69" i="13"/>
  <c r="Y65" i="13" s="1"/>
  <c r="AR27" i="12"/>
  <c r="BP24" i="12"/>
  <c r="BP22" i="12" s="1"/>
  <c r="BJ11" i="12" s="1"/>
  <c r="AA27" i="13"/>
  <c r="Y20" i="13"/>
  <c r="Y16" i="13" s="1"/>
  <c r="AD39" i="13"/>
  <c r="AB35" i="13"/>
  <c r="AD145" i="12"/>
  <c r="AD110" i="12" s="1"/>
  <c r="AR26" i="12" s="1"/>
  <c r="BP17" i="12"/>
  <c r="BP15" i="12" s="1"/>
  <c r="BJ10" i="12" s="1"/>
  <c r="AS16" i="12"/>
  <c r="AX16" i="12" s="1"/>
  <c r="AR16" i="12"/>
  <c r="AW16" i="12" s="1"/>
  <c r="AY16" i="12" s="1"/>
  <c r="I95" i="16"/>
  <c r="BD18" i="16" s="1"/>
  <c r="G94" i="16"/>
  <c r="AG124" i="14"/>
  <c r="L86" i="16"/>
  <c r="J85" i="16"/>
  <c r="AD75" i="14"/>
  <c r="AW29" i="13"/>
  <c r="AY29" i="13" s="1"/>
  <c r="BP27" i="13"/>
  <c r="G21" i="12"/>
  <c r="G19" i="12" s="1"/>
  <c r="G17" i="12" s="1"/>
  <c r="L105" i="16"/>
  <c r="J104" i="16"/>
  <c r="AG161" i="14"/>
  <c r="L94" i="16"/>
  <c r="N95" i="16"/>
  <c r="N94" i="16" s="1"/>
  <c r="AG80" i="14"/>
  <c r="I105" i="16"/>
  <c r="BD19" i="16" s="1"/>
  <c r="G104" i="16"/>
  <c r="AD216" i="14"/>
  <c r="AB211" i="14"/>
  <c r="AB210" i="14" s="1"/>
  <c r="AB209" i="14" s="1"/>
  <c r="G24" i="13"/>
  <c r="BD21" i="12"/>
  <c r="M24" i="12"/>
  <c r="M22" i="12" s="1"/>
  <c r="I22" i="12"/>
  <c r="AR7" i="12" s="1"/>
  <c r="AU7" i="12" s="1"/>
  <c r="AW7" i="12"/>
  <c r="AY7" i="12" s="1"/>
  <c r="N21" i="12"/>
  <c r="N19" i="12" s="1"/>
  <c r="N17" i="12" s="1"/>
  <c r="N8" i="12" s="1"/>
  <c r="L27" i="13"/>
  <c r="J25" i="13"/>
  <c r="G27" i="13"/>
  <c r="M27" i="12"/>
  <c r="M25" i="12" s="1"/>
  <c r="AW8" i="12"/>
  <c r="AY8" i="12" s="1"/>
  <c r="I25" i="12"/>
  <c r="AR8" i="12" s="1"/>
  <c r="AU8" i="12" s="1"/>
  <c r="I128" i="12"/>
  <c r="M88" i="16"/>
  <c r="M85" i="16" s="1"/>
  <c r="I85" i="16"/>
  <c r="AW11" i="16"/>
  <c r="AY11" i="16" s="1"/>
  <c r="AR11" i="16"/>
  <c r="AU11" i="16" s="1"/>
  <c r="N37" i="16"/>
  <c r="J59" i="15"/>
  <c r="L57" i="14"/>
  <c r="N59" i="14"/>
  <c r="N57" i="14" s="1"/>
  <c r="J77" i="15"/>
  <c r="L75" i="14"/>
  <c r="N77" i="14"/>
  <c r="N75" i="14" s="1"/>
  <c r="G74" i="15"/>
  <c r="I72" i="14"/>
  <c r="M74" i="14"/>
  <c r="M72" i="14" s="1"/>
  <c r="J47" i="15"/>
  <c r="L45" i="14"/>
  <c r="N47" i="14"/>
  <c r="N45" i="14" s="1"/>
  <c r="G37" i="15"/>
  <c r="M37" i="14"/>
  <c r="G46" i="15"/>
  <c r="I45" i="14"/>
  <c r="M46" i="14"/>
  <c r="M45" i="14" s="1"/>
  <c r="BD15" i="14"/>
  <c r="M52" i="14"/>
  <c r="M51" i="14" s="1"/>
  <c r="G52" i="15"/>
  <c r="I51" i="14"/>
  <c r="L69" i="14"/>
  <c r="J71" i="15"/>
  <c r="N71" i="14"/>
  <c r="N69" i="14" s="1"/>
  <c r="L51" i="14"/>
  <c r="J53" i="15"/>
  <c r="N53" i="14"/>
  <c r="N51" i="14" s="1"/>
  <c r="J33" i="15"/>
  <c r="N33" i="14"/>
  <c r="J26" i="15"/>
  <c r="N26" i="14"/>
  <c r="J83" i="15"/>
  <c r="L81" i="14"/>
  <c r="N83" i="14"/>
  <c r="N81" i="14" s="1"/>
  <c r="G62" i="15"/>
  <c r="I60" i="14"/>
  <c r="M62" i="14"/>
  <c r="M60" i="14" s="1"/>
  <c r="J65" i="15"/>
  <c r="L63" i="14"/>
  <c r="N65" i="14"/>
  <c r="N63" i="14" s="1"/>
  <c r="J24" i="14"/>
  <c r="L22" i="13"/>
  <c r="AX7" i="13"/>
  <c r="AZ7" i="13" s="1"/>
  <c r="N24" i="13"/>
  <c r="L13" i="13"/>
  <c r="J10" i="13"/>
  <c r="M10" i="12"/>
  <c r="AB88" i="14"/>
  <c r="AD83" i="13"/>
  <c r="BP31" i="13"/>
  <c r="AI88" i="13"/>
  <c r="AI83" i="13" s="1"/>
  <c r="Y237" i="14"/>
  <c r="AA235" i="13"/>
  <c r="AH237" i="13"/>
  <c r="AH235" i="13" s="1"/>
  <c r="AH234" i="13" s="1"/>
  <c r="AD107" i="14"/>
  <c r="AB105" i="14"/>
  <c r="AB104" i="14" s="1"/>
  <c r="I56" i="14"/>
  <c r="AD50" i="14"/>
  <c r="AB49" i="14"/>
  <c r="AA133" i="14"/>
  <c r="T15" i="12"/>
  <c r="E126" i="15"/>
  <c r="E130" i="15" s="1"/>
  <c r="J126" i="12"/>
  <c r="J130" i="12" s="1"/>
  <c r="E126" i="16"/>
  <c r="E130" i="16" s="1"/>
  <c r="D126" i="15"/>
  <c r="D130" i="15" s="1"/>
  <c r="N41" i="16"/>
  <c r="BD7" i="12"/>
  <c r="I12" i="13"/>
  <c r="G10" i="13"/>
  <c r="AG186" i="14"/>
  <c r="AG227" i="14"/>
  <c r="AE228" i="15"/>
  <c r="AJ228" i="14"/>
  <c r="AJ227" i="14" s="1"/>
  <c r="AG181" i="14"/>
  <c r="AG222" i="14"/>
  <c r="AJ223" i="14"/>
  <c r="AJ222" i="14" s="1"/>
  <c r="AE223" i="15"/>
  <c r="AG206" i="14"/>
  <c r="AE205" i="14"/>
  <c r="AG198" i="14"/>
  <c r="AX13" i="13"/>
  <c r="AS13" i="13"/>
  <c r="AV13" i="13" s="1"/>
  <c r="AE220" i="14"/>
  <c r="AJ236" i="14"/>
  <c r="AE236" i="15"/>
  <c r="G23" i="14"/>
  <c r="M23" i="13"/>
  <c r="BD12" i="13"/>
  <c r="G30" i="14"/>
  <c r="I29" i="13"/>
  <c r="M30" i="13"/>
  <c r="M29" i="13" s="1"/>
  <c r="AJ188" i="14"/>
  <c r="AE188" i="15"/>
  <c r="L128" i="13" l="1"/>
  <c r="AI10" i="12"/>
  <c r="AI258" i="12" s="1"/>
  <c r="AB8" i="12"/>
  <c r="AB14" i="13"/>
  <c r="AB12" i="13" s="1"/>
  <c r="BD13" i="13"/>
  <c r="J21" i="13"/>
  <c r="J19" i="13" s="1"/>
  <c r="J17" i="13" s="1"/>
  <c r="J8" i="13" s="1"/>
  <c r="J126" i="13" s="1"/>
  <c r="BN7" i="16"/>
  <c r="BN32" i="16" s="1"/>
  <c r="BO15" i="12"/>
  <c r="BI10" i="12" s="1"/>
  <c r="AX30" i="11"/>
  <c r="AZ30" i="11" s="1"/>
  <c r="AV30" i="11"/>
  <c r="AX28" i="12"/>
  <c r="AZ28" i="12" s="1"/>
  <c r="AV28" i="12"/>
  <c r="AW28" i="12"/>
  <c r="AY28" i="12" s="1"/>
  <c r="AU28" i="12"/>
  <c r="AW27" i="12"/>
  <c r="AY27" i="12" s="1"/>
  <c r="AU27" i="12"/>
  <c r="AG8" i="11"/>
  <c r="AC1" i="11" s="1"/>
  <c r="AB145" i="13"/>
  <c r="AB110" i="13" s="1"/>
  <c r="AX26" i="12"/>
  <c r="AZ26" i="12" s="1"/>
  <c r="AV26" i="12"/>
  <c r="AW26" i="12"/>
  <c r="AY26" i="12" s="1"/>
  <c r="AU26" i="12"/>
  <c r="AA12" i="12"/>
  <c r="AA10" i="12" s="1"/>
  <c r="AA8" i="12" s="1"/>
  <c r="Y258" i="12"/>
  <c r="AD260" i="11"/>
  <c r="AD264" i="11" s="1"/>
  <c r="AU14" i="11"/>
  <c r="AJ260" i="11"/>
  <c r="AJ264" i="11" s="1"/>
  <c r="BO22" i="13"/>
  <c r="BI11" i="13" s="1"/>
  <c r="AX23" i="12"/>
  <c r="AZ23" i="12" s="1"/>
  <c r="AV23" i="12"/>
  <c r="AU16" i="12"/>
  <c r="AU24" i="12"/>
  <c r="AW23" i="12"/>
  <c r="AY23" i="12" s="1"/>
  <c r="AU23" i="12"/>
  <c r="BJ8" i="12"/>
  <c r="BJ7" i="12" s="1"/>
  <c r="AA98" i="14"/>
  <c r="Y96" i="14"/>
  <c r="AD206" i="14"/>
  <c r="AB205" i="14"/>
  <c r="AB196" i="14" s="1"/>
  <c r="AB195" i="14" s="1"/>
  <c r="AB193" i="14" s="1"/>
  <c r="AD142" i="16"/>
  <c r="AB141" i="16"/>
  <c r="Y152" i="16"/>
  <c r="AH152" i="15"/>
  <c r="AH149" i="15" s="1"/>
  <c r="AH147" i="15" s="1"/>
  <c r="AA149" i="15"/>
  <c r="AA147" i="15" s="1"/>
  <c r="AD228" i="15"/>
  <c r="AB227" i="15"/>
  <c r="AB220" i="15" s="1"/>
  <c r="Y115" i="14"/>
  <c r="AA114" i="13"/>
  <c r="AH115" i="13"/>
  <c r="AH114" i="13" s="1"/>
  <c r="Y198" i="14"/>
  <c r="BO26" i="13"/>
  <c r="AA197" i="13"/>
  <c r="AA196" i="13" s="1"/>
  <c r="AH198" i="13"/>
  <c r="AH197" i="13" s="1"/>
  <c r="AH196" i="13" s="1"/>
  <c r="AH195" i="13" s="1"/>
  <c r="AH193" i="13" s="1"/>
  <c r="J34" i="14"/>
  <c r="N34" i="13"/>
  <c r="N32" i="13" s="1"/>
  <c r="N28" i="13" s="1"/>
  <c r="L32" i="13"/>
  <c r="L28" i="13" s="1"/>
  <c r="AS9" i="13" s="1"/>
  <c r="AV9" i="13" s="1"/>
  <c r="AX9" i="13"/>
  <c r="AZ9" i="13" s="1"/>
  <c r="J49" i="14"/>
  <c r="N49" i="13"/>
  <c r="N48" i="13" s="1"/>
  <c r="L48" i="13"/>
  <c r="AX14" i="13"/>
  <c r="AZ14" i="13" s="1"/>
  <c r="Y112" i="13"/>
  <c r="Y110" i="13" s="1"/>
  <c r="Y44" i="14"/>
  <c r="Y43" i="14" s="1"/>
  <c r="AA47" i="14"/>
  <c r="AB151" i="14"/>
  <c r="AI151" i="13"/>
  <c r="AI149" i="13" s="1"/>
  <c r="AI147" i="13" s="1"/>
  <c r="AD149" i="13"/>
  <c r="AD147" i="13" s="1"/>
  <c r="BP16" i="13" s="1"/>
  <c r="AD195" i="13"/>
  <c r="BP28" i="13"/>
  <c r="BP25" i="13" s="1"/>
  <c r="BJ12" i="13" s="1"/>
  <c r="J73" i="14"/>
  <c r="N73" i="13"/>
  <c r="N72" i="13" s="1"/>
  <c r="L72" i="13"/>
  <c r="AB46" i="14"/>
  <c r="AD44" i="13"/>
  <c r="AD43" i="13" s="1"/>
  <c r="AI46" i="13"/>
  <c r="AI44" i="13" s="1"/>
  <c r="AI43" i="13" s="1"/>
  <c r="Y176" i="14"/>
  <c r="Y170" i="14" s="1"/>
  <c r="AA177" i="14"/>
  <c r="AA215" i="14"/>
  <c r="Y211" i="14"/>
  <c r="Y210" i="14" s="1"/>
  <c r="Y209" i="14" s="1"/>
  <c r="I80" i="14"/>
  <c r="G78" i="14"/>
  <c r="I78" i="14" s="1"/>
  <c r="M78" i="14" s="1"/>
  <c r="AA58" i="13"/>
  <c r="AA57" i="13" s="1"/>
  <c r="AH59" i="13"/>
  <c r="AH58" i="13" s="1"/>
  <c r="AH57" i="13" s="1"/>
  <c r="Y59" i="14"/>
  <c r="AB174" i="15"/>
  <c r="AI174" i="14"/>
  <c r="AI172" i="14" s="1"/>
  <c r="AD172" i="14"/>
  <c r="AD124" i="15"/>
  <c r="AB123" i="15"/>
  <c r="AB112" i="15" s="1"/>
  <c r="Y125" i="14"/>
  <c r="AH125" i="13"/>
  <c r="AH123" i="13" s="1"/>
  <c r="AA123" i="13"/>
  <c r="AV16" i="12"/>
  <c r="AX25" i="11"/>
  <c r="AZ25" i="11" s="1"/>
  <c r="AV25" i="11"/>
  <c r="AW10" i="13"/>
  <c r="AY10" i="13" s="1"/>
  <c r="I42" i="13"/>
  <c r="AR10" i="13" s="1"/>
  <c r="M44" i="13"/>
  <c r="M42" i="13" s="1"/>
  <c r="G44" i="14"/>
  <c r="AD97" i="14"/>
  <c r="AB96" i="14"/>
  <c r="AB90" i="14" s="1"/>
  <c r="AB71" i="14"/>
  <c r="AI71" i="13"/>
  <c r="AI69" i="13" s="1"/>
  <c r="AI65" i="13" s="1"/>
  <c r="AI63" i="13" s="1"/>
  <c r="AD69" i="13"/>
  <c r="AD65" i="13" s="1"/>
  <c r="AD63" i="13" s="1"/>
  <c r="AJ143" i="14"/>
  <c r="AJ141" i="14" s="1"/>
  <c r="AE143" i="15"/>
  <c r="AG141" i="14"/>
  <c r="G36" i="14"/>
  <c r="M36" i="13"/>
  <c r="M35" i="13" s="1"/>
  <c r="M28" i="13" s="1"/>
  <c r="I35" i="13"/>
  <c r="I28" i="13" s="1"/>
  <c r="AR9" i="13" s="1"/>
  <c r="AU9" i="13" s="1"/>
  <c r="Y229" i="15"/>
  <c r="AA227" i="14"/>
  <c r="AH229" i="14"/>
  <c r="AH227" i="14" s="1"/>
  <c r="I66" i="13"/>
  <c r="G68" i="14"/>
  <c r="M68" i="13"/>
  <c r="M66" i="13" s="1"/>
  <c r="AB21" i="14"/>
  <c r="AI21" i="13"/>
  <c r="AI20" i="13" s="1"/>
  <c r="AI16" i="13" s="1"/>
  <c r="AD20" i="13"/>
  <c r="AD16" i="13" s="1"/>
  <c r="J61" i="14"/>
  <c r="N61" i="13"/>
  <c r="N60" i="13" s="1"/>
  <c r="L60" i="13"/>
  <c r="AH159" i="13"/>
  <c r="AH157" i="13" s="1"/>
  <c r="AH155" i="13" s="1"/>
  <c r="AH145" i="13" s="1"/>
  <c r="AA157" i="13"/>
  <c r="AA155" i="13" s="1"/>
  <c r="AA145" i="13" s="1"/>
  <c r="Y159" i="14"/>
  <c r="J43" i="15"/>
  <c r="N43" i="14"/>
  <c r="N42" i="14" s="1"/>
  <c r="L42" i="14"/>
  <c r="AS10" i="14" s="1"/>
  <c r="AX10" i="14"/>
  <c r="AZ10" i="14" s="1"/>
  <c r="Y93" i="14"/>
  <c r="AH93" i="13"/>
  <c r="AH91" i="13" s="1"/>
  <c r="AH90" i="13" s="1"/>
  <c r="AA91" i="13"/>
  <c r="AA90" i="13" s="1"/>
  <c r="AW25" i="12"/>
  <c r="AY25" i="12" s="1"/>
  <c r="AU25" i="12"/>
  <c r="J55" i="15"/>
  <c r="N55" i="14"/>
  <c r="N54" i="14" s="1"/>
  <c r="L54" i="14"/>
  <c r="J67" i="15"/>
  <c r="N67" i="14"/>
  <c r="N66" i="14" s="1"/>
  <c r="L66" i="14"/>
  <c r="AH260" i="11"/>
  <c r="AH264" i="11" s="1"/>
  <c r="AJ90" i="12"/>
  <c r="AJ63" i="12" s="1"/>
  <c r="AJ12" i="12" s="1"/>
  <c r="AJ10" i="12" s="1"/>
  <c r="BH7" i="16"/>
  <c r="BH16" i="16" s="1"/>
  <c r="C29" i="20"/>
  <c r="C55" i="20" s="1"/>
  <c r="Y52" i="15"/>
  <c r="AH52" i="14"/>
  <c r="AH49" i="14" s="1"/>
  <c r="AA49" i="14"/>
  <c r="Y188" i="15"/>
  <c r="AH188" i="14"/>
  <c r="AH187" i="14" s="1"/>
  <c r="AH185" i="14" s="1"/>
  <c r="AA187" i="14"/>
  <c r="AA185" i="14" s="1"/>
  <c r="M50" i="14"/>
  <c r="M48" i="14" s="1"/>
  <c r="I48" i="14"/>
  <c r="G50" i="15"/>
  <c r="Y143" i="15"/>
  <c r="AA141" i="14"/>
  <c r="BO20" i="14" s="1"/>
  <c r="AH143" i="14"/>
  <c r="AH141" i="14" s="1"/>
  <c r="Y223" i="15"/>
  <c r="AH223" i="14"/>
  <c r="AH222" i="14" s="1"/>
  <c r="AA222" i="14"/>
  <c r="AA220" i="14" s="1"/>
  <c r="BO30" i="14" s="1"/>
  <c r="BI14" i="14" s="1"/>
  <c r="AG173" i="15"/>
  <c r="AE172" i="15"/>
  <c r="X8" i="16"/>
  <c r="AE87" i="14"/>
  <c r="AJ87" i="13"/>
  <c r="AJ83" i="13" s="1"/>
  <c r="AG83" i="13"/>
  <c r="AS24" i="13" s="1"/>
  <c r="AG126" i="13"/>
  <c r="AE123" i="13"/>
  <c r="AE112" i="13" s="1"/>
  <c r="AE110" i="13" s="1"/>
  <c r="AG90" i="12"/>
  <c r="AQ14" i="16"/>
  <c r="F17" i="16"/>
  <c r="A10" i="18" s="1"/>
  <c r="AG178" i="13"/>
  <c r="AE176" i="13"/>
  <c r="AE170" i="13" s="1"/>
  <c r="AG232" i="12"/>
  <c r="AS30" i="12" s="1"/>
  <c r="AE189" i="14"/>
  <c r="AJ189" i="13"/>
  <c r="AJ187" i="13" s="1"/>
  <c r="AJ185" i="13" s="1"/>
  <c r="AG187" i="13"/>
  <c r="AG185" i="13" s="1"/>
  <c r="AE116" i="14"/>
  <c r="AJ116" i="13"/>
  <c r="AJ114" i="13" s="1"/>
  <c r="AG114" i="13"/>
  <c r="AG99" i="13"/>
  <c r="AE96" i="13"/>
  <c r="AE106" i="14"/>
  <c r="AG105" i="13"/>
  <c r="AG104" i="13" s="1"/>
  <c r="AJ106" i="13"/>
  <c r="AJ105" i="13" s="1"/>
  <c r="AJ104" i="13" s="1"/>
  <c r="AV27" i="12"/>
  <c r="AX27" i="12"/>
  <c r="AZ27" i="12" s="1"/>
  <c r="AE160" i="14"/>
  <c r="AJ160" i="13"/>
  <c r="AJ157" i="13" s="1"/>
  <c r="AJ155" i="13" s="1"/>
  <c r="AJ145" i="13" s="1"/>
  <c r="AG157" i="13"/>
  <c r="AG155" i="13" s="1"/>
  <c r="AG145" i="13" s="1"/>
  <c r="AG94" i="13"/>
  <c r="AE91" i="13"/>
  <c r="AA234" i="13"/>
  <c r="U262" i="12"/>
  <c r="U260" i="12" s="1"/>
  <c r="U264" i="12" s="1"/>
  <c r="X262" i="12"/>
  <c r="X260" i="12" s="1"/>
  <c r="X264" i="12" s="1"/>
  <c r="V262" i="12"/>
  <c r="V260" i="12" s="1"/>
  <c r="V264" i="12" s="1"/>
  <c r="AI262" i="12"/>
  <c r="AG262" i="12"/>
  <c r="AJ262" i="12"/>
  <c r="AH262" i="12"/>
  <c r="AE262" i="12"/>
  <c r="AE260" i="12" s="1"/>
  <c r="AE264" i="12" s="1"/>
  <c r="AC262" i="12"/>
  <c r="AC260" i="12" s="1"/>
  <c r="AC264" i="12" s="1"/>
  <c r="AF262" i="12"/>
  <c r="AF260" i="12" s="1"/>
  <c r="AF264" i="12" s="1"/>
  <c r="AD262" i="12"/>
  <c r="AA262" i="12"/>
  <c r="Y262" i="12"/>
  <c r="Y260" i="12" s="1"/>
  <c r="Y264" i="12" s="1"/>
  <c r="AB262" i="12"/>
  <c r="Z262" i="12"/>
  <c r="Z260" i="12" s="1"/>
  <c r="Z264" i="12" s="1"/>
  <c r="W262" i="12"/>
  <c r="W260" i="12" s="1"/>
  <c r="W264" i="12" s="1"/>
  <c r="BO29" i="12"/>
  <c r="BI13" i="12" s="1"/>
  <c r="AS32" i="11"/>
  <c r="AE243" i="13"/>
  <c r="AE232" i="13" s="1"/>
  <c r="AG244" i="13"/>
  <c r="AA258" i="11"/>
  <c r="BO33" i="11" s="1"/>
  <c r="BP29" i="12"/>
  <c r="BJ13" i="12" s="1"/>
  <c r="AR30" i="12"/>
  <c r="AA260" i="11"/>
  <c r="AA264" i="11" s="1"/>
  <c r="Y1" i="11"/>
  <c r="AD10" i="12"/>
  <c r="AD8" i="12" s="1"/>
  <c r="AF258" i="12"/>
  <c r="G55" i="14"/>
  <c r="M55" i="13"/>
  <c r="M54" i="13" s="1"/>
  <c r="BD17" i="13"/>
  <c r="AW14" i="13"/>
  <c r="AY14" i="13" s="1"/>
  <c r="I54" i="13"/>
  <c r="AA244" i="13"/>
  <c r="Y243" i="13"/>
  <c r="Y232" i="13" s="1"/>
  <c r="AD244" i="13"/>
  <c r="AB243" i="13"/>
  <c r="AB232" i="13" s="1"/>
  <c r="L17" i="12"/>
  <c r="BP8" i="12"/>
  <c r="BP7" i="12" s="1"/>
  <c r="K1" i="11"/>
  <c r="J5" i="11"/>
  <c r="AB92" i="16"/>
  <c r="AI92" i="15"/>
  <c r="AI91" i="15" s="1"/>
  <c r="AD91" i="15"/>
  <c r="J78" i="16"/>
  <c r="L78" i="16" s="1"/>
  <c r="N78" i="16" s="1"/>
  <c r="L80" i="16"/>
  <c r="N80" i="16" s="1"/>
  <c r="AB223" i="16"/>
  <c r="AD222" i="15"/>
  <c r="AI223" i="15"/>
  <c r="AI222" i="15" s="1"/>
  <c r="AJ98" i="15"/>
  <c r="AE98" i="16"/>
  <c r="AB22" i="16"/>
  <c r="AI22" i="15"/>
  <c r="AE152" i="16"/>
  <c r="AG149" i="15"/>
  <c r="AG147" i="15" s="1"/>
  <c r="AJ152" i="15"/>
  <c r="AJ149" i="15" s="1"/>
  <c r="AJ147" i="15" s="1"/>
  <c r="J68" i="16"/>
  <c r="N68" i="15"/>
  <c r="AB100" i="16"/>
  <c r="AI100" i="15"/>
  <c r="AB198" i="16"/>
  <c r="BP26" i="15"/>
  <c r="AD197" i="15"/>
  <c r="AI198" i="15"/>
  <c r="AI197" i="15" s="1"/>
  <c r="J44" i="16"/>
  <c r="N44" i="15"/>
  <c r="J56" i="16"/>
  <c r="N56" i="15"/>
  <c r="L50" i="16"/>
  <c r="AD188" i="16"/>
  <c r="AB187" i="16"/>
  <c r="AB185" i="16" s="1"/>
  <c r="AE115" i="16"/>
  <c r="AJ115" i="15"/>
  <c r="AG93" i="16"/>
  <c r="J30" i="16"/>
  <c r="N30" i="15"/>
  <c r="N29" i="15" s="1"/>
  <c r="L29" i="15"/>
  <c r="AD127" i="16"/>
  <c r="AE86" i="16"/>
  <c r="AJ86" i="15"/>
  <c r="L74" i="16"/>
  <c r="AB238" i="16"/>
  <c r="AD235" i="15"/>
  <c r="AD234" i="15" s="1"/>
  <c r="AI238" i="15"/>
  <c r="AI235" i="15" s="1"/>
  <c r="AI234" i="15" s="1"/>
  <c r="J36" i="16"/>
  <c r="N36" i="15"/>
  <c r="N35" i="15" s="1"/>
  <c r="L35" i="15"/>
  <c r="AD229" i="16"/>
  <c r="J62" i="16"/>
  <c r="N62" i="15"/>
  <c r="AG36" i="16"/>
  <c r="AE35" i="16"/>
  <c r="AJ59" i="15"/>
  <c r="AJ58" i="15" s="1"/>
  <c r="AJ57" i="15" s="1"/>
  <c r="AE59" i="16"/>
  <c r="AG58" i="15"/>
  <c r="AG57" i="15" s="1"/>
  <c r="AJ47" i="15"/>
  <c r="AJ44" i="15" s="1"/>
  <c r="AE47" i="16"/>
  <c r="AG44" i="15"/>
  <c r="AB117" i="16"/>
  <c r="AI117" i="15"/>
  <c r="AI114" i="15" s="1"/>
  <c r="AD114" i="15"/>
  <c r="AI150" i="15"/>
  <c r="AB150" i="16"/>
  <c r="Y63" i="13"/>
  <c r="AH12" i="12"/>
  <c r="AH10" i="12" s="1"/>
  <c r="AV14" i="12"/>
  <c r="AS17" i="12"/>
  <c r="Y14" i="13"/>
  <c r="AE14" i="13"/>
  <c r="M128" i="12"/>
  <c r="Y85" i="14"/>
  <c r="AA83" i="13"/>
  <c r="AH85" i="13"/>
  <c r="AH83" i="13" s="1"/>
  <c r="AJ202" i="13"/>
  <c r="AJ197" i="13" s="1"/>
  <c r="AJ196" i="13" s="1"/>
  <c r="AJ195" i="13" s="1"/>
  <c r="AE202" i="14"/>
  <c r="AG197" i="13"/>
  <c r="AG196" i="13" s="1"/>
  <c r="AG195" i="13" s="1"/>
  <c r="AE241" i="14"/>
  <c r="AJ241" i="13"/>
  <c r="AJ235" i="13" s="1"/>
  <c r="AJ234" i="13" s="1"/>
  <c r="AG235" i="13"/>
  <c r="AE212" i="14"/>
  <c r="AJ212" i="13"/>
  <c r="AJ211" i="13" s="1"/>
  <c r="AJ210" i="13" s="1"/>
  <c r="AJ209" i="13" s="1"/>
  <c r="AG211" i="13"/>
  <c r="AG210" i="13" s="1"/>
  <c r="AG209" i="13" s="1"/>
  <c r="Y61" i="15"/>
  <c r="BO31" i="14"/>
  <c r="BI15" i="14" s="1"/>
  <c r="AH61" i="14"/>
  <c r="Y37" i="14"/>
  <c r="AA35" i="13"/>
  <c r="AH37" i="13"/>
  <c r="AH35" i="13" s="1"/>
  <c r="BP33" i="11"/>
  <c r="AR31" i="11"/>
  <c r="AR32" i="11" s="1"/>
  <c r="AV35" i="11" s="1"/>
  <c r="BO8" i="12"/>
  <c r="BI8" i="12"/>
  <c r="Y27" i="14"/>
  <c r="AA20" i="13"/>
  <c r="AA16" i="13" s="1"/>
  <c r="AH27" i="13"/>
  <c r="AH20" i="13" s="1"/>
  <c r="AH16" i="13" s="1"/>
  <c r="Y71" i="14"/>
  <c r="AA69" i="13"/>
  <c r="AA65" i="13" s="1"/>
  <c r="AH71" i="13"/>
  <c r="AH69" i="13" s="1"/>
  <c r="AH65" i="13" s="1"/>
  <c r="AB167" i="14"/>
  <c r="AD157" i="13"/>
  <c r="AD155" i="13" s="1"/>
  <c r="BP19" i="13"/>
  <c r="AI167" i="13"/>
  <c r="AI157" i="13" s="1"/>
  <c r="AI155" i="13" s="1"/>
  <c r="AB39" i="14"/>
  <c r="AD35" i="13"/>
  <c r="AI39" i="13"/>
  <c r="AI35" i="13" s="1"/>
  <c r="AE23" i="14"/>
  <c r="AG20" i="13"/>
  <c r="AG16" i="13" s="1"/>
  <c r="AJ23" i="13"/>
  <c r="AJ20" i="13" s="1"/>
  <c r="AJ16" i="13" s="1"/>
  <c r="AE52" i="14"/>
  <c r="AJ52" i="13"/>
  <c r="AJ49" i="13" s="1"/>
  <c r="AJ43" i="13" s="1"/>
  <c r="AG49" i="13"/>
  <c r="AG43" i="13" s="1"/>
  <c r="AE70" i="14"/>
  <c r="AJ70" i="13"/>
  <c r="AJ69" i="13" s="1"/>
  <c r="AJ65" i="13" s="1"/>
  <c r="AG69" i="13"/>
  <c r="AG65" i="13" s="1"/>
  <c r="AB180" i="14"/>
  <c r="AD176" i="13"/>
  <c r="AD170" i="13" s="1"/>
  <c r="AI180" i="13"/>
  <c r="AI176" i="13" s="1"/>
  <c r="AI170" i="13" s="1"/>
  <c r="I104" i="16"/>
  <c r="M105" i="16"/>
  <c r="M104" i="16" s="1"/>
  <c r="I94" i="16"/>
  <c r="M95" i="16"/>
  <c r="M94" i="16" s="1"/>
  <c r="D18" i="20"/>
  <c r="L104" i="16"/>
  <c r="N105" i="16"/>
  <c r="N104" i="16" s="1"/>
  <c r="AB75" i="15"/>
  <c r="AI75" i="14"/>
  <c r="AB216" i="15"/>
  <c r="AI216" i="14"/>
  <c r="AI211" i="14" s="1"/>
  <c r="AI210" i="14" s="1"/>
  <c r="AI209" i="14" s="1"/>
  <c r="AD211" i="14"/>
  <c r="AD210" i="14" s="1"/>
  <c r="AD209" i="14" s="1"/>
  <c r="AR29" i="14" s="1"/>
  <c r="AE80" i="15"/>
  <c r="AJ80" i="14"/>
  <c r="G8" i="12"/>
  <c r="G126" i="12" s="1"/>
  <c r="G130" i="12" s="1"/>
  <c r="AE124" i="15"/>
  <c r="AJ124" i="14"/>
  <c r="AE161" i="15"/>
  <c r="AJ161" i="14"/>
  <c r="L85" i="16"/>
  <c r="N86" i="16"/>
  <c r="N85" i="16" s="1"/>
  <c r="M21" i="12"/>
  <c r="M19" i="12" s="1"/>
  <c r="M17" i="12" s="1"/>
  <c r="M8" i="12" s="1"/>
  <c r="BD22" i="12"/>
  <c r="I24" i="13"/>
  <c r="G22" i="13"/>
  <c r="J27" i="14"/>
  <c r="J128" i="14" s="1"/>
  <c r="N27" i="13"/>
  <c r="N25" i="13" s="1"/>
  <c r="L25" i="13"/>
  <c r="AS8" i="13" s="1"/>
  <c r="AV8" i="13" s="1"/>
  <c r="AX8" i="13"/>
  <c r="AZ8" i="13" s="1"/>
  <c r="I21" i="12"/>
  <c r="I19" i="12" s="1"/>
  <c r="AR14" i="12" s="1"/>
  <c r="I27" i="13"/>
  <c r="G25" i="13"/>
  <c r="G128" i="13"/>
  <c r="I62" i="15"/>
  <c r="G60" i="15"/>
  <c r="L83" i="15"/>
  <c r="J81" i="15"/>
  <c r="L26" i="15"/>
  <c r="L33" i="15"/>
  <c r="I74" i="15"/>
  <c r="G72" i="15"/>
  <c r="L65" i="15"/>
  <c r="J63" i="15"/>
  <c r="L71" i="15"/>
  <c r="J69" i="15"/>
  <c r="I52" i="15"/>
  <c r="G51" i="15"/>
  <c r="L53" i="15"/>
  <c r="J51" i="15"/>
  <c r="G45" i="15"/>
  <c r="I46" i="15"/>
  <c r="L47" i="15"/>
  <c r="J45" i="15"/>
  <c r="L59" i="15"/>
  <c r="J57" i="15"/>
  <c r="I37" i="15"/>
  <c r="L77" i="15"/>
  <c r="J75" i="15"/>
  <c r="N22" i="13"/>
  <c r="L24" i="14"/>
  <c r="J22" i="14"/>
  <c r="J13" i="14"/>
  <c r="L10" i="13"/>
  <c r="N13" i="13"/>
  <c r="N10" i="13" s="1"/>
  <c r="AS7" i="13"/>
  <c r="AV7" i="13" s="1"/>
  <c r="BJ15" i="13"/>
  <c r="AD88" i="14"/>
  <c r="AB83" i="14"/>
  <c r="AA237" i="14"/>
  <c r="Y235" i="14"/>
  <c r="Y234" i="14" s="1"/>
  <c r="AB107" i="15"/>
  <c r="AD105" i="14"/>
  <c r="AD104" i="14" s="1"/>
  <c r="AI107" i="14"/>
  <c r="AI105" i="14" s="1"/>
  <c r="AI104" i="14" s="1"/>
  <c r="Y133" i="15"/>
  <c r="AH133" i="14"/>
  <c r="G56" i="15"/>
  <c r="M56" i="14"/>
  <c r="AJ220" i="14"/>
  <c r="AB50" i="15"/>
  <c r="AD49" i="14"/>
  <c r="AI50" i="14"/>
  <c r="AI49" i="14" s="1"/>
  <c r="AG220" i="14"/>
  <c r="D126" i="16"/>
  <c r="D130" i="16" s="1"/>
  <c r="T15" i="13"/>
  <c r="G12" i="14"/>
  <c r="M12" i="13"/>
  <c r="I10" i="13"/>
  <c r="AZ16" i="12"/>
  <c r="AW17" i="12"/>
  <c r="AX17" i="12"/>
  <c r="AE206" i="15"/>
  <c r="AG205" i="14"/>
  <c r="AJ206" i="14"/>
  <c r="AJ205" i="14" s="1"/>
  <c r="AE227" i="15"/>
  <c r="AG228" i="15"/>
  <c r="AJ186" i="14"/>
  <c r="AE186" i="15"/>
  <c r="AG188" i="15"/>
  <c r="I30" i="14"/>
  <c r="G29" i="14"/>
  <c r="AG236" i="15"/>
  <c r="AG223" i="15"/>
  <c r="AE222" i="15"/>
  <c r="AJ181" i="14"/>
  <c r="AE181" i="15"/>
  <c r="I23" i="14"/>
  <c r="AE198" i="15"/>
  <c r="AJ198" i="14"/>
  <c r="AZ13" i="13"/>
  <c r="AI8" i="12" l="1"/>
  <c r="AI260" i="12" s="1"/>
  <c r="AI264" i="12" s="1"/>
  <c r="AD14" i="13"/>
  <c r="BD10" i="13"/>
  <c r="BD9" i="13" s="1"/>
  <c r="BD8" i="13" s="1"/>
  <c r="AB260" i="12"/>
  <c r="AB264" i="12" s="1"/>
  <c r="BI7" i="12"/>
  <c r="BI16" i="12" s="1"/>
  <c r="AI145" i="13"/>
  <c r="AI110" i="13" s="1"/>
  <c r="BO7" i="12"/>
  <c r="BO32" i="12" s="1"/>
  <c r="AX30" i="12"/>
  <c r="AZ30" i="12" s="1"/>
  <c r="AV30" i="12"/>
  <c r="AW30" i="12"/>
  <c r="AY30" i="12" s="1"/>
  <c r="AU30" i="12"/>
  <c r="AG260" i="11"/>
  <c r="AG264" i="11" s="1"/>
  <c r="AB10" i="13"/>
  <c r="AB258" i="13" s="1"/>
  <c r="AI14" i="13"/>
  <c r="AI12" i="13" s="1"/>
  <c r="AJ193" i="13"/>
  <c r="BP32" i="12"/>
  <c r="BO13" i="13"/>
  <c r="BJ16" i="12"/>
  <c r="L61" i="14"/>
  <c r="J60" i="14"/>
  <c r="I36" i="14"/>
  <c r="AW9" i="14" s="1"/>
  <c r="AY9" i="14" s="1"/>
  <c r="G35" i="14"/>
  <c r="AB97" i="15"/>
  <c r="AI97" i="14"/>
  <c r="AI96" i="14" s="1"/>
  <c r="AI90" i="14" s="1"/>
  <c r="AD96" i="14"/>
  <c r="AD90" i="14" s="1"/>
  <c r="AD174" i="15"/>
  <c r="AB172" i="15"/>
  <c r="Y177" i="15"/>
  <c r="BO23" i="14"/>
  <c r="AH177" i="14"/>
  <c r="AH176" i="14" s="1"/>
  <c r="AH170" i="14" s="1"/>
  <c r="AA176" i="14"/>
  <c r="AD46" i="14"/>
  <c r="AB44" i="14"/>
  <c r="AB43" i="14" s="1"/>
  <c r="AD151" i="14"/>
  <c r="AB149" i="14"/>
  <c r="AB147" i="14" s="1"/>
  <c r="Y114" i="14"/>
  <c r="AA115" i="14"/>
  <c r="G28" i="14"/>
  <c r="AA170" i="14"/>
  <c r="BO24" i="14" s="1"/>
  <c r="L55" i="15"/>
  <c r="J54" i="15"/>
  <c r="AR23" i="13"/>
  <c r="BP12" i="13"/>
  <c r="BP9" i="13" s="1"/>
  <c r="I68" i="14"/>
  <c r="G66" i="14"/>
  <c r="AA229" i="15"/>
  <c r="Y227" i="15"/>
  <c r="G42" i="14"/>
  <c r="I44" i="14"/>
  <c r="BO17" i="13"/>
  <c r="AI124" i="15"/>
  <c r="AI123" i="15" s="1"/>
  <c r="AI112" i="15" s="1"/>
  <c r="AB124" i="16"/>
  <c r="AD123" i="15"/>
  <c r="AD112" i="15" s="1"/>
  <c r="AA59" i="14"/>
  <c r="Y58" i="14"/>
  <c r="Y57" i="14" s="1"/>
  <c r="G80" i="15"/>
  <c r="M80" i="14"/>
  <c r="AR28" i="13"/>
  <c r="AD193" i="13"/>
  <c r="Y47" i="15"/>
  <c r="AH47" i="14"/>
  <c r="AH44" i="14" s="1"/>
  <c r="AH43" i="14" s="1"/>
  <c r="AA44" i="14"/>
  <c r="AA43" i="14" s="1"/>
  <c r="L49" i="14"/>
  <c r="J48" i="14"/>
  <c r="L34" i="14"/>
  <c r="J32" i="14"/>
  <c r="J28" i="14" s="1"/>
  <c r="AA198" i="14"/>
  <c r="Y197" i="14"/>
  <c r="Y196" i="14" s="1"/>
  <c r="Y195" i="14" s="1"/>
  <c r="Y193" i="14" s="1"/>
  <c r="AA152" i="16"/>
  <c r="Y149" i="16"/>
  <c r="Y147" i="16" s="1"/>
  <c r="AD205" i="14"/>
  <c r="AD196" i="14" s="1"/>
  <c r="AB206" i="15"/>
  <c r="AI206" i="14"/>
  <c r="AI205" i="14" s="1"/>
  <c r="AI196" i="14" s="1"/>
  <c r="AI195" i="14" s="1"/>
  <c r="AI193" i="14" s="1"/>
  <c r="AH220" i="14"/>
  <c r="L67" i="15"/>
  <c r="J66" i="15"/>
  <c r="AA93" i="14"/>
  <c r="Y91" i="14"/>
  <c r="Y90" i="14" s="1"/>
  <c r="L43" i="15"/>
  <c r="J42" i="15"/>
  <c r="AE141" i="15"/>
  <c r="AG143" i="15"/>
  <c r="AD71" i="14"/>
  <c r="AB69" i="14"/>
  <c r="AB65" i="14" s="1"/>
  <c r="AB63" i="14" s="1"/>
  <c r="AH112" i="13"/>
  <c r="AH110" i="13" s="1"/>
  <c r="AB228" i="16"/>
  <c r="AI228" i="15"/>
  <c r="AI227" i="15" s="1"/>
  <c r="AI220" i="15" s="1"/>
  <c r="AD227" i="15"/>
  <c r="AD220" i="15" s="1"/>
  <c r="BP30" i="15" s="1"/>
  <c r="BJ14" i="15" s="1"/>
  <c r="AX24" i="13"/>
  <c r="AZ24" i="13" s="1"/>
  <c r="AV24" i="13"/>
  <c r="Y157" i="14"/>
  <c r="Y155" i="14" s="1"/>
  <c r="Y145" i="14" s="1"/>
  <c r="AA159" i="14"/>
  <c r="AD21" i="14"/>
  <c r="AB20" i="14"/>
  <c r="AB16" i="14" s="1"/>
  <c r="AA125" i="14"/>
  <c r="Y123" i="14"/>
  <c r="Y215" i="15"/>
  <c r="AH215" i="14"/>
  <c r="AH211" i="14" s="1"/>
  <c r="AH210" i="14" s="1"/>
  <c r="AH209" i="14" s="1"/>
  <c r="AA211" i="14"/>
  <c r="AA210" i="14" s="1"/>
  <c r="AA209" i="14" s="1"/>
  <c r="BO27" i="14" s="1"/>
  <c r="AR25" i="13"/>
  <c r="BP13" i="13"/>
  <c r="L73" i="14"/>
  <c r="J72" i="14"/>
  <c r="AA195" i="13"/>
  <c r="AA193" i="13" s="1"/>
  <c r="BO28" i="13"/>
  <c r="BO25" i="13" s="1"/>
  <c r="BI12" i="13" s="1"/>
  <c r="BO16" i="13"/>
  <c r="AA112" i="13"/>
  <c r="AA110" i="13" s="1"/>
  <c r="AI142" i="16"/>
  <c r="AI141" i="16" s="1"/>
  <c r="AD141" i="16"/>
  <c r="BP20" i="16" s="1"/>
  <c r="E43" i="20" s="1"/>
  <c r="Y98" i="15"/>
  <c r="AH98" i="14"/>
  <c r="AH96" i="14" s="1"/>
  <c r="AA96" i="14"/>
  <c r="AJ258" i="12"/>
  <c r="AJ8" i="12"/>
  <c r="AJ260" i="12" s="1"/>
  <c r="AJ264" i="12" s="1"/>
  <c r="AA223" i="15"/>
  <c r="Y222" i="15"/>
  <c r="AA143" i="15"/>
  <c r="Y141" i="15"/>
  <c r="AE173" i="16"/>
  <c r="AJ173" i="15"/>
  <c r="AJ172" i="15" s="1"/>
  <c r="AG172" i="15"/>
  <c r="G48" i="15"/>
  <c r="I50" i="15"/>
  <c r="AA188" i="15"/>
  <c r="Y187" i="15"/>
  <c r="Y185" i="15" s="1"/>
  <c r="AA52" i="15"/>
  <c r="Y49" i="15"/>
  <c r="AE90" i="13"/>
  <c r="AE63" i="13" s="1"/>
  <c r="AE12" i="13" s="1"/>
  <c r="AE10" i="13" s="1"/>
  <c r="AE8" i="13" s="1"/>
  <c r="AG116" i="14"/>
  <c r="AE114" i="14"/>
  <c r="P10" i="18"/>
  <c r="U10" i="18"/>
  <c r="F10" i="18"/>
  <c r="K10" i="18"/>
  <c r="AE126" i="14"/>
  <c r="AJ126" i="13"/>
  <c r="AJ123" i="13" s="1"/>
  <c r="AJ112" i="13" s="1"/>
  <c r="AJ110" i="13" s="1"/>
  <c r="AG123" i="13"/>
  <c r="AG112" i="13" s="1"/>
  <c r="AG110" i="13" s="1"/>
  <c r="AS26" i="13" s="1"/>
  <c r="AG160" i="14"/>
  <c r="AE157" i="14"/>
  <c r="AE155" i="14" s="1"/>
  <c r="AE145" i="14" s="1"/>
  <c r="AE99" i="14"/>
  <c r="AJ99" i="13"/>
  <c r="AJ96" i="13" s="1"/>
  <c r="AG96" i="13"/>
  <c r="AE178" i="14"/>
  <c r="AJ178" i="13"/>
  <c r="AJ176" i="13" s="1"/>
  <c r="AJ170" i="13" s="1"/>
  <c r="AG176" i="13"/>
  <c r="AG170" i="13" s="1"/>
  <c r="AS27" i="13" s="1"/>
  <c r="AE94" i="14"/>
  <c r="AJ94" i="13"/>
  <c r="AJ91" i="13" s="1"/>
  <c r="AG91" i="13"/>
  <c r="AG106" i="14"/>
  <c r="AE105" i="14"/>
  <c r="AE104" i="14" s="1"/>
  <c r="F8" i="16"/>
  <c r="X258" i="16"/>
  <c r="AG63" i="12"/>
  <c r="AG12" i="12" s="1"/>
  <c r="AG10" i="12" s="1"/>
  <c r="AS25" i="12"/>
  <c r="AG189" i="14"/>
  <c r="AE187" i="14"/>
  <c r="AE185" i="14" s="1"/>
  <c r="AG87" i="14"/>
  <c r="AE83" i="14"/>
  <c r="AA260" i="12"/>
  <c r="AA264" i="12" s="1"/>
  <c r="U1" i="12"/>
  <c r="AD260" i="12"/>
  <c r="AD264" i="12" s="1"/>
  <c r="Y1" i="12"/>
  <c r="AG234" i="13"/>
  <c r="AD243" i="13"/>
  <c r="AD232" i="13" s="1"/>
  <c r="AI244" i="13"/>
  <c r="AI243" i="13" s="1"/>
  <c r="AI232" i="13" s="1"/>
  <c r="AB244" i="14"/>
  <c r="I55" i="14"/>
  <c r="G54" i="14"/>
  <c r="AE244" i="14"/>
  <c r="AJ244" i="13"/>
  <c r="AJ243" i="13" s="1"/>
  <c r="AJ232" i="13" s="1"/>
  <c r="AG243" i="13"/>
  <c r="L8" i="12"/>
  <c r="L126" i="12" s="1"/>
  <c r="L130" i="12" s="1"/>
  <c r="AD258" i="12"/>
  <c r="BP33" i="12" s="1"/>
  <c r="X262" i="13"/>
  <c r="X260" i="13" s="1"/>
  <c r="X264" i="13" s="1"/>
  <c r="W262" i="13"/>
  <c r="W260" i="13" s="1"/>
  <c r="W264" i="13" s="1"/>
  <c r="U262" i="13"/>
  <c r="U260" i="13" s="1"/>
  <c r="U264" i="13" s="1"/>
  <c r="AH262" i="13"/>
  <c r="AJ262" i="13"/>
  <c r="AI262" i="13"/>
  <c r="AG262" i="13"/>
  <c r="AD262" i="13"/>
  <c r="AF262" i="13"/>
  <c r="AF260" i="13" s="1"/>
  <c r="AF264" i="13" s="1"/>
  <c r="AE262" i="13"/>
  <c r="AC262" i="13"/>
  <c r="AC260" i="13" s="1"/>
  <c r="AC264" i="13" s="1"/>
  <c r="Z262" i="13"/>
  <c r="Z260" i="13" s="1"/>
  <c r="Z264" i="13" s="1"/>
  <c r="AB262" i="13"/>
  <c r="AA262" i="13"/>
  <c r="Y262" i="13"/>
  <c r="V262" i="13"/>
  <c r="V260" i="13" s="1"/>
  <c r="V264" i="13" s="1"/>
  <c r="AS29" i="13"/>
  <c r="AX29" i="13" s="1"/>
  <c r="AZ29" i="13" s="1"/>
  <c r="AS28" i="13"/>
  <c r="AG193" i="13"/>
  <c r="AH8" i="12"/>
  <c r="AH260" i="12" s="1"/>
  <c r="AH264" i="12" s="1"/>
  <c r="AH258" i="12"/>
  <c r="Y244" i="14"/>
  <c r="AA243" i="13"/>
  <c r="AA232" i="13" s="1"/>
  <c r="BO29" i="13" s="1"/>
  <c r="BI13" i="13" s="1"/>
  <c r="AH244" i="13"/>
  <c r="AH243" i="13" s="1"/>
  <c r="AH232" i="13" s="1"/>
  <c r="AE258" i="12"/>
  <c r="I17" i="12"/>
  <c r="L62" i="16"/>
  <c r="AD238" i="16"/>
  <c r="AB235" i="16"/>
  <c r="AB234" i="16" s="1"/>
  <c r="AI127" i="16"/>
  <c r="AG115" i="16"/>
  <c r="AD100" i="16"/>
  <c r="AG152" i="16"/>
  <c r="AE149" i="16"/>
  <c r="AE147" i="16" s="1"/>
  <c r="AG98" i="16"/>
  <c r="AD223" i="16"/>
  <c r="AB222" i="16"/>
  <c r="AJ36" i="16"/>
  <c r="AJ35" i="16" s="1"/>
  <c r="AG35" i="16"/>
  <c r="L36" i="16"/>
  <c r="J35" i="16"/>
  <c r="AJ93" i="16"/>
  <c r="N50" i="16"/>
  <c r="L56" i="16"/>
  <c r="L44" i="16"/>
  <c r="AD198" i="16"/>
  <c r="AB197" i="16"/>
  <c r="AD150" i="16"/>
  <c r="AD117" i="16"/>
  <c r="AB114" i="16"/>
  <c r="AG59" i="16"/>
  <c r="AE58" i="16"/>
  <c r="AE57" i="16" s="1"/>
  <c r="AI229" i="16"/>
  <c r="AG86" i="16"/>
  <c r="AD22" i="16"/>
  <c r="AA63" i="13"/>
  <c r="AG47" i="16"/>
  <c r="AE44" i="16"/>
  <c r="N74" i="16"/>
  <c r="L30" i="16"/>
  <c r="J29" i="16"/>
  <c r="AD187" i="16"/>
  <c r="AD185" i="16" s="1"/>
  <c r="AI188" i="16"/>
  <c r="AI187" i="16" s="1"/>
  <c r="AI185" i="16" s="1"/>
  <c r="L68" i="16"/>
  <c r="AD92" i="16"/>
  <c r="AB91" i="16"/>
  <c r="AH63" i="13"/>
  <c r="Y12" i="13"/>
  <c r="Y10" i="13" s="1"/>
  <c r="Y8" i="13" s="1"/>
  <c r="AD12" i="13"/>
  <c r="AR24" i="13"/>
  <c r="AW24" i="13" s="1"/>
  <c r="AY24" i="13" s="1"/>
  <c r="BP14" i="13"/>
  <c r="AH14" i="13"/>
  <c r="BO14" i="13"/>
  <c r="BI9" i="13" s="1"/>
  <c r="AA61" i="15"/>
  <c r="AG202" i="14"/>
  <c r="AE197" i="14"/>
  <c r="AE196" i="14" s="1"/>
  <c r="AE195" i="14" s="1"/>
  <c r="AA85" i="14"/>
  <c r="Y83" i="14"/>
  <c r="AG241" i="14"/>
  <c r="AE235" i="14"/>
  <c r="AE234" i="14" s="1"/>
  <c r="AJ14" i="13"/>
  <c r="AU35" i="11"/>
  <c r="AE211" i="14"/>
  <c r="AE210" i="14" s="1"/>
  <c r="AE209" i="14" s="1"/>
  <c r="AG212" i="14"/>
  <c r="L21" i="13"/>
  <c r="L19" i="13" s="1"/>
  <c r="L17" i="13" s="1"/>
  <c r="L8" i="13" s="1"/>
  <c r="L126" i="13" s="1"/>
  <c r="AA37" i="14"/>
  <c r="Y35" i="14"/>
  <c r="AG52" i="14"/>
  <c r="AE49" i="14"/>
  <c r="AE43" i="14" s="1"/>
  <c r="AD167" i="14"/>
  <c r="AB157" i="14"/>
  <c r="AB155" i="14" s="1"/>
  <c r="AA27" i="14"/>
  <c r="Y20" i="14"/>
  <c r="Y16" i="14" s="1"/>
  <c r="BP24" i="13"/>
  <c r="AR27" i="13"/>
  <c r="AG70" i="14"/>
  <c r="AE69" i="14"/>
  <c r="AE65" i="14" s="1"/>
  <c r="AA71" i="14"/>
  <c r="Y69" i="14"/>
  <c r="Y65" i="14" s="1"/>
  <c r="G21" i="13"/>
  <c r="G19" i="13" s="1"/>
  <c r="G17" i="13" s="1"/>
  <c r="AD180" i="14"/>
  <c r="AB176" i="14"/>
  <c r="AB170" i="14" s="1"/>
  <c r="AG14" i="13"/>
  <c r="AS23" i="13"/>
  <c r="AD39" i="14"/>
  <c r="AB35" i="14"/>
  <c r="AG23" i="14"/>
  <c r="AE20" i="14"/>
  <c r="AE16" i="14" s="1"/>
  <c r="BP17" i="13"/>
  <c r="AD145" i="13"/>
  <c r="AD110" i="13" s="1"/>
  <c r="AR26" i="13" s="1"/>
  <c r="BO12" i="13"/>
  <c r="AA14" i="13"/>
  <c r="AR16" i="13"/>
  <c r="AW16" i="13" s="1"/>
  <c r="AY16" i="13" s="1"/>
  <c r="AS16" i="13"/>
  <c r="AX16" i="13" s="1"/>
  <c r="AG124" i="15"/>
  <c r="AD216" i="15"/>
  <c r="AB211" i="15"/>
  <c r="AB210" i="15" s="1"/>
  <c r="AB209" i="15" s="1"/>
  <c r="AG161" i="15"/>
  <c r="AG80" i="15"/>
  <c r="AW29" i="14"/>
  <c r="AY29" i="14" s="1"/>
  <c r="BP27" i="14"/>
  <c r="AD75" i="15"/>
  <c r="AR17" i="12"/>
  <c r="AU14" i="12"/>
  <c r="G24" i="14"/>
  <c r="BD21" i="13"/>
  <c r="M24" i="13"/>
  <c r="M22" i="13" s="1"/>
  <c r="AW7" i="13"/>
  <c r="AY7" i="13" s="1"/>
  <c r="I22" i="13"/>
  <c r="AR7" i="13" s="1"/>
  <c r="AU7" i="13" s="1"/>
  <c r="N128" i="13"/>
  <c r="N21" i="13"/>
  <c r="N19" i="13" s="1"/>
  <c r="N17" i="13" s="1"/>
  <c r="N8" i="13" s="1"/>
  <c r="L27" i="14"/>
  <c r="L128" i="14" s="1"/>
  <c r="J25" i="14"/>
  <c r="G27" i="14"/>
  <c r="I25" i="13"/>
  <c r="AR8" i="13" s="1"/>
  <c r="AU8" i="13" s="1"/>
  <c r="AW8" i="13"/>
  <c r="AY8" i="13" s="1"/>
  <c r="M27" i="13"/>
  <c r="M25" i="13" s="1"/>
  <c r="I128" i="13"/>
  <c r="BD15" i="15"/>
  <c r="G46" i="16"/>
  <c r="I45" i="15"/>
  <c r="M46" i="15"/>
  <c r="M45" i="15" s="1"/>
  <c r="J77" i="16"/>
  <c r="L75" i="15"/>
  <c r="N77" i="15"/>
  <c r="N75" i="15" s="1"/>
  <c r="J59" i="16"/>
  <c r="L57" i="15"/>
  <c r="N59" i="15"/>
  <c r="N57" i="15" s="1"/>
  <c r="J71" i="16"/>
  <c r="L69" i="15"/>
  <c r="N71" i="15"/>
  <c r="N69" i="15" s="1"/>
  <c r="G74" i="16"/>
  <c r="I72" i="15"/>
  <c r="M74" i="15"/>
  <c r="M72" i="15" s="1"/>
  <c r="J33" i="16"/>
  <c r="N33" i="15"/>
  <c r="J83" i="16"/>
  <c r="L81" i="15"/>
  <c r="N83" i="15"/>
  <c r="N81" i="15" s="1"/>
  <c r="J26" i="16"/>
  <c r="N26" i="15"/>
  <c r="G37" i="16"/>
  <c r="M37" i="15"/>
  <c r="J47" i="16"/>
  <c r="L45" i="15"/>
  <c r="N47" i="15"/>
  <c r="N45" i="15" s="1"/>
  <c r="L51" i="15"/>
  <c r="J53" i="16"/>
  <c r="N53" i="15"/>
  <c r="N51" i="15" s="1"/>
  <c r="M52" i="15"/>
  <c r="M51" i="15" s="1"/>
  <c r="G52" i="16"/>
  <c r="I51" i="15"/>
  <c r="J65" i="16"/>
  <c r="L63" i="15"/>
  <c r="N65" i="15"/>
  <c r="N63" i="15" s="1"/>
  <c r="G62" i="16"/>
  <c r="I60" i="15"/>
  <c r="M62" i="15"/>
  <c r="M60" i="15" s="1"/>
  <c r="M10" i="13"/>
  <c r="J10" i="14"/>
  <c r="L13" i="14"/>
  <c r="J24" i="15"/>
  <c r="L22" i="14"/>
  <c r="AX7" i="14"/>
  <c r="AZ7" i="14" s="1"/>
  <c r="N24" i="14"/>
  <c r="AB88" i="15"/>
  <c r="BP31" i="14"/>
  <c r="BJ15" i="14" s="1"/>
  <c r="AI88" i="14"/>
  <c r="AI83" i="14" s="1"/>
  <c r="AD83" i="14"/>
  <c r="Y237" i="15"/>
  <c r="AA235" i="14"/>
  <c r="AH237" i="14"/>
  <c r="AH235" i="14" s="1"/>
  <c r="AH234" i="14" s="1"/>
  <c r="AE220" i="15"/>
  <c r="I56" i="15"/>
  <c r="AD50" i="15"/>
  <c r="AB49" i="15"/>
  <c r="AD107" i="15"/>
  <c r="AB105" i="15"/>
  <c r="AB104" i="15" s="1"/>
  <c r="AA133" i="15"/>
  <c r="T15" i="14"/>
  <c r="J130" i="13"/>
  <c r="BD7" i="13"/>
  <c r="I12" i="14"/>
  <c r="G10" i="14"/>
  <c r="AG181" i="15"/>
  <c r="AE236" i="16"/>
  <c r="AJ236" i="15"/>
  <c r="G30" i="15"/>
  <c r="I29" i="14"/>
  <c r="M30" i="14"/>
  <c r="M29" i="14" s="1"/>
  <c r="AX13" i="14"/>
  <c r="AS13" i="14"/>
  <c r="AV13" i="14" s="1"/>
  <c r="AE188" i="16"/>
  <c r="AJ188" i="15"/>
  <c r="AG227" i="15"/>
  <c r="AE228" i="16"/>
  <c r="AJ228" i="15"/>
  <c r="AJ227" i="15" s="1"/>
  <c r="AG198" i="15"/>
  <c r="AG186" i="15"/>
  <c r="G23" i="15"/>
  <c r="BD12" i="14"/>
  <c r="M23" i="14"/>
  <c r="AJ223" i="15"/>
  <c r="AJ222" i="15" s="1"/>
  <c r="AE223" i="16"/>
  <c r="AG222" i="15"/>
  <c r="AE205" i="15"/>
  <c r="AG206" i="15"/>
  <c r="J21" i="14" l="1"/>
  <c r="J19" i="14" s="1"/>
  <c r="J17" i="14" s="1"/>
  <c r="J8" i="14" s="1"/>
  <c r="AI10" i="13"/>
  <c r="AI258" i="13" s="1"/>
  <c r="AB145" i="14"/>
  <c r="AB110" i="14" s="1"/>
  <c r="AX28" i="13"/>
  <c r="AZ28" i="13" s="1"/>
  <c r="AV28" i="13"/>
  <c r="AW28" i="13"/>
  <c r="AY28" i="13" s="1"/>
  <c r="AU28" i="13"/>
  <c r="AB8" i="13"/>
  <c r="AB260" i="13" s="1"/>
  <c r="AB264" i="13" s="1"/>
  <c r="AW27" i="13"/>
  <c r="AY27" i="13" s="1"/>
  <c r="AU27" i="13"/>
  <c r="AX26" i="13"/>
  <c r="AZ26" i="13" s="1"/>
  <c r="AV26" i="13"/>
  <c r="AW26" i="13"/>
  <c r="AY26" i="13" s="1"/>
  <c r="AU26" i="13"/>
  <c r="Y112" i="14"/>
  <c r="Y110" i="14" s="1"/>
  <c r="BP8" i="13"/>
  <c r="AB14" i="14"/>
  <c r="AB12" i="14" s="1"/>
  <c r="BD13" i="14"/>
  <c r="AV16" i="13"/>
  <c r="AJ90" i="13"/>
  <c r="AJ63" i="13" s="1"/>
  <c r="AJ12" i="13" s="1"/>
  <c r="AJ10" i="13" s="1"/>
  <c r="AJ8" i="13" s="1"/>
  <c r="AJ260" i="13" s="1"/>
  <c r="AJ264" i="13" s="1"/>
  <c r="Y220" i="15"/>
  <c r="BO22" i="14"/>
  <c r="BI11" i="14" s="1"/>
  <c r="AX23" i="13"/>
  <c r="AZ23" i="13" s="1"/>
  <c r="AV23" i="13"/>
  <c r="BO15" i="13"/>
  <c r="BI10" i="13" s="1"/>
  <c r="AW23" i="13"/>
  <c r="AY23" i="13" s="1"/>
  <c r="AU23" i="13"/>
  <c r="AU24" i="13"/>
  <c r="AU16" i="13"/>
  <c r="Y125" i="15"/>
  <c r="AH125" i="14"/>
  <c r="AH123" i="14" s="1"/>
  <c r="AA123" i="14"/>
  <c r="Y93" i="15"/>
  <c r="AH93" i="14"/>
  <c r="AH91" i="14" s="1"/>
  <c r="AH90" i="14" s="1"/>
  <c r="AA91" i="14"/>
  <c r="AA90" i="14" s="1"/>
  <c r="AB205" i="15"/>
  <c r="AB196" i="15" s="1"/>
  <c r="AB195" i="15" s="1"/>
  <c r="AB193" i="15" s="1"/>
  <c r="AD206" i="15"/>
  <c r="Y44" i="15"/>
  <c r="AA47" i="15"/>
  <c r="G78" i="15"/>
  <c r="I78" i="15" s="1"/>
  <c r="M78" i="15" s="1"/>
  <c r="I80" i="15"/>
  <c r="AD124" i="16"/>
  <c r="AB123" i="16"/>
  <c r="AB112" i="16" s="1"/>
  <c r="G68" i="15"/>
  <c r="I66" i="14"/>
  <c r="M68" i="14"/>
  <c r="M66" i="14" s="1"/>
  <c r="J55" i="16"/>
  <c r="N55" i="15"/>
  <c r="N54" i="15" s="1"/>
  <c r="L54" i="15"/>
  <c r="AD97" i="15"/>
  <c r="AB96" i="15"/>
  <c r="AB90" i="15" s="1"/>
  <c r="J61" i="15"/>
  <c r="N61" i="14"/>
  <c r="N60" i="14" s="1"/>
  <c r="L60" i="14"/>
  <c r="AX25" i="12"/>
  <c r="AZ25" i="12" s="1"/>
  <c r="AV25" i="12"/>
  <c r="AA98" i="15"/>
  <c r="Y96" i="15"/>
  <c r="J73" i="15"/>
  <c r="N73" i="14"/>
  <c r="N72" i="14" s="1"/>
  <c r="L72" i="14"/>
  <c r="AD195" i="14"/>
  <c r="BP28" i="14"/>
  <c r="BP25" i="14" s="1"/>
  <c r="BJ12" i="14" s="1"/>
  <c r="BO26" i="14"/>
  <c r="Y198" i="15"/>
  <c r="AH198" i="14"/>
  <c r="AH197" i="14" s="1"/>
  <c r="AH196" i="14" s="1"/>
  <c r="AH195" i="14" s="1"/>
  <c r="AH193" i="14" s="1"/>
  <c r="AA197" i="14"/>
  <c r="AA196" i="14" s="1"/>
  <c r="J49" i="15"/>
  <c r="N49" i="14"/>
  <c r="N48" i="14" s="1"/>
  <c r="L48" i="14"/>
  <c r="AX14" i="14"/>
  <c r="AZ14" i="14" s="1"/>
  <c r="BJ8" i="13"/>
  <c r="Y115" i="15"/>
  <c r="AH115" i="14"/>
  <c r="AH114" i="14" s="1"/>
  <c r="AA114" i="14"/>
  <c r="AB151" i="15"/>
  <c r="AI151" i="14"/>
  <c r="AI149" i="14" s="1"/>
  <c r="AI147" i="14" s="1"/>
  <c r="AD149" i="14"/>
  <c r="AD147" i="14" s="1"/>
  <c r="BP16" i="14" s="1"/>
  <c r="AI174" i="15"/>
  <c r="AI172" i="15" s="1"/>
  <c r="AB174" i="16"/>
  <c r="AD172" i="15"/>
  <c r="Y43" i="15"/>
  <c r="AA215" i="15"/>
  <c r="Y211" i="15"/>
  <c r="Y210" i="15" s="1"/>
  <c r="Y209" i="15" s="1"/>
  <c r="AB21" i="15"/>
  <c r="AI21" i="14"/>
  <c r="AI20" i="14" s="1"/>
  <c r="AI16" i="14" s="1"/>
  <c r="AD20" i="14"/>
  <c r="AD16" i="14" s="1"/>
  <c r="AD228" i="16"/>
  <c r="AB227" i="16"/>
  <c r="AB71" i="15"/>
  <c r="AI71" i="14"/>
  <c r="AI69" i="14" s="1"/>
  <c r="AI65" i="14" s="1"/>
  <c r="AI63" i="14" s="1"/>
  <c r="AD69" i="14"/>
  <c r="AD65" i="14" s="1"/>
  <c r="AD63" i="14" s="1"/>
  <c r="J43" i="16"/>
  <c r="N43" i="15"/>
  <c r="N42" i="15" s="1"/>
  <c r="AX10" i="15"/>
  <c r="AZ10" i="15" s="1"/>
  <c r="L42" i="15"/>
  <c r="AS10" i="15" s="1"/>
  <c r="J67" i="16"/>
  <c r="N67" i="15"/>
  <c r="N66" i="15" s="1"/>
  <c r="L66" i="15"/>
  <c r="Y59" i="15"/>
  <c r="AA58" i="14"/>
  <c r="AA57" i="14" s="1"/>
  <c r="AH59" i="14"/>
  <c r="AH58" i="14" s="1"/>
  <c r="AH57" i="14" s="1"/>
  <c r="Y229" i="16"/>
  <c r="AA227" i="15"/>
  <c r="AH229" i="15"/>
  <c r="AH227" i="15" s="1"/>
  <c r="G36" i="15"/>
  <c r="M36" i="14"/>
  <c r="M35" i="14" s="1"/>
  <c r="M28" i="14" s="1"/>
  <c r="I35" i="14"/>
  <c r="I28" i="14" s="1"/>
  <c r="AR9" i="14" s="1"/>
  <c r="AU9" i="14" s="1"/>
  <c r="AB220" i="16"/>
  <c r="AW25" i="13"/>
  <c r="AY25" i="13" s="1"/>
  <c r="AU25" i="13"/>
  <c r="AA157" i="14"/>
  <c r="AA155" i="14" s="1"/>
  <c r="AA145" i="14" s="1"/>
  <c r="AH159" i="14"/>
  <c r="AH157" i="14" s="1"/>
  <c r="AH155" i="14" s="1"/>
  <c r="AH145" i="14" s="1"/>
  <c r="Y159" i="15"/>
  <c r="AJ143" i="15"/>
  <c r="AJ141" i="15" s="1"/>
  <c r="AE143" i="16"/>
  <c r="AG141" i="15"/>
  <c r="AH152" i="16"/>
  <c r="AH149" i="16" s="1"/>
  <c r="AH147" i="16" s="1"/>
  <c r="AA149" i="16"/>
  <c r="AA147" i="16" s="1"/>
  <c r="J34" i="15"/>
  <c r="N34" i="14"/>
  <c r="N32" i="14" s="1"/>
  <c r="N28" i="14" s="1"/>
  <c r="AX9" i="14"/>
  <c r="AZ9" i="14" s="1"/>
  <c r="L32" i="14"/>
  <c r="L28" i="14" s="1"/>
  <c r="AS9" i="14" s="1"/>
  <c r="AV9" i="14" s="1"/>
  <c r="AW10" i="14"/>
  <c r="AY10" i="14" s="1"/>
  <c r="M44" i="14"/>
  <c r="M42" i="14" s="1"/>
  <c r="G44" i="15"/>
  <c r="I42" i="14"/>
  <c r="AR10" i="14" s="1"/>
  <c r="AI46" i="14"/>
  <c r="AI44" i="14" s="1"/>
  <c r="AI43" i="14" s="1"/>
  <c r="AB46" i="15"/>
  <c r="AD44" i="14"/>
  <c r="AD43" i="14" s="1"/>
  <c r="AA177" i="15"/>
  <c r="Y176" i="15"/>
  <c r="Y170" i="15" s="1"/>
  <c r="G50" i="16"/>
  <c r="I48" i="15"/>
  <c r="M50" i="15"/>
  <c r="M48" i="15" s="1"/>
  <c r="Y143" i="16"/>
  <c r="AA141" i="15"/>
  <c r="BO20" i="15" s="1"/>
  <c r="AH143" i="15"/>
  <c r="AH141" i="15" s="1"/>
  <c r="Y188" i="16"/>
  <c r="AH188" i="15"/>
  <c r="AH187" i="15" s="1"/>
  <c r="AH185" i="15" s="1"/>
  <c r="AA187" i="15"/>
  <c r="AA185" i="15" s="1"/>
  <c r="Y52" i="16"/>
  <c r="AH52" i="15"/>
  <c r="AH49" i="15" s="1"/>
  <c r="AA49" i="15"/>
  <c r="AG173" i="16"/>
  <c r="AE172" i="16"/>
  <c r="Y223" i="16"/>
  <c r="AH223" i="15"/>
  <c r="AH222" i="15" s="1"/>
  <c r="AA222" i="15"/>
  <c r="AE87" i="15"/>
  <c r="AJ87" i="14"/>
  <c r="AJ83" i="14" s="1"/>
  <c r="AG83" i="14"/>
  <c r="AS24" i="14" s="1"/>
  <c r="AG90" i="13"/>
  <c r="AE160" i="15"/>
  <c r="AJ160" i="14"/>
  <c r="AJ157" i="14" s="1"/>
  <c r="AJ155" i="14" s="1"/>
  <c r="AJ145" i="14" s="1"/>
  <c r="AG157" i="14"/>
  <c r="AG155" i="14" s="1"/>
  <c r="AG145" i="14" s="1"/>
  <c r="AG94" i="14"/>
  <c r="AE91" i="14"/>
  <c r="AV27" i="13"/>
  <c r="AX27" i="13"/>
  <c r="AZ27" i="13" s="1"/>
  <c r="AE116" i="15"/>
  <c r="AJ116" i="14"/>
  <c r="AJ114" i="14" s="1"/>
  <c r="AG114" i="14"/>
  <c r="AE193" i="14"/>
  <c r="AE189" i="15"/>
  <c r="AJ189" i="14"/>
  <c r="AJ187" i="14" s="1"/>
  <c r="AJ185" i="14" s="1"/>
  <c r="AG187" i="14"/>
  <c r="AG185" i="14" s="1"/>
  <c r="AG258" i="12"/>
  <c r="AS31" i="12" s="1"/>
  <c r="AS32" i="12" s="1"/>
  <c r="AG8" i="12"/>
  <c r="AE106" i="15"/>
  <c r="AG105" i="14"/>
  <c r="AG104" i="14" s="1"/>
  <c r="AJ106" i="14"/>
  <c r="AJ105" i="14" s="1"/>
  <c r="AJ104" i="14" s="1"/>
  <c r="AG99" i="14"/>
  <c r="AE96" i="14"/>
  <c r="AF258" i="13"/>
  <c r="AG178" i="14"/>
  <c r="AE176" i="14"/>
  <c r="AE170" i="14" s="1"/>
  <c r="AG126" i="14"/>
  <c r="AE123" i="14"/>
  <c r="AE112" i="14" s="1"/>
  <c r="AE110" i="14" s="1"/>
  <c r="Y258" i="13"/>
  <c r="Y260" i="13"/>
  <c r="Y264" i="13" s="1"/>
  <c r="AD244" i="14"/>
  <c r="AB243" i="14"/>
  <c r="AB232" i="14" s="1"/>
  <c r="AG232" i="13"/>
  <c r="AS30" i="13" s="1"/>
  <c r="I8" i="12"/>
  <c r="K1" i="12" s="1"/>
  <c r="AA258" i="12"/>
  <c r="BO33" i="12" s="1"/>
  <c r="AE260" i="13"/>
  <c r="AE264" i="13" s="1"/>
  <c r="AE243" i="14"/>
  <c r="AE232" i="14" s="1"/>
  <c r="AG244" i="14"/>
  <c r="BP29" i="13"/>
  <c r="BJ13" i="13" s="1"/>
  <c r="AR30" i="13"/>
  <c r="AI262" i="14"/>
  <c r="AH262" i="14"/>
  <c r="U262" i="14"/>
  <c r="U260" i="14" s="1"/>
  <c r="U264" i="14" s="1"/>
  <c r="AE262" i="14"/>
  <c r="AD262" i="14"/>
  <c r="AF262" i="14"/>
  <c r="AF260" i="14" s="1"/>
  <c r="AF264" i="14" s="1"/>
  <c r="AG262" i="14"/>
  <c r="AA262" i="14"/>
  <c r="Z262" i="14"/>
  <c r="Z260" i="14" s="1"/>
  <c r="Z264" i="14" s="1"/>
  <c r="AB262" i="14"/>
  <c r="Y262" i="14"/>
  <c r="W262" i="14"/>
  <c r="W260" i="14" s="1"/>
  <c r="W264" i="14" s="1"/>
  <c r="V262" i="14"/>
  <c r="V260" i="14" s="1"/>
  <c r="V264" i="14" s="1"/>
  <c r="X262" i="14"/>
  <c r="X260" i="14" s="1"/>
  <c r="X264" i="14" s="1"/>
  <c r="AC262" i="14"/>
  <c r="AC260" i="14" s="1"/>
  <c r="AC264" i="14" s="1"/>
  <c r="AA234" i="14"/>
  <c r="AD10" i="13"/>
  <c r="AD8" i="13" s="1"/>
  <c r="AD260" i="13" s="1"/>
  <c r="AD264" i="13" s="1"/>
  <c r="AA244" i="14"/>
  <c r="Y243" i="14"/>
  <c r="Y232" i="14" s="1"/>
  <c r="G55" i="15"/>
  <c r="M55" i="14"/>
  <c r="M54" i="14" s="1"/>
  <c r="BD17" i="14"/>
  <c r="I54" i="14"/>
  <c r="AW14" i="14"/>
  <c r="AY14" i="14" s="1"/>
  <c r="BJ9" i="13"/>
  <c r="AR31" i="12"/>
  <c r="AR32" i="12" s="1"/>
  <c r="AV35" i="12" s="1"/>
  <c r="AA12" i="13"/>
  <c r="AA10" i="13" s="1"/>
  <c r="AA8" i="13" s="1"/>
  <c r="AA260" i="13" s="1"/>
  <c r="AA264" i="13" s="1"/>
  <c r="AG58" i="16"/>
  <c r="AG57" i="16" s="1"/>
  <c r="AJ59" i="16"/>
  <c r="AJ58" i="16" s="1"/>
  <c r="AJ57" i="16" s="1"/>
  <c r="AI150" i="16"/>
  <c r="N44" i="16"/>
  <c r="N36" i="16"/>
  <c r="N35" i="16" s="1"/>
  <c r="L35" i="16"/>
  <c r="AJ98" i="16"/>
  <c r="AI100" i="16"/>
  <c r="N68" i="16"/>
  <c r="N62" i="16"/>
  <c r="AI22" i="16"/>
  <c r="AI117" i="16"/>
  <c r="AI114" i="16" s="1"/>
  <c r="AD114" i="16"/>
  <c r="AD197" i="16"/>
  <c r="BP26" i="16"/>
  <c r="E49" i="20" s="1"/>
  <c r="AI198" i="16"/>
  <c r="AI197" i="16" s="1"/>
  <c r="N56" i="16"/>
  <c r="AD222" i="16"/>
  <c r="AI223" i="16"/>
  <c r="AI222" i="16" s="1"/>
  <c r="AG149" i="16"/>
  <c r="AG147" i="16" s="1"/>
  <c r="AJ152" i="16"/>
  <c r="AJ149" i="16" s="1"/>
  <c r="AJ147" i="16" s="1"/>
  <c r="AJ115" i="16"/>
  <c r="AI92" i="16"/>
  <c r="AI91" i="16" s="1"/>
  <c r="AD91" i="16"/>
  <c r="N30" i="16"/>
  <c r="N29" i="16" s="1"/>
  <c r="L29" i="16"/>
  <c r="AJ47" i="16"/>
  <c r="AJ44" i="16" s="1"/>
  <c r="AG44" i="16"/>
  <c r="AJ86" i="16"/>
  <c r="AD235" i="16"/>
  <c r="AD234" i="16" s="1"/>
  <c r="AI238" i="16"/>
  <c r="AI235" i="16" s="1"/>
  <c r="AI234" i="16" s="1"/>
  <c r="M21" i="13"/>
  <c r="M19" i="13" s="1"/>
  <c r="M17" i="13" s="1"/>
  <c r="AE258" i="13" s="1"/>
  <c r="AH12" i="13"/>
  <c r="AH10" i="13" s="1"/>
  <c r="AS14" i="13"/>
  <c r="Y63" i="14"/>
  <c r="AE202" i="15"/>
  <c r="AJ202" i="14"/>
  <c r="AJ197" i="14" s="1"/>
  <c r="AJ196" i="14" s="1"/>
  <c r="AJ195" i="14" s="1"/>
  <c r="AG197" i="14"/>
  <c r="AG196" i="14" s="1"/>
  <c r="AG195" i="14" s="1"/>
  <c r="AG211" i="14"/>
  <c r="AG210" i="14" s="1"/>
  <c r="AG209" i="14" s="1"/>
  <c r="AE212" i="15"/>
  <c r="AJ212" i="14"/>
  <c r="AJ211" i="14" s="1"/>
  <c r="AJ210" i="14" s="1"/>
  <c r="AJ209" i="14" s="1"/>
  <c r="AE14" i="14"/>
  <c r="AE241" i="15"/>
  <c r="AJ241" i="14"/>
  <c r="AJ235" i="14" s="1"/>
  <c r="AJ234" i="14" s="1"/>
  <c r="AG235" i="14"/>
  <c r="Y85" i="15"/>
  <c r="AA83" i="14"/>
  <c r="AH85" i="14"/>
  <c r="AH83" i="14" s="1"/>
  <c r="Y61" i="16"/>
  <c r="BO31" i="15"/>
  <c r="BI15" i="15" s="1"/>
  <c r="AH61" i="15"/>
  <c r="Y14" i="14"/>
  <c r="Y37" i="15"/>
  <c r="AA35" i="14"/>
  <c r="AH37" i="14"/>
  <c r="AH35" i="14" s="1"/>
  <c r="BO9" i="13"/>
  <c r="AE23" i="15"/>
  <c r="AG20" i="14"/>
  <c r="AG16" i="14" s="1"/>
  <c r="AJ23" i="14"/>
  <c r="AJ20" i="14" s="1"/>
  <c r="AJ16" i="14" s="1"/>
  <c r="AE70" i="15"/>
  <c r="AJ70" i="14"/>
  <c r="AJ69" i="14" s="1"/>
  <c r="AJ65" i="14" s="1"/>
  <c r="AG69" i="14"/>
  <c r="AG65" i="14" s="1"/>
  <c r="AB39" i="15"/>
  <c r="AD35" i="14"/>
  <c r="AI39" i="14"/>
  <c r="AI35" i="14" s="1"/>
  <c r="AB180" i="15"/>
  <c r="AI180" i="14"/>
  <c r="AI176" i="14" s="1"/>
  <c r="AI170" i="14" s="1"/>
  <c r="AD176" i="14"/>
  <c r="AD170" i="14" s="1"/>
  <c r="Y27" i="15"/>
  <c r="AA20" i="14"/>
  <c r="AA16" i="14" s="1"/>
  <c r="AH27" i="14"/>
  <c r="AH20" i="14" s="1"/>
  <c r="AH16" i="14" s="1"/>
  <c r="AE52" i="15"/>
  <c r="AJ52" i="14"/>
  <c r="AJ49" i="14" s="1"/>
  <c r="AJ43" i="14" s="1"/>
  <c r="AG49" i="14"/>
  <c r="AG43" i="14" s="1"/>
  <c r="BP15" i="13"/>
  <c r="G8" i="13"/>
  <c r="G126" i="13" s="1"/>
  <c r="G130" i="13" s="1"/>
  <c r="Y71" i="15"/>
  <c r="AH71" i="14"/>
  <c r="AH69" i="14" s="1"/>
  <c r="AH65" i="14" s="1"/>
  <c r="AA69" i="14"/>
  <c r="AA65" i="14" s="1"/>
  <c r="BP22" i="13"/>
  <c r="BJ11" i="13" s="1"/>
  <c r="AB167" i="15"/>
  <c r="BP19" i="14"/>
  <c r="AD157" i="14"/>
  <c r="AD155" i="14" s="1"/>
  <c r="AI167" i="14"/>
  <c r="AI157" i="14" s="1"/>
  <c r="AI155" i="14" s="1"/>
  <c r="AB75" i="16"/>
  <c r="AI75" i="15"/>
  <c r="AE80" i="16"/>
  <c r="AJ80" i="15"/>
  <c r="AI216" i="15"/>
  <c r="AI211" i="15" s="1"/>
  <c r="AI210" i="15" s="1"/>
  <c r="AI209" i="15" s="1"/>
  <c r="AB216" i="16"/>
  <c r="AD211" i="15"/>
  <c r="AD210" i="15" s="1"/>
  <c r="AD209" i="15" s="1"/>
  <c r="AR29" i="15" s="1"/>
  <c r="AE161" i="16"/>
  <c r="AJ161" i="15"/>
  <c r="AJ124" i="15"/>
  <c r="AE124" i="16"/>
  <c r="M128" i="13"/>
  <c r="I21" i="13"/>
  <c r="I19" i="13" s="1"/>
  <c r="AR14" i="13" s="1"/>
  <c r="BD22" i="13"/>
  <c r="I24" i="14"/>
  <c r="G22" i="14"/>
  <c r="N126" i="13"/>
  <c r="J27" i="15"/>
  <c r="J128" i="15" s="1"/>
  <c r="N27" i="14"/>
  <c r="N25" i="14" s="1"/>
  <c r="L25" i="14"/>
  <c r="AS8" i="14" s="1"/>
  <c r="AV8" i="14" s="1"/>
  <c r="AX8" i="14"/>
  <c r="AZ8" i="14" s="1"/>
  <c r="I27" i="14"/>
  <c r="G25" i="14"/>
  <c r="G128" i="14"/>
  <c r="L53" i="16"/>
  <c r="J51" i="16"/>
  <c r="L47" i="16"/>
  <c r="J45" i="16"/>
  <c r="I62" i="16"/>
  <c r="G60" i="16"/>
  <c r="I37" i="16"/>
  <c r="L83" i="16"/>
  <c r="J81" i="16"/>
  <c r="L33" i="16"/>
  <c r="L59" i="16"/>
  <c r="J57" i="16"/>
  <c r="G51" i="16"/>
  <c r="I52" i="16"/>
  <c r="J69" i="16"/>
  <c r="L71" i="16"/>
  <c r="G45" i="16"/>
  <c r="I46" i="16"/>
  <c r="L65" i="16"/>
  <c r="J63" i="16"/>
  <c r="L26" i="16"/>
  <c r="I74" i="16"/>
  <c r="G72" i="16"/>
  <c r="L77" i="16"/>
  <c r="J75" i="16"/>
  <c r="N22" i="14"/>
  <c r="L24" i="15"/>
  <c r="J22" i="15"/>
  <c r="J13" i="15"/>
  <c r="N13" i="14"/>
  <c r="N10" i="14" s="1"/>
  <c r="L10" i="14"/>
  <c r="AS7" i="14"/>
  <c r="AV7" i="14" s="1"/>
  <c r="AD88" i="15"/>
  <c r="AB83" i="15"/>
  <c r="AA237" i="15"/>
  <c r="Y235" i="15"/>
  <c r="Y234" i="15" s="1"/>
  <c r="AJ220" i="15"/>
  <c r="Y133" i="16"/>
  <c r="AH133" i="15"/>
  <c r="AB50" i="16"/>
  <c r="AD49" i="15"/>
  <c r="AI50" i="15"/>
  <c r="AI49" i="15" s="1"/>
  <c r="AB107" i="16"/>
  <c r="AI107" i="15"/>
  <c r="AI105" i="15" s="1"/>
  <c r="AI104" i="15" s="1"/>
  <c r="AD105" i="15"/>
  <c r="AD104" i="15" s="1"/>
  <c r="M56" i="15"/>
  <c r="G56" i="16"/>
  <c r="AG220" i="15"/>
  <c r="L130" i="13"/>
  <c r="D23" i="20"/>
  <c r="T15" i="15"/>
  <c r="AZ16" i="13"/>
  <c r="AW17" i="13"/>
  <c r="AX17" i="13"/>
  <c r="G12" i="15"/>
  <c r="I10" i="14"/>
  <c r="M12" i="14"/>
  <c r="AE222" i="16"/>
  <c r="AG223" i="16"/>
  <c r="I23" i="15"/>
  <c r="AZ13" i="14"/>
  <c r="AG236" i="16"/>
  <c r="I30" i="15"/>
  <c r="G29" i="15"/>
  <c r="AG205" i="15"/>
  <c r="AE206" i="16"/>
  <c r="AJ206" i="15"/>
  <c r="AJ205" i="15" s="1"/>
  <c r="AJ198" i="15"/>
  <c r="AE198" i="16"/>
  <c r="AE227" i="16"/>
  <c r="AG228" i="16"/>
  <c r="AG188" i="16"/>
  <c r="AJ186" i="15"/>
  <c r="AE186" i="16"/>
  <c r="AJ181" i="15"/>
  <c r="AE181" i="16"/>
  <c r="AI8" i="13" l="1"/>
  <c r="AI260" i="13" s="1"/>
  <c r="AI264" i="13" s="1"/>
  <c r="AB10" i="14"/>
  <c r="AB258" i="14" s="1"/>
  <c r="AI145" i="14"/>
  <c r="AI110" i="14" s="1"/>
  <c r="AH220" i="15"/>
  <c r="AI14" i="14"/>
  <c r="AI12" i="14" s="1"/>
  <c r="BD10" i="14"/>
  <c r="BD9" i="14" s="1"/>
  <c r="BD8" i="14" s="1"/>
  <c r="AX30" i="13"/>
  <c r="AZ30" i="13" s="1"/>
  <c r="AV30" i="13"/>
  <c r="AW30" i="13"/>
  <c r="AY30" i="13" s="1"/>
  <c r="AU30" i="13"/>
  <c r="AD14" i="14"/>
  <c r="AD12" i="14" s="1"/>
  <c r="I17" i="13"/>
  <c r="AA258" i="13" s="1"/>
  <c r="AA220" i="15"/>
  <c r="BO30" i="15" s="1"/>
  <c r="BI14" i="15" s="1"/>
  <c r="BO13" i="14"/>
  <c r="AE90" i="14"/>
  <c r="AE63" i="14" s="1"/>
  <c r="AE12" i="14" s="1"/>
  <c r="AE10" i="14" s="1"/>
  <c r="AE8" i="14" s="1"/>
  <c r="AE260" i="14" s="1"/>
  <c r="AE264" i="14" s="1"/>
  <c r="BP13" i="14"/>
  <c r="AR25" i="14"/>
  <c r="I44" i="15"/>
  <c r="G42" i="15"/>
  <c r="Y157" i="15"/>
  <c r="Y155" i="15" s="1"/>
  <c r="Y145" i="15" s="1"/>
  <c r="AA159" i="15"/>
  <c r="I36" i="15"/>
  <c r="BD13" i="15" s="1"/>
  <c r="G35" i="15"/>
  <c r="G28" i="15" s="1"/>
  <c r="AD71" i="15"/>
  <c r="AB69" i="15"/>
  <c r="AB65" i="15" s="1"/>
  <c r="AB63" i="15" s="1"/>
  <c r="AA115" i="15"/>
  <c r="Y114" i="15"/>
  <c r="AA198" i="15"/>
  <c r="Y197" i="15"/>
  <c r="Y196" i="15" s="1"/>
  <c r="Y195" i="15" s="1"/>
  <c r="Y193" i="15" s="1"/>
  <c r="Y98" i="16"/>
  <c r="AH98" i="15"/>
  <c r="AH96" i="15" s="1"/>
  <c r="AA96" i="15"/>
  <c r="L55" i="16"/>
  <c r="J54" i="16"/>
  <c r="Y47" i="16"/>
  <c r="AH47" i="15"/>
  <c r="AH44" i="15" s="1"/>
  <c r="AH43" i="15" s="1"/>
  <c r="AA44" i="15"/>
  <c r="AA43" i="15" s="1"/>
  <c r="AH112" i="14"/>
  <c r="AH110" i="14" s="1"/>
  <c r="AD46" i="15"/>
  <c r="AB44" i="15"/>
  <c r="AB43" i="15" s="1"/>
  <c r="L67" i="16"/>
  <c r="J66" i="16"/>
  <c r="L43" i="16"/>
  <c r="J42" i="16"/>
  <c r="AD21" i="15"/>
  <c r="AB20" i="15"/>
  <c r="AB16" i="15" s="1"/>
  <c r="AD174" i="16"/>
  <c r="AB172" i="16"/>
  <c r="AD151" i="15"/>
  <c r="AB149" i="15"/>
  <c r="AB147" i="15" s="1"/>
  <c r="L49" i="15"/>
  <c r="J48" i="15"/>
  <c r="AB97" i="16"/>
  <c r="AI97" i="15"/>
  <c r="AI96" i="15" s="1"/>
  <c r="AI90" i="15" s="1"/>
  <c r="AD96" i="15"/>
  <c r="AD90" i="15" s="1"/>
  <c r="AI124" i="16"/>
  <c r="AI123" i="16" s="1"/>
  <c r="AI112" i="16" s="1"/>
  <c r="AD123" i="16"/>
  <c r="AD112" i="16" s="1"/>
  <c r="AA125" i="15"/>
  <c r="Y123" i="15"/>
  <c r="L34" i="15"/>
  <c r="J32" i="15"/>
  <c r="J28" i="15" s="1"/>
  <c r="AG143" i="16"/>
  <c r="AE141" i="16"/>
  <c r="AA59" i="15"/>
  <c r="Y58" i="15"/>
  <c r="Y57" i="15" s="1"/>
  <c r="AI228" i="16"/>
  <c r="AI227" i="16" s="1"/>
  <c r="AI220" i="16" s="1"/>
  <c r="AD227" i="16"/>
  <c r="AD220" i="16" s="1"/>
  <c r="BP30" i="16" s="1"/>
  <c r="BO16" i="14"/>
  <c r="AA112" i="14"/>
  <c r="AA110" i="14" s="1"/>
  <c r="AA195" i="14"/>
  <c r="AA193" i="14" s="1"/>
  <c r="BO28" i="14"/>
  <c r="BO25" i="14" s="1"/>
  <c r="BI12" i="14" s="1"/>
  <c r="L73" i="15"/>
  <c r="J72" i="15"/>
  <c r="G80" i="16"/>
  <c r="M80" i="15"/>
  <c r="AB206" i="16"/>
  <c r="AD205" i="15"/>
  <c r="AD196" i="15" s="1"/>
  <c r="AI206" i="15"/>
  <c r="AI205" i="15" s="1"/>
  <c r="AI196" i="15" s="1"/>
  <c r="AI195" i="15" s="1"/>
  <c r="AI193" i="15" s="1"/>
  <c r="AA93" i="15"/>
  <c r="Y91" i="15"/>
  <c r="Y90" i="15" s="1"/>
  <c r="AX24" i="14"/>
  <c r="AZ24" i="14" s="1"/>
  <c r="AV24" i="14"/>
  <c r="AH177" i="15"/>
  <c r="AH176" i="15" s="1"/>
  <c r="AH170" i="15" s="1"/>
  <c r="AA176" i="15"/>
  <c r="AA170" i="15" s="1"/>
  <c r="BO24" i="15" s="1"/>
  <c r="Y177" i="16"/>
  <c r="BO23" i="15"/>
  <c r="AA229" i="16"/>
  <c r="Y227" i="16"/>
  <c r="AR23" i="14"/>
  <c r="BP12" i="14"/>
  <c r="BP9" i="14" s="1"/>
  <c r="Y215" i="16"/>
  <c r="AH215" i="15"/>
  <c r="AH211" i="15" s="1"/>
  <c r="AH210" i="15" s="1"/>
  <c r="AH209" i="15" s="1"/>
  <c r="AA211" i="15"/>
  <c r="AA210" i="15" s="1"/>
  <c r="AA209" i="15" s="1"/>
  <c r="BO27" i="15" s="1"/>
  <c r="AR28" i="14"/>
  <c r="AD193" i="14"/>
  <c r="L61" i="15"/>
  <c r="J60" i="15"/>
  <c r="G66" i="15"/>
  <c r="I68" i="15"/>
  <c r="BO17" i="14"/>
  <c r="AJ258" i="13"/>
  <c r="AJ173" i="16"/>
  <c r="AJ172" i="16" s="1"/>
  <c r="AG172" i="16"/>
  <c r="AA143" i="16"/>
  <c r="Y141" i="16"/>
  <c r="AA188" i="16"/>
  <c r="Y187" i="16"/>
  <c r="Y185" i="16" s="1"/>
  <c r="AA223" i="16"/>
  <c r="Y222" i="16"/>
  <c r="AA52" i="16"/>
  <c r="Y49" i="16"/>
  <c r="I50" i="16"/>
  <c r="G48" i="16"/>
  <c r="I126" i="12"/>
  <c r="I130" i="12" s="1"/>
  <c r="AG63" i="13"/>
  <c r="AG12" i="13" s="1"/>
  <c r="AG10" i="13" s="1"/>
  <c r="AS25" i="13"/>
  <c r="AE126" i="15"/>
  <c r="AJ126" i="14"/>
  <c r="AJ123" i="14" s="1"/>
  <c r="AJ112" i="14" s="1"/>
  <c r="AJ110" i="14" s="1"/>
  <c r="AG123" i="14"/>
  <c r="AG112" i="14" s="1"/>
  <c r="AG110" i="14" s="1"/>
  <c r="AS26" i="14" s="1"/>
  <c r="AG116" i="15"/>
  <c r="AE114" i="15"/>
  <c r="AE94" i="15"/>
  <c r="AJ94" i="14"/>
  <c r="AJ91" i="14" s="1"/>
  <c r="AG91" i="14"/>
  <c r="AE105" i="15"/>
  <c r="AE104" i="15" s="1"/>
  <c r="AG106" i="15"/>
  <c r="AJ262" i="14"/>
  <c r="AE178" i="15"/>
  <c r="AJ178" i="14"/>
  <c r="AJ176" i="14" s="1"/>
  <c r="AJ170" i="14" s="1"/>
  <c r="AG176" i="14"/>
  <c r="AG170" i="14" s="1"/>
  <c r="AS27" i="14" s="1"/>
  <c r="AE99" i="15"/>
  <c r="AJ99" i="14"/>
  <c r="AJ96" i="14" s="1"/>
  <c r="AG96" i="14"/>
  <c r="AG260" i="12"/>
  <c r="AG264" i="12" s="1"/>
  <c r="AC1" i="12"/>
  <c r="AG189" i="15"/>
  <c r="AE187" i="15"/>
  <c r="AE185" i="15" s="1"/>
  <c r="AG160" i="15"/>
  <c r="AE157" i="15"/>
  <c r="AE155" i="15" s="1"/>
  <c r="AE145" i="15" s="1"/>
  <c r="AG87" i="15"/>
  <c r="AE83" i="15"/>
  <c r="AI244" i="14"/>
  <c r="AI243" i="14" s="1"/>
  <c r="AI232" i="14" s="1"/>
  <c r="AB244" i="15"/>
  <c r="AD243" i="14"/>
  <c r="AD232" i="14" s="1"/>
  <c r="AG234" i="14"/>
  <c r="AJ193" i="14"/>
  <c r="AH8" i="13"/>
  <c r="AH260" i="13" s="1"/>
  <c r="AH264" i="13" s="1"/>
  <c r="AH258" i="13"/>
  <c r="Y244" i="15"/>
  <c r="AA243" i="14"/>
  <c r="AA232" i="14" s="1"/>
  <c r="BO29" i="14" s="1"/>
  <c r="BI13" i="14" s="1"/>
  <c r="AH244" i="14"/>
  <c r="AH243" i="14" s="1"/>
  <c r="AH232" i="14" s="1"/>
  <c r="AA262" i="15"/>
  <c r="Z262" i="15"/>
  <c r="Z260" i="15" s="1"/>
  <c r="Z264" i="15" s="1"/>
  <c r="AB262" i="15"/>
  <c r="Y262" i="15"/>
  <c r="W262" i="15"/>
  <c r="W260" i="15" s="1"/>
  <c r="W264" i="15" s="1"/>
  <c r="V262" i="15"/>
  <c r="V260" i="15" s="1"/>
  <c r="V264" i="15" s="1"/>
  <c r="X262" i="15"/>
  <c r="X260" i="15" s="1"/>
  <c r="X264" i="15" s="1"/>
  <c r="AC262" i="15"/>
  <c r="AC260" i="15" s="1"/>
  <c r="AC264" i="15" s="1"/>
  <c r="AH262" i="15"/>
  <c r="U262" i="15"/>
  <c r="U260" i="15" s="1"/>
  <c r="U264" i="15" s="1"/>
  <c r="AE262" i="15"/>
  <c r="AD262" i="15"/>
  <c r="AF262" i="15"/>
  <c r="AF260" i="15" s="1"/>
  <c r="AF264" i="15" s="1"/>
  <c r="AS28" i="14"/>
  <c r="AG193" i="14"/>
  <c r="J5" i="12"/>
  <c r="I55" i="15"/>
  <c r="G54" i="15"/>
  <c r="AJ244" i="14"/>
  <c r="AJ243" i="14" s="1"/>
  <c r="AJ232" i="14" s="1"/>
  <c r="AG243" i="14"/>
  <c r="AE244" i="15"/>
  <c r="AS29" i="14"/>
  <c r="AX29" i="14" s="1"/>
  <c r="AZ29" i="14" s="1"/>
  <c r="AD258" i="13"/>
  <c r="BP33" i="13" s="1"/>
  <c r="U1" i="13"/>
  <c r="AU35" i="12"/>
  <c r="BP14" i="14"/>
  <c r="AR24" i="14"/>
  <c r="AW24" i="14" s="1"/>
  <c r="AY24" i="14" s="1"/>
  <c r="M8" i="13"/>
  <c r="M126" i="13" s="1"/>
  <c r="AA14" i="14"/>
  <c r="AH63" i="14"/>
  <c r="AV14" i="13"/>
  <c r="AS17" i="13"/>
  <c r="Y12" i="14"/>
  <c r="Y10" i="14" s="1"/>
  <c r="AG241" i="15"/>
  <c r="AG262" i="15" s="1"/>
  <c r="AE235" i="15"/>
  <c r="AE234" i="15" s="1"/>
  <c r="AE211" i="15"/>
  <c r="AE210" i="15" s="1"/>
  <c r="AE209" i="15" s="1"/>
  <c r="AG212" i="15"/>
  <c r="AA85" i="15"/>
  <c r="Y83" i="15"/>
  <c r="AG202" i="15"/>
  <c r="AE197" i="15"/>
  <c r="AE196" i="15" s="1"/>
  <c r="AE195" i="15" s="1"/>
  <c r="AA61" i="16"/>
  <c r="AH14" i="14"/>
  <c r="BO14" i="14"/>
  <c r="BI9" i="14" s="1"/>
  <c r="AA37" i="15"/>
  <c r="Y35" i="15"/>
  <c r="AD180" i="15"/>
  <c r="AB176" i="15"/>
  <c r="AB170" i="15" s="1"/>
  <c r="AG23" i="15"/>
  <c r="AE20" i="15"/>
  <c r="AE16" i="15" s="1"/>
  <c r="G21" i="14"/>
  <c r="G19" i="14" s="1"/>
  <c r="G17" i="14" s="1"/>
  <c r="BP17" i="14"/>
  <c r="BP15" i="14" s="1"/>
  <c r="BJ10" i="14" s="1"/>
  <c r="AD145" i="14"/>
  <c r="AD110" i="14" s="1"/>
  <c r="AR26" i="14" s="1"/>
  <c r="BO12" i="14"/>
  <c r="BO9" i="14" s="1"/>
  <c r="AA63" i="14"/>
  <c r="AA27" i="15"/>
  <c r="Y20" i="15"/>
  <c r="Y16" i="15" s="1"/>
  <c r="AG70" i="15"/>
  <c r="AE69" i="15"/>
  <c r="AE65" i="15" s="1"/>
  <c r="AG52" i="15"/>
  <c r="AE49" i="15"/>
  <c r="AE43" i="15" s="1"/>
  <c r="BP24" i="14"/>
  <c r="BP22" i="14" s="1"/>
  <c r="BJ11" i="14" s="1"/>
  <c r="AR27" i="14"/>
  <c r="AJ14" i="14"/>
  <c r="BI8" i="13"/>
  <c r="BI7" i="13" s="1"/>
  <c r="BI16" i="13" s="1"/>
  <c r="BO8" i="13"/>
  <c r="BO7" i="13" s="1"/>
  <c r="BO32" i="13" s="1"/>
  <c r="AD167" i="15"/>
  <c r="AB157" i="15"/>
  <c r="AB155" i="15" s="1"/>
  <c r="AB145" i="15" s="1"/>
  <c r="AB110" i="15" s="1"/>
  <c r="AA71" i="15"/>
  <c r="Y69" i="15"/>
  <c r="Y65" i="15" s="1"/>
  <c r="BJ10" i="13"/>
  <c r="BJ7" i="13" s="1"/>
  <c r="BJ16" i="13" s="1"/>
  <c r="BP7" i="13"/>
  <c r="BP32" i="13" s="1"/>
  <c r="AD39" i="15"/>
  <c r="AB35" i="15"/>
  <c r="AG14" i="14"/>
  <c r="AS23" i="14"/>
  <c r="AR16" i="14"/>
  <c r="AW16" i="14" s="1"/>
  <c r="AY16" i="14" s="1"/>
  <c r="AS16" i="14"/>
  <c r="AX16" i="14" s="1"/>
  <c r="AW29" i="15"/>
  <c r="AY29" i="15" s="1"/>
  <c r="BP27" i="15"/>
  <c r="N128" i="14"/>
  <c r="AR17" i="13"/>
  <c r="AU14" i="13"/>
  <c r="AD216" i="16"/>
  <c r="AB211" i="16"/>
  <c r="AB210" i="16" s="1"/>
  <c r="AB209" i="16" s="1"/>
  <c r="AG80" i="16"/>
  <c r="AG124" i="16"/>
  <c r="AG161" i="16"/>
  <c r="AD75" i="16"/>
  <c r="N21" i="14"/>
  <c r="N19" i="14" s="1"/>
  <c r="N17" i="14" s="1"/>
  <c r="N8" i="14" s="1"/>
  <c r="G24" i="15"/>
  <c r="BD21" i="14"/>
  <c r="M24" i="14"/>
  <c r="M22" i="14" s="1"/>
  <c r="AW7" i="14"/>
  <c r="AY7" i="14" s="1"/>
  <c r="I22" i="14"/>
  <c r="AR7" i="14" s="1"/>
  <c r="AU7" i="14" s="1"/>
  <c r="L21" i="14"/>
  <c r="L19" i="14" s="1"/>
  <c r="L17" i="14" s="1"/>
  <c r="L27" i="15"/>
  <c r="L128" i="15" s="1"/>
  <c r="J25" i="15"/>
  <c r="G27" i="15"/>
  <c r="I25" i="14"/>
  <c r="AR8" i="14" s="1"/>
  <c r="AU8" i="14" s="1"/>
  <c r="AW8" i="14"/>
  <c r="AY8" i="14" s="1"/>
  <c r="M27" i="14"/>
  <c r="M25" i="14" s="1"/>
  <c r="I128" i="14"/>
  <c r="M74" i="16"/>
  <c r="M72" i="16" s="1"/>
  <c r="I72" i="16"/>
  <c r="L63" i="16"/>
  <c r="N65" i="16"/>
  <c r="N63" i="16" s="1"/>
  <c r="L57" i="16"/>
  <c r="N59" i="16"/>
  <c r="N57" i="16" s="1"/>
  <c r="L81" i="16"/>
  <c r="N83" i="16"/>
  <c r="N81" i="16" s="1"/>
  <c r="I60" i="16"/>
  <c r="M62" i="16"/>
  <c r="M60" i="16" s="1"/>
  <c r="L45" i="16"/>
  <c r="N47" i="16"/>
  <c r="N45" i="16" s="1"/>
  <c r="L69" i="16"/>
  <c r="N71" i="16"/>
  <c r="N69" i="16" s="1"/>
  <c r="N26" i="16"/>
  <c r="I45" i="16"/>
  <c r="BD15" i="16"/>
  <c r="D15" i="20" s="1"/>
  <c r="M46" i="16"/>
  <c r="M45" i="16" s="1"/>
  <c r="I51" i="16"/>
  <c r="M52" i="16"/>
  <c r="M51" i="16" s="1"/>
  <c r="L75" i="16"/>
  <c r="N77" i="16"/>
  <c r="N75" i="16" s="1"/>
  <c r="N33" i="16"/>
  <c r="M37" i="16"/>
  <c r="L51" i="16"/>
  <c r="N53" i="16"/>
  <c r="N51" i="16" s="1"/>
  <c r="M10" i="14"/>
  <c r="L13" i="15"/>
  <c r="J10" i="15"/>
  <c r="J24" i="16"/>
  <c r="L22" i="15"/>
  <c r="AX7" i="15"/>
  <c r="AZ7" i="15" s="1"/>
  <c r="N24" i="15"/>
  <c r="AB88" i="16"/>
  <c r="AI88" i="15"/>
  <c r="AI83" i="15" s="1"/>
  <c r="AD83" i="15"/>
  <c r="BP31" i="15"/>
  <c r="BJ15" i="15" s="1"/>
  <c r="Y237" i="16"/>
  <c r="AA235" i="15"/>
  <c r="AH237" i="15"/>
  <c r="AH235" i="15" s="1"/>
  <c r="AH234" i="15" s="1"/>
  <c r="AD50" i="16"/>
  <c r="AB49" i="16"/>
  <c r="I56" i="16"/>
  <c r="AD107" i="16"/>
  <c r="AB105" i="16"/>
  <c r="AB104" i="16" s="1"/>
  <c r="AA133" i="16"/>
  <c r="J126" i="14"/>
  <c r="J130" i="14" s="1"/>
  <c r="T15" i="16"/>
  <c r="BD7" i="14"/>
  <c r="I12" i="15"/>
  <c r="G10" i="15"/>
  <c r="AG181" i="16"/>
  <c r="AJ188" i="16"/>
  <c r="AG198" i="16"/>
  <c r="AJ236" i="16"/>
  <c r="AG227" i="16"/>
  <c r="AJ228" i="16"/>
  <c r="AJ227" i="16" s="1"/>
  <c r="AG222" i="16"/>
  <c r="AJ223" i="16"/>
  <c r="AJ222" i="16" s="1"/>
  <c r="AX13" i="15"/>
  <c r="AS13" i="15"/>
  <c r="AV13" i="15" s="1"/>
  <c r="AG206" i="16"/>
  <c r="AE205" i="16"/>
  <c r="AE220" i="16"/>
  <c r="AG186" i="16"/>
  <c r="G30" i="16"/>
  <c r="I29" i="15"/>
  <c r="M30" i="15"/>
  <c r="M29" i="15" s="1"/>
  <c r="G23" i="16"/>
  <c r="M23" i="15"/>
  <c r="BD12" i="15"/>
  <c r="Y112" i="15" l="1"/>
  <c r="Y110" i="15" s="1"/>
  <c r="AB8" i="14"/>
  <c r="AB260" i="14" s="1"/>
  <c r="AB264" i="14" s="1"/>
  <c r="AI10" i="14"/>
  <c r="AI8" i="14" s="1"/>
  <c r="AI260" i="14" s="1"/>
  <c r="AI264" i="14" s="1"/>
  <c r="BJ8" i="14"/>
  <c r="AX28" i="14"/>
  <c r="AZ28" i="14" s="1"/>
  <c r="AV28" i="14"/>
  <c r="AW28" i="14"/>
  <c r="AY28" i="14" s="1"/>
  <c r="AU28" i="14"/>
  <c r="BO22" i="15"/>
  <c r="BI11" i="15" s="1"/>
  <c r="AW27" i="14"/>
  <c r="AY27" i="14" s="1"/>
  <c r="AU27" i="14"/>
  <c r="AX26" i="14"/>
  <c r="AZ26" i="14" s="1"/>
  <c r="AV26" i="14"/>
  <c r="AW26" i="14"/>
  <c r="AY26" i="14" s="1"/>
  <c r="AU26" i="14"/>
  <c r="Y258" i="14"/>
  <c r="AU24" i="14"/>
  <c r="Y14" i="15"/>
  <c r="AB14" i="15"/>
  <c r="AB12" i="15" s="1"/>
  <c r="AB10" i="15" s="1"/>
  <c r="AW9" i="15"/>
  <c r="AY9" i="15" s="1"/>
  <c r="I8" i="13"/>
  <c r="I126" i="13" s="1"/>
  <c r="I130" i="13" s="1"/>
  <c r="AU16" i="14"/>
  <c r="AX23" i="14"/>
  <c r="AZ23" i="14" s="1"/>
  <c r="AV23" i="14"/>
  <c r="J21" i="15"/>
  <c r="J19" i="15" s="1"/>
  <c r="J17" i="15" s="1"/>
  <c r="J8" i="15" s="1"/>
  <c r="Y220" i="16"/>
  <c r="AW23" i="14"/>
  <c r="AY23" i="14" s="1"/>
  <c r="AU23" i="14"/>
  <c r="AH93" i="15"/>
  <c r="AH91" i="15" s="1"/>
  <c r="AH90" i="15" s="1"/>
  <c r="AA91" i="15"/>
  <c r="AA90" i="15" s="1"/>
  <c r="Y93" i="16"/>
  <c r="AA58" i="15"/>
  <c r="AA57" i="15" s="1"/>
  <c r="AH59" i="15"/>
  <c r="AH58" i="15" s="1"/>
  <c r="AH57" i="15" s="1"/>
  <c r="Y59" i="16"/>
  <c r="J34" i="16"/>
  <c r="N34" i="15"/>
  <c r="N32" i="15" s="1"/>
  <c r="N28" i="15" s="1"/>
  <c r="AX9" i="15"/>
  <c r="AZ9" i="15" s="1"/>
  <c r="L32" i="15"/>
  <c r="L28" i="15" s="1"/>
  <c r="AS9" i="15" s="1"/>
  <c r="AV9" i="15" s="1"/>
  <c r="Y125" i="16"/>
  <c r="AH125" i="15"/>
  <c r="AH123" i="15" s="1"/>
  <c r="AA123" i="15"/>
  <c r="J49" i="16"/>
  <c r="N49" i="15"/>
  <c r="N48" i="15" s="1"/>
  <c r="L48" i="15"/>
  <c r="AX14" i="15"/>
  <c r="AZ14" i="15" s="1"/>
  <c r="AI174" i="16"/>
  <c r="AI172" i="16" s="1"/>
  <c r="AD172" i="16"/>
  <c r="N43" i="16"/>
  <c r="N42" i="16" s="1"/>
  <c r="AX10" i="16"/>
  <c r="AZ10" i="16" s="1"/>
  <c r="L42" i="16"/>
  <c r="AS10" i="16" s="1"/>
  <c r="AB46" i="16"/>
  <c r="AD44" i="15"/>
  <c r="AD43" i="15" s="1"/>
  <c r="AI46" i="15"/>
  <c r="AI44" i="15" s="1"/>
  <c r="AI43" i="15" s="1"/>
  <c r="Y198" i="16"/>
  <c r="BO26" i="15"/>
  <c r="AH198" i="15"/>
  <c r="AH197" i="15" s="1"/>
  <c r="AH196" i="15" s="1"/>
  <c r="AH195" i="15" s="1"/>
  <c r="AH193" i="15" s="1"/>
  <c r="AA197" i="15"/>
  <c r="AA196" i="15" s="1"/>
  <c r="AB71" i="16"/>
  <c r="AI71" i="15"/>
  <c r="AI69" i="15" s="1"/>
  <c r="AI65" i="15" s="1"/>
  <c r="AI63" i="15" s="1"/>
  <c r="AD69" i="15"/>
  <c r="AD65" i="15" s="1"/>
  <c r="AD63" i="15" s="1"/>
  <c r="AV16" i="14"/>
  <c r="AG90" i="14"/>
  <c r="AS25" i="14" s="1"/>
  <c r="Y176" i="16"/>
  <c r="Y170" i="16" s="1"/>
  <c r="AA177" i="16"/>
  <c r="I80" i="16"/>
  <c r="M80" i="16" s="1"/>
  <c r="G78" i="16"/>
  <c r="I78" i="16" s="1"/>
  <c r="M78" i="16" s="1"/>
  <c r="AD97" i="16"/>
  <c r="AB96" i="16"/>
  <c r="AB90" i="16" s="1"/>
  <c r="AA47" i="16"/>
  <c r="Y44" i="16"/>
  <c r="Y43" i="16" s="1"/>
  <c r="AX25" i="13"/>
  <c r="AZ25" i="13" s="1"/>
  <c r="AV25" i="13"/>
  <c r="BO15" i="14"/>
  <c r="BI10" i="14" s="1"/>
  <c r="J61" i="16"/>
  <c r="N61" i="15"/>
  <c r="N60" i="15" s="1"/>
  <c r="L60" i="15"/>
  <c r="AD195" i="15"/>
  <c r="BP28" i="15"/>
  <c r="BP25" i="15" s="1"/>
  <c r="BJ12" i="15" s="1"/>
  <c r="AG141" i="16"/>
  <c r="AJ143" i="16"/>
  <c r="AJ141" i="16" s="1"/>
  <c r="AB151" i="16"/>
  <c r="AI151" i="15"/>
  <c r="AI149" i="15" s="1"/>
  <c r="AI147" i="15" s="1"/>
  <c r="AD149" i="15"/>
  <c r="AD147" i="15" s="1"/>
  <c r="BP16" i="15" s="1"/>
  <c r="AB21" i="16"/>
  <c r="AI21" i="15"/>
  <c r="AI20" i="15" s="1"/>
  <c r="AI16" i="15" s="1"/>
  <c r="AD20" i="15"/>
  <c r="AD16" i="15" s="1"/>
  <c r="N67" i="16"/>
  <c r="N66" i="16" s="1"/>
  <c r="L66" i="16"/>
  <c r="AA98" i="16"/>
  <c r="Y96" i="16"/>
  <c r="Y115" i="16"/>
  <c r="AH115" i="15"/>
  <c r="AH114" i="15" s="1"/>
  <c r="AA114" i="15"/>
  <c r="BO16" i="15" s="1"/>
  <c r="G36" i="16"/>
  <c r="M36" i="15"/>
  <c r="M35" i="15" s="1"/>
  <c r="M28" i="15" s="1"/>
  <c r="I35" i="15"/>
  <c r="I28" i="15" s="1"/>
  <c r="AR9" i="15" s="1"/>
  <c r="AU9" i="15" s="1"/>
  <c r="AW10" i="15"/>
  <c r="AY10" i="15" s="1"/>
  <c r="M44" i="15"/>
  <c r="M42" i="15" s="1"/>
  <c r="I42" i="15"/>
  <c r="AR10" i="15" s="1"/>
  <c r="G44" i="16"/>
  <c r="I66" i="15"/>
  <c r="M68" i="15"/>
  <c r="M66" i="15" s="1"/>
  <c r="G68" i="16"/>
  <c r="Y211" i="16"/>
  <c r="Y210" i="16" s="1"/>
  <c r="Y209" i="16" s="1"/>
  <c r="AA215" i="16"/>
  <c r="AA227" i="16"/>
  <c r="AH229" i="16"/>
  <c r="AH227" i="16" s="1"/>
  <c r="AB205" i="16"/>
  <c r="AB196" i="16" s="1"/>
  <c r="AB195" i="16" s="1"/>
  <c r="AB193" i="16" s="1"/>
  <c r="AD206" i="16"/>
  <c r="J73" i="16"/>
  <c r="N73" i="15"/>
  <c r="N72" i="15" s="1"/>
  <c r="L72" i="15"/>
  <c r="N55" i="16"/>
  <c r="N54" i="16" s="1"/>
  <c r="L54" i="16"/>
  <c r="Y159" i="16"/>
  <c r="AA157" i="15"/>
  <c r="AA155" i="15" s="1"/>
  <c r="AA145" i="15" s="1"/>
  <c r="AH159" i="15"/>
  <c r="AH157" i="15" s="1"/>
  <c r="AH155" i="15" s="1"/>
  <c r="AH145" i="15" s="1"/>
  <c r="AW25" i="14"/>
  <c r="AY25" i="14" s="1"/>
  <c r="AU25" i="14"/>
  <c r="AH52" i="16"/>
  <c r="AH49" i="16" s="1"/>
  <c r="AA49" i="16"/>
  <c r="AH223" i="16"/>
  <c r="AH222" i="16" s="1"/>
  <c r="AA222" i="16"/>
  <c r="AH188" i="16"/>
  <c r="AH187" i="16" s="1"/>
  <c r="AH185" i="16" s="1"/>
  <c r="AA187" i="16"/>
  <c r="AA185" i="16" s="1"/>
  <c r="AA141" i="16"/>
  <c r="BO20" i="16" s="1"/>
  <c r="D43" i="20" s="1"/>
  <c r="AH143" i="16"/>
  <c r="AH141" i="16" s="1"/>
  <c r="M50" i="16"/>
  <c r="M48" i="16" s="1"/>
  <c r="I48" i="16"/>
  <c r="AE193" i="15"/>
  <c r="Y8" i="14"/>
  <c r="Y260" i="14" s="1"/>
  <c r="Y264" i="14" s="1"/>
  <c r="AJ90" i="14"/>
  <c r="AJ63" i="14" s="1"/>
  <c r="AJ12" i="14" s="1"/>
  <c r="AJ10" i="14" s="1"/>
  <c r="AG99" i="15"/>
  <c r="AE96" i="15"/>
  <c r="AJ106" i="15"/>
  <c r="AJ105" i="15" s="1"/>
  <c r="AJ104" i="15" s="1"/>
  <c r="AE106" i="16"/>
  <c r="AG105" i="15"/>
  <c r="AG104" i="15" s="1"/>
  <c r="AE116" i="16"/>
  <c r="AJ116" i="15"/>
  <c r="AJ114" i="15" s="1"/>
  <c r="AG114" i="15"/>
  <c r="AE160" i="16"/>
  <c r="AJ160" i="15"/>
  <c r="AJ157" i="15" s="1"/>
  <c r="AJ155" i="15" s="1"/>
  <c r="AJ145" i="15" s="1"/>
  <c r="AG157" i="15"/>
  <c r="AG155" i="15" s="1"/>
  <c r="AG145" i="15" s="1"/>
  <c r="AV27" i="14"/>
  <c r="AX27" i="14"/>
  <c r="AZ27" i="14" s="1"/>
  <c r="AG63" i="14"/>
  <c r="AG12" i="14" s="1"/>
  <c r="AG10" i="14" s="1"/>
  <c r="AG94" i="15"/>
  <c r="AE91" i="15"/>
  <c r="AE87" i="16"/>
  <c r="AJ87" i="15"/>
  <c r="AJ83" i="15" s="1"/>
  <c r="AG83" i="15"/>
  <c r="AS24" i="15" s="1"/>
  <c r="AE189" i="16"/>
  <c r="AJ189" i="15"/>
  <c r="AJ187" i="15" s="1"/>
  <c r="AJ185" i="15" s="1"/>
  <c r="AG187" i="15"/>
  <c r="AG185" i="15" s="1"/>
  <c r="AG178" i="15"/>
  <c r="AE176" i="15"/>
  <c r="AE170" i="15" s="1"/>
  <c r="AG126" i="15"/>
  <c r="AE123" i="15"/>
  <c r="AE112" i="15" s="1"/>
  <c r="AE110" i="15" s="1"/>
  <c r="AG8" i="13"/>
  <c r="AG258" i="13"/>
  <c r="AS31" i="13" s="1"/>
  <c r="AS32" i="13" s="1"/>
  <c r="BP29" i="14"/>
  <c r="BJ13" i="14" s="1"/>
  <c r="AR30" i="14"/>
  <c r="U262" i="16"/>
  <c r="U260" i="16" s="1"/>
  <c r="U264" i="16" s="1"/>
  <c r="AF262" i="16"/>
  <c r="AF260" i="16" s="1"/>
  <c r="AF264" i="16" s="1"/>
  <c r="AA262" i="16"/>
  <c r="Z262" i="16"/>
  <c r="Z260" i="16" s="1"/>
  <c r="Z264" i="16" s="1"/>
  <c r="AB262" i="16"/>
  <c r="Y262" i="16"/>
  <c r="W262" i="16"/>
  <c r="W260" i="16" s="1"/>
  <c r="W264" i="16" s="1"/>
  <c r="V262" i="16"/>
  <c r="V260" i="16" s="1"/>
  <c r="V264" i="16" s="1"/>
  <c r="X262" i="16"/>
  <c r="X260" i="16" s="1"/>
  <c r="X264" i="16" s="1"/>
  <c r="AC262" i="16"/>
  <c r="AC260" i="16" s="1"/>
  <c r="AC264" i="16" s="1"/>
  <c r="AA234" i="15"/>
  <c r="AD10" i="14"/>
  <c r="AF258" i="14"/>
  <c r="AE243" i="15"/>
  <c r="AE232" i="15" s="1"/>
  <c r="AG244" i="15"/>
  <c r="G55" i="16"/>
  <c r="M55" i="15"/>
  <c r="M54" i="15" s="1"/>
  <c r="BD17" i="15"/>
  <c r="BD10" i="15" s="1"/>
  <c r="BD9" i="15" s="1"/>
  <c r="BD8" i="15" s="1"/>
  <c r="AW14" i="15"/>
  <c r="AY14" i="15" s="1"/>
  <c r="I54" i="15"/>
  <c r="AI262" i="15"/>
  <c r="AA244" i="15"/>
  <c r="Y243" i="15"/>
  <c r="Y232" i="15" s="1"/>
  <c r="AD244" i="15"/>
  <c r="AB243" i="15"/>
  <c r="AB232" i="15" s="1"/>
  <c r="AG232" i="14"/>
  <c r="AS30" i="14" s="1"/>
  <c r="Y1" i="13"/>
  <c r="BO33" i="13"/>
  <c r="BJ9" i="14"/>
  <c r="BP8" i="14"/>
  <c r="BP7" i="14" s="1"/>
  <c r="AA12" i="14"/>
  <c r="BJ14" i="16"/>
  <c r="E53" i="20"/>
  <c r="AH12" i="14"/>
  <c r="AR31" i="13"/>
  <c r="AR32" i="13" s="1"/>
  <c r="AV35" i="13" s="1"/>
  <c r="Y63" i="15"/>
  <c r="AJ212" i="15"/>
  <c r="AJ211" i="15" s="1"/>
  <c r="AJ210" i="15" s="1"/>
  <c r="AJ209" i="15" s="1"/>
  <c r="AG211" i="15"/>
  <c r="AG210" i="15" s="1"/>
  <c r="AG209" i="15" s="1"/>
  <c r="AE212" i="16"/>
  <c r="AE202" i="16"/>
  <c r="AJ202" i="15"/>
  <c r="AJ197" i="15" s="1"/>
  <c r="AJ196" i="15" s="1"/>
  <c r="AJ195" i="15" s="1"/>
  <c r="AG197" i="15"/>
  <c r="AG196" i="15" s="1"/>
  <c r="AG195" i="15" s="1"/>
  <c r="AH61" i="16"/>
  <c r="BO31" i="16"/>
  <c r="Y85" i="16"/>
  <c r="AA83" i="15"/>
  <c r="AH85" i="15"/>
  <c r="AH83" i="15" s="1"/>
  <c r="AJ241" i="15"/>
  <c r="AJ262" i="15" s="1"/>
  <c r="AE241" i="16"/>
  <c r="AE262" i="16" s="1"/>
  <c r="AG235" i="15"/>
  <c r="I21" i="14"/>
  <c r="I19" i="14" s="1"/>
  <c r="I17" i="14" s="1"/>
  <c r="Y37" i="16"/>
  <c r="AA35" i="15"/>
  <c r="AH37" i="15"/>
  <c r="AH35" i="15" s="1"/>
  <c r="AB39" i="16"/>
  <c r="AI39" i="15"/>
  <c r="AI35" i="15" s="1"/>
  <c r="AD35" i="15"/>
  <c r="Y71" i="16"/>
  <c r="AA69" i="15"/>
  <c r="AA65" i="15" s="1"/>
  <c r="AH71" i="15"/>
  <c r="AH69" i="15" s="1"/>
  <c r="AH65" i="15" s="1"/>
  <c r="AJ70" i="15"/>
  <c r="AJ69" i="15" s="1"/>
  <c r="AJ65" i="15" s="1"/>
  <c r="AE70" i="16"/>
  <c r="AG69" i="15"/>
  <c r="AG65" i="15" s="1"/>
  <c r="BO8" i="14"/>
  <c r="BI8" i="14"/>
  <c r="AB167" i="16"/>
  <c r="AI167" i="15"/>
  <c r="AI157" i="15" s="1"/>
  <c r="AI155" i="15" s="1"/>
  <c r="BP19" i="15"/>
  <c r="AD157" i="15"/>
  <c r="AD155" i="15" s="1"/>
  <c r="AE52" i="16"/>
  <c r="AJ52" i="15"/>
  <c r="AJ49" i="15" s="1"/>
  <c r="AJ43" i="15" s="1"/>
  <c r="AG49" i="15"/>
  <c r="AG43" i="15" s="1"/>
  <c r="Y27" i="16"/>
  <c r="AA20" i="15"/>
  <c r="AA16" i="15" s="1"/>
  <c r="AH27" i="15"/>
  <c r="AH20" i="15" s="1"/>
  <c r="AH16" i="15" s="1"/>
  <c r="AE14" i="15"/>
  <c r="G8" i="14"/>
  <c r="G126" i="14" s="1"/>
  <c r="G130" i="14" s="1"/>
  <c r="AJ23" i="15"/>
  <c r="AJ20" i="15" s="1"/>
  <c r="AJ16" i="15" s="1"/>
  <c r="AE23" i="16"/>
  <c r="AG20" i="15"/>
  <c r="AG16" i="15" s="1"/>
  <c r="AB180" i="16"/>
  <c r="AD176" i="15"/>
  <c r="AD170" i="15" s="1"/>
  <c r="AI180" i="15"/>
  <c r="AI176" i="15" s="1"/>
  <c r="AI170" i="15" s="1"/>
  <c r="AJ124" i="16"/>
  <c r="AJ80" i="16"/>
  <c r="AS14" i="14"/>
  <c r="AJ161" i="16"/>
  <c r="AI75" i="16"/>
  <c r="AI216" i="16"/>
  <c r="AI211" i="16" s="1"/>
  <c r="AI210" i="16" s="1"/>
  <c r="AI209" i="16" s="1"/>
  <c r="AD211" i="16"/>
  <c r="AD210" i="16" s="1"/>
  <c r="AD209" i="16" s="1"/>
  <c r="AR29" i="16" s="1"/>
  <c r="M128" i="14"/>
  <c r="BD22" i="14"/>
  <c r="M21" i="14"/>
  <c r="M19" i="14" s="1"/>
  <c r="M17" i="14" s="1"/>
  <c r="M8" i="14" s="1"/>
  <c r="I24" i="15"/>
  <c r="G22" i="15"/>
  <c r="L8" i="14"/>
  <c r="L126" i="14" s="1"/>
  <c r="L130" i="14" s="1"/>
  <c r="J27" i="16"/>
  <c r="J128" i="16" s="1"/>
  <c r="N27" i="15"/>
  <c r="N25" i="15" s="1"/>
  <c r="L25" i="15"/>
  <c r="AS8" i="15" s="1"/>
  <c r="AV8" i="15" s="1"/>
  <c r="AX8" i="15"/>
  <c r="AZ8" i="15" s="1"/>
  <c r="I27" i="15"/>
  <c r="G25" i="15"/>
  <c r="G128" i="15"/>
  <c r="AS7" i="15"/>
  <c r="AV7" i="15" s="1"/>
  <c r="L10" i="15"/>
  <c r="N13" i="15"/>
  <c r="N10" i="15" s="1"/>
  <c r="J13" i="16"/>
  <c r="N22" i="15"/>
  <c r="L24" i="16"/>
  <c r="J22" i="16"/>
  <c r="AD88" i="16"/>
  <c r="AD262" i="16" s="1"/>
  <c r="AB83" i="16"/>
  <c r="AA237" i="16"/>
  <c r="Y235" i="16"/>
  <c r="Y234" i="16" s="1"/>
  <c r="AD105" i="16"/>
  <c r="AD104" i="16" s="1"/>
  <c r="AI107" i="16"/>
  <c r="AI105" i="16" s="1"/>
  <c r="AI104" i="16" s="1"/>
  <c r="AD49" i="16"/>
  <c r="AI50" i="16"/>
  <c r="AI49" i="16" s="1"/>
  <c r="M56" i="16"/>
  <c r="AH133" i="16"/>
  <c r="AJ220" i="16"/>
  <c r="AG220" i="16"/>
  <c r="G12" i="16"/>
  <c r="I10" i="15"/>
  <c r="M12" i="15"/>
  <c r="AZ16" i="14"/>
  <c r="AX17" i="14"/>
  <c r="AW17" i="14"/>
  <c r="I23" i="16"/>
  <c r="AG205" i="16"/>
  <c r="AJ206" i="16"/>
  <c r="AJ205" i="16" s="1"/>
  <c r="AJ186" i="16"/>
  <c r="G29" i="16"/>
  <c r="I30" i="16"/>
  <c r="AZ13" i="15"/>
  <c r="AJ198" i="16"/>
  <c r="AJ181" i="16"/>
  <c r="AJ193" i="15" l="1"/>
  <c r="AI258" i="14"/>
  <c r="BJ7" i="14"/>
  <c r="BJ16" i="14" s="1"/>
  <c r="AX30" i="14"/>
  <c r="AZ30" i="14" s="1"/>
  <c r="AV30" i="14"/>
  <c r="AW30" i="14"/>
  <c r="AY30" i="14" s="1"/>
  <c r="AU30" i="14"/>
  <c r="BI7" i="14"/>
  <c r="BI16" i="14" s="1"/>
  <c r="BO7" i="14"/>
  <c r="BO32" i="14" s="1"/>
  <c r="Y12" i="15"/>
  <c r="Y10" i="15" s="1"/>
  <c r="Y8" i="15" s="1"/>
  <c r="Y260" i="15" s="1"/>
  <c r="Y264" i="15" s="1"/>
  <c r="AD14" i="15"/>
  <c r="AD12" i="15" s="1"/>
  <c r="J5" i="13"/>
  <c r="K1" i="13"/>
  <c r="AI145" i="15"/>
  <c r="AI110" i="15" s="1"/>
  <c r="AI14" i="15"/>
  <c r="AI12" i="15" s="1"/>
  <c r="AA220" i="16"/>
  <c r="BO30" i="16" s="1"/>
  <c r="D53" i="20" s="1"/>
  <c r="BO13" i="15"/>
  <c r="L73" i="16"/>
  <c r="J72" i="16"/>
  <c r="AA115" i="16"/>
  <c r="Y114" i="16"/>
  <c r="AI97" i="16"/>
  <c r="AI96" i="16" s="1"/>
  <c r="AI90" i="16" s="1"/>
  <c r="AD96" i="16"/>
  <c r="AD90" i="16" s="1"/>
  <c r="BO28" i="15"/>
  <c r="BO25" i="15" s="1"/>
  <c r="BI12" i="15" s="1"/>
  <c r="AA195" i="15"/>
  <c r="AA193" i="15" s="1"/>
  <c r="AA112" i="15"/>
  <c r="AA110" i="15" s="1"/>
  <c r="BO17" i="15"/>
  <c r="BO15" i="15" s="1"/>
  <c r="BI10" i="15" s="1"/>
  <c r="AH220" i="16"/>
  <c r="AD205" i="16"/>
  <c r="AD196" i="16" s="1"/>
  <c r="AI206" i="16"/>
  <c r="AI205" i="16" s="1"/>
  <c r="AI196" i="16" s="1"/>
  <c r="AI195" i="16" s="1"/>
  <c r="AI193" i="16" s="1"/>
  <c r="AH215" i="16"/>
  <c r="AH211" i="16" s="1"/>
  <c r="AH210" i="16" s="1"/>
  <c r="AH209" i="16" s="1"/>
  <c r="AA211" i="16"/>
  <c r="AA210" i="16" s="1"/>
  <c r="AA209" i="16" s="1"/>
  <c r="BO27" i="16" s="1"/>
  <c r="D50" i="20" s="1"/>
  <c r="I36" i="16"/>
  <c r="BD13" i="16" s="1"/>
  <c r="D13" i="20" s="1"/>
  <c r="G35" i="16"/>
  <c r="G28" i="16" s="1"/>
  <c r="BP12" i="15"/>
  <c r="BP9" i="15" s="1"/>
  <c r="AR23" i="15"/>
  <c r="L61" i="16"/>
  <c r="J60" i="16"/>
  <c r="BP13" i="15"/>
  <c r="AR25" i="15"/>
  <c r="AH112" i="15"/>
  <c r="AH110" i="15" s="1"/>
  <c r="AX24" i="15"/>
  <c r="AZ24" i="15" s="1"/>
  <c r="AV24" i="15"/>
  <c r="AH98" i="16"/>
  <c r="AH96" i="16" s="1"/>
  <c r="AA96" i="16"/>
  <c r="AD151" i="16"/>
  <c r="AB149" i="16"/>
  <c r="AB147" i="16" s="1"/>
  <c r="AR28" i="15"/>
  <c r="AD193" i="15"/>
  <c r="AH47" i="16"/>
  <c r="AH44" i="16" s="1"/>
  <c r="AH43" i="16" s="1"/>
  <c r="AA44" i="16"/>
  <c r="AA43" i="16" s="1"/>
  <c r="AX25" i="14"/>
  <c r="AZ25" i="14" s="1"/>
  <c r="AV25" i="14"/>
  <c r="AD46" i="16"/>
  <c r="AB44" i="16"/>
  <c r="AB43" i="16" s="1"/>
  <c r="AA125" i="16"/>
  <c r="Y123" i="16"/>
  <c r="L34" i="16"/>
  <c r="J32" i="16"/>
  <c r="J28" i="16" s="1"/>
  <c r="AA93" i="16"/>
  <c r="Y91" i="16"/>
  <c r="Y90" i="16" s="1"/>
  <c r="AA159" i="16"/>
  <c r="Y157" i="16"/>
  <c r="Y155" i="16" s="1"/>
  <c r="Y145" i="16" s="1"/>
  <c r="G66" i="16"/>
  <c r="I68" i="16"/>
  <c r="I44" i="16"/>
  <c r="G42" i="16"/>
  <c r="AD21" i="16"/>
  <c r="AB20" i="16"/>
  <c r="AB16" i="16" s="1"/>
  <c r="BO23" i="16"/>
  <c r="D46" i="20" s="1"/>
  <c r="AH177" i="16"/>
  <c r="AH176" i="16" s="1"/>
  <c r="AH170" i="16" s="1"/>
  <c r="AA176" i="16"/>
  <c r="AA170" i="16" s="1"/>
  <c r="BO24" i="16" s="1"/>
  <c r="AD71" i="16"/>
  <c r="AB69" i="16"/>
  <c r="AB65" i="16" s="1"/>
  <c r="AB63" i="16" s="1"/>
  <c r="AA198" i="16"/>
  <c r="Y197" i="16"/>
  <c r="Y196" i="16" s="1"/>
  <c r="Y195" i="16" s="1"/>
  <c r="Y193" i="16" s="1"/>
  <c r="L49" i="16"/>
  <c r="J48" i="16"/>
  <c r="AA59" i="16"/>
  <c r="Y58" i="16"/>
  <c r="Y57" i="16" s="1"/>
  <c r="BP32" i="14"/>
  <c r="AJ8" i="14"/>
  <c r="AJ260" i="14" s="1"/>
  <c r="AJ264" i="14" s="1"/>
  <c r="AJ258" i="14"/>
  <c r="AD8" i="14"/>
  <c r="AD260" i="14" s="1"/>
  <c r="AD264" i="14" s="1"/>
  <c r="AG8" i="14"/>
  <c r="AG260" i="14" s="1"/>
  <c r="AG264" i="14" s="1"/>
  <c r="AB8" i="15"/>
  <c r="AB260" i="15" s="1"/>
  <c r="AB264" i="15" s="1"/>
  <c r="AG189" i="16"/>
  <c r="AE187" i="16"/>
  <c r="AE185" i="16" s="1"/>
  <c r="AG260" i="13"/>
  <c r="AG264" i="13" s="1"/>
  <c r="AC1" i="13"/>
  <c r="AE178" i="16"/>
  <c r="AJ178" i="15"/>
  <c r="AJ176" i="15" s="1"/>
  <c r="AJ170" i="15" s="1"/>
  <c r="AG176" i="15"/>
  <c r="AG170" i="15" s="1"/>
  <c r="AS27" i="15" s="1"/>
  <c r="AG160" i="16"/>
  <c r="AE157" i="16"/>
  <c r="AE155" i="16" s="1"/>
  <c r="AE145" i="16" s="1"/>
  <c r="AG116" i="16"/>
  <c r="AE114" i="16"/>
  <c r="AE90" i="15"/>
  <c r="AE63" i="15" s="1"/>
  <c r="AE12" i="15" s="1"/>
  <c r="AE10" i="15" s="1"/>
  <c r="AE94" i="16"/>
  <c r="AJ94" i="15"/>
  <c r="AJ91" i="15" s="1"/>
  <c r="AG91" i="15"/>
  <c r="AE99" i="16"/>
  <c r="AJ99" i="15"/>
  <c r="AJ96" i="15" s="1"/>
  <c r="AG96" i="15"/>
  <c r="AU35" i="13"/>
  <c r="AJ126" i="15"/>
  <c r="AJ123" i="15" s="1"/>
  <c r="AJ112" i="15" s="1"/>
  <c r="AJ110" i="15" s="1"/>
  <c r="AE126" i="16"/>
  <c r="AG123" i="15"/>
  <c r="AG112" i="15" s="1"/>
  <c r="AG110" i="15" s="1"/>
  <c r="AS26" i="15" s="1"/>
  <c r="AG87" i="16"/>
  <c r="AE83" i="16"/>
  <c r="AG106" i="16"/>
  <c r="AE105" i="16"/>
  <c r="AE104" i="16" s="1"/>
  <c r="AG193" i="15"/>
  <c r="AS28" i="15"/>
  <c r="AS29" i="15"/>
  <c r="AX29" i="15" s="1"/>
  <c r="AZ29" i="15" s="1"/>
  <c r="AE258" i="14"/>
  <c r="AJ244" i="15"/>
  <c r="AJ243" i="15" s="1"/>
  <c r="AE244" i="16"/>
  <c r="AG243" i="15"/>
  <c r="Y244" i="16"/>
  <c r="AA243" i="15"/>
  <c r="AA232" i="15" s="1"/>
  <c r="BO29" i="15" s="1"/>
  <c r="BI13" i="15" s="1"/>
  <c r="AH244" i="15"/>
  <c r="AH243" i="15" s="1"/>
  <c r="AH232" i="15" s="1"/>
  <c r="AH262" i="16"/>
  <c r="AG258" i="14"/>
  <c r="AS31" i="14" s="1"/>
  <c r="AS32" i="14" s="1"/>
  <c r="AG234" i="15"/>
  <c r="AI244" i="15"/>
  <c r="AI243" i="15" s="1"/>
  <c r="AI232" i="15" s="1"/>
  <c r="AB244" i="16"/>
  <c r="AD243" i="15"/>
  <c r="AD232" i="15" s="1"/>
  <c r="I55" i="16"/>
  <c r="G54" i="16"/>
  <c r="AB258" i="15"/>
  <c r="AD258" i="14"/>
  <c r="AH10" i="14"/>
  <c r="AH8" i="14" s="1"/>
  <c r="AA10" i="14"/>
  <c r="AA8" i="14" s="1"/>
  <c r="BO14" i="15"/>
  <c r="BI9" i="15" s="1"/>
  <c r="AH14" i="15"/>
  <c r="AH63" i="15"/>
  <c r="AJ14" i="15"/>
  <c r="AA63" i="15"/>
  <c r="AR14" i="14"/>
  <c r="AR24" i="15"/>
  <c r="AW24" i="15" s="1"/>
  <c r="AY24" i="15" s="1"/>
  <c r="BP14" i="15"/>
  <c r="BJ9" i="15" s="1"/>
  <c r="AG241" i="16"/>
  <c r="AG262" i="16" s="1"/>
  <c r="AE235" i="16"/>
  <c r="AE234" i="16" s="1"/>
  <c r="AA85" i="16"/>
  <c r="Y83" i="16"/>
  <c r="AJ235" i="15"/>
  <c r="AJ234" i="15" s="1"/>
  <c r="AG212" i="16"/>
  <c r="AE211" i="16"/>
  <c r="AE210" i="16" s="1"/>
  <c r="AE209" i="16" s="1"/>
  <c r="BI15" i="16"/>
  <c r="D54" i="20"/>
  <c r="AG202" i="16"/>
  <c r="AE197" i="16"/>
  <c r="AE196" i="16" s="1"/>
  <c r="AE195" i="16" s="1"/>
  <c r="AE193" i="16" s="1"/>
  <c r="G21" i="15"/>
  <c r="G19" i="15" s="1"/>
  <c r="G17" i="15" s="1"/>
  <c r="AA37" i="16"/>
  <c r="Y35" i="16"/>
  <c r="AG14" i="15"/>
  <c r="AS23" i="15"/>
  <c r="BO12" i="15"/>
  <c r="BO9" i="15" s="1"/>
  <c r="AA14" i="15"/>
  <c r="AG52" i="16"/>
  <c r="AE49" i="16"/>
  <c r="AE43" i="16" s="1"/>
  <c r="AD167" i="16"/>
  <c r="AB157" i="16"/>
  <c r="AB155" i="16" s="1"/>
  <c r="AG23" i="16"/>
  <c r="AE20" i="16"/>
  <c r="AE16" i="16" s="1"/>
  <c r="AA27" i="16"/>
  <c r="Y20" i="16"/>
  <c r="Y16" i="16" s="1"/>
  <c r="AD145" i="15"/>
  <c r="AD110" i="15" s="1"/>
  <c r="AR26" i="15" s="1"/>
  <c r="BP17" i="15"/>
  <c r="BP15" i="15" s="1"/>
  <c r="BJ10" i="15" s="1"/>
  <c r="BP24" i="15"/>
  <c r="BP22" i="15" s="1"/>
  <c r="BJ11" i="15" s="1"/>
  <c r="AR27" i="15"/>
  <c r="AD39" i="16"/>
  <c r="AB35" i="16"/>
  <c r="I8" i="14"/>
  <c r="I126" i="14" s="1"/>
  <c r="I130" i="14" s="1"/>
  <c r="AD180" i="16"/>
  <c r="AB176" i="16"/>
  <c r="AB170" i="16" s="1"/>
  <c r="AG70" i="16"/>
  <c r="AE69" i="16"/>
  <c r="AE65" i="16" s="1"/>
  <c r="AA71" i="16"/>
  <c r="Y69" i="16"/>
  <c r="Y65" i="16" s="1"/>
  <c r="AR16" i="15"/>
  <c r="AW16" i="15" s="1"/>
  <c r="AY16" i="15" s="1"/>
  <c r="AS16" i="15"/>
  <c r="AX16" i="15" s="1"/>
  <c r="BP27" i="16"/>
  <c r="AW29" i="16"/>
  <c r="AY29" i="16" s="1"/>
  <c r="AV14" i="14"/>
  <c r="AS17" i="14"/>
  <c r="N128" i="15"/>
  <c r="G24" i="16"/>
  <c r="BD21" i="15"/>
  <c r="M24" i="15"/>
  <c r="M22" i="15" s="1"/>
  <c r="I22" i="15"/>
  <c r="AR7" i="15" s="1"/>
  <c r="AU7" i="15" s="1"/>
  <c r="AW7" i="15"/>
  <c r="AY7" i="15" s="1"/>
  <c r="N21" i="15"/>
  <c r="N19" i="15" s="1"/>
  <c r="N17" i="15" s="1"/>
  <c r="N8" i="15" s="1"/>
  <c r="L21" i="15"/>
  <c r="L19" i="15" s="1"/>
  <c r="L17" i="15" s="1"/>
  <c r="L8" i="15" s="1"/>
  <c r="L27" i="16"/>
  <c r="L128" i="16" s="1"/>
  <c r="J25" i="16"/>
  <c r="G27" i="16"/>
  <c r="M27" i="15"/>
  <c r="M25" i="15" s="1"/>
  <c r="I25" i="15"/>
  <c r="AW8" i="15"/>
  <c r="AY8" i="15" s="1"/>
  <c r="I128" i="15"/>
  <c r="M10" i="15"/>
  <c r="N24" i="16"/>
  <c r="L22" i="16"/>
  <c r="AX7" i="16"/>
  <c r="AZ7" i="16" s="1"/>
  <c r="L13" i="16"/>
  <c r="J10" i="16"/>
  <c r="AI88" i="16"/>
  <c r="AI262" i="16" s="1"/>
  <c r="AD83" i="16"/>
  <c r="BP31" i="16"/>
  <c r="AA235" i="16"/>
  <c r="AH237" i="16"/>
  <c r="AH235" i="16" s="1"/>
  <c r="AH234" i="16" s="1"/>
  <c r="J126" i="15"/>
  <c r="J130" i="15" s="1"/>
  <c r="BD7" i="15"/>
  <c r="G10" i="16"/>
  <c r="I12" i="16"/>
  <c r="D22" i="20"/>
  <c r="I29" i="16"/>
  <c r="M30" i="16"/>
  <c r="M29" i="16" s="1"/>
  <c r="M23" i="16"/>
  <c r="BD12" i="16"/>
  <c r="AX13" i="16"/>
  <c r="AS13" i="16"/>
  <c r="AV13" i="16" s="1"/>
  <c r="AW9" i="16" l="1"/>
  <c r="AY9" i="16" s="1"/>
  <c r="BI14" i="16"/>
  <c r="AX28" i="15"/>
  <c r="AZ28" i="15" s="1"/>
  <c r="AV28" i="15"/>
  <c r="AW28" i="15"/>
  <c r="AY28" i="15" s="1"/>
  <c r="AU28" i="15"/>
  <c r="AW27" i="15"/>
  <c r="AY27" i="15" s="1"/>
  <c r="AU27" i="15"/>
  <c r="AB145" i="16"/>
  <c r="AB110" i="16" s="1"/>
  <c r="AX26" i="15"/>
  <c r="AZ26" i="15" s="1"/>
  <c r="AV26" i="15"/>
  <c r="AI10" i="15"/>
  <c r="AI8" i="15" s="1"/>
  <c r="AI260" i="15" s="1"/>
  <c r="AI264" i="15" s="1"/>
  <c r="AW26" i="15"/>
  <c r="AY26" i="15" s="1"/>
  <c r="AU26" i="15"/>
  <c r="J21" i="16"/>
  <c r="J19" i="16" s="1"/>
  <c r="J17" i="16" s="1"/>
  <c r="J8" i="16" s="1"/>
  <c r="AW23" i="15"/>
  <c r="AY23" i="15" s="1"/>
  <c r="AU23" i="15"/>
  <c r="AX23" i="15"/>
  <c r="AZ23" i="15" s="1"/>
  <c r="AV23" i="15"/>
  <c r="Y112" i="16"/>
  <c r="Y110" i="16" s="1"/>
  <c r="AU16" i="15"/>
  <c r="BO22" i="16"/>
  <c r="BI11" i="16" s="1"/>
  <c r="D47" i="20"/>
  <c r="D45" i="20" s="1"/>
  <c r="AV16" i="15"/>
  <c r="Y1" i="14"/>
  <c r="AB14" i="16"/>
  <c r="AB12" i="16" s="1"/>
  <c r="AI21" i="16"/>
  <c r="AI20" i="16" s="1"/>
  <c r="AI16" i="16" s="1"/>
  <c r="AD20" i="16"/>
  <c r="AD16" i="16" s="1"/>
  <c r="AH93" i="16"/>
  <c r="AH91" i="16" s="1"/>
  <c r="AH90" i="16" s="1"/>
  <c r="AA91" i="16"/>
  <c r="AA90" i="16" s="1"/>
  <c r="AH125" i="16"/>
  <c r="AH123" i="16" s="1"/>
  <c r="AA123" i="16"/>
  <c r="BJ8" i="15"/>
  <c r="BJ7" i="15" s="1"/>
  <c r="AU24" i="15"/>
  <c r="AA58" i="16"/>
  <c r="AA57" i="16" s="1"/>
  <c r="AH59" i="16"/>
  <c r="AH58" i="16" s="1"/>
  <c r="AH57" i="16" s="1"/>
  <c r="BO26" i="16"/>
  <c r="AH198" i="16"/>
  <c r="AH197" i="16" s="1"/>
  <c r="AH196" i="16" s="1"/>
  <c r="AH195" i="16" s="1"/>
  <c r="AH193" i="16" s="1"/>
  <c r="AA197" i="16"/>
  <c r="AA196" i="16" s="1"/>
  <c r="N73" i="16"/>
  <c r="N72" i="16" s="1"/>
  <c r="L72" i="16"/>
  <c r="I42" i="16"/>
  <c r="AR10" i="16" s="1"/>
  <c r="M44" i="16"/>
  <c r="M42" i="16" s="1"/>
  <c r="AW10" i="16"/>
  <c r="AY10" i="16" s="1"/>
  <c r="AH159" i="16"/>
  <c r="AH157" i="16" s="1"/>
  <c r="AH155" i="16" s="1"/>
  <c r="AH145" i="16" s="1"/>
  <c r="AA157" i="16"/>
  <c r="AA155" i="16" s="1"/>
  <c r="AA145" i="16" s="1"/>
  <c r="N34" i="16"/>
  <c r="N32" i="16" s="1"/>
  <c r="N28" i="16" s="1"/>
  <c r="L32" i="16"/>
  <c r="L28" i="16" s="1"/>
  <c r="AS9" i="16" s="1"/>
  <c r="AV9" i="16" s="1"/>
  <c r="AX9" i="16"/>
  <c r="AZ9" i="16" s="1"/>
  <c r="AD44" i="16"/>
  <c r="AD43" i="16" s="1"/>
  <c r="AI46" i="16"/>
  <c r="AI44" i="16" s="1"/>
  <c r="AI43" i="16" s="1"/>
  <c r="AI151" i="16"/>
  <c r="AI149" i="16" s="1"/>
  <c r="AI147" i="16" s="1"/>
  <c r="AD149" i="16"/>
  <c r="AD147" i="16" s="1"/>
  <c r="BP16" i="16" s="1"/>
  <c r="E39" i="20" s="1"/>
  <c r="N61" i="16"/>
  <c r="N60" i="16" s="1"/>
  <c r="L60" i="16"/>
  <c r="M36" i="16"/>
  <c r="M35" i="16" s="1"/>
  <c r="M28" i="16" s="1"/>
  <c r="I35" i="16"/>
  <c r="I28" i="16" s="1"/>
  <c r="AR9" i="16" s="1"/>
  <c r="AU9" i="16" s="1"/>
  <c r="AD195" i="16"/>
  <c r="BP28" i="16"/>
  <c r="E51" i="20" s="1"/>
  <c r="N49" i="16"/>
  <c r="N48" i="16" s="1"/>
  <c r="L48" i="16"/>
  <c r="AX14" i="16"/>
  <c r="AZ14" i="16" s="1"/>
  <c r="AI71" i="16"/>
  <c r="AI69" i="16" s="1"/>
  <c r="AI65" i="16" s="1"/>
  <c r="AD69" i="16"/>
  <c r="AD65" i="16" s="1"/>
  <c r="AD63" i="16" s="1"/>
  <c r="I66" i="16"/>
  <c r="M68" i="16"/>
  <c r="M66" i="16" s="1"/>
  <c r="AW25" i="15"/>
  <c r="AY25" i="15" s="1"/>
  <c r="AU25" i="15"/>
  <c r="AH115" i="16"/>
  <c r="AH114" i="16" s="1"/>
  <c r="AA114" i="16"/>
  <c r="BO16" i="16" s="1"/>
  <c r="D39" i="20" s="1"/>
  <c r="AG90" i="15"/>
  <c r="AG63" i="15" s="1"/>
  <c r="AG12" i="15" s="1"/>
  <c r="AG10" i="15" s="1"/>
  <c r="AG232" i="15"/>
  <c r="AS30" i="15" s="1"/>
  <c r="BP8" i="15"/>
  <c r="BP7" i="15" s="1"/>
  <c r="AJ90" i="15"/>
  <c r="AJ63" i="15" s="1"/>
  <c r="AJ12" i="15" s="1"/>
  <c r="AJ10" i="15" s="1"/>
  <c r="AE8" i="15"/>
  <c r="AE260" i="15" s="1"/>
  <c r="AE264" i="15" s="1"/>
  <c r="AJ87" i="16"/>
  <c r="AJ83" i="16" s="1"/>
  <c r="AG83" i="16"/>
  <c r="AS24" i="16" s="1"/>
  <c r="AJ160" i="16"/>
  <c r="AJ157" i="16" s="1"/>
  <c r="AJ155" i="16" s="1"/>
  <c r="AJ145" i="16" s="1"/>
  <c r="AG157" i="16"/>
  <c r="AG155" i="16" s="1"/>
  <c r="AG145" i="16" s="1"/>
  <c r="AG94" i="16"/>
  <c r="AE91" i="16"/>
  <c r="AV27" i="15"/>
  <c r="AX27" i="15"/>
  <c r="AZ27" i="15" s="1"/>
  <c r="AG105" i="16"/>
  <c r="AG104" i="16" s="1"/>
  <c r="AJ106" i="16"/>
  <c r="AJ105" i="16" s="1"/>
  <c r="AJ104" i="16" s="1"/>
  <c r="AG126" i="16"/>
  <c r="AE123" i="16"/>
  <c r="AE112" i="16" s="1"/>
  <c r="AE110" i="16" s="1"/>
  <c r="AG99" i="16"/>
  <c r="AE96" i="16"/>
  <c r="AJ116" i="16"/>
  <c r="AJ114" i="16" s="1"/>
  <c r="AG114" i="16"/>
  <c r="AG178" i="16"/>
  <c r="AE176" i="16"/>
  <c r="AE170" i="16" s="1"/>
  <c r="AJ189" i="16"/>
  <c r="AJ187" i="16" s="1"/>
  <c r="AJ185" i="16" s="1"/>
  <c r="AG187" i="16"/>
  <c r="AG185" i="16" s="1"/>
  <c r="AA234" i="16"/>
  <c r="AJ232" i="15"/>
  <c r="AH260" i="14"/>
  <c r="AH264" i="14" s="1"/>
  <c r="AH258" i="14"/>
  <c r="M55" i="16"/>
  <c r="M54" i="16" s="1"/>
  <c r="BD17" i="16"/>
  <c r="D17" i="20" s="1"/>
  <c r="AW14" i="16"/>
  <c r="AY14" i="16" s="1"/>
  <c r="I54" i="16"/>
  <c r="AF258" i="15"/>
  <c r="AE243" i="16"/>
  <c r="AE232" i="16" s="1"/>
  <c r="AG244" i="16"/>
  <c r="G8" i="15"/>
  <c r="G126" i="15" s="1"/>
  <c r="G130" i="15" s="1"/>
  <c r="Y258" i="15"/>
  <c r="BP29" i="15"/>
  <c r="BJ13" i="15" s="1"/>
  <c r="AR30" i="15"/>
  <c r="U1" i="14"/>
  <c r="AA260" i="14"/>
  <c r="AA264" i="14" s="1"/>
  <c r="AB243" i="16"/>
  <c r="AB232" i="16" s="1"/>
  <c r="AD244" i="16"/>
  <c r="AA244" i="16"/>
  <c r="Y243" i="16"/>
  <c r="Y232" i="16" s="1"/>
  <c r="AA12" i="15"/>
  <c r="AA10" i="15" s="1"/>
  <c r="AA8" i="15" s="1"/>
  <c r="AA258" i="14"/>
  <c r="BO33" i="14" s="1"/>
  <c r="AD10" i="15"/>
  <c r="AD8" i="15" s="1"/>
  <c r="AH12" i="15"/>
  <c r="AH10" i="15" s="1"/>
  <c r="AH8" i="15" s="1"/>
  <c r="J5" i="14"/>
  <c r="Y63" i="16"/>
  <c r="Y14" i="16"/>
  <c r="AU14" i="14"/>
  <c r="AR17" i="14"/>
  <c r="AJ212" i="16"/>
  <c r="AJ211" i="16" s="1"/>
  <c r="AJ210" i="16" s="1"/>
  <c r="AJ209" i="16" s="1"/>
  <c r="AG211" i="16"/>
  <c r="AG210" i="16" s="1"/>
  <c r="AG209" i="16" s="1"/>
  <c r="AA83" i="16"/>
  <c r="AH85" i="16"/>
  <c r="AH83" i="16" s="1"/>
  <c r="AJ202" i="16"/>
  <c r="AJ197" i="16" s="1"/>
  <c r="AJ196" i="16" s="1"/>
  <c r="AJ195" i="16" s="1"/>
  <c r="AJ193" i="16" s="1"/>
  <c r="AG197" i="16"/>
  <c r="AG196" i="16" s="1"/>
  <c r="AG195" i="16" s="1"/>
  <c r="K1" i="14"/>
  <c r="AJ241" i="16"/>
  <c r="AJ262" i="16" s="1"/>
  <c r="AG235" i="16"/>
  <c r="AE14" i="16"/>
  <c r="AA35" i="16"/>
  <c r="AH37" i="16"/>
  <c r="AH35" i="16" s="1"/>
  <c r="AJ70" i="16"/>
  <c r="AJ69" i="16" s="1"/>
  <c r="AJ65" i="16" s="1"/>
  <c r="AG69" i="16"/>
  <c r="AG65" i="16" s="1"/>
  <c r="AI39" i="16"/>
  <c r="AI35" i="16" s="1"/>
  <c r="AD35" i="16"/>
  <c r="BP33" i="14"/>
  <c r="AR31" i="14"/>
  <c r="AR32" i="14" s="1"/>
  <c r="AV35" i="14" s="1"/>
  <c r="AD176" i="16"/>
  <c r="AD170" i="16" s="1"/>
  <c r="AI180" i="16"/>
  <c r="AI176" i="16" s="1"/>
  <c r="AI170" i="16" s="1"/>
  <c r="AH27" i="16"/>
  <c r="AH20" i="16" s="1"/>
  <c r="AH16" i="16" s="1"/>
  <c r="AA20" i="16"/>
  <c r="AA16" i="16" s="1"/>
  <c r="BP19" i="16"/>
  <c r="E42" i="20" s="1"/>
  <c r="AD157" i="16"/>
  <c r="AD155" i="16" s="1"/>
  <c r="AI167" i="16"/>
  <c r="AI157" i="16" s="1"/>
  <c r="AI155" i="16" s="1"/>
  <c r="BI8" i="15"/>
  <c r="BI7" i="15" s="1"/>
  <c r="BI16" i="15" s="1"/>
  <c r="BO8" i="15"/>
  <c r="BO7" i="15" s="1"/>
  <c r="BO32" i="15" s="1"/>
  <c r="AH71" i="16"/>
  <c r="AH69" i="16" s="1"/>
  <c r="AH65" i="16" s="1"/>
  <c r="AA69" i="16"/>
  <c r="AA65" i="16" s="1"/>
  <c r="AC1" i="14"/>
  <c r="AJ23" i="16"/>
  <c r="AJ20" i="16" s="1"/>
  <c r="AJ16" i="16" s="1"/>
  <c r="AG20" i="16"/>
  <c r="AG16" i="16" s="1"/>
  <c r="AJ52" i="16"/>
  <c r="AJ49" i="16" s="1"/>
  <c r="AJ43" i="16" s="1"/>
  <c r="AG49" i="16"/>
  <c r="AG43" i="16" s="1"/>
  <c r="E50" i="20"/>
  <c r="BD22" i="15"/>
  <c r="M21" i="15"/>
  <c r="M19" i="15" s="1"/>
  <c r="M17" i="15" s="1"/>
  <c r="M8" i="15" s="1"/>
  <c r="I24" i="16"/>
  <c r="G22" i="16"/>
  <c r="M128" i="15"/>
  <c r="AS14" i="15"/>
  <c r="N27" i="16"/>
  <c r="N25" i="16" s="1"/>
  <c r="AX8" i="16"/>
  <c r="AZ8" i="16" s="1"/>
  <c r="L25" i="16"/>
  <c r="AS8" i="16" s="1"/>
  <c r="AV8" i="16" s="1"/>
  <c r="I27" i="16"/>
  <c r="G25" i="16"/>
  <c r="G128" i="16"/>
  <c r="AR8" i="15"/>
  <c r="AU8" i="15" s="1"/>
  <c r="I21" i="15"/>
  <c r="I19" i="15" s="1"/>
  <c r="AS7" i="16"/>
  <c r="AV7" i="16" s="1"/>
  <c r="N22" i="16"/>
  <c r="N13" i="16"/>
  <c r="N10" i="16" s="1"/>
  <c r="L10" i="16"/>
  <c r="BJ15" i="16"/>
  <c r="E54" i="20"/>
  <c r="AI83" i="16"/>
  <c r="L126" i="15"/>
  <c r="L130" i="15" s="1"/>
  <c r="AZ16" i="15"/>
  <c r="AW17" i="15"/>
  <c r="AX17" i="15"/>
  <c r="I10" i="16"/>
  <c r="M12" i="16"/>
  <c r="AZ13" i="16"/>
  <c r="D12" i="20"/>
  <c r="AE90" i="16" l="1"/>
  <c r="AE63" i="16" s="1"/>
  <c r="AE12" i="16" s="1"/>
  <c r="AE10" i="16" s="1"/>
  <c r="AE8" i="16" s="1"/>
  <c r="AE260" i="16" s="1"/>
  <c r="AE264" i="16" s="1"/>
  <c r="AI63" i="16"/>
  <c r="BP32" i="15"/>
  <c r="AX30" i="15"/>
  <c r="AZ30" i="15" s="1"/>
  <c r="AV30" i="15"/>
  <c r="AW30" i="15"/>
  <c r="AY30" i="15" s="1"/>
  <c r="AU30" i="15"/>
  <c r="BP25" i="16"/>
  <c r="BJ12" i="16" s="1"/>
  <c r="E48" i="20"/>
  <c r="AI145" i="16"/>
  <c r="AI110" i="16" s="1"/>
  <c r="AB10" i="16"/>
  <c r="AB8" i="16" s="1"/>
  <c r="AB260" i="16" s="1"/>
  <c r="AB264" i="16" s="1"/>
  <c r="AI258" i="15"/>
  <c r="AD14" i="16"/>
  <c r="AD12" i="16" s="1"/>
  <c r="AI14" i="16"/>
  <c r="D10" i="20"/>
  <c r="D9" i="20" s="1"/>
  <c r="BD10" i="16"/>
  <c r="BD9" i="16" s="1"/>
  <c r="BD8" i="16" s="1"/>
  <c r="AA195" i="16"/>
  <c r="AA193" i="16" s="1"/>
  <c r="BO28" i="16"/>
  <c r="D51" i="20" s="1"/>
  <c r="BO13" i="16"/>
  <c r="D36" i="20" s="1"/>
  <c r="AH112" i="16"/>
  <c r="AH110" i="16" s="1"/>
  <c r="AX24" i="16"/>
  <c r="AZ24" i="16" s="1"/>
  <c r="AV24" i="16"/>
  <c r="AR28" i="16"/>
  <c r="AD193" i="16"/>
  <c r="BP13" i="16"/>
  <c r="E36" i="20" s="1"/>
  <c r="AR25" i="16"/>
  <c r="D49" i="20"/>
  <c r="AG8" i="15"/>
  <c r="AG260" i="15" s="1"/>
  <c r="AG264" i="15" s="1"/>
  <c r="AA112" i="16"/>
  <c r="AA110" i="16" s="1"/>
  <c r="BO17" i="16"/>
  <c r="AR23" i="16"/>
  <c r="BP12" i="16"/>
  <c r="AS25" i="15"/>
  <c r="AJ258" i="15"/>
  <c r="AG258" i="15"/>
  <c r="AS31" i="15" s="1"/>
  <c r="BJ16" i="15"/>
  <c r="AJ8" i="15"/>
  <c r="AJ260" i="15" s="1"/>
  <c r="AJ264" i="15" s="1"/>
  <c r="AJ178" i="16"/>
  <c r="AJ176" i="16" s="1"/>
  <c r="AJ170" i="16" s="1"/>
  <c r="AG176" i="16"/>
  <c r="AG170" i="16" s="1"/>
  <c r="AS27" i="16" s="1"/>
  <c r="AJ99" i="16"/>
  <c r="AJ96" i="16" s="1"/>
  <c r="AG96" i="16"/>
  <c r="AJ94" i="16"/>
  <c r="AJ91" i="16" s="1"/>
  <c r="AG91" i="16"/>
  <c r="AJ126" i="16"/>
  <c r="AJ123" i="16" s="1"/>
  <c r="AJ112" i="16" s="1"/>
  <c r="AJ110" i="16" s="1"/>
  <c r="AG123" i="16"/>
  <c r="AG112" i="16" s="1"/>
  <c r="AG110" i="16" s="1"/>
  <c r="AS26" i="16" s="1"/>
  <c r="AS28" i="16"/>
  <c r="AG193" i="16"/>
  <c r="AS29" i="16"/>
  <c r="AX29" i="16" s="1"/>
  <c r="AZ29" i="16" s="1"/>
  <c r="AH260" i="15"/>
  <c r="AH264" i="15" s="1"/>
  <c r="AH258" i="15"/>
  <c r="AJ244" i="16"/>
  <c r="AJ243" i="16" s="1"/>
  <c r="AG243" i="16"/>
  <c r="U1" i="15"/>
  <c r="AA260" i="15"/>
  <c r="AA264" i="15" s="1"/>
  <c r="AA243" i="16"/>
  <c r="AA232" i="16" s="1"/>
  <c r="BO29" i="16" s="1"/>
  <c r="AH244" i="16"/>
  <c r="AH243" i="16" s="1"/>
  <c r="AH232" i="16" s="1"/>
  <c r="AG234" i="16"/>
  <c r="AD260" i="15"/>
  <c r="AD264" i="15" s="1"/>
  <c r="AD258" i="15"/>
  <c r="BP33" i="15" s="1"/>
  <c r="AE258" i="15"/>
  <c r="AI244" i="16"/>
  <c r="AI243" i="16" s="1"/>
  <c r="AI232" i="16" s="1"/>
  <c r="AD243" i="16"/>
  <c r="AD232" i="16" s="1"/>
  <c r="Y12" i="16"/>
  <c r="Y10" i="16" s="1"/>
  <c r="AA63" i="16"/>
  <c r="AH14" i="16"/>
  <c r="AU35" i="14"/>
  <c r="AR24" i="16"/>
  <c r="AW24" i="16" s="1"/>
  <c r="AY24" i="16" s="1"/>
  <c r="AH63" i="16"/>
  <c r="BP14" i="16"/>
  <c r="E37" i="20" s="1"/>
  <c r="N128" i="16"/>
  <c r="AJ235" i="16"/>
  <c r="AJ234" i="16" s="1"/>
  <c r="BO14" i="16"/>
  <c r="D37" i="20" s="1"/>
  <c r="AD145" i="16"/>
  <c r="AD110" i="16" s="1"/>
  <c r="AR26" i="16" s="1"/>
  <c r="BP17" i="16"/>
  <c r="AG14" i="16"/>
  <c r="AS23" i="16"/>
  <c r="BO12" i="16"/>
  <c r="AA14" i="16"/>
  <c r="AJ14" i="16"/>
  <c r="BP24" i="16"/>
  <c r="AR27" i="16"/>
  <c r="Y1" i="15"/>
  <c r="AR16" i="16"/>
  <c r="AW16" i="16" s="1"/>
  <c r="AY16" i="16" s="1"/>
  <c r="AS16" i="16"/>
  <c r="AX16" i="16" s="1"/>
  <c r="AS17" i="15"/>
  <c r="AV14" i="15"/>
  <c r="AV16" i="16"/>
  <c r="G21" i="16"/>
  <c r="G19" i="16" s="1"/>
  <c r="G17" i="16" s="1"/>
  <c r="BD21" i="16"/>
  <c r="D24" i="20" s="1"/>
  <c r="M24" i="16"/>
  <c r="M22" i="16" s="1"/>
  <c r="AW7" i="16"/>
  <c r="AY7" i="16" s="1"/>
  <c r="I22" i="16"/>
  <c r="AR7" i="16" s="1"/>
  <c r="AU7" i="16" s="1"/>
  <c r="N21" i="16"/>
  <c r="N19" i="16" s="1"/>
  <c r="N17" i="16" s="1"/>
  <c r="N8" i="16" s="1"/>
  <c r="L21" i="16"/>
  <c r="L19" i="16" s="1"/>
  <c r="AR14" i="15"/>
  <c r="I17" i="15"/>
  <c r="AA258" i="15" s="1"/>
  <c r="M27" i="16"/>
  <c r="M25" i="16" s="1"/>
  <c r="AW8" i="16"/>
  <c r="AY8" i="16" s="1"/>
  <c r="I25" i="16"/>
  <c r="AR8" i="16" s="1"/>
  <c r="AU8" i="16" s="1"/>
  <c r="I128" i="16"/>
  <c r="F8" i="20"/>
  <c r="M10" i="16"/>
  <c r="J126" i="16"/>
  <c r="J130" i="16" s="1"/>
  <c r="D8" i="20"/>
  <c r="BD7" i="16"/>
  <c r="BR32" i="16"/>
  <c r="AU24" i="16" l="1"/>
  <c r="AI12" i="16"/>
  <c r="AI10" i="16" s="1"/>
  <c r="AI8" i="16" s="1"/>
  <c r="AX28" i="16"/>
  <c r="AZ28" i="16" s="1"/>
  <c r="AV28" i="16"/>
  <c r="AW28" i="16"/>
  <c r="AY28" i="16" s="1"/>
  <c r="AU28" i="16"/>
  <c r="AB258" i="16"/>
  <c r="AW27" i="16"/>
  <c r="AY27" i="16" s="1"/>
  <c r="AU27" i="16"/>
  <c r="AX26" i="16"/>
  <c r="AZ26" i="16" s="1"/>
  <c r="AV26" i="16"/>
  <c r="AW26" i="16"/>
  <c r="AY26" i="16" s="1"/>
  <c r="AU26" i="16"/>
  <c r="Y258" i="16"/>
  <c r="AJ232" i="16"/>
  <c r="AX23" i="16"/>
  <c r="AZ23" i="16" s="1"/>
  <c r="AV23" i="16"/>
  <c r="AS32" i="15"/>
  <c r="AW23" i="16"/>
  <c r="AY23" i="16" s="1"/>
  <c r="AU23" i="16"/>
  <c r="AW25" i="16"/>
  <c r="AY25" i="16" s="1"/>
  <c r="AU25" i="16"/>
  <c r="D40" i="20"/>
  <c r="D38" i="20" s="1"/>
  <c r="BO15" i="16"/>
  <c r="BI10" i="16" s="1"/>
  <c r="BO25" i="16"/>
  <c r="BI12" i="16" s="1"/>
  <c r="AU16" i="16"/>
  <c r="AX25" i="15"/>
  <c r="AZ25" i="15" s="1"/>
  <c r="AV25" i="15"/>
  <c r="D48" i="20"/>
  <c r="BP9" i="16"/>
  <c r="BJ8" i="16" s="1"/>
  <c r="E35" i="20"/>
  <c r="E32" i="20" s="1"/>
  <c r="E31" i="20" s="1"/>
  <c r="E30" i="20" s="1"/>
  <c r="AG232" i="16"/>
  <c r="AS30" i="16" s="1"/>
  <c r="Y8" i="16"/>
  <c r="Y260" i="16" s="1"/>
  <c r="Y264" i="16" s="1"/>
  <c r="AV27" i="16"/>
  <c r="AX27" i="16"/>
  <c r="AZ27" i="16" s="1"/>
  <c r="AG90" i="16"/>
  <c r="AJ90" i="16"/>
  <c r="AJ63" i="16" s="1"/>
  <c r="AJ12" i="16" s="1"/>
  <c r="AJ10" i="16" s="1"/>
  <c r="BI13" i="16"/>
  <c r="D52" i="20"/>
  <c r="BI9" i="16"/>
  <c r="L17" i="16"/>
  <c r="C10" i="18" s="1"/>
  <c r="BP29" i="16"/>
  <c r="AR30" i="16"/>
  <c r="AF258" i="16"/>
  <c r="AD10" i="16"/>
  <c r="AR31" i="15"/>
  <c r="AR32" i="15" s="1"/>
  <c r="AV35" i="15" s="1"/>
  <c r="AA12" i="16"/>
  <c r="BJ9" i="16"/>
  <c r="AH12" i="16"/>
  <c r="AH10" i="16" s="1"/>
  <c r="AH8" i="16" s="1"/>
  <c r="M21" i="16"/>
  <c r="M19" i="16" s="1"/>
  <c r="M17" i="16" s="1"/>
  <c r="AE258" i="16" s="1"/>
  <c r="AC1" i="15"/>
  <c r="BP15" i="16"/>
  <c r="E40" i="20"/>
  <c r="E38" i="20" s="1"/>
  <c r="I21" i="16"/>
  <c r="I19" i="16" s="1"/>
  <c r="AR14" i="16" s="1"/>
  <c r="BP22" i="16"/>
  <c r="BJ11" i="16" s="1"/>
  <c r="E47" i="20"/>
  <c r="E45" i="20" s="1"/>
  <c r="G8" i="16"/>
  <c r="G126" i="16" s="1"/>
  <c r="G130" i="16" s="1"/>
  <c r="BO9" i="16"/>
  <c r="D35" i="20"/>
  <c r="D32" i="20" s="1"/>
  <c r="D31" i="20" s="1"/>
  <c r="D30" i="20" s="1"/>
  <c r="AR17" i="15"/>
  <c r="AU14" i="15"/>
  <c r="BD22" i="16"/>
  <c r="R8" i="20"/>
  <c r="R25" i="20" s="1"/>
  <c r="R56" i="20" s="1"/>
  <c r="F25" i="20"/>
  <c r="F56" i="20" s="1"/>
  <c r="G8" i="20" s="1"/>
  <c r="G25" i="20" s="1"/>
  <c r="G56" i="20" s="1"/>
  <c r="H8" i="20" s="1"/>
  <c r="H25" i="20" s="1"/>
  <c r="H56" i="20" s="1"/>
  <c r="I8" i="20" s="1"/>
  <c r="I25" i="20" s="1"/>
  <c r="I56" i="20" s="1"/>
  <c r="J8" i="20" s="1"/>
  <c r="J25" i="20" s="1"/>
  <c r="J56" i="20" s="1"/>
  <c r="K8" i="20" s="1"/>
  <c r="K25" i="20" s="1"/>
  <c r="K56" i="20" s="1"/>
  <c r="L8" i="20" s="1"/>
  <c r="L25" i="20" s="1"/>
  <c r="L56" i="20" s="1"/>
  <c r="M8" i="20" s="1"/>
  <c r="M25" i="20" s="1"/>
  <c r="M56" i="20" s="1"/>
  <c r="N8" i="20" s="1"/>
  <c r="N25" i="20" s="1"/>
  <c r="N56" i="20" s="1"/>
  <c r="O8" i="20" s="1"/>
  <c r="O25" i="20" s="1"/>
  <c r="O56" i="20" s="1"/>
  <c r="P8" i="20" s="1"/>
  <c r="P25" i="20" s="1"/>
  <c r="P56" i="20" s="1"/>
  <c r="Q8" i="20" s="1"/>
  <c r="Q25" i="20" s="1"/>
  <c r="Q56" i="20" s="1"/>
  <c r="M128" i="16"/>
  <c r="AS14" i="16"/>
  <c r="AV14" i="16" s="1"/>
  <c r="I8" i="15"/>
  <c r="BO33" i="15"/>
  <c r="D25" i="20"/>
  <c r="AZ16" i="16"/>
  <c r="AW17" i="16"/>
  <c r="AX17" i="16"/>
  <c r="AJ8" i="16" l="1"/>
  <c r="AJ260" i="16" s="1"/>
  <c r="AJ264" i="16" s="1"/>
  <c r="AX30" i="16"/>
  <c r="AZ30" i="16" s="1"/>
  <c r="AV30" i="16"/>
  <c r="AW30" i="16"/>
  <c r="AY30" i="16" s="1"/>
  <c r="AU30" i="16"/>
  <c r="D29" i="20"/>
  <c r="D55" i="20" s="1"/>
  <c r="D56" i="20" s="1"/>
  <c r="BP8" i="16"/>
  <c r="BP7" i="16" s="1"/>
  <c r="BP32" i="16" s="1"/>
  <c r="AD8" i="16"/>
  <c r="AD260" i="16" s="1"/>
  <c r="AD264" i="16" s="1"/>
  <c r="AJ258" i="16"/>
  <c r="R10" i="18"/>
  <c r="W10" i="18"/>
  <c r="AS25" i="16"/>
  <c r="AG63" i="16"/>
  <c r="AG12" i="16" s="1"/>
  <c r="AG10" i="16" s="1"/>
  <c r="AG8" i="16" s="1"/>
  <c r="H10" i="18"/>
  <c r="M10" i="18"/>
  <c r="AH260" i="16"/>
  <c r="AH264" i="16" s="1"/>
  <c r="AH258" i="16"/>
  <c r="E52" i="20"/>
  <c r="BJ13" i="16"/>
  <c r="L8" i="16"/>
  <c r="L126" i="16" s="1"/>
  <c r="AD258" i="16"/>
  <c r="BP33" i="16" s="1"/>
  <c r="AI260" i="16"/>
  <c r="AI264" i="16" s="1"/>
  <c r="AI258" i="16"/>
  <c r="AA10" i="16"/>
  <c r="AA8" i="16" s="1"/>
  <c r="AS17" i="16"/>
  <c r="AU35" i="15"/>
  <c r="M8" i="16"/>
  <c r="AU14" i="16"/>
  <c r="AR17" i="16"/>
  <c r="I17" i="16"/>
  <c r="B10" i="18" s="1"/>
  <c r="E29" i="20"/>
  <c r="BO8" i="16"/>
  <c r="BO7" i="16" s="1"/>
  <c r="BO32" i="16" s="1"/>
  <c r="BI8" i="16"/>
  <c r="BI7" i="16" s="1"/>
  <c r="BI16" i="16" s="1"/>
  <c r="BJ10" i="16"/>
  <c r="BJ7" i="16" s="1"/>
  <c r="I126" i="15"/>
  <c r="I130" i="15" s="1"/>
  <c r="J5" i="15"/>
  <c r="K1" i="15"/>
  <c r="BJ16" i="16" l="1"/>
  <c r="AX25" i="16"/>
  <c r="AZ25" i="16" s="1"/>
  <c r="AV25" i="16"/>
  <c r="L130" i="16"/>
  <c r="C18" i="19"/>
  <c r="C9" i="19"/>
  <c r="E55" i="20"/>
  <c r="E56" i="20" s="1"/>
  <c r="AG258" i="16"/>
  <c r="AS31" i="16" s="1"/>
  <c r="AS32" i="16" s="1"/>
  <c r="V10" i="18"/>
  <c r="Q10" i="18"/>
  <c r="G10" i="18"/>
  <c r="L10" i="18"/>
  <c r="U1" i="16"/>
  <c r="AA260" i="16"/>
  <c r="AA258" i="16"/>
  <c r="BO33" i="16" s="1"/>
  <c r="Y1" i="16"/>
  <c r="E9" i="19"/>
  <c r="AR31" i="16"/>
  <c r="AR32" i="16" s="1"/>
  <c r="AV35" i="16" s="1"/>
  <c r="I8" i="16"/>
  <c r="K19" i="5"/>
  <c r="K17" i="5" s="1"/>
  <c r="AC258" i="5" s="1"/>
  <c r="AA264" i="16" l="1"/>
  <c r="E18" i="19"/>
  <c r="H18" i="19" s="1"/>
  <c r="J9" i="19"/>
  <c r="AG260" i="16"/>
  <c r="F9" i="19"/>
  <c r="AC1" i="16"/>
  <c r="H9" i="19"/>
  <c r="AU35" i="16"/>
  <c r="I126" i="16"/>
  <c r="B9" i="19"/>
  <c r="J5" i="16"/>
  <c r="K1" i="16"/>
  <c r="K8" i="5"/>
  <c r="K126" i="5" s="1"/>
  <c r="K130" i="5" s="1"/>
  <c r="L19" i="5"/>
  <c r="J18" i="19" l="1"/>
  <c r="AG264" i="16"/>
  <c r="F18" i="19"/>
  <c r="I130" i="16"/>
  <c r="B18" i="19"/>
  <c r="I9" i="19"/>
  <c r="G9" i="19"/>
  <c r="D9" i="19"/>
  <c r="AS14" i="5"/>
  <c r="L17" i="5"/>
  <c r="AD258" i="5" s="1"/>
  <c r="I18" i="19" l="1"/>
  <c r="G18" i="19"/>
  <c r="D18" i="19"/>
  <c r="AS17" i="5"/>
  <c r="AX17" i="5" s="1"/>
  <c r="AV14" i="5"/>
  <c r="L8" i="5"/>
  <c r="L126" i="5" s="1"/>
  <c r="L130" i="5" s="1"/>
  <c r="M126" i="6"/>
  <c r="M130" i="6" s="1"/>
  <c r="C8" i="5"/>
  <c r="C126" i="5" s="1"/>
  <c r="C130" i="5" s="1"/>
  <c r="AV17" i="5" l="1"/>
  <c r="B5" i="5"/>
  <c r="BH17" i="8"/>
  <c r="BP33" i="5"/>
  <c r="AR31" i="5"/>
  <c r="J5" i="5"/>
  <c r="K1" i="5"/>
  <c r="C126" i="12"/>
  <c r="C130" i="12" s="1"/>
  <c r="C126" i="13"/>
  <c r="C130" i="13" s="1"/>
  <c r="C126" i="14"/>
  <c r="C130" i="14" s="1"/>
  <c r="C126" i="16"/>
  <c r="C130" i="16" s="1"/>
  <c r="AQ31" i="8"/>
  <c r="BQ33" i="10"/>
  <c r="C126" i="9"/>
  <c r="C130" i="9" s="1"/>
  <c r="F126" i="11"/>
  <c r="F130" i="11" s="1"/>
  <c r="N126" i="10"/>
  <c r="N130" i="10" s="1"/>
  <c r="C126" i="8"/>
  <c r="C130" i="8" s="1"/>
  <c r="F126" i="7"/>
  <c r="F130" i="7" s="1"/>
  <c r="BH17" i="15"/>
  <c r="BH17" i="16"/>
  <c r="BH17" i="6"/>
  <c r="C126" i="11"/>
  <c r="C130" i="11" s="1"/>
  <c r="C126" i="10"/>
  <c r="C130" i="10" s="1"/>
  <c r="C126" i="6"/>
  <c r="C130" i="6" s="1"/>
  <c r="BH17" i="14"/>
  <c r="M126" i="7"/>
  <c r="M130" i="7" s="1"/>
  <c r="BH17" i="10"/>
  <c r="C126" i="15"/>
  <c r="C130" i="15" s="1"/>
  <c r="BH17" i="11"/>
  <c r="C126" i="7"/>
  <c r="C130" i="7" s="1"/>
  <c r="BH17" i="12"/>
  <c r="BH17" i="13"/>
  <c r="AR32" i="5" l="1"/>
  <c r="AU32" i="5" s="1"/>
  <c r="AU31" i="5"/>
  <c r="BN33" i="8"/>
  <c r="BH19" i="8" s="1"/>
  <c r="BH20" i="8" s="1"/>
  <c r="BN33" i="11"/>
  <c r="BH19" i="11" s="1"/>
  <c r="BH20" i="11" s="1"/>
  <c r="M130" i="13"/>
  <c r="M126" i="14"/>
  <c r="M130" i="14" s="1"/>
  <c r="M126" i="12"/>
  <c r="M130" i="12" s="1"/>
  <c r="M126" i="16"/>
  <c r="M130" i="16" s="1"/>
  <c r="M126" i="15"/>
  <c r="M130" i="15" s="1"/>
  <c r="M126" i="11"/>
  <c r="M130" i="11" s="1"/>
  <c r="M126" i="8"/>
  <c r="M130" i="8" s="1"/>
  <c r="F126" i="8"/>
  <c r="F130" i="8" s="1"/>
  <c r="BH17" i="7"/>
  <c r="F130" i="13"/>
  <c r="N126" i="11"/>
  <c r="N130" i="11" s="1"/>
  <c r="BQ33" i="11"/>
  <c r="BQ33" i="14"/>
  <c r="N126" i="14"/>
  <c r="N130" i="14" s="1"/>
  <c r="BQ33" i="13"/>
  <c r="N130" i="13"/>
  <c r="N126" i="15"/>
  <c r="N130" i="15" s="1"/>
  <c r="BQ33" i="15"/>
  <c r="BN33" i="7"/>
  <c r="AQ31" i="7"/>
  <c r="AV31" i="8"/>
  <c r="AW31" i="8"/>
  <c r="AW32" i="8" s="1"/>
  <c r="AU31" i="8"/>
  <c r="AQ32" i="8"/>
  <c r="AX31" i="8"/>
  <c r="AX32" i="8" s="1"/>
  <c r="F126" i="12"/>
  <c r="F130" i="12" s="1"/>
  <c r="AQ17" i="8"/>
  <c r="AU15" i="8"/>
  <c r="AV15" i="8"/>
  <c r="AZ15" i="8"/>
  <c r="AZ17" i="8" s="1"/>
  <c r="AY15" i="8"/>
  <c r="AY17" i="8" s="1"/>
  <c r="BQ33" i="16"/>
  <c r="N126" i="16"/>
  <c r="N130" i="16" s="1"/>
  <c r="AV15" i="7"/>
  <c r="AY15" i="7"/>
  <c r="AY17" i="7" s="1"/>
  <c r="AZ15" i="7"/>
  <c r="AZ17" i="7" s="1"/>
  <c r="AQ17" i="7"/>
  <c r="AU15" i="7"/>
  <c r="BQ33" i="8"/>
  <c r="N126" i="8"/>
  <c r="N130" i="8" s="1"/>
  <c r="BH17" i="9"/>
  <c r="F126" i="14"/>
  <c r="F130" i="14" s="1"/>
  <c r="C23" i="20"/>
  <c r="C25" i="20" s="1"/>
  <c r="N126" i="6"/>
  <c r="N130" i="6" s="1"/>
  <c r="BQ33" i="6"/>
  <c r="AQ17" i="11"/>
  <c r="AZ15" i="11"/>
  <c r="AZ17" i="11" s="1"/>
  <c r="AU15" i="11"/>
  <c r="AV15" i="11"/>
  <c r="AY15" i="11"/>
  <c r="AY17" i="11" s="1"/>
  <c r="N126" i="7"/>
  <c r="N130" i="7" s="1"/>
  <c r="BQ33" i="7"/>
  <c r="BQ33" i="12"/>
  <c r="N126" i="12"/>
  <c r="N130" i="12" s="1"/>
  <c r="F126" i="16"/>
  <c r="F126" i="15"/>
  <c r="F130" i="15" s="1"/>
  <c r="A1" i="7"/>
  <c r="A1" i="11"/>
  <c r="F130" i="16" l="1"/>
  <c r="A18" i="19"/>
  <c r="AU35" i="5"/>
  <c r="AV35" i="5"/>
  <c r="AQ31" i="11"/>
  <c r="AV31" i="11" s="1"/>
  <c r="C56" i="20"/>
  <c r="A1" i="8"/>
  <c r="B5" i="6"/>
  <c r="F126" i="6"/>
  <c r="F130" i="6" s="1"/>
  <c r="M126" i="10"/>
  <c r="M130" i="10" s="1"/>
  <c r="M126" i="9"/>
  <c r="M130" i="9" s="1"/>
  <c r="B5" i="7"/>
  <c r="F126" i="10"/>
  <c r="F130" i="10" s="1"/>
  <c r="BN33" i="15"/>
  <c r="BH19" i="15" s="1"/>
  <c r="BH20" i="15" s="1"/>
  <c r="AQ31" i="15"/>
  <c r="AU15" i="15"/>
  <c r="AV15" i="15"/>
  <c r="AY15" i="15"/>
  <c r="AY17" i="15" s="1"/>
  <c r="AQ17" i="15"/>
  <c r="AZ15" i="15"/>
  <c r="AZ17" i="15" s="1"/>
  <c r="A1" i="15"/>
  <c r="BN33" i="16"/>
  <c r="BH19" i="16" s="1"/>
  <c r="BH20" i="16" s="1"/>
  <c r="AQ31" i="16"/>
  <c r="AQ31" i="12"/>
  <c r="BN33" i="12"/>
  <c r="BH19" i="12" s="1"/>
  <c r="BH20" i="12" s="1"/>
  <c r="AQ31" i="13"/>
  <c r="BN33" i="13"/>
  <c r="BH19" i="13" s="1"/>
  <c r="BH20" i="13" s="1"/>
  <c r="A1" i="6"/>
  <c r="F126" i="9"/>
  <c r="F130" i="9" s="1"/>
  <c r="AV17" i="7"/>
  <c r="AU17" i="7"/>
  <c r="A1" i="12"/>
  <c r="AV15" i="16"/>
  <c r="AU15" i="16"/>
  <c r="AQ17" i="16"/>
  <c r="AY15" i="16"/>
  <c r="AY17" i="16" s="1"/>
  <c r="AZ15" i="16"/>
  <c r="AZ17" i="16" s="1"/>
  <c r="AU15" i="6"/>
  <c r="AV15" i="6"/>
  <c r="AQ17" i="6"/>
  <c r="AZ15" i="6"/>
  <c r="AZ17" i="6" s="1"/>
  <c r="AY15" i="6"/>
  <c r="AY17" i="6" s="1"/>
  <c r="AU17" i="11"/>
  <c r="AV17" i="11"/>
  <c r="A1" i="14"/>
  <c r="N126" i="9"/>
  <c r="N130" i="9" s="1"/>
  <c r="BQ33" i="9"/>
  <c r="AU15" i="12"/>
  <c r="AQ17" i="12"/>
  <c r="AY15" i="12"/>
  <c r="AY17" i="12" s="1"/>
  <c r="AZ15" i="12"/>
  <c r="AZ17" i="12" s="1"/>
  <c r="AV15" i="12"/>
  <c r="AQ17" i="13"/>
  <c r="AY15" i="13"/>
  <c r="AY17" i="13" s="1"/>
  <c r="AV15" i="13"/>
  <c r="AZ15" i="13"/>
  <c r="AZ17" i="13" s="1"/>
  <c r="AU15" i="13"/>
  <c r="BN33" i="14"/>
  <c r="BH19" i="14" s="1"/>
  <c r="BH20" i="14" s="1"/>
  <c r="AQ31" i="14"/>
  <c r="AQ33" i="8"/>
  <c r="AU32" i="8"/>
  <c r="AV32" i="8"/>
  <c r="A9" i="19"/>
  <c r="A1" i="16"/>
  <c r="AQ31" i="6"/>
  <c r="BN33" i="6"/>
  <c r="AU15" i="14"/>
  <c r="AQ17" i="14"/>
  <c r="AY15" i="14"/>
  <c r="AY17" i="14" s="1"/>
  <c r="AV15" i="14"/>
  <c r="AZ15" i="14"/>
  <c r="AZ17" i="14" s="1"/>
  <c r="AU17" i="8"/>
  <c r="AV17" i="8"/>
  <c r="AY31" i="8"/>
  <c r="AY32" i="8" s="1"/>
  <c r="AZ35" i="8" s="1"/>
  <c r="AZ31" i="8"/>
  <c r="AZ32" i="8" s="1"/>
  <c r="AU31" i="7"/>
  <c r="AQ32" i="7"/>
  <c r="AV31" i="7"/>
  <c r="AX31" i="7"/>
  <c r="AX32" i="7" s="1"/>
  <c r="AW31" i="7"/>
  <c r="AW32" i="7" s="1"/>
  <c r="A1" i="13"/>
  <c r="AU31" i="11" l="1"/>
  <c r="AW31" i="11"/>
  <c r="AW32" i="11" s="1"/>
  <c r="AX31" i="11"/>
  <c r="AX32" i="11" s="1"/>
  <c r="AQ32" i="11"/>
  <c r="AU32" i="11" s="1"/>
  <c r="AQ31" i="10"/>
  <c r="BN33" i="10"/>
  <c r="A1" i="10"/>
  <c r="AQ17" i="10"/>
  <c r="AV15" i="10"/>
  <c r="AZ15" i="10"/>
  <c r="AZ17" i="10" s="1"/>
  <c r="AU15" i="10"/>
  <c r="AY15" i="10"/>
  <c r="AY17" i="10" s="1"/>
  <c r="AY35" i="8"/>
  <c r="AU17" i="6"/>
  <c r="AV17" i="6"/>
  <c r="A1" i="9"/>
  <c r="AV32" i="7"/>
  <c r="AQ33" i="7"/>
  <c r="AU32" i="7"/>
  <c r="AV17" i="13"/>
  <c r="AU17" i="13"/>
  <c r="AX31" i="16"/>
  <c r="AX32" i="16" s="1"/>
  <c r="AQ32" i="16"/>
  <c r="AV31" i="16"/>
  <c r="AU31" i="16"/>
  <c r="AW31" i="16"/>
  <c r="AV17" i="16"/>
  <c r="AU17" i="16"/>
  <c r="AU31" i="13"/>
  <c r="AW31" i="13"/>
  <c r="AQ32" i="13"/>
  <c r="AX31" i="13"/>
  <c r="AX32" i="13" s="1"/>
  <c r="AV31" i="13"/>
  <c r="AZ31" i="7"/>
  <c r="AZ32" i="7" s="1"/>
  <c r="AU17" i="14"/>
  <c r="AV17" i="14"/>
  <c r="AV17" i="12"/>
  <c r="AU17" i="12"/>
  <c r="AQ31" i="9"/>
  <c r="BN33" i="9"/>
  <c r="BH19" i="9" s="1"/>
  <c r="BH20" i="9" s="1"/>
  <c r="AV17" i="15"/>
  <c r="AU17" i="15"/>
  <c r="AU31" i="15"/>
  <c r="AX31" i="15"/>
  <c r="AX32" i="15" s="1"/>
  <c r="AW31" i="15"/>
  <c r="AQ32" i="15"/>
  <c r="AV31" i="15"/>
  <c r="AY31" i="7"/>
  <c r="AY32" i="7" s="1"/>
  <c r="AQ32" i="6"/>
  <c r="AV31" i="6"/>
  <c r="AU31" i="6"/>
  <c r="AX31" i="6"/>
  <c r="AX32" i="6" s="1"/>
  <c r="AW31" i="6"/>
  <c r="AW32" i="6" s="1"/>
  <c r="AU31" i="14"/>
  <c r="AQ32" i="14"/>
  <c r="AX31" i="14"/>
  <c r="AX32" i="14" s="1"/>
  <c r="AV31" i="14"/>
  <c r="AW31" i="14"/>
  <c r="AU15" i="9"/>
  <c r="AV15" i="9"/>
  <c r="AQ17" i="9"/>
  <c r="AY15" i="9"/>
  <c r="AY17" i="9" s="1"/>
  <c r="AZ15" i="9"/>
  <c r="AZ17" i="9" s="1"/>
  <c r="AQ32" i="12"/>
  <c r="AW31" i="12"/>
  <c r="AU31" i="12"/>
  <c r="AV31" i="12"/>
  <c r="AX31" i="12"/>
  <c r="AX32" i="12" s="1"/>
  <c r="AV32" i="11" l="1"/>
  <c r="AY31" i="11"/>
  <c r="AY32" i="11" s="1"/>
  <c r="AY35" i="11" s="1"/>
  <c r="AQ33" i="11"/>
  <c r="AZ31" i="11"/>
  <c r="AZ32" i="11" s="1"/>
  <c r="AZ31" i="16"/>
  <c r="AZ32" i="16" s="1"/>
  <c r="AZ31" i="15"/>
  <c r="AZ32" i="15" s="1"/>
  <c r="AU17" i="10"/>
  <c r="AV17" i="10"/>
  <c r="AQ32" i="10"/>
  <c r="AU31" i="10"/>
  <c r="AX31" i="10"/>
  <c r="AV31" i="10"/>
  <c r="AW31" i="10"/>
  <c r="AZ31" i="12"/>
  <c r="AZ32" i="12" s="1"/>
  <c r="AZ31" i="6"/>
  <c r="AZ32" i="6" s="1"/>
  <c r="AZ31" i="13"/>
  <c r="AZ32" i="13" s="1"/>
  <c r="AW32" i="13"/>
  <c r="AY31" i="13"/>
  <c r="AY32" i="13" s="1"/>
  <c r="AY31" i="16"/>
  <c r="AY32" i="16" s="1"/>
  <c r="AW32" i="16"/>
  <c r="AW32" i="12"/>
  <c r="AY31" i="12"/>
  <c r="AY32" i="12" s="1"/>
  <c r="AU17" i="9"/>
  <c r="AV17" i="9"/>
  <c r="AZ31" i="14"/>
  <c r="AZ32" i="14" s="1"/>
  <c r="AY35" i="7"/>
  <c r="AZ35" i="7"/>
  <c r="AQ33" i="15"/>
  <c r="AU32" i="15"/>
  <c r="AV32" i="15"/>
  <c r="AQ32" i="9"/>
  <c r="AX31" i="9"/>
  <c r="AX32" i="9" s="1"/>
  <c r="AV31" i="9"/>
  <c r="AU31" i="9"/>
  <c r="AW31" i="9"/>
  <c r="AW32" i="9" s="1"/>
  <c r="AQ33" i="12"/>
  <c r="AV32" i="12"/>
  <c r="AU32" i="12"/>
  <c r="AW32" i="14"/>
  <c r="AY31" i="14"/>
  <c r="AY32" i="14" s="1"/>
  <c r="AV32" i="14"/>
  <c r="AQ33" i="14"/>
  <c r="AU32" i="14"/>
  <c r="AY31" i="6"/>
  <c r="AY32" i="6" s="1"/>
  <c r="AU32" i="6"/>
  <c r="AV32" i="6"/>
  <c r="AQ33" i="6"/>
  <c r="AW32" i="15"/>
  <c r="AY31" i="15"/>
  <c r="AY32" i="15" s="1"/>
  <c r="AQ33" i="13"/>
  <c r="AU32" i="13"/>
  <c r="AV32" i="13"/>
  <c r="AQ33" i="16"/>
  <c r="AU32" i="16"/>
  <c r="AV32" i="16"/>
  <c r="AZ35" i="11" l="1"/>
  <c r="AW32" i="10"/>
  <c r="AY31" i="10"/>
  <c r="AY32" i="10" s="1"/>
  <c r="AU32" i="10"/>
  <c r="AV32" i="10"/>
  <c r="AQ33" i="10"/>
  <c r="AX32" i="10"/>
  <c r="AZ31" i="10"/>
  <c r="AZ32" i="10" s="1"/>
  <c r="AY31" i="9"/>
  <c r="AY32" i="9" s="1"/>
  <c r="AY35" i="9" s="1"/>
  <c r="AY35" i="6"/>
  <c r="AZ35" i="6"/>
  <c r="AZ35" i="15"/>
  <c r="AY35" i="15"/>
  <c r="AZ31" i="9"/>
  <c r="AZ32" i="9" s="1"/>
  <c r="AY35" i="12"/>
  <c r="AZ35" i="12"/>
  <c r="AY35" i="14"/>
  <c r="AZ35" i="14"/>
  <c r="AU32" i="9"/>
  <c r="AQ33" i="9"/>
  <c r="AV32" i="9"/>
  <c r="AZ35" i="13"/>
  <c r="AY35" i="13"/>
  <c r="AZ35" i="16"/>
  <c r="AY35" i="16"/>
  <c r="AZ35" i="9" l="1"/>
  <c r="AZ35" i="10"/>
  <c r="AY35" i="10"/>
</calcChain>
</file>

<file path=xl/comments1.xml><?xml version="1.0" encoding="utf-8"?>
<comments xmlns="http://schemas.openxmlformats.org/spreadsheetml/2006/main">
  <authors>
    <author>Carlos Norvey Bolivar</author>
    <author>ATABORDAA</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 ref="B42" authorId="1" shapeId="0">
      <text>
        <r>
          <rPr>
            <b/>
            <sz val="8"/>
            <color indexed="10"/>
            <rFont val="Tahoma"/>
            <family val="2"/>
          </rPr>
          <t>Las actividades de Promoción y Prevención se manejaran en su respectivo régimen</t>
        </r>
      </text>
    </comment>
  </commentList>
</comments>
</file>

<file path=xl/comments2.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3.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4.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5.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6.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7.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8.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9.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0.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1.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2.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sharedStrings.xml><?xml version="1.0" encoding="utf-8"?>
<sst xmlns="http://schemas.openxmlformats.org/spreadsheetml/2006/main" count="3357" uniqueCount="628">
  <si>
    <t>MUNICIPIO:</t>
  </si>
  <si>
    <t>Monto adeudado producto del desarrollo de los compromisos adquiridos por el valor equivalente a los bienes recibidos, servicios prestados y demás exigibles pendientes de pago.</t>
  </si>
  <si>
    <t>NO AGREGARLE NI LINEAS NI COLUMNAS, ESTO IMPIDE LA CONSOLIDACION AUTOMÁTICA</t>
  </si>
  <si>
    <t>El presupuesto inicial se digita en la Hoja ENERO: Columnas C ( Ingresos ) y U (Gastos)</t>
  </si>
  <si>
    <t>NO HACER CORRECIONES SOBRE MESES ANTERIORES. SE HACEN EN EL MES QUE CURSA</t>
  </si>
  <si>
    <t>Si ejecuta mover, su archivo se quedará sin el mes que esta trabajando dejándolo incompleto.</t>
  </si>
  <si>
    <t>Resumen:</t>
  </si>
  <si>
    <t xml:space="preserve">  ANALISIS DE LA SITUACION PRESUPUESTAL</t>
  </si>
  <si>
    <t>EJECUCION PRESUPUESTAL DE INGRESOS</t>
  </si>
  <si>
    <t>ENERO</t>
  </si>
  <si>
    <t>EJECUCION PRESUPUESTAL DE GASTOS</t>
  </si>
  <si>
    <t>INGRESOS</t>
  </si>
  <si>
    <t xml:space="preserve"> </t>
  </si>
  <si>
    <t xml:space="preserve">PRESUPUESTO </t>
  </si>
  <si>
    <t>RECONOC.</t>
  </si>
  <si>
    <t>RECAUDADO</t>
  </si>
  <si>
    <t>PORCENTAJE</t>
  </si>
  <si>
    <t>RUBRO</t>
  </si>
  <si>
    <t>DESCRIPCION</t>
  </si>
  <si>
    <t>PRESUPUESTO</t>
  </si>
  <si>
    <t>RECAUDO</t>
  </si>
  <si>
    <t>INGRESOS POR EJECUTAR</t>
  </si>
  <si>
    <t>PAGOS</t>
  </si>
  <si>
    <t>GASTOS POR EJECUTAR</t>
  </si>
  <si>
    <t>CONCEPTOS</t>
  </si>
  <si>
    <t>A</t>
  </si>
  <si>
    <t>ESPERADO A</t>
  </si>
  <si>
    <t>EJECUTADO</t>
  </si>
  <si>
    <t>RECONOCIMIENTOS</t>
  </si>
  <si>
    <t>RECAUDOS</t>
  </si>
  <si>
    <t>SITUACION</t>
  </si>
  <si>
    <t>FUENTE</t>
  </si>
  <si>
    <t>CONCEPTO</t>
  </si>
  <si>
    <t>INICIAL</t>
  </si>
  <si>
    <t>MODIFICAC</t>
  </si>
  <si>
    <t>ADICIONES</t>
  </si>
  <si>
    <t>DEFINITIVO</t>
  </si>
  <si>
    <t>MES ANTERIOR</t>
  </si>
  <si>
    <t>DEL MES</t>
  </si>
  <si>
    <t>TOTAL</t>
  </si>
  <si>
    <t>RECONOC</t>
  </si>
  <si>
    <t>MODIFICACIONES</t>
  </si>
  <si>
    <t>APROPIACION.</t>
  </si>
  <si>
    <t>COMPROMISOS</t>
  </si>
  <si>
    <t>OBLIGACIONES</t>
  </si>
  <si>
    <t>Definitivo</t>
  </si>
  <si>
    <t>Reconocido</t>
  </si>
  <si>
    <t>Recaudos del mes</t>
  </si>
  <si>
    <t>Compromisos</t>
  </si>
  <si>
    <t>Obligaciones</t>
  </si>
  <si>
    <t>Pagos del mes</t>
  </si>
  <si>
    <t>GASTOS</t>
  </si>
  <si>
    <t>Régimen Contributivo</t>
  </si>
  <si>
    <t>I. DISPONIBILIDAD INICIAL</t>
  </si>
  <si>
    <t>GASTOS DE FUNCIONAMIENTO</t>
  </si>
  <si>
    <t>DISPONIBILIDAD INICIAL</t>
  </si>
  <si>
    <t>Régimen Subsidiado</t>
  </si>
  <si>
    <t>INGRESOS CORRIENTES</t>
  </si>
  <si>
    <t xml:space="preserve">   GASTOS DE PERSONAL DE PLANTA</t>
  </si>
  <si>
    <t xml:space="preserve">   GASTOS DE PERSONAL</t>
  </si>
  <si>
    <t>GASTOS DE PERSONAL</t>
  </si>
  <si>
    <t>Atención Población Vinculada</t>
  </si>
  <si>
    <t>SERVICIOS PERSONALES INDIRECTOS</t>
  </si>
  <si>
    <t xml:space="preserve">   Servicios personales asociados a la nómina</t>
  </si>
  <si>
    <t>Gastos de Administración</t>
  </si>
  <si>
    <t>Prevención y Promoción</t>
  </si>
  <si>
    <t xml:space="preserve">   GASTOS GENERALES</t>
  </si>
  <si>
    <t xml:space="preserve">   TRANSFERENCIAS CORRIENTES</t>
  </si>
  <si>
    <t>Servicios Personales Asociados a Nómina</t>
  </si>
  <si>
    <t>Sueldos del Personal de nómina</t>
  </si>
  <si>
    <t>INVERSION</t>
  </si>
  <si>
    <t>INGRESOS  CORRIENTES</t>
  </si>
  <si>
    <t>Horas Extras,Dominic.,Festivos y Rec. Nocturnos</t>
  </si>
  <si>
    <t>Otras Rentas Propias</t>
  </si>
  <si>
    <t>DEUDA PUBLICA</t>
  </si>
  <si>
    <t>Prima Técnica</t>
  </si>
  <si>
    <t>Recursos del Capital</t>
  </si>
  <si>
    <t>FOSYGA</t>
  </si>
  <si>
    <t>CUENTAS POR PAGAR VIGENCIAS ANTERIORES</t>
  </si>
  <si>
    <t>VENTA DE SERVICIOS</t>
  </si>
  <si>
    <t>Otros</t>
  </si>
  <si>
    <t>Disponibilidad Inicial</t>
  </si>
  <si>
    <t>III. TOTAL GASTOS</t>
  </si>
  <si>
    <t xml:space="preserve">   Adquisión de bienes</t>
  </si>
  <si>
    <t>1010104-1</t>
  </si>
  <si>
    <t>TOTAL PRESUPUESTO INGRESOS</t>
  </si>
  <si>
    <t>IV=(I+II-III) DISPONIBILIDAD FINAL</t>
  </si>
  <si>
    <t xml:space="preserve">   Mantenimiento</t>
  </si>
  <si>
    <t>Venta de Servicios de Salud</t>
  </si>
  <si>
    <t>1010104-2</t>
  </si>
  <si>
    <t>EPS - REGIMEN CONTRIBUTIVO</t>
  </si>
  <si>
    <t>1010104-3</t>
  </si>
  <si>
    <t>PAGADO</t>
  </si>
  <si>
    <t>Otros ingresos corrientes</t>
  </si>
  <si>
    <t xml:space="preserve">   Servicios públicos</t>
  </si>
  <si>
    <t>1130101-1</t>
  </si>
  <si>
    <t>1010104-4</t>
  </si>
  <si>
    <t>SITUACION PROY</t>
  </si>
  <si>
    <t>INGRESOS DE CAPITAL</t>
  </si>
  <si>
    <t xml:space="preserve">   Otros</t>
  </si>
  <si>
    <t>1130101-2</t>
  </si>
  <si>
    <t>1010104-5</t>
  </si>
  <si>
    <t>ARS - REGIMEN SUBSIDIADO</t>
  </si>
  <si>
    <t>1010104-8</t>
  </si>
  <si>
    <t>Sueldos</t>
  </si>
  <si>
    <t xml:space="preserve">   Pago directo de pensionados o jubilados</t>
  </si>
  <si>
    <t>1130102-1</t>
  </si>
  <si>
    <t>1010104-9</t>
  </si>
  <si>
    <t>Otros Servicios Pers. Asoc. a Nómina</t>
  </si>
  <si>
    <t>II. TOTAL DE INGRESOS</t>
  </si>
  <si>
    <t xml:space="preserve">   Otras transferencias corrientes</t>
  </si>
  <si>
    <t>1130102-2</t>
  </si>
  <si>
    <t>1010104-10</t>
  </si>
  <si>
    <t>Servicios Personales Indirectos</t>
  </si>
  <si>
    <t>SUBSIDIO A LA OFERTA- ATENCION PERSONAS POBRES NO CUBIERTOS CON SUBSIDIO A LA DEMANDA</t>
  </si>
  <si>
    <t>1010104-11</t>
  </si>
  <si>
    <t>Contribuciones Inherentes a la Nómina</t>
  </si>
  <si>
    <t>1130103-1</t>
  </si>
  <si>
    <t>Prestación de Servicios de salud  1er Nivel</t>
  </si>
  <si>
    <t>1010104-12</t>
  </si>
  <si>
    <t>Gastos Generales</t>
  </si>
  <si>
    <t>1130103-1-1</t>
  </si>
  <si>
    <t>Bonificación Especial por Recreación</t>
  </si>
  <si>
    <t>Transferencias Corrientes</t>
  </si>
  <si>
    <t>1130103-1-2</t>
  </si>
  <si>
    <t>1130103-2</t>
  </si>
  <si>
    <t>Prestación de Servicios de salud  2o. Nivel</t>
  </si>
  <si>
    <t>Vigencias Anteriores</t>
  </si>
  <si>
    <t>CUENTAS POR PAGAR (Vigencias anteriores)</t>
  </si>
  <si>
    <t>1130103-2-1</t>
  </si>
  <si>
    <t>Servicio Deuda, Invers. y Progr. Espec.</t>
  </si>
  <si>
    <t>DISPONIBILIDAD FINAL</t>
  </si>
  <si>
    <t>1130103-2-2</t>
  </si>
  <si>
    <t>Disponibilidad Final</t>
  </si>
  <si>
    <t>TOTAL GASTOS</t>
  </si>
  <si>
    <t>1130103-3</t>
  </si>
  <si>
    <t>Prestación de Servicios de salud  3o. Nivel</t>
  </si>
  <si>
    <t>1010200-1</t>
  </si>
  <si>
    <t xml:space="preserve">TOTAL </t>
  </si>
  <si>
    <t>1130103-3-1</t>
  </si>
  <si>
    <t>1010200-2</t>
  </si>
  <si>
    <t>Personal Supernumerario</t>
  </si>
  <si>
    <t>1130103-3-2</t>
  </si>
  <si>
    <t>1010200-3</t>
  </si>
  <si>
    <t>Honorarios de la Junta Directiva</t>
  </si>
  <si>
    <t xml:space="preserve">  RESULTADO DE EJECUCION</t>
  </si>
  <si>
    <t>CAUSACION (RECONOC-OBLIG)</t>
  </si>
  <si>
    <t>CAJA      (RECAUDOS-OBLIG)</t>
  </si>
  <si>
    <t>CAUSACION</t>
  </si>
  <si>
    <t>CAJA</t>
  </si>
  <si>
    <t>1010200-4</t>
  </si>
  <si>
    <t>PROYECTADA A DIC31</t>
  </si>
  <si>
    <t>Certificación, Habilitación y Acreditación</t>
  </si>
  <si>
    <t>( * ) POR SER LINEAL, ESTA PROYECCION NO ES LA REALIDAD, DEBE SER CALCULADA POR LA INSTITUCION PARA CADA RUBRO UTILIZANDO UN FLUJO DE FONDOS MES A MES</t>
  </si>
  <si>
    <t>SUBSIDIO A LA OFERTA- ACTIVIDADES NO POS-S</t>
  </si>
  <si>
    <t>Contribuciones Inherentes nómina al Sector Privado</t>
  </si>
  <si>
    <t>1130106-1</t>
  </si>
  <si>
    <t>1130106-2</t>
  </si>
  <si>
    <t>1010301-1</t>
  </si>
  <si>
    <t>MINSALUD-FOSYGA-RECLAMACIONES ECAT</t>
  </si>
  <si>
    <t>1010301-2</t>
  </si>
  <si>
    <t>1130107-1</t>
  </si>
  <si>
    <t>1010301-3</t>
  </si>
  <si>
    <t>1130107-2</t>
  </si>
  <si>
    <t>1010301-4</t>
  </si>
  <si>
    <t>MINSALUD-FOSYGA -TRAUMA MAYOR Y DESPLAZADOS</t>
  </si>
  <si>
    <t>Contribuciones - Otros</t>
  </si>
  <si>
    <t>1010302-1</t>
  </si>
  <si>
    <t>1010302-2</t>
  </si>
  <si>
    <t>EPS - PLANES COMPLEMENTARIOS</t>
  </si>
  <si>
    <t>1010302-3</t>
  </si>
  <si>
    <t>1130109-1</t>
  </si>
  <si>
    <t>1010302-4</t>
  </si>
  <si>
    <t>1130109-2</t>
  </si>
  <si>
    <t>1010302-5</t>
  </si>
  <si>
    <t>EMPRESAS MEDICINA PREPAGADA</t>
  </si>
  <si>
    <t>1130110-1</t>
  </si>
  <si>
    <t>1130110-2</t>
  </si>
  <si>
    <t>Contribuciones Inherentes nómina del Sector Publico</t>
  </si>
  <si>
    <t>IPS PRIVADAS</t>
  </si>
  <si>
    <t>1130111-1</t>
  </si>
  <si>
    <t>1010402-1</t>
  </si>
  <si>
    <t>1130111-2</t>
  </si>
  <si>
    <t>1010402-2</t>
  </si>
  <si>
    <t>IPS PUBLICAS</t>
  </si>
  <si>
    <t>1130112-1</t>
  </si>
  <si>
    <t>1130112-2</t>
  </si>
  <si>
    <t>Gastos de Operación</t>
  </si>
  <si>
    <t>COMPAÑIAS DE SEGUROS  - ACCIDENTES DE TRANSITO (SOAT)</t>
  </si>
  <si>
    <t>1130113-1</t>
  </si>
  <si>
    <t>1130113-2</t>
  </si>
  <si>
    <t xml:space="preserve">COMPAÑIAS DE SEGUROS  - PLANES DE SALUD  </t>
  </si>
  <si>
    <t>1130114-1</t>
  </si>
  <si>
    <t>1130114-2</t>
  </si>
  <si>
    <t>ENTIDADES DE REGIMEN ESPECIAL (Magisterio, Fuerza Pca.)</t>
  </si>
  <si>
    <t>1020104-1</t>
  </si>
  <si>
    <t>1130115-1</t>
  </si>
  <si>
    <t>1020104-2</t>
  </si>
  <si>
    <t>1130115-2</t>
  </si>
  <si>
    <t>1020104-3</t>
  </si>
  <si>
    <t>1020104-4</t>
  </si>
  <si>
    <t>1130116-1</t>
  </si>
  <si>
    <t>1020104-5</t>
  </si>
  <si>
    <t>1130116-2</t>
  </si>
  <si>
    <t>1020104-8</t>
  </si>
  <si>
    <t>CUOTAS DE RECUPERACION</t>
  </si>
  <si>
    <t>1020104-9</t>
  </si>
  <si>
    <t>1130117-1</t>
  </si>
  <si>
    <t>1020104-10</t>
  </si>
  <si>
    <t>1130117-2</t>
  </si>
  <si>
    <t>PARTICULARES   (Venta de Contado)</t>
  </si>
  <si>
    <t>1130118-1</t>
  </si>
  <si>
    <t>1130118-2</t>
  </si>
  <si>
    <t>Digitar nombre de Nuevo Rubro. Si lo Requiere</t>
  </si>
  <si>
    <t>1020200-1</t>
  </si>
  <si>
    <t>1020200-2</t>
  </si>
  <si>
    <t>1020200-4</t>
  </si>
  <si>
    <t>1020301-1</t>
  </si>
  <si>
    <t>1020301-2</t>
  </si>
  <si>
    <t>1020301-3</t>
  </si>
  <si>
    <t>1020301-4</t>
  </si>
  <si>
    <t>1020302-1</t>
  </si>
  <si>
    <t>1020302-2</t>
  </si>
  <si>
    <t>1020302-3</t>
  </si>
  <si>
    <t>1020302-4</t>
  </si>
  <si>
    <t>11303-1</t>
  </si>
  <si>
    <t>1020302-5</t>
  </si>
  <si>
    <t>11303-2</t>
  </si>
  <si>
    <t>11303-3</t>
  </si>
  <si>
    <t>11303-4</t>
  </si>
  <si>
    <t>11303-5</t>
  </si>
  <si>
    <t>1020402-1</t>
  </si>
  <si>
    <t>1020402-2</t>
  </si>
  <si>
    <t>2100-1</t>
  </si>
  <si>
    <t>2200-1</t>
  </si>
  <si>
    <t>GASTOS GENERALES</t>
  </si>
  <si>
    <t>Adquisición de bienes</t>
  </si>
  <si>
    <t>2010100-1</t>
  </si>
  <si>
    <t>Compra de Equipos</t>
  </si>
  <si>
    <t>TOTAL INGRESOS DIFERENTES A CUENTAS POR COBRAR</t>
  </si>
  <si>
    <t>2010100-2</t>
  </si>
  <si>
    <t>Materiales</t>
  </si>
  <si>
    <t>TOTAL INGRESOS DE VIGENCIAS ANTERIORES</t>
  </si>
  <si>
    <t>2010100-3</t>
  </si>
  <si>
    <t>Salud Ocupacional</t>
  </si>
  <si>
    <t xml:space="preserve">TOTAL PRESUPUESTO DE INGRESOS </t>
  </si>
  <si>
    <t>2010100-4</t>
  </si>
  <si>
    <t>2010100-5</t>
  </si>
  <si>
    <t>2010100-6</t>
  </si>
  <si>
    <t>Adquisición de Servicios</t>
  </si>
  <si>
    <t>2010200-1</t>
  </si>
  <si>
    <t>Seguros</t>
  </si>
  <si>
    <t>2010200-2</t>
  </si>
  <si>
    <t>Impresos y Publicaciones</t>
  </si>
  <si>
    <t>2010200-3</t>
  </si>
  <si>
    <t xml:space="preserve">Servicios Públicos </t>
  </si>
  <si>
    <t>2010200-4</t>
  </si>
  <si>
    <t>Comunicaciones y Transportes</t>
  </si>
  <si>
    <t>2010200-5</t>
  </si>
  <si>
    <t>Viáticos y Gastos de Viaje</t>
  </si>
  <si>
    <t>2010200-6</t>
  </si>
  <si>
    <t>Arrendamientos</t>
  </si>
  <si>
    <t>2010200-7</t>
  </si>
  <si>
    <t>Vigilancia y Aseo</t>
  </si>
  <si>
    <t>2010200-8</t>
  </si>
  <si>
    <t>Bienestar Social</t>
  </si>
  <si>
    <t>2010200-9</t>
  </si>
  <si>
    <t>Capacitación, estimulos, incentivos, programa de calidad</t>
  </si>
  <si>
    <t>2010200-10</t>
  </si>
  <si>
    <t>2010200-11</t>
  </si>
  <si>
    <t>Gastos financieros</t>
  </si>
  <si>
    <t>2010200-12</t>
  </si>
  <si>
    <t>2010200-13</t>
  </si>
  <si>
    <t>2010020-14</t>
  </si>
  <si>
    <t>2010200-15</t>
  </si>
  <si>
    <t>Impuestos y Multas</t>
  </si>
  <si>
    <t>2010300-1</t>
  </si>
  <si>
    <t>Impuestos (Predial, Vehiculos, Otros)</t>
  </si>
  <si>
    <t>Mantenimiento Hospitalario</t>
  </si>
  <si>
    <t>2020102-1</t>
  </si>
  <si>
    <t>2020102-2</t>
  </si>
  <si>
    <t>2020102-3</t>
  </si>
  <si>
    <t>2020202-1</t>
  </si>
  <si>
    <t>2020202-2</t>
  </si>
  <si>
    <t>2020202-3</t>
  </si>
  <si>
    <t>2020202-4</t>
  </si>
  <si>
    <t>2020202-5</t>
  </si>
  <si>
    <t>2020202-6</t>
  </si>
  <si>
    <t>Plan Integral de Manejo de Residuos Sólidos Hospitalarios</t>
  </si>
  <si>
    <t>2020202-7</t>
  </si>
  <si>
    <t>Servicios de Laboratorio contratados con terceros</t>
  </si>
  <si>
    <t>2020202-8</t>
  </si>
  <si>
    <t>Servicios de Rayos X e Imaginología contratado con terceros</t>
  </si>
  <si>
    <t>2020202-9</t>
  </si>
  <si>
    <t>TRANSFERENCIAS CORRIENTES</t>
  </si>
  <si>
    <t>Transferencias al Sector Público</t>
  </si>
  <si>
    <t>Entidades Públicas (Contraloria, Supersalud,…)</t>
  </si>
  <si>
    <t>Transf. Previsión y Seguridad Social</t>
  </si>
  <si>
    <t>Pensiones y Jubilaciones (Pago Directo)</t>
  </si>
  <si>
    <t>Cesantías Pago Directo (Pago Directo)</t>
  </si>
  <si>
    <t>Bonos, Cuotas de Bonos y cuotas partes jubilatorias</t>
  </si>
  <si>
    <t>Intereses a las cesantias</t>
  </si>
  <si>
    <t>Otras Transferencias</t>
  </si>
  <si>
    <t>Sentencias y Conciliaciones</t>
  </si>
  <si>
    <t>Destinatarios de otras transferencias</t>
  </si>
  <si>
    <t>3300200-1</t>
  </si>
  <si>
    <t>3300200-2</t>
  </si>
  <si>
    <t>3300200-3</t>
  </si>
  <si>
    <t>GASTOS  DE PRESTACION DE SERVICIOS</t>
  </si>
  <si>
    <t>Insumos y Suministros Hospitalarios</t>
  </si>
  <si>
    <t>Compra de Bienes para la Prestacion de servicios</t>
  </si>
  <si>
    <t>4100100-1</t>
  </si>
  <si>
    <t>4100100-2</t>
  </si>
  <si>
    <t>4100100-3</t>
  </si>
  <si>
    <t>4100100-4</t>
  </si>
  <si>
    <t>4100100-5</t>
  </si>
  <si>
    <t>Gastos Complementarios e Intermedios</t>
  </si>
  <si>
    <t>4100200-1</t>
  </si>
  <si>
    <t>B</t>
  </si>
  <si>
    <t>Insumos y Suministros para Venta al Público</t>
  </si>
  <si>
    <t>Compra de Bienes para la venta</t>
  </si>
  <si>
    <t>5100100-1</t>
  </si>
  <si>
    <t>5100100-2</t>
  </si>
  <si>
    <t>5100100-3</t>
  </si>
  <si>
    <t>5100100-4</t>
  </si>
  <si>
    <t>5100100-5</t>
  </si>
  <si>
    <t>5100100-6</t>
  </si>
  <si>
    <t>C</t>
  </si>
  <si>
    <t xml:space="preserve">SERVICIO DE LA DEUDA </t>
  </si>
  <si>
    <t>SERVICIO DE LA DEUDA INTERNA</t>
  </si>
  <si>
    <t>Amortización deuda Pública Interna</t>
  </si>
  <si>
    <t>Intereses Comisiones y gastos de la Deuda Pública</t>
  </si>
  <si>
    <t>SERVICIO DE LA DEUDA EXTERNA</t>
  </si>
  <si>
    <t>Amortización deuda Pública Externa</t>
  </si>
  <si>
    <t>D</t>
  </si>
  <si>
    <t>Programas de Inversión</t>
  </si>
  <si>
    <t>Formación Bruta del Capital</t>
  </si>
  <si>
    <t>8001000-1</t>
  </si>
  <si>
    <t>Subprogr.Construc. Remodelac. Adecuación y Apliac.1</t>
  </si>
  <si>
    <t>8001000-2</t>
  </si>
  <si>
    <t>Subprogr.Construc. Remodelac. Adecuación y Apliac.2</t>
  </si>
  <si>
    <t>8001000-3</t>
  </si>
  <si>
    <t>Subprogr.Construc. Remodelac. Adecuación y Apliac.3</t>
  </si>
  <si>
    <t>8001000-4</t>
  </si>
  <si>
    <t>Subprogr.Construc. Remodelac. Adecuación y Apliac.4</t>
  </si>
  <si>
    <t>Subprogr.Construc. Remodelac. Adecuación y Apliac.5</t>
  </si>
  <si>
    <t>Gastos Operativos de Inversion   (Programas Especiales)</t>
  </si>
  <si>
    <t>8002100-1</t>
  </si>
  <si>
    <t>Fondo de la Vivienda</t>
  </si>
  <si>
    <t>8002100-2</t>
  </si>
  <si>
    <t>8002100-3</t>
  </si>
  <si>
    <t>8002100-4</t>
  </si>
  <si>
    <t>8002100-5</t>
  </si>
  <si>
    <t>8002100-6</t>
  </si>
  <si>
    <t>8002100-7</t>
  </si>
  <si>
    <t>E</t>
  </si>
  <si>
    <t>FEBRERO</t>
  </si>
  <si>
    <t>MARZO</t>
  </si>
  <si>
    <t>RECAUDOS ACUMULADOS DEL AÑO</t>
  </si>
  <si>
    <t>PAGOS ACUMULADOS DEL AÑO</t>
  </si>
  <si>
    <t>ABRIL</t>
  </si>
  <si>
    <t>MAYO</t>
  </si>
  <si>
    <t>JUNIO</t>
  </si>
  <si>
    <t>JULIO</t>
  </si>
  <si>
    <t>AGOSTO</t>
  </si>
  <si>
    <t>SEPTIEMBRE</t>
  </si>
  <si>
    <t>OCTUBRE</t>
  </si>
  <si>
    <t>NOVIEMBRE</t>
  </si>
  <si>
    <t>DICIEMBRE</t>
  </si>
  <si>
    <t>TRIMESTRE 1</t>
  </si>
  <si>
    <t>TRIMESTRE 2</t>
  </si>
  <si>
    <t>TRIMESTRE 3</t>
  </si>
  <si>
    <t>TRIMESTRE 4</t>
  </si>
  <si>
    <t>Recaudos Reales</t>
  </si>
  <si>
    <t>Total Recaudos acumulados del año</t>
  </si>
  <si>
    <t>Pagos Reales</t>
  </si>
  <si>
    <t>Total Pagos acumulados del año</t>
  </si>
  <si>
    <r>
      <t xml:space="preserve">MARQUE </t>
    </r>
    <r>
      <rPr>
        <b/>
        <sz val="16"/>
        <color indexed="10"/>
        <rFont val="Arial"/>
        <family val="2"/>
      </rPr>
      <t>1</t>
    </r>
    <r>
      <rPr>
        <b/>
        <sz val="12"/>
        <color indexed="62"/>
        <rFont val="Arial"/>
        <family val="2"/>
      </rPr>
      <t xml:space="preserve"> EN EL RECUADRO DEL TRIMESTRE A CONSOLIDAR</t>
    </r>
  </si>
  <si>
    <t>1130108-1</t>
  </si>
  <si>
    <t>1130108-2</t>
  </si>
  <si>
    <t>MES</t>
  </si>
  <si>
    <t>AÑO</t>
  </si>
  <si>
    <t>VIGENCIA</t>
  </si>
  <si>
    <t>GASTOS DE OPERACIÓN, COMERCIALIZACION Y PRESTACION DE SERVICIOS</t>
  </si>
  <si>
    <t xml:space="preserve">Aprovechamientos </t>
  </si>
  <si>
    <t>CREDITO INTERNO</t>
  </si>
  <si>
    <t>CREDITO EXTERNO</t>
  </si>
  <si>
    <t>RENDIMIENTOS FINANCIEROS</t>
  </si>
  <si>
    <t>VENTA DE ACTIVOS</t>
  </si>
  <si>
    <t>DONACIONES</t>
  </si>
  <si>
    <t>1130119-1</t>
  </si>
  <si>
    <t>1130119-2</t>
  </si>
  <si>
    <t xml:space="preserve">Prima de Navidad </t>
  </si>
  <si>
    <t>Prima de Vacaciones</t>
  </si>
  <si>
    <t>Prima de Servicios</t>
  </si>
  <si>
    <t>Auxilio de Transporte</t>
  </si>
  <si>
    <t>Gastos de Representación</t>
  </si>
  <si>
    <t>Aporte a Caja Compensación Familiar</t>
  </si>
  <si>
    <t>S.E.N.A.</t>
  </si>
  <si>
    <t>I.C.B.F.</t>
  </si>
  <si>
    <t>Indemnizaciones por Vacaciones o Supresión de Cargos por Reestructuración</t>
  </si>
  <si>
    <t>Compra de Equipo e Instr. Mco. y Laborat.</t>
  </si>
  <si>
    <t>COHAN</t>
  </si>
  <si>
    <t>AESA</t>
  </si>
  <si>
    <t xml:space="preserve">OTRAS </t>
  </si>
  <si>
    <t>Productos Farmaceuticos</t>
  </si>
  <si>
    <t>Material Médico Quirúrgico</t>
  </si>
  <si>
    <t>Material de Laboratorio</t>
  </si>
  <si>
    <t>Material para Odontologia</t>
  </si>
  <si>
    <t>Material para Rayos X</t>
  </si>
  <si>
    <t>Alimentación</t>
  </si>
  <si>
    <t>Material aseo personal, etc.</t>
  </si>
  <si>
    <t>INGRESOS DE EXPLOTACION</t>
  </si>
  <si>
    <t>Venta de servicios de salud</t>
  </si>
  <si>
    <t>Régimen subsidiado</t>
  </si>
  <si>
    <t>Régimen contributivo</t>
  </si>
  <si>
    <t>Atencion a poblacion  pobre en lo no cubierto con subsidios a la demanda</t>
  </si>
  <si>
    <t>SOAT</t>
  </si>
  <si>
    <t>Plan de intervenciones colectivas</t>
  </si>
  <si>
    <t>Otras ventas de servicios de salud</t>
  </si>
  <si>
    <t>Aportes de la nación, dpto, distrito o municipio, no ligados a la venta de servicios</t>
  </si>
  <si>
    <t>Ingresos de capital</t>
  </si>
  <si>
    <t>Cuentas por cobrar Vigencias Anteriores</t>
  </si>
  <si>
    <t>Gastos del personal de planta</t>
  </si>
  <si>
    <t>Servicios personales indirectos</t>
  </si>
  <si>
    <t>Sueldos del personal de nómina</t>
  </si>
  <si>
    <t>Horas extras. Dominicales y festivos</t>
  </si>
  <si>
    <t>Otros conceptos de servicios personales asociados a la nómina</t>
  </si>
  <si>
    <t>Contribuciones inherentes a la nómina</t>
  </si>
  <si>
    <t>Impuestos y multas</t>
  </si>
  <si>
    <t>GASTOS DE OPERACIÓN COMERCIAL Y PRESTACION DE SERVICIOS</t>
  </si>
  <si>
    <t>Medicamentos</t>
  </si>
  <si>
    <t>De comercialización (Compra de B y S distintos de medicamentos)</t>
  </si>
  <si>
    <t>De prestación de servicios  (Compra de B y S distintos de medicamentos)</t>
  </si>
  <si>
    <t xml:space="preserve">   Adquisición de servicios (Diferentes a mantenimiento)</t>
  </si>
  <si>
    <t>GASTOS DE COMERCIALIZACION</t>
  </si>
  <si>
    <t>Remuneración y Honorarios por Servicios Técnicos y Profesionales</t>
  </si>
  <si>
    <t>8002100-8</t>
  </si>
  <si>
    <t>8002100-9</t>
  </si>
  <si>
    <t>8002100-10</t>
  </si>
  <si>
    <t>8002100-11</t>
  </si>
  <si>
    <t>8002100-12</t>
  </si>
  <si>
    <t>Programas Especial 10</t>
  </si>
  <si>
    <t>Programas Especial 11</t>
  </si>
  <si>
    <t>Pago a otras IPS</t>
  </si>
  <si>
    <t>* En el caso de los recursos del SGP Aportes Patronales debe registrarse mes a mes la 1/12 del total asignado al respectivo Municipio por el CONPES</t>
  </si>
  <si>
    <t xml:space="preserve">* Para los recursos de la Disponibilidad inicial su reconocimiento debe ser siempre igual al presupuesto definitivo por corresponder a recursos disponibles a diciembre 31 del año anterior. </t>
  </si>
  <si>
    <t>Para los compromisos con cargo al SGP APORTES PATRONALES registrar mensualmente el valor total correspondiente al aporte patronal de las respectivas autoliquidaciónes</t>
  </si>
  <si>
    <t>* Desembolsos de Caja o Bancos, tanto como pago a compromisos como anticipos realizados</t>
  </si>
  <si>
    <t>* La diferencia entre el total consignado y el total autoliquidado, en caso de ser positiva, corresponde a valores que quedan a favor en cada fondo EPS o EPS-S</t>
  </si>
  <si>
    <t>11303-6</t>
  </si>
  <si>
    <t>RECOMENDACIONES</t>
  </si>
  <si>
    <t>VARIACIONES</t>
  </si>
  <si>
    <t>Programas Especial 01</t>
  </si>
  <si>
    <t>Programas Especial 02</t>
  </si>
  <si>
    <t>Programas Especial 03</t>
  </si>
  <si>
    <t>Programas Especial 04</t>
  </si>
  <si>
    <t>Programas Especial 05</t>
  </si>
  <si>
    <t>Programas Especial 06</t>
  </si>
  <si>
    <t>Programas Especial 07</t>
  </si>
  <si>
    <t>Programas Especial 08</t>
  </si>
  <si>
    <t>Programas Especial 09</t>
  </si>
  <si>
    <t>* Para los aportes patronales pagados con recursos del SGP APORTES PATRONALES registre mes a mes el valor total consignado por  MINHACIENDA a los respectivos fondos, EPS y EPS-S.</t>
  </si>
  <si>
    <t>Pagos otras IPS</t>
  </si>
  <si>
    <t>2020202-10</t>
  </si>
  <si>
    <t>Servicios Públicos</t>
  </si>
  <si>
    <t>APROPIACION</t>
  </si>
  <si>
    <t>TRASLADOS</t>
  </si>
  <si>
    <t>Para enviar la información a la S.S.S.A. debe sacar copia del mes utilizando el comando Edición, así:</t>
  </si>
  <si>
    <t>Las modificaciones al presupuesto ( Rebajas y Traslados) se digitan en las columnas P y AL, en el mes en que se producen, no lo intente en las columnas D y V, porque daña las referencias.  A las rebajas y a los contracréditos se les antepone el signo menos (-).  Las adiciones las digita en la columna Q y AM   tampoco lo intente en las columnas E y W porque también destruye las referencias.</t>
  </si>
  <si>
    <t>A partir del mes de febrero solamente se trabaja en las columnas H, K, P y Q en ingresos y en las columnas Z, AC, AF,AL y AM para los gastos.</t>
  </si>
  <si>
    <t>PARA LA VALIDACION DE LOS REPORTES TRIMESTRALES, LA EJECUCION DEBE ESTAR DILIGENCIADA SOLAMENTE HASTA EL MES DEL CORTE</t>
  </si>
  <si>
    <t>LA INSTITUCION DEBE LLEVAR LAS TARJETAS POR CADA RUBRO U APROPIACION Y ALLI REGISTRAR LA OPERACION PRESUPUESTAL EN EL MOMENTO EN QUE SE PRODUZCA</t>
  </si>
  <si>
    <t>AL FINALIZAR EL MES SE TOTALIZARAN LOS RECONOCIMIENTOS Y  RECAUDOS POR CADA RUBRO DE INGRESOS Y LOS COMPROMISOS OBLIGACIONES Y PAGOS POR CADA APROPIACION DEL GASTO. ESOS TOTALES SERAN LOS QUE SE LLEVAN AL INFORME DE EJECUCION</t>
  </si>
  <si>
    <t xml:space="preserve">Con este comando puede crear una copia en otro libro. </t>
  </si>
  <si>
    <t>Edición - Mover o Copiar Hoja - Crear copia, en libro nuevo</t>
  </si>
  <si>
    <r>
      <t xml:space="preserve">Edición (Clic)    Mover o Copiar Hoja...(Clic)    Al Libro = Nuevo Libro (Clic)    Activar la opción </t>
    </r>
    <r>
      <rPr>
        <b/>
        <sz val="9"/>
        <color indexed="10"/>
        <rFont val="Arial"/>
        <family val="2"/>
      </rPr>
      <t>Crear una</t>
    </r>
    <r>
      <rPr>
        <sz val="9"/>
        <color indexed="10"/>
        <rFont val="Arial"/>
        <family val="2"/>
      </rPr>
      <t xml:space="preserve"> Copia (Click)- Enter. Una vez ejecutada esta orden se renombra el libro creado</t>
    </r>
  </si>
  <si>
    <t>CONCEPTOS BASICOS</t>
  </si>
  <si>
    <t>*  Registrar los valores facturados en cada rubro de la vigencia  y el total de CxC de vigencias anteriores por cada concepto.</t>
  </si>
  <si>
    <t>* Registrar mes a mes los valores recaudados por cada concepto y que correspondan a facturacion de servicios de la vigencia actual y las anteriores</t>
  </si>
  <si>
    <t>* En el caso de los recursos del SGP Aportes Patronales debe registrarse mes a mes como recaudo la 1/12 del total asignado al respectivo Municipio por el CONPES.</t>
  </si>
  <si>
    <t xml:space="preserve">* Para los recursos de Disponibilidad inicial su recaudo debe ser siempre igual a presupuesto definitivo por corresponder a recursos disponibles a Dic-31 del año anterior. </t>
  </si>
  <si>
    <t>* Registrarlas deudas producto del desarrollo de compromisos adquiridos por el valor equivalente a bienes recibidos, servicios prestados y demás exigibles causados en el mes en la columna "DEL MES" y el acumulado durante el período transcurrido en la columna "TOTAL"</t>
  </si>
  <si>
    <t>Acto realizado por los órganos que en desarrollo de la capacidad de contratar y de comprometer el presupuesto a nombre de la persona jurídica de la cual hagan parte, se encuentren en el proceso de llevar a cabo el objeto establecido en los mismos.</t>
  </si>
  <si>
    <t>CUANDO SE NECESITA HACER CORRECCIONES A VALORES, NUNCA CORTE EL DATO, PORQUE CORTA LA REFERENCIA DE LAS FORMULAS.</t>
  </si>
  <si>
    <t>VALOR ASIGNADO</t>
  </si>
  <si>
    <t>VALOR COMPROMETIDO</t>
  </si>
  <si>
    <t xml:space="preserve">VALOR EJECUTADO (OBLIGADO) </t>
  </si>
  <si>
    <t>VALOR PAGADO</t>
  </si>
  <si>
    <t>Adquisicion de Bienes</t>
  </si>
  <si>
    <t>Adquisicion de servicios</t>
  </si>
  <si>
    <t>EQUILIBRIO</t>
  </si>
  <si>
    <t>Con reconocimientos</t>
  </si>
  <si>
    <t>Con recaudos</t>
  </si>
  <si>
    <t>F = A/D</t>
  </si>
  <si>
    <t>G = B/D</t>
  </si>
  <si>
    <t xml:space="preserve">RECUERDE QUE DEBE CUMPLIRSE QUE: </t>
  </si>
  <si>
    <t>RECONOCIDO&gt;=COMPROMISO</t>
  </si>
  <si>
    <t>Total Reconocimientos al finalizar el trimestre reportado</t>
  </si>
  <si>
    <t>Total Compromisos al finalizar el trimestre reportado</t>
  </si>
  <si>
    <t>Total Obligaciones al finalizar el trimestre reportado</t>
  </si>
  <si>
    <t>RECAUDO / COMPROMISO &gt;= 1,00</t>
  </si>
  <si>
    <t>RECONOCIDO / COMPROMISO &gt;= 1,00</t>
  </si>
  <si>
    <t>% RECAUDO DE LO RECONOCIDO</t>
  </si>
  <si>
    <t>DEFICIT / EXCEDENTE PRESUPUESTAL</t>
  </si>
  <si>
    <t>H = A-D</t>
  </si>
  <si>
    <t>G = B-D</t>
  </si>
  <si>
    <t>SALUD PUBLICA - PLAN DE INTERVENCIONES COLECTIVAS</t>
  </si>
  <si>
    <t>RECAUDOS&gt;=COMPROMISO</t>
  </si>
  <si>
    <t>INSTITUCION:</t>
  </si>
  <si>
    <r>
      <t xml:space="preserve">Traslados entre rubros, tanto positivos como negativos </t>
    </r>
    <r>
      <rPr>
        <sz val="9"/>
        <rFont val="Bookman Old Style"/>
        <family val="1"/>
      </rPr>
      <t xml:space="preserve">
(No hacen variar el total general presupuestado)</t>
    </r>
  </si>
  <si>
    <r>
      <t xml:space="preserve">Incrementos o disminuciones al presupuesto general. </t>
    </r>
    <r>
      <rPr>
        <sz val="9"/>
        <rFont val="Bookman Old Style"/>
        <family val="1"/>
      </rPr>
      <t xml:space="preserve"> 
(Admite valores positivos y negativos.)</t>
    </r>
  </si>
  <si>
    <r>
      <t>Traslados entre apropiaciones, tanto positivos como negativos</t>
    </r>
    <r>
      <rPr>
        <sz val="9"/>
        <rFont val="Bookman Old Style"/>
        <family val="1"/>
      </rPr>
      <t xml:space="preserve"> 
(No hacen variar el total general presupuestado)</t>
    </r>
  </si>
  <si>
    <r>
      <t>Incrementos o disminuciones al presupuesto general.</t>
    </r>
    <r>
      <rPr>
        <sz val="9"/>
        <rFont val="Bookman Old Style"/>
        <family val="1"/>
      </rPr>
      <t xml:space="preserve">  
(Admite valores positivos y negativos.)</t>
    </r>
  </si>
  <si>
    <r>
      <rPr>
        <b/>
        <sz val="13"/>
        <rFont val="Arial"/>
        <family val="2"/>
      </rPr>
      <t xml:space="preserve">RECONOCIMIENTO </t>
    </r>
    <r>
      <rPr>
        <b/>
        <sz val="8"/>
        <rFont val="Arial"/>
        <family val="2"/>
      </rPr>
      <t xml:space="preserve">
</t>
    </r>
    <r>
      <rPr>
        <b/>
        <sz val="10"/>
        <rFont val="Arial"/>
        <family val="2"/>
      </rPr>
      <t>(Facturación real del contrato firmado)</t>
    </r>
  </si>
  <si>
    <r>
      <t xml:space="preserve">COMPROMISOS 
</t>
    </r>
    <r>
      <rPr>
        <b/>
        <sz val="10"/>
        <rFont val="Arial"/>
        <family val="2"/>
      </rPr>
      <t>(REGISTROS PRESUPUESTALES)</t>
    </r>
  </si>
  <si>
    <r>
      <t xml:space="preserve">OBLIGACIONES 
</t>
    </r>
    <r>
      <rPr>
        <b/>
        <sz val="10"/>
        <rFont val="Arial"/>
        <family val="2"/>
      </rPr>
      <t>(BIENES RECIBIDOS O SERVICIOS PRESTADOS)</t>
    </r>
  </si>
  <si>
    <r>
      <t xml:space="preserve">Incrementos o disminuciones al presupuesto general.  </t>
    </r>
    <r>
      <rPr>
        <sz val="9"/>
        <rFont val="Bookman Old Style"/>
        <family val="1"/>
      </rPr>
      <t xml:space="preserve">
(Admite valores positivos y negativos.)</t>
    </r>
  </si>
  <si>
    <r>
      <t xml:space="preserve">Traslados entre apropiaciones, tanto positivos como negativos </t>
    </r>
    <r>
      <rPr>
        <sz val="9"/>
        <rFont val="Bookman Old Style"/>
        <family val="1"/>
      </rPr>
      <t xml:space="preserve">
(No hacen variar el total general presupuestado)</t>
    </r>
  </si>
  <si>
    <t>Traslados entre rubros, tanto positivos como negativos 
(No hacen variar el total general presupuestado)</t>
  </si>
  <si>
    <t>Incrementos o disminuciones al presupuesto general.  
(Admite valores positivos y negativos.)</t>
  </si>
  <si>
    <t>DIGITAR AQUÍ LOS NOMBRES DEL MUNICIPIO Y DE LA INSTITUCION PARA LA IDENTIFICACION DEL ARCHIVO</t>
  </si>
  <si>
    <t>Convenios con la Nacion ligados a venta de servicios de salud</t>
  </si>
  <si>
    <t>Convenios con el Departamento ligados a venta de servicios de salud</t>
  </si>
  <si>
    <t>Convenios con el Municipio ligados a venta de servicios de salud</t>
  </si>
  <si>
    <t>Total Definitivo al finalizar el trimestre reportado</t>
  </si>
  <si>
    <t>Aportes de la Nación no ligados a la venta de servicios</t>
  </si>
  <si>
    <t>Aportes del Departamento no ligados a la venta de servicios</t>
  </si>
  <si>
    <t>Aportes del Municipio no ligados a la venta de servicios</t>
  </si>
  <si>
    <t>Servicios personales asociados a la nómina</t>
  </si>
  <si>
    <t>GASTOS DE OPERACIÓN, COMERCIALIZACION Y 
PRESTACION DE SERVICIOS</t>
  </si>
  <si>
    <t>De comercialización (Compra de B y S para la venta distintos de medicamentos)</t>
  </si>
  <si>
    <t>De prestación de servicios  (Compra de B y S para prestacion de servicios distintos de medicamentos)</t>
  </si>
  <si>
    <t>TOTAL DE INGRESOS</t>
  </si>
  <si>
    <t>1130103-4</t>
  </si>
  <si>
    <t>1130103-5</t>
  </si>
  <si>
    <t>1130103-6</t>
  </si>
  <si>
    <t xml:space="preserve"> Aportes Patronales  1o. Nivel</t>
  </si>
  <si>
    <t xml:space="preserve"> Aportes Patronales  2o. Nivel</t>
  </si>
  <si>
    <t xml:space="preserve"> Aportes Patronales  3er. Nivel</t>
  </si>
  <si>
    <t>CONVENIOS CON LA NACION LIGADOS A LA VENTA DE SERVICIOS</t>
  </si>
  <si>
    <t>CONVENIOS CON EL DEPARTAMENTO LIGADOS A LA VENTA SERVICIOS</t>
  </si>
  <si>
    <t>CONVENIOS CON EL MUNICIPIO LIGADOS A LA VENTA DE SERVICIOS</t>
  </si>
  <si>
    <t>OTROS CONVENIOS LIGADOS A LA VENTA DE SERVICIOS</t>
  </si>
  <si>
    <t>RECURSOS PARA PROGRAMA DE SANEAMIENTO FINANCIERO</t>
  </si>
  <si>
    <t>11303-7</t>
  </si>
  <si>
    <t>11303-8</t>
  </si>
  <si>
    <t>Vigencia Anterior</t>
  </si>
  <si>
    <t>11304-1</t>
  </si>
  <si>
    <t>ARRENDAMIENTO Y ALQUILER DE BIENES MUEBLES E INMUEBLES</t>
  </si>
  <si>
    <t>11304-2</t>
  </si>
  <si>
    <t>COMERCIALIZACIÓN DE MERCANCÍAS</t>
  </si>
  <si>
    <t>11304-3</t>
  </si>
  <si>
    <t>11304-4</t>
  </si>
  <si>
    <t>11304-5</t>
  </si>
  <si>
    <t>11304-6</t>
  </si>
  <si>
    <t>11304-7</t>
  </si>
  <si>
    <t>Otras Ventas de Servicios de Salud</t>
  </si>
  <si>
    <t>Aportes (No ligados a la venta de servicios de salud)</t>
  </si>
  <si>
    <t>Programa de Saneamiento Fiscal y Financiero</t>
  </si>
  <si>
    <t>OTROS INGRESOS DE CAPITAL</t>
  </si>
  <si>
    <t>GASTOS DE OPERACION COMERCIAL Y PRESTACION DE SERVICIOS</t>
  </si>
  <si>
    <t>TOTAL GASTOS DIFERENTES A CUENTAS POR PAGAR</t>
  </si>
  <si>
    <t>TOTAL GASTOS DE VIGENCIAS ANTERIORES</t>
  </si>
  <si>
    <t>TOTAL PRESUPUESTO DE GASTOS</t>
  </si>
  <si>
    <t>Gastos Cccial</t>
  </si>
  <si>
    <t>Gastos Prestacion de servicios</t>
  </si>
  <si>
    <t>PRESUPUESTO DE VENTA DE SERVICIOS DE LA VIGENCIA - DEFINITIVO</t>
  </si>
  <si>
    <t>PRESUPUESTO DE VENTA DE SERVICIOS DE LA VIGENCIA - RECONOCIDO</t>
  </si>
  <si>
    <t>PRESUPUESTO DE VENTA DE SERVICIOS DE LA VIGENCIA - RECAUDADO</t>
  </si>
  <si>
    <t>% ASIGNADO RESPECTO AL INGRESO RECONOCIDO</t>
  </si>
  <si>
    <t>% ASIGNADO RESPECTO AL INGRESO DEFINITIVO</t>
  </si>
  <si>
    <t>% ASIGNADO RESPECTO AL INGRESO RECAUDADO</t>
  </si>
  <si>
    <t>% COMPROMETIDO RESPECTO AL INGRESO DEFINITIVO</t>
  </si>
  <si>
    <t>% COMPROMETIDO RESPECTO AL INGRESO RECONOCIDO</t>
  </si>
  <si>
    <t>% COMPROMETIDO RESPECTO AL INGRESO RECAUDADO</t>
  </si>
  <si>
    <t>% OBLIGADO RESPECTO AL INGRESO DEFINITIVO</t>
  </si>
  <si>
    <t>% OBLIGADO RESPECTO AL INGRESO RECONOCIDO</t>
  </si>
  <si>
    <t>% OBLIGADO RESPECTO AL INGRESO RECAUDADO</t>
  </si>
  <si>
    <t>% PAGADO RESPECTO AL INGRESO DEFINITIVO</t>
  </si>
  <si>
    <t>% PAGADO RESPECTO AL INGRESO RECONOCIDO</t>
  </si>
  <si>
    <t>% PAGADO RESPECTO AL INGRESO RECAUDADO</t>
  </si>
  <si>
    <t>Otros Honorarios</t>
  </si>
  <si>
    <t>CONVENIOS CON LA NACION NO LIGADOS A LA VENTA DE SERVICIOS</t>
  </si>
  <si>
    <t>CONVENIOS CON EL DEPARTAMENTO NO LIGADOS A LA VENTA SERVICIOS</t>
  </si>
  <si>
    <t>CONVENIOS CON EL MUNICIPIO NO LIGADOS A LA VENTA DE SERVICIOS</t>
  </si>
  <si>
    <t>OTROS CONVENIOS NO LIGADOS A LA VENTA DE SERVICIOS</t>
  </si>
  <si>
    <t>FLUJO DE CAJA PARA EL INFORME TRIMESTRAL DEL SIHO</t>
  </si>
  <si>
    <t>INFORMACION DE INGRESOS CONSOLIDAR INFORMES DEL SIHO</t>
  </si>
  <si>
    <t>INFORMACION DE GASTOS CONSOLIDAR INFORMES DEL SIHO</t>
  </si>
  <si>
    <t>SECRETARIA SECCIONAL DE SALUD Y PROTECCION SOCIAL DE ANTIOQUIA DE ANTIOQUIA</t>
  </si>
  <si>
    <t>ADMINISTRADORAS DE RIESGOS LABORALES</t>
  </si>
  <si>
    <t>Aportes a E.P.S. - recursos propios</t>
  </si>
  <si>
    <t>Aportes Fondos Pensionales - recursos propios</t>
  </si>
  <si>
    <t>Aportes a Fondos de Cesantia - recursos propios</t>
  </si>
  <si>
    <t>Aporte a ARL. - recursos propios</t>
  </si>
  <si>
    <t>Contribuciones - SGP - Aportes Patronales - Cuenta Maestra</t>
  </si>
  <si>
    <t>E.P.S. - Aportes cuenta maestra</t>
  </si>
  <si>
    <t>Fondos pensionales - Aportes cuenta maestra</t>
  </si>
  <si>
    <t>Fondos de cesantías - Aportes cuenta maestra</t>
  </si>
  <si>
    <t>Riesgos laborales - Aportes cuenta maestra</t>
  </si>
  <si>
    <t>incluyendo vigencias anteriores</t>
  </si>
  <si>
    <t>sin vigencias anteriores</t>
  </si>
  <si>
    <t>Bonificación  por servicios prestados</t>
  </si>
  <si>
    <t>Bonificación Convencional</t>
  </si>
  <si>
    <t>Auxilio de Alimentación</t>
  </si>
  <si>
    <t>1010104-6</t>
  </si>
  <si>
    <t>1010104-7</t>
  </si>
  <si>
    <t>1010200-5</t>
  </si>
  <si>
    <t>1020104-6</t>
  </si>
  <si>
    <t>1020104-7</t>
  </si>
  <si>
    <t>1020104-11</t>
  </si>
  <si>
    <t>1020200-3</t>
  </si>
  <si>
    <t>8001000-5</t>
  </si>
  <si>
    <t>4100100-6</t>
  </si>
  <si>
    <t>4100100-7</t>
  </si>
  <si>
    <t>SOAT (Diferentes ECAT)</t>
  </si>
  <si>
    <t>ADRES (Antes FOSYGA)</t>
  </si>
  <si>
    <t>Adquisión de bienes</t>
  </si>
  <si>
    <t>Adquisición de servicios (Diferentes a mantenimiento)</t>
  </si>
  <si>
    <t>Mantenimiento</t>
  </si>
  <si>
    <t>Servicios públicos</t>
  </si>
  <si>
    <t>Pago directo de pensionados o jubilados</t>
  </si>
  <si>
    <t>Otras transferencias corrientes</t>
  </si>
  <si>
    <t>En las celdas en blanco puede registrar otros conceptos que esten dentro del grupo correspondiente</t>
  </si>
  <si>
    <t>MEDELLIN</t>
  </si>
  <si>
    <t>ESE HOSPITAL LA MARIA</t>
  </si>
  <si>
    <t>Mantenimiento de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</si>
</sst>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_ ;[Red]\-#,##0\ "/>
    <numFmt numFmtId="166" formatCode="\X"/>
    <numFmt numFmtId="167" formatCode="&quot;$&quot;#,##0.00"/>
  </numFmts>
  <fonts count="61">
    <font>
      <sz val="10"/>
      <name val="Arial"/>
    </font>
    <font>
      <sz val="8"/>
      <name val="Arial"/>
      <family val="2"/>
    </font>
    <font>
      <b/>
      <sz val="9"/>
      <color indexed="10"/>
      <name val="Arial"/>
      <family val="2"/>
    </font>
    <font>
      <sz val="9"/>
      <name val="Arial"/>
      <family val="2"/>
    </font>
    <font>
      <sz val="10"/>
      <name val="Arial"/>
      <family val="2"/>
    </font>
    <font>
      <b/>
      <sz val="12"/>
      <color indexed="12"/>
      <name val="Arial"/>
      <family val="2"/>
    </font>
    <font>
      <sz val="12"/>
      <name val="Arial"/>
      <family val="2"/>
    </font>
    <font>
      <b/>
      <sz val="10"/>
      <name val="Arial"/>
      <family val="2"/>
    </font>
    <font>
      <b/>
      <sz val="14"/>
      <name val="Arial"/>
      <family val="2"/>
    </font>
    <font>
      <b/>
      <sz val="9"/>
      <name val="Arial"/>
      <family val="2"/>
    </font>
    <font>
      <b/>
      <sz val="9"/>
      <color indexed="8"/>
      <name val="Arial"/>
      <family val="2"/>
    </font>
    <font>
      <sz val="9"/>
      <color indexed="10"/>
      <name val="Arial"/>
      <family val="2"/>
    </font>
    <font>
      <sz val="10"/>
      <color indexed="8"/>
      <name val="Arial"/>
      <family val="2"/>
    </font>
    <font>
      <sz val="10"/>
      <color indexed="9"/>
      <name val="Arial"/>
      <family val="2"/>
    </font>
    <font>
      <b/>
      <sz val="12"/>
      <name val="Arial"/>
      <family val="2"/>
    </font>
    <font>
      <b/>
      <sz val="8"/>
      <name val="Arial"/>
      <family val="2"/>
    </font>
    <font>
      <b/>
      <sz val="11"/>
      <color indexed="17"/>
      <name val="Arial"/>
      <family val="2"/>
    </font>
    <font>
      <b/>
      <sz val="11"/>
      <name val="Arial"/>
      <family val="2"/>
    </font>
    <font>
      <sz val="11"/>
      <name val="Arial"/>
      <family val="2"/>
    </font>
    <font>
      <b/>
      <sz val="12"/>
      <color indexed="10"/>
      <name val="Arial"/>
      <family val="2"/>
    </font>
    <font>
      <b/>
      <sz val="20"/>
      <color indexed="21"/>
      <name val="Arial"/>
      <family val="2"/>
    </font>
    <font>
      <sz val="10"/>
      <name val="Tahoma"/>
      <family val="2"/>
    </font>
    <font>
      <sz val="12"/>
      <name val="Tahoma"/>
      <family val="2"/>
    </font>
    <font>
      <b/>
      <sz val="16"/>
      <color indexed="10"/>
      <name val="Arial"/>
      <family val="2"/>
    </font>
    <font>
      <b/>
      <sz val="12"/>
      <color indexed="62"/>
      <name val="Arial"/>
      <family val="2"/>
    </font>
    <font>
      <b/>
      <sz val="12"/>
      <color indexed="12"/>
      <name val="Arial"/>
      <family val="2"/>
    </font>
    <font>
      <b/>
      <sz val="10"/>
      <color indexed="17"/>
      <name val="Arial"/>
      <family val="2"/>
    </font>
    <font>
      <b/>
      <sz val="16"/>
      <name val="Arial"/>
      <family val="2"/>
    </font>
    <font>
      <b/>
      <sz val="15"/>
      <name val="Arial"/>
      <family val="2"/>
    </font>
    <font>
      <b/>
      <sz val="12"/>
      <color indexed="36"/>
      <name val="Arial"/>
      <family val="2"/>
    </font>
    <font>
      <b/>
      <sz val="13"/>
      <name val="Arial"/>
      <family val="2"/>
    </font>
    <font>
      <b/>
      <sz val="18"/>
      <color indexed="17"/>
      <name val="Arial"/>
      <family val="2"/>
    </font>
    <font>
      <b/>
      <sz val="12"/>
      <color indexed="17"/>
      <name val="Arial"/>
      <family val="2"/>
    </font>
    <font>
      <b/>
      <sz val="13"/>
      <color indexed="17"/>
      <name val="Arial"/>
      <family val="2"/>
    </font>
    <font>
      <b/>
      <sz val="17"/>
      <name val="Arial"/>
      <family val="2"/>
    </font>
    <font>
      <b/>
      <sz val="28"/>
      <name val="Arial Rounded MT Bold"/>
      <family val="2"/>
    </font>
    <font>
      <b/>
      <sz val="20"/>
      <color indexed="36"/>
      <name val="Arial"/>
      <family val="2"/>
    </font>
    <font>
      <b/>
      <sz val="24"/>
      <color indexed="53"/>
      <name val="Arial"/>
      <family val="2"/>
    </font>
    <font>
      <b/>
      <sz val="18"/>
      <color indexed="10"/>
      <name val="Arial"/>
      <family val="2"/>
    </font>
    <font>
      <b/>
      <sz val="20"/>
      <color indexed="10"/>
      <name val="Arial"/>
      <family val="2"/>
    </font>
    <font>
      <b/>
      <sz val="8"/>
      <color indexed="10"/>
      <name val="Tahoma"/>
      <family val="2"/>
    </font>
    <font>
      <b/>
      <sz val="13"/>
      <color indexed="10"/>
      <name val="Arial"/>
      <family val="2"/>
    </font>
    <font>
      <sz val="9"/>
      <name val="Arial Unicode MS"/>
      <family val="2"/>
    </font>
    <font>
      <sz val="9"/>
      <name val="Bookman Old Style"/>
      <family val="1"/>
    </font>
    <font>
      <b/>
      <sz val="11"/>
      <color indexed="81"/>
      <name val="Tahoma"/>
      <family val="2"/>
    </font>
    <font>
      <b/>
      <sz val="9"/>
      <name val="Bookman Old Style"/>
      <family val="1"/>
    </font>
    <font>
      <sz val="14"/>
      <name val="Arial"/>
      <family val="2"/>
    </font>
    <font>
      <b/>
      <sz val="16"/>
      <name val="Microsoft Sans Serif"/>
      <family val="2"/>
    </font>
    <font>
      <b/>
      <sz val="14"/>
      <name val="Arial Rounded MT Bold"/>
      <family val="2"/>
    </font>
    <font>
      <sz val="7"/>
      <name val="Arial"/>
      <family val="2"/>
    </font>
    <font>
      <b/>
      <sz val="18"/>
      <name val="Arial"/>
      <family val="2"/>
    </font>
    <font>
      <i/>
      <sz val="8"/>
      <name val="Arial"/>
      <family val="2"/>
    </font>
    <font>
      <sz val="9"/>
      <color rgb="FFFF0000"/>
      <name val="Arial"/>
      <family val="2"/>
    </font>
    <font>
      <sz val="17"/>
      <name val="Arial"/>
      <family val="2"/>
    </font>
    <font>
      <b/>
      <sz val="10"/>
      <name val="Tahoma"/>
      <family val="2"/>
    </font>
    <font>
      <b/>
      <sz val="12"/>
      <color indexed="8"/>
      <name val="Arial"/>
      <family val="2"/>
    </font>
    <font>
      <b/>
      <sz val="11"/>
      <color indexed="8"/>
      <name val="Arial"/>
      <family val="2"/>
    </font>
    <font>
      <sz val="11"/>
      <color indexed="8"/>
      <name val="Arial"/>
      <family val="2"/>
    </font>
    <font>
      <sz val="10"/>
      <color rgb="FFFF0000"/>
      <name val="Arial"/>
      <family val="2"/>
    </font>
    <font>
      <b/>
      <sz val="9"/>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6" tint="0.59999389629810485"/>
        <bgColor indexed="64"/>
      </patternFill>
    </fill>
    <fill>
      <patternFill patternType="solid">
        <fgColor rgb="FFFFFF00"/>
        <bgColor indexed="64"/>
      </patternFill>
    </fill>
  </fills>
  <borders count="85">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17"/>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ck">
        <color indexed="17"/>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17"/>
      </right>
      <top style="medium">
        <color indexed="64"/>
      </top>
      <bottom style="thin">
        <color indexed="64"/>
      </bottom>
      <diagonal/>
    </border>
    <border>
      <left style="thick">
        <color indexed="17"/>
      </left>
      <right/>
      <top style="thick">
        <color indexed="17"/>
      </top>
      <bottom/>
      <diagonal/>
    </border>
    <border>
      <left style="thick">
        <color indexed="17"/>
      </left>
      <right/>
      <top/>
      <bottom/>
      <diagonal/>
    </border>
    <border>
      <left/>
      <right style="thick">
        <color indexed="17"/>
      </right>
      <top style="thick">
        <color indexed="17"/>
      </top>
      <bottom/>
      <diagonal/>
    </border>
    <border>
      <left/>
      <right style="thick">
        <color indexed="17"/>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double">
        <color indexed="21"/>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4" fillId="0" borderId="0" applyFont="0" applyFill="0" applyBorder="0" applyAlignment="0" applyProtection="0"/>
    <xf numFmtId="0" fontId="4" fillId="0" borderId="0"/>
    <xf numFmtId="9" fontId="4" fillId="0" borderId="0" applyFont="0" applyFill="0" applyBorder="0" applyAlignment="0" applyProtection="0"/>
  </cellStyleXfs>
  <cellXfs count="1052">
    <xf numFmtId="0" fontId="0" fillId="0" borderId="0" xfId="0"/>
    <xf numFmtId="0" fontId="4" fillId="2" borderId="0" xfId="0" applyFont="1" applyFill="1" applyProtection="1"/>
    <xf numFmtId="3" fontId="13" fillId="2" borderId="1" xfId="0" applyNumberFormat="1" applyFont="1" applyFill="1" applyBorder="1" applyProtection="1"/>
    <xf numFmtId="3" fontId="4" fillId="2" borderId="2" xfId="0" applyNumberFormat="1" applyFont="1" applyFill="1" applyBorder="1" applyAlignment="1" applyProtection="1">
      <alignment horizontal="centerContinuous"/>
    </xf>
    <xf numFmtId="3" fontId="4" fillId="2" borderId="3" xfId="0" applyNumberFormat="1" applyFont="1" applyFill="1" applyBorder="1" applyAlignment="1" applyProtection="1">
      <alignment horizontal="centerContinuous"/>
    </xf>
    <xf numFmtId="3" fontId="4" fillId="2" borderId="4" xfId="0" applyNumberFormat="1" applyFont="1" applyFill="1" applyBorder="1" applyAlignment="1" applyProtection="1">
      <alignment horizontal="center"/>
    </xf>
    <xf numFmtId="0" fontId="14" fillId="2" borderId="0" xfId="0" applyFont="1" applyFill="1" applyAlignment="1" applyProtection="1">
      <alignment horizontal="centerContinuous" vertical="center"/>
    </xf>
    <xf numFmtId="3" fontId="14" fillId="2" borderId="0" xfId="0" applyNumberFormat="1" applyFont="1" applyFill="1" applyAlignment="1" applyProtection="1">
      <alignment vertical="center"/>
    </xf>
    <xf numFmtId="3" fontId="15" fillId="2" borderId="0" xfId="0" applyNumberFormat="1" applyFont="1" applyFill="1" applyProtection="1"/>
    <xf numFmtId="3" fontId="4" fillId="2" borderId="0" xfId="0" applyNumberFormat="1" applyFont="1" applyFill="1" applyAlignment="1" applyProtection="1">
      <alignment vertical="center"/>
    </xf>
    <xf numFmtId="0" fontId="4" fillId="2" borderId="0" xfId="0" applyFont="1" applyFill="1" applyAlignment="1" applyProtection="1">
      <alignment vertical="center"/>
    </xf>
    <xf numFmtId="3" fontId="4" fillId="2" borderId="6" xfId="0" applyNumberFormat="1" applyFont="1" applyFill="1" applyBorder="1" applyAlignment="1" applyProtection="1">
      <alignment horizontal="left" vertical="center"/>
    </xf>
    <xf numFmtId="3" fontId="4" fillId="2" borderId="7" xfId="0" applyNumberFormat="1" applyFont="1" applyFill="1" applyBorder="1" applyAlignment="1" applyProtection="1">
      <alignment vertical="center"/>
    </xf>
    <xf numFmtId="3" fontId="4" fillId="2" borderId="0" xfId="0" applyNumberFormat="1" applyFont="1" applyFill="1" applyBorder="1" applyAlignment="1" applyProtection="1">
      <alignment vertical="center"/>
    </xf>
    <xf numFmtId="3" fontId="4" fillId="2" borderId="6" xfId="0" applyNumberFormat="1" applyFont="1" applyFill="1" applyBorder="1" applyAlignment="1" applyProtection="1">
      <alignment horizontal="left" vertical="justify"/>
    </xf>
    <xf numFmtId="3" fontId="3" fillId="2" borderId="8" xfId="0" applyNumberFormat="1" applyFont="1" applyFill="1" applyBorder="1" applyAlignment="1" applyProtection="1">
      <alignment horizontal="right" vertical="center"/>
    </xf>
    <xf numFmtId="3" fontId="3" fillId="2" borderId="9" xfId="0" applyNumberFormat="1" applyFont="1" applyFill="1" applyBorder="1" applyAlignment="1" applyProtection="1">
      <alignment horizontal="right" vertical="center"/>
    </xf>
    <xf numFmtId="3" fontId="3" fillId="2" borderId="10" xfId="0" applyNumberFormat="1" applyFont="1" applyFill="1" applyBorder="1" applyAlignment="1" applyProtection="1">
      <alignment horizontal="right" vertical="center"/>
    </xf>
    <xf numFmtId="3" fontId="3" fillId="2" borderId="11" xfId="0" applyNumberFormat="1" applyFont="1" applyFill="1" applyBorder="1" applyAlignment="1" applyProtection="1">
      <alignment horizontal="right" vertical="center"/>
    </xf>
    <xf numFmtId="3" fontId="3" fillId="2" borderId="5" xfId="0" applyNumberFormat="1" applyFont="1" applyFill="1" applyBorder="1" applyAlignment="1" applyProtection="1">
      <alignment horizontal="right" vertical="center"/>
    </xf>
    <xf numFmtId="3" fontId="4" fillId="2" borderId="4" xfId="0" applyNumberFormat="1" applyFont="1" applyFill="1" applyBorder="1" applyAlignment="1" applyProtection="1">
      <alignment vertical="center"/>
    </xf>
    <xf numFmtId="3" fontId="4" fillId="2" borderId="4" xfId="0" applyNumberFormat="1"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3" fontId="4" fillId="2" borderId="14" xfId="0" applyNumberFormat="1" applyFont="1" applyFill="1" applyBorder="1" applyAlignment="1" applyProtection="1">
      <alignment horizontal="left" vertical="center"/>
    </xf>
    <xf numFmtId="3" fontId="3" fillId="2" borderId="8" xfId="0" applyNumberFormat="1" applyFont="1" applyFill="1" applyBorder="1" applyAlignment="1" applyProtection="1">
      <alignment vertical="center"/>
    </xf>
    <xf numFmtId="3" fontId="3" fillId="2" borderId="9" xfId="0" applyNumberFormat="1" applyFont="1" applyFill="1" applyBorder="1" applyAlignment="1" applyProtection="1">
      <alignment vertical="center"/>
    </xf>
    <xf numFmtId="3" fontId="3" fillId="2" borderId="10" xfId="0" applyNumberFormat="1" applyFont="1" applyFill="1" applyBorder="1" applyAlignment="1" applyProtection="1">
      <alignment vertical="center"/>
    </xf>
    <xf numFmtId="3" fontId="3" fillId="2" borderId="11" xfId="0" applyNumberFormat="1" applyFont="1" applyFill="1" applyBorder="1" applyAlignment="1" applyProtection="1">
      <alignment vertical="center"/>
    </xf>
    <xf numFmtId="3" fontId="3" fillId="2" borderId="5"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3" fontId="4" fillId="2" borderId="0" xfId="0" applyNumberFormat="1" applyFont="1" applyFill="1" applyProtection="1"/>
    <xf numFmtId="3" fontId="3" fillId="0" borderId="5" xfId="0" applyNumberFormat="1" applyFont="1" applyFill="1" applyBorder="1" applyAlignment="1" applyProtection="1">
      <alignment vertical="center"/>
    </xf>
    <xf numFmtId="3" fontId="3" fillId="0" borderId="9" xfId="0" applyNumberFormat="1" applyFont="1" applyFill="1" applyBorder="1" applyAlignment="1" applyProtection="1">
      <alignment vertical="center"/>
    </xf>
    <xf numFmtId="0" fontId="0" fillId="0" borderId="0" xfId="0" applyFill="1"/>
    <xf numFmtId="0" fontId="2" fillId="0" borderId="0" xfId="0" applyFont="1" applyAlignment="1" applyProtection="1"/>
    <xf numFmtId="0" fontId="2" fillId="0" borderId="0" xfId="0" applyFont="1" applyProtection="1"/>
    <xf numFmtId="0" fontId="3" fillId="0" borderId="0" xfId="0" applyFont="1" applyAlignment="1" applyProtection="1"/>
    <xf numFmtId="0" fontId="3" fillId="0" borderId="0" xfId="0" applyFont="1" applyProtection="1"/>
    <xf numFmtId="0" fontId="4" fillId="0" borderId="0" xfId="0" applyFont="1" applyProtection="1"/>
    <xf numFmtId="3" fontId="17" fillId="3" borderId="15" xfId="0" applyNumberFormat="1" applyFont="1" applyFill="1" applyBorder="1" applyProtection="1"/>
    <xf numFmtId="3" fontId="15" fillId="2" borderId="17" xfId="0" applyNumberFormat="1" applyFont="1" applyFill="1" applyBorder="1" applyAlignment="1" applyProtection="1">
      <alignment horizontal="center" vertical="center"/>
    </xf>
    <xf numFmtId="3" fontId="15" fillId="2" borderId="18" xfId="0" applyNumberFormat="1" applyFont="1" applyFill="1" applyBorder="1" applyAlignment="1" applyProtection="1">
      <alignment horizontal="center" vertical="center"/>
    </xf>
    <xf numFmtId="3" fontId="15" fillId="2" borderId="5" xfId="0" applyNumberFormat="1" applyFont="1" applyFill="1" applyBorder="1" applyAlignment="1" applyProtection="1">
      <alignment horizontal="right" vertical="center"/>
    </xf>
    <xf numFmtId="3" fontId="15" fillId="2" borderId="8" xfId="0" applyNumberFormat="1" applyFont="1" applyFill="1" applyBorder="1" applyAlignment="1" applyProtection="1">
      <alignment horizontal="right" vertical="center"/>
    </xf>
    <xf numFmtId="3" fontId="15" fillId="2" borderId="9" xfId="0" applyNumberFormat="1" applyFont="1" applyFill="1" applyBorder="1" applyAlignment="1" applyProtection="1">
      <alignment horizontal="right" vertical="center"/>
    </xf>
    <xf numFmtId="3" fontId="4" fillId="2" borderId="9" xfId="0" applyNumberFormat="1" applyFont="1" applyFill="1" applyBorder="1" applyAlignment="1" applyProtection="1">
      <alignment vertical="center"/>
    </xf>
    <xf numFmtId="3" fontId="14" fillId="2" borderId="13" xfId="0" applyNumberFormat="1" applyFont="1" applyFill="1" applyBorder="1" applyAlignment="1" applyProtection="1">
      <alignment vertical="center"/>
    </xf>
    <xf numFmtId="3" fontId="14" fillId="2" borderId="12" xfId="0" applyNumberFormat="1" applyFont="1" applyFill="1" applyBorder="1" applyAlignment="1" applyProtection="1">
      <alignment vertical="center"/>
    </xf>
    <xf numFmtId="3" fontId="14" fillId="2" borderId="0" xfId="0" applyNumberFormat="1" applyFont="1" applyFill="1" applyBorder="1" applyAlignment="1" applyProtection="1">
      <alignment vertical="center"/>
    </xf>
    <xf numFmtId="3" fontId="14" fillId="2" borderId="18" xfId="0" applyNumberFormat="1"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3" fontId="17" fillId="3" borderId="22" xfId="0" applyNumberFormat="1" applyFont="1" applyFill="1" applyBorder="1" applyProtection="1"/>
    <xf numFmtId="3" fontId="17" fillId="2" borderId="21" xfId="0" applyNumberFormat="1" applyFont="1" applyFill="1" applyBorder="1" applyProtection="1"/>
    <xf numFmtId="3" fontId="17" fillId="2" borderId="23" xfId="0" applyNumberFormat="1" applyFont="1" applyFill="1" applyBorder="1" applyProtection="1"/>
    <xf numFmtId="3" fontId="17" fillId="2" borderId="24" xfId="0" applyNumberFormat="1" applyFont="1" applyFill="1" applyBorder="1" applyProtection="1"/>
    <xf numFmtId="3" fontId="17" fillId="2" borderId="0" xfId="0" applyNumberFormat="1" applyFont="1" applyFill="1" applyBorder="1" applyProtection="1"/>
    <xf numFmtId="0" fontId="17" fillId="3" borderId="21" xfId="0" applyFont="1" applyFill="1" applyBorder="1" applyAlignment="1" applyProtection="1">
      <alignment wrapText="1"/>
    </xf>
    <xf numFmtId="3" fontId="17" fillId="3" borderId="23" xfId="0" applyNumberFormat="1" applyFont="1" applyFill="1" applyBorder="1" applyAlignment="1" applyProtection="1">
      <alignment horizontal="right"/>
    </xf>
    <xf numFmtId="3" fontId="17" fillId="3" borderId="24" xfId="0" applyNumberFormat="1" applyFont="1" applyFill="1" applyBorder="1" applyAlignment="1" applyProtection="1">
      <alignment horizontal="right"/>
    </xf>
    <xf numFmtId="0" fontId="17" fillId="2" borderId="25" xfId="0" applyFont="1" applyFill="1" applyBorder="1" applyAlignment="1" applyProtection="1">
      <alignment wrapText="1"/>
    </xf>
    <xf numFmtId="3" fontId="17" fillId="2" borderId="21" xfId="0" applyNumberFormat="1" applyFont="1" applyFill="1" applyBorder="1" applyAlignment="1" applyProtection="1">
      <alignment horizontal="right"/>
    </xf>
    <xf numFmtId="3" fontId="17" fillId="2" borderId="23" xfId="0" applyNumberFormat="1" applyFont="1" applyFill="1" applyBorder="1" applyAlignment="1" applyProtection="1">
      <alignment horizontal="right"/>
    </xf>
    <xf numFmtId="3" fontId="17" fillId="2" borderId="24" xfId="0" applyNumberFormat="1" applyFont="1" applyFill="1" applyBorder="1" applyAlignment="1" applyProtection="1">
      <alignment horizontal="right"/>
    </xf>
    <xf numFmtId="3" fontId="17" fillId="2" borderId="5" xfId="0" applyNumberFormat="1" applyFont="1" applyFill="1" applyBorder="1" applyProtection="1"/>
    <xf numFmtId="3" fontId="17" fillId="2" borderId="8" xfId="0" applyNumberFormat="1" applyFont="1" applyFill="1" applyBorder="1" applyProtection="1"/>
    <xf numFmtId="3" fontId="17" fillId="2" borderId="9" xfId="0" applyNumberFormat="1" applyFont="1" applyFill="1" applyBorder="1" applyProtection="1"/>
    <xf numFmtId="0" fontId="4" fillId="3" borderId="5" xfId="0" applyFont="1" applyFill="1" applyBorder="1" applyAlignment="1" applyProtection="1">
      <alignment wrapText="1"/>
    </xf>
    <xf numFmtId="3" fontId="18" fillId="2" borderId="8" xfId="0" applyNumberFormat="1" applyFont="1" applyFill="1" applyBorder="1" applyAlignment="1" applyProtection="1">
      <alignment horizontal="right" wrapText="1"/>
    </xf>
    <xf numFmtId="3" fontId="18" fillId="2" borderId="9" xfId="0" applyNumberFormat="1" applyFont="1" applyFill="1" applyBorder="1" applyAlignment="1" applyProtection="1">
      <alignment horizontal="right" wrapText="1"/>
    </xf>
    <xf numFmtId="0" fontId="4" fillId="2" borderId="26" xfId="0" applyFont="1" applyFill="1" applyBorder="1" applyAlignment="1" applyProtection="1">
      <alignment wrapText="1"/>
    </xf>
    <xf numFmtId="3" fontId="18" fillId="2" borderId="5" xfId="0" applyNumberFormat="1" applyFont="1" applyFill="1" applyBorder="1" applyAlignment="1" applyProtection="1">
      <alignment horizontal="right" wrapText="1"/>
    </xf>
    <xf numFmtId="3" fontId="18" fillId="2" borderId="5" xfId="0" applyNumberFormat="1" applyFont="1" applyFill="1" applyBorder="1" applyAlignment="1" applyProtection="1">
      <alignment vertical="center"/>
    </xf>
    <xf numFmtId="3" fontId="18" fillId="2" borderId="8" xfId="0" applyNumberFormat="1" applyFont="1" applyFill="1" applyBorder="1" applyAlignment="1" applyProtection="1">
      <alignment vertical="center"/>
    </xf>
    <xf numFmtId="3" fontId="18" fillId="2" borderId="9" xfId="0" applyNumberFormat="1" applyFont="1" applyFill="1" applyBorder="1" applyAlignment="1" applyProtection="1">
      <alignment vertical="center"/>
    </xf>
    <xf numFmtId="3" fontId="18" fillId="2" borderId="0" xfId="0" applyNumberFormat="1" applyFont="1" applyFill="1" applyBorder="1" applyAlignment="1" applyProtection="1">
      <alignment vertical="center"/>
    </xf>
    <xf numFmtId="0" fontId="4" fillId="3" borderId="5" xfId="0" applyFont="1" applyFill="1" applyBorder="1" applyAlignment="1" applyProtection="1">
      <alignment horizontal="left" wrapText="1" indent="1"/>
    </xf>
    <xf numFmtId="3" fontId="18" fillId="2" borderId="8" xfId="0" applyNumberFormat="1" applyFont="1" applyFill="1" applyBorder="1" applyAlignment="1" applyProtection="1">
      <alignment horizontal="right" vertical="center" wrapText="1"/>
    </xf>
    <xf numFmtId="3" fontId="18" fillId="2" borderId="9" xfId="0" applyNumberFormat="1" applyFont="1" applyFill="1" applyBorder="1" applyAlignment="1" applyProtection="1">
      <alignment horizontal="right" vertical="center" wrapText="1"/>
    </xf>
    <xf numFmtId="3" fontId="18" fillId="2" borderId="5" xfId="0" applyNumberFormat="1" applyFont="1" applyFill="1" applyBorder="1" applyAlignment="1" applyProtection="1">
      <alignment horizontal="right" vertical="center" wrapText="1"/>
    </xf>
    <xf numFmtId="3" fontId="18" fillId="2" borderId="8" xfId="0" applyNumberFormat="1" applyFont="1" applyFill="1" applyBorder="1" applyAlignment="1" applyProtection="1">
      <alignment horizontal="right"/>
    </xf>
    <xf numFmtId="3" fontId="18" fillId="2" borderId="9" xfId="0" applyNumberFormat="1" applyFont="1" applyFill="1" applyBorder="1" applyAlignment="1" applyProtection="1">
      <alignment horizontal="right"/>
    </xf>
    <xf numFmtId="3" fontId="18" fillId="2" borderId="5" xfId="0" applyNumberFormat="1" applyFont="1" applyFill="1" applyBorder="1" applyAlignment="1" applyProtection="1">
      <alignment horizontal="right"/>
    </xf>
    <xf numFmtId="3" fontId="18" fillId="2" borderId="8" xfId="0" applyNumberFormat="1" applyFont="1" applyFill="1" applyBorder="1" applyAlignment="1" applyProtection="1">
      <alignment horizontal="right" vertical="center"/>
    </xf>
    <xf numFmtId="3" fontId="18" fillId="2" borderId="9" xfId="0" applyNumberFormat="1" applyFont="1" applyFill="1" applyBorder="1" applyAlignment="1" applyProtection="1">
      <alignment horizontal="right" vertical="center"/>
    </xf>
    <xf numFmtId="3" fontId="18" fillId="2" borderId="5" xfId="0" applyNumberFormat="1" applyFont="1" applyFill="1" applyBorder="1" applyAlignment="1" applyProtection="1">
      <alignment horizontal="right" vertical="center"/>
    </xf>
    <xf numFmtId="3" fontId="17" fillId="2" borderId="5" xfId="0" applyNumberFormat="1" applyFont="1" applyFill="1" applyBorder="1" applyAlignment="1" applyProtection="1">
      <alignment vertical="center"/>
    </xf>
    <xf numFmtId="3" fontId="17" fillId="2" borderId="8" xfId="0" applyNumberFormat="1" applyFont="1" applyFill="1" applyBorder="1" applyAlignment="1" applyProtection="1">
      <alignment vertical="center"/>
    </xf>
    <xf numFmtId="3" fontId="17" fillId="2" borderId="9" xfId="0" applyNumberFormat="1" applyFont="1" applyFill="1" applyBorder="1" applyAlignment="1" applyProtection="1">
      <alignment vertical="center"/>
    </xf>
    <xf numFmtId="3" fontId="17" fillId="2" borderId="0" xfId="0" applyNumberFormat="1" applyFont="1" applyFill="1" applyBorder="1" applyAlignment="1" applyProtection="1">
      <alignment vertical="center"/>
    </xf>
    <xf numFmtId="0" fontId="17" fillId="3" borderId="5" xfId="0" applyFont="1" applyFill="1" applyBorder="1" applyAlignment="1" applyProtection="1">
      <alignment wrapText="1"/>
    </xf>
    <xf numFmtId="3" fontId="18" fillId="2" borderId="5" xfId="0" applyNumberFormat="1" applyFont="1" applyFill="1" applyBorder="1" applyProtection="1"/>
    <xf numFmtId="3" fontId="18" fillId="2" borderId="8" xfId="0" applyNumberFormat="1" applyFont="1" applyFill="1" applyBorder="1" applyProtection="1"/>
    <xf numFmtId="3" fontId="18" fillId="2" borderId="9" xfId="0" applyNumberFormat="1" applyFont="1" applyFill="1" applyBorder="1" applyProtection="1"/>
    <xf numFmtId="3" fontId="18" fillId="2" borderId="0" xfId="0" applyNumberFormat="1" applyFont="1" applyFill="1" applyBorder="1" applyProtection="1"/>
    <xf numFmtId="3" fontId="17" fillId="3" borderId="8" xfId="0" applyNumberFormat="1" applyFont="1" applyFill="1" applyBorder="1" applyAlignment="1" applyProtection="1">
      <alignment horizontal="right"/>
    </xf>
    <xf numFmtId="3" fontId="17" fillId="3" borderId="9" xfId="0" applyNumberFormat="1" applyFont="1" applyFill="1" applyBorder="1" applyAlignment="1" applyProtection="1">
      <alignment horizontal="right"/>
    </xf>
    <xf numFmtId="0" fontId="17" fillId="3" borderId="16" xfId="0" applyFont="1" applyFill="1" applyBorder="1" applyAlignment="1" applyProtection="1">
      <alignment wrapText="1"/>
    </xf>
    <xf numFmtId="3" fontId="17" fillId="3" borderId="17" xfId="0" applyNumberFormat="1" applyFont="1" applyFill="1" applyBorder="1" applyAlignment="1" applyProtection="1">
      <alignment horizontal="right"/>
    </xf>
    <xf numFmtId="3" fontId="17" fillId="3" borderId="18" xfId="0" applyNumberFormat="1" applyFont="1" applyFill="1" applyBorder="1" applyAlignment="1" applyProtection="1">
      <alignment horizontal="right"/>
    </xf>
    <xf numFmtId="0" fontId="15" fillId="2" borderId="26" xfId="0" applyFont="1" applyFill="1" applyBorder="1" applyAlignment="1" applyProtection="1">
      <alignment wrapText="1"/>
    </xf>
    <xf numFmtId="0" fontId="7" fillId="2" borderId="27" xfId="0" applyFont="1" applyFill="1" applyBorder="1" applyAlignment="1" applyProtection="1">
      <alignment wrapText="1"/>
    </xf>
    <xf numFmtId="3" fontId="7" fillId="2" borderId="16" xfId="0" applyNumberFormat="1" applyFont="1" applyFill="1" applyBorder="1" applyProtection="1"/>
    <xf numFmtId="3" fontId="7" fillId="2" borderId="17" xfId="0" applyNumberFormat="1" applyFont="1" applyFill="1" applyBorder="1" applyProtection="1"/>
    <xf numFmtId="3" fontId="7" fillId="2" borderId="18" xfId="0" applyNumberFormat="1" applyFont="1" applyFill="1" applyBorder="1" applyProtection="1"/>
    <xf numFmtId="3" fontId="17" fillId="2" borderId="5" xfId="0" applyNumberFormat="1" applyFont="1" applyFill="1" applyBorder="1" applyAlignment="1" applyProtection="1">
      <alignment horizontal="right"/>
    </xf>
    <xf numFmtId="3" fontId="17" fillId="2" borderId="8" xfId="0" applyNumberFormat="1" applyFont="1" applyFill="1" applyBorder="1" applyAlignment="1" applyProtection="1">
      <alignment horizontal="right"/>
    </xf>
    <xf numFmtId="3" fontId="17" fillId="2" borderId="9" xfId="0" applyNumberFormat="1" applyFont="1" applyFill="1" applyBorder="1" applyAlignment="1" applyProtection="1">
      <alignment horizontal="right"/>
    </xf>
    <xf numFmtId="0" fontId="4" fillId="2" borderId="26" xfId="0" applyFont="1" applyFill="1" applyBorder="1" applyAlignment="1" applyProtection="1">
      <alignment vertical="center" wrapText="1"/>
    </xf>
    <xf numFmtId="0" fontId="17" fillId="2" borderId="26" xfId="0" applyFont="1" applyFill="1" applyBorder="1" applyAlignment="1" applyProtection="1">
      <alignment wrapText="1"/>
    </xf>
    <xf numFmtId="0" fontId="17" fillId="2" borderId="27" xfId="0" applyFont="1" applyFill="1" applyBorder="1" applyAlignment="1" applyProtection="1">
      <alignment wrapText="1"/>
    </xf>
    <xf numFmtId="3" fontId="17" fillId="2" borderId="16" xfId="0" applyNumberFormat="1" applyFont="1" applyFill="1" applyBorder="1" applyAlignment="1" applyProtection="1">
      <alignment horizontal="right"/>
    </xf>
    <xf numFmtId="3" fontId="17" fillId="2" borderId="17" xfId="0" applyNumberFormat="1" applyFont="1" applyFill="1" applyBorder="1" applyAlignment="1" applyProtection="1">
      <alignment horizontal="right"/>
    </xf>
    <xf numFmtId="3" fontId="17" fillId="2" borderId="18" xfId="0" applyNumberFormat="1" applyFont="1" applyFill="1" applyBorder="1" applyAlignment="1" applyProtection="1">
      <alignment horizontal="right"/>
    </xf>
    <xf numFmtId="3" fontId="9" fillId="2" borderId="29" xfId="0" applyNumberFormat="1" applyFont="1" applyFill="1" applyBorder="1" applyAlignment="1" applyProtection="1">
      <alignment vertical="center"/>
    </xf>
    <xf numFmtId="3" fontId="17" fillId="3" borderId="30" xfId="0" applyNumberFormat="1" applyFont="1" applyFill="1" applyBorder="1" applyAlignment="1" applyProtection="1">
      <alignment horizontal="right"/>
    </xf>
    <xf numFmtId="3" fontId="17" fillId="2" borderId="31" xfId="0" applyNumberFormat="1" applyFont="1" applyFill="1" applyBorder="1" applyAlignment="1" applyProtection="1">
      <alignment horizontal="right"/>
    </xf>
    <xf numFmtId="3" fontId="17" fillId="2" borderId="32" xfId="0" applyNumberFormat="1" applyFont="1" applyFill="1" applyBorder="1" applyAlignment="1" applyProtection="1">
      <alignment horizontal="right"/>
    </xf>
    <xf numFmtId="3" fontId="15" fillId="2" borderId="7" xfId="0" applyNumberFormat="1" applyFont="1" applyFill="1" applyBorder="1" applyAlignment="1" applyProtection="1">
      <alignment horizontal="center" vertical="center"/>
    </xf>
    <xf numFmtId="3" fontId="15" fillId="2" borderId="34" xfId="0" applyNumberFormat="1" applyFont="1" applyFill="1" applyBorder="1" applyAlignment="1" applyProtection="1">
      <alignment horizontal="center" vertical="center"/>
    </xf>
    <xf numFmtId="3" fontId="3" fillId="2" borderId="17"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vertical="center"/>
    </xf>
    <xf numFmtId="3" fontId="9" fillId="2" borderId="35" xfId="0" applyNumberFormat="1" applyFont="1" applyFill="1" applyBorder="1" applyAlignment="1" applyProtection="1">
      <alignment vertical="center"/>
    </xf>
    <xf numFmtId="3" fontId="3" fillId="2" borderId="16" xfId="0" applyNumberFormat="1" applyFont="1" applyFill="1" applyBorder="1" applyAlignment="1" applyProtection="1">
      <alignment horizontal="right" vertical="center"/>
    </xf>
    <xf numFmtId="3" fontId="3" fillId="2" borderId="18" xfId="0" applyNumberFormat="1" applyFont="1" applyFill="1" applyBorder="1" applyAlignment="1" applyProtection="1">
      <alignment horizontal="right" vertical="center"/>
    </xf>
    <xf numFmtId="3" fontId="3" fillId="2" borderId="37" xfId="0" applyNumberFormat="1" applyFont="1" applyFill="1" applyBorder="1" applyAlignment="1" applyProtection="1">
      <alignment horizontal="right" vertical="center"/>
    </xf>
    <xf numFmtId="3" fontId="15" fillId="2" borderId="38" xfId="0" applyNumberFormat="1" applyFont="1" applyFill="1" applyBorder="1" applyAlignment="1" applyProtection="1">
      <alignment horizontal="center" vertical="center"/>
    </xf>
    <xf numFmtId="3" fontId="9" fillId="2" borderId="5" xfId="0" applyNumberFormat="1" applyFont="1" applyFill="1" applyBorder="1" applyAlignment="1" applyProtection="1">
      <alignment vertical="center"/>
    </xf>
    <xf numFmtId="3" fontId="9" fillId="2" borderId="11" xfId="0" applyNumberFormat="1" applyFont="1" applyFill="1" applyBorder="1" applyAlignment="1" applyProtection="1">
      <alignment vertical="center"/>
    </xf>
    <xf numFmtId="3" fontId="9" fillId="2" borderId="9" xfId="0" applyNumberFormat="1" applyFont="1" applyFill="1" applyBorder="1" applyAlignment="1" applyProtection="1">
      <alignment vertical="center"/>
    </xf>
    <xf numFmtId="3" fontId="9" fillId="0" borderId="8" xfId="0" applyNumberFormat="1" applyFont="1" applyFill="1" applyBorder="1" applyAlignment="1" applyProtection="1">
      <alignment vertical="center"/>
    </xf>
    <xf numFmtId="3" fontId="9" fillId="2" borderId="10" xfId="0" applyNumberFormat="1" applyFont="1" applyFill="1" applyBorder="1" applyAlignment="1" applyProtection="1">
      <alignment vertical="center"/>
    </xf>
    <xf numFmtId="3" fontId="3" fillId="2" borderId="39" xfId="0" applyNumberFormat="1" applyFont="1" applyFill="1" applyBorder="1" applyAlignment="1" applyProtection="1">
      <alignment vertical="center"/>
    </xf>
    <xf numFmtId="165" fontId="3" fillId="2" borderId="26" xfId="0" applyNumberFormat="1" applyFont="1" applyFill="1" applyBorder="1" applyAlignment="1" applyProtection="1">
      <alignment horizontal="left" vertical="center" indent="3"/>
    </xf>
    <xf numFmtId="49" fontId="3" fillId="2" borderId="26" xfId="0" applyNumberFormat="1" applyFont="1" applyFill="1" applyBorder="1" applyAlignment="1" applyProtection="1">
      <alignment horizontal="left" vertical="center" indent="3"/>
    </xf>
    <xf numFmtId="165" fontId="3" fillId="2" borderId="26" xfId="0" applyNumberFormat="1" applyFont="1" applyFill="1" applyBorder="1" applyAlignment="1" applyProtection="1">
      <alignment horizontal="left" wrapText="1" indent="3"/>
    </xf>
    <xf numFmtId="0" fontId="4" fillId="2" borderId="26" xfId="0" applyFont="1" applyFill="1" applyBorder="1" applyAlignment="1" applyProtection="1">
      <alignment horizontal="left" wrapText="1" indent="1"/>
    </xf>
    <xf numFmtId="0" fontId="4" fillId="2" borderId="26" xfId="0" applyFont="1" applyFill="1" applyBorder="1" applyAlignment="1" applyProtection="1">
      <alignment horizontal="left" vertical="center" wrapText="1" indent="2"/>
    </xf>
    <xf numFmtId="0" fontId="4" fillId="2" borderId="26" xfId="0" applyFont="1" applyFill="1" applyBorder="1" applyAlignment="1" applyProtection="1">
      <alignment horizontal="left" wrapText="1" indent="2"/>
    </xf>
    <xf numFmtId="0" fontId="7" fillId="2" borderId="26" xfId="0" applyFont="1" applyFill="1" applyBorder="1" applyAlignment="1" applyProtection="1">
      <alignment wrapText="1"/>
    </xf>
    <xf numFmtId="166" fontId="35" fillId="4" borderId="8" xfId="0" applyNumberFormat="1" applyFont="1" applyFill="1" applyBorder="1" applyAlignment="1" applyProtection="1">
      <alignment horizontal="center" vertical="center"/>
      <protection locked="0"/>
    </xf>
    <xf numFmtId="3" fontId="3" fillId="0" borderId="8" xfId="0" applyNumberFormat="1" applyFont="1" applyFill="1" applyBorder="1" applyAlignment="1" applyProtection="1">
      <alignment vertical="center"/>
    </xf>
    <xf numFmtId="3" fontId="1" fillId="2" borderId="9" xfId="0" applyNumberFormat="1" applyFont="1" applyFill="1" applyBorder="1" applyAlignment="1" applyProtection="1">
      <alignment vertical="center"/>
    </xf>
    <xf numFmtId="3" fontId="1" fillId="2" borderId="5" xfId="0" applyNumberFormat="1" applyFont="1" applyFill="1" applyBorder="1" applyAlignment="1" applyProtection="1">
      <alignment horizontal="right" vertical="center"/>
    </xf>
    <xf numFmtId="3" fontId="1" fillId="2" borderId="9" xfId="0" applyNumberFormat="1" applyFont="1" applyFill="1" applyBorder="1" applyAlignment="1" applyProtection="1">
      <alignment horizontal="right" vertical="center"/>
    </xf>
    <xf numFmtId="0" fontId="3" fillId="0" borderId="20" xfId="0" quotePrefix="1" applyFont="1" applyBorder="1" applyAlignment="1" applyProtection="1">
      <alignment horizontal="left"/>
    </xf>
    <xf numFmtId="0" fontId="3" fillId="0" borderId="0" xfId="0" applyFont="1" applyBorder="1" applyAlignment="1" applyProtection="1"/>
    <xf numFmtId="0" fontId="3" fillId="0" borderId="40" xfId="0" applyFont="1" applyBorder="1" applyAlignment="1" applyProtection="1"/>
    <xf numFmtId="0" fontId="3" fillId="0" borderId="20" xfId="0" applyFont="1" applyBorder="1" applyAlignment="1" applyProtection="1"/>
    <xf numFmtId="0" fontId="3" fillId="0" borderId="41" xfId="0" quotePrefix="1" applyFont="1" applyBorder="1" applyAlignment="1" applyProtection="1">
      <alignment horizontal="left"/>
    </xf>
    <xf numFmtId="0" fontId="3" fillId="0" borderId="12" xfId="0" applyFont="1" applyBorder="1" applyAlignment="1" applyProtection="1"/>
    <xf numFmtId="0" fontId="3" fillId="0" borderId="13" xfId="0" applyFont="1" applyBorder="1" applyAlignment="1" applyProtection="1"/>
    <xf numFmtId="0" fontId="3" fillId="0" borderId="19" xfId="0" applyFont="1" applyBorder="1" applyAlignment="1" applyProtection="1"/>
    <xf numFmtId="0" fontId="3" fillId="0" borderId="14" xfId="0" applyFont="1" applyBorder="1" applyAlignment="1" applyProtection="1"/>
    <xf numFmtId="0" fontId="3" fillId="0" borderId="42" xfId="0" applyFont="1" applyBorder="1" applyAlignment="1" applyProtection="1"/>
    <xf numFmtId="0" fontId="2" fillId="0" borderId="20" xfId="0" applyFont="1" applyBorder="1" applyAlignment="1" applyProtection="1"/>
    <xf numFmtId="0" fontId="10" fillId="0" borderId="20" xfId="0" applyFont="1" applyBorder="1" applyAlignment="1" applyProtection="1"/>
    <xf numFmtId="3" fontId="15" fillId="2" borderId="43" xfId="0" applyNumberFormat="1" applyFont="1" applyFill="1" applyBorder="1" applyAlignment="1" applyProtection="1">
      <alignment horizontal="center" vertical="center"/>
    </xf>
    <xf numFmtId="3" fontId="15" fillId="2" borderId="44"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horizontal="center" vertical="center"/>
    </xf>
    <xf numFmtId="3" fontId="15" fillId="2" borderId="45" xfId="0" applyNumberFormat="1" applyFont="1" applyFill="1" applyBorder="1" applyAlignment="1" applyProtection="1">
      <alignment horizontal="center" vertical="center"/>
    </xf>
    <xf numFmtId="3" fontId="15" fillId="2" borderId="46" xfId="0" applyNumberFormat="1" applyFont="1" applyFill="1" applyBorder="1" applyAlignment="1" applyProtection="1">
      <alignment horizontal="center" vertical="center"/>
    </xf>
    <xf numFmtId="3" fontId="15" fillId="2" borderId="47" xfId="0" applyNumberFormat="1" applyFont="1" applyFill="1" applyBorder="1" applyAlignment="1" applyProtection="1">
      <alignment horizontal="center" vertical="center"/>
    </xf>
    <xf numFmtId="3" fontId="15" fillId="2" borderId="48"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vertical="center"/>
    </xf>
    <xf numFmtId="3" fontId="15" fillId="2" borderId="49" xfId="0" applyNumberFormat="1"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xf>
    <xf numFmtId="3" fontId="15" fillId="2" borderId="3" xfId="0" applyNumberFormat="1" applyFont="1" applyFill="1" applyBorder="1" applyAlignment="1" applyProtection="1">
      <alignment horizontal="center" vertical="center"/>
    </xf>
    <xf numFmtId="3" fontId="15" fillId="2" borderId="40" xfId="0" applyNumberFormat="1" applyFont="1" applyFill="1" applyBorder="1" applyAlignment="1" applyProtection="1">
      <alignment horizontal="center" vertical="center"/>
    </xf>
    <xf numFmtId="3" fontId="3" fillId="2" borderId="26" xfId="0" applyNumberFormat="1" applyFont="1" applyFill="1" applyBorder="1" applyAlignment="1" applyProtection="1">
      <alignment vertical="center"/>
    </xf>
    <xf numFmtId="3" fontId="3" fillId="2" borderId="49" xfId="0" applyNumberFormat="1" applyFont="1" applyFill="1" applyBorder="1" applyAlignment="1" applyProtection="1">
      <alignment vertical="center"/>
    </xf>
    <xf numFmtId="3" fontId="3" fillId="2" borderId="26" xfId="0" applyNumberFormat="1" applyFont="1" applyFill="1" applyBorder="1" applyAlignment="1" applyProtection="1">
      <alignment horizontal="right" vertical="center"/>
    </xf>
    <xf numFmtId="3" fontId="3" fillId="2" borderId="49" xfId="0" applyNumberFormat="1" applyFont="1" applyFill="1" applyBorder="1" applyAlignment="1" applyProtection="1">
      <alignment horizontal="right" vertical="center"/>
    </xf>
    <xf numFmtId="3" fontId="15" fillId="2" borderId="21" xfId="0" applyNumberFormat="1" applyFont="1" applyFill="1" applyBorder="1" applyAlignment="1" applyProtection="1">
      <alignment horizontal="right" vertical="center"/>
    </xf>
    <xf numFmtId="3" fontId="15" fillId="2" borderId="24" xfId="0" applyNumberFormat="1" applyFont="1" applyFill="1" applyBorder="1" applyAlignment="1" applyProtection="1">
      <alignment horizontal="right" vertical="center"/>
    </xf>
    <xf numFmtId="0" fontId="3" fillId="0" borderId="0" xfId="0" quotePrefix="1" applyFont="1" applyBorder="1" applyAlignment="1" applyProtection="1">
      <alignment horizontal="left"/>
    </xf>
    <xf numFmtId="0" fontId="5" fillId="0" borderId="19" xfId="0" applyFont="1" applyBorder="1" applyAlignment="1" applyProtection="1"/>
    <xf numFmtId="0" fontId="5" fillId="0" borderId="14" xfId="0" applyFont="1" applyBorder="1" applyAlignment="1" applyProtection="1"/>
    <xf numFmtId="0" fontId="5" fillId="0" borderId="20" xfId="0" applyFont="1" applyBorder="1" applyAlignment="1" applyProtection="1"/>
    <xf numFmtId="3" fontId="15" fillId="2" borderId="35" xfId="0" applyNumberFormat="1" applyFont="1" applyFill="1" applyBorder="1" applyAlignment="1" applyProtection="1">
      <alignment horizontal="center" vertical="center"/>
    </xf>
    <xf numFmtId="3" fontId="15" fillId="2" borderId="29" xfId="0" applyNumberFormat="1" applyFont="1" applyFill="1" applyBorder="1" applyAlignment="1" applyProtection="1">
      <alignment horizontal="center" vertical="center"/>
    </xf>
    <xf numFmtId="3" fontId="15" fillId="2" borderId="14" xfId="0" applyNumberFormat="1" applyFont="1" applyFill="1" applyBorder="1" applyAlignment="1" applyProtection="1">
      <alignment horizontal="center" vertical="center"/>
    </xf>
    <xf numFmtId="3" fontId="15" fillId="2" borderId="42" xfId="0" applyNumberFormat="1" applyFont="1" applyFill="1" applyBorder="1" applyAlignment="1" applyProtection="1">
      <alignment horizontal="center" vertical="center"/>
    </xf>
    <xf numFmtId="3" fontId="15" fillId="2" borderId="19" xfId="0" applyNumberFormat="1" applyFont="1" applyFill="1" applyBorder="1" applyAlignment="1" applyProtection="1">
      <alignment horizontal="center" vertical="center"/>
    </xf>
    <xf numFmtId="3" fontId="18" fillId="0" borderId="8" xfId="0" applyNumberFormat="1" applyFont="1" applyFill="1" applyBorder="1" applyAlignment="1" applyProtection="1">
      <alignment horizontal="right" vertical="center" wrapText="1"/>
    </xf>
    <xf numFmtId="3" fontId="18" fillId="0" borderId="8" xfId="0" applyNumberFormat="1" applyFont="1" applyFill="1" applyBorder="1" applyAlignment="1" applyProtection="1">
      <alignment horizontal="right"/>
    </xf>
    <xf numFmtId="3" fontId="18" fillId="0" borderId="8" xfId="0" applyNumberFormat="1" applyFont="1" applyFill="1" applyBorder="1" applyAlignment="1" applyProtection="1">
      <alignment horizontal="right" vertical="center"/>
    </xf>
    <xf numFmtId="3" fontId="3" fillId="2" borderId="45" xfId="0" applyNumberFormat="1" applyFont="1" applyFill="1" applyBorder="1" applyAlignment="1" applyProtection="1">
      <alignment vertical="center"/>
    </xf>
    <xf numFmtId="3" fontId="3" fillId="2" borderId="39" xfId="0" applyNumberFormat="1" applyFont="1" applyFill="1" applyBorder="1" applyAlignment="1" applyProtection="1">
      <alignment horizontal="right" vertical="center"/>
    </xf>
    <xf numFmtId="3" fontId="3" fillId="2" borderId="32" xfId="0" applyNumberFormat="1" applyFont="1" applyFill="1" applyBorder="1" applyAlignment="1" applyProtection="1">
      <alignment horizontal="right" vertical="center"/>
    </xf>
    <xf numFmtId="3" fontId="3" fillId="2" borderId="16" xfId="0" applyNumberFormat="1" applyFont="1" applyFill="1" applyBorder="1" applyAlignment="1" applyProtection="1">
      <alignment vertical="center"/>
    </xf>
    <xf numFmtId="3" fontId="18" fillId="0" borderId="11" xfId="0" applyNumberFormat="1" applyFont="1" applyFill="1" applyBorder="1" applyAlignment="1" applyProtection="1">
      <alignment horizontal="right" vertical="center" wrapText="1"/>
    </xf>
    <xf numFmtId="3" fontId="14" fillId="0" borderId="18" xfId="0" applyNumberFormat="1" applyFont="1" applyFill="1" applyBorder="1" applyAlignment="1" applyProtection="1">
      <alignment horizontal="center" vertical="center"/>
    </xf>
    <xf numFmtId="3" fontId="17" fillId="0" borderId="50" xfId="0" applyNumberFormat="1" applyFont="1" applyFill="1" applyBorder="1" applyAlignment="1" applyProtection="1">
      <alignment horizontal="right"/>
    </xf>
    <xf numFmtId="3" fontId="18" fillId="0" borderId="11" xfId="0" applyNumberFormat="1" applyFont="1" applyFill="1" applyBorder="1" applyAlignment="1" applyProtection="1">
      <alignment horizontal="right" wrapText="1"/>
    </xf>
    <xf numFmtId="3" fontId="18" fillId="0" borderId="11" xfId="0" applyNumberFormat="1" applyFont="1" applyFill="1" applyBorder="1" applyAlignment="1" applyProtection="1">
      <alignment horizontal="right"/>
    </xf>
    <xf numFmtId="3" fontId="18" fillId="0" borderId="11" xfId="0" applyNumberFormat="1" applyFont="1" applyFill="1" applyBorder="1" applyAlignment="1" applyProtection="1">
      <alignment horizontal="right" vertical="center"/>
    </xf>
    <xf numFmtId="3" fontId="17" fillId="0" borderId="11" xfId="0" applyNumberFormat="1" applyFont="1" applyFill="1" applyBorder="1" applyAlignment="1" applyProtection="1">
      <alignment horizontal="right"/>
    </xf>
    <xf numFmtId="0" fontId="4" fillId="0" borderId="26" xfId="0" applyFont="1" applyFill="1" applyBorder="1" applyAlignment="1" applyProtection="1">
      <alignment horizontal="left" wrapText="1" indent="1"/>
    </xf>
    <xf numFmtId="3" fontId="15" fillId="2" borderId="45" xfId="0" applyNumberFormat="1" applyFont="1" applyFill="1" applyBorder="1" applyAlignment="1" applyProtection="1">
      <alignment horizontal="center" vertical="center"/>
      <protection locked="0"/>
    </xf>
    <xf numFmtId="3" fontId="9" fillId="2" borderId="10" xfId="0" applyNumberFormat="1" applyFont="1" applyFill="1" applyBorder="1" applyAlignment="1" applyProtection="1">
      <alignment vertical="center"/>
      <protection locked="0"/>
    </xf>
    <xf numFmtId="3" fontId="9" fillId="2" borderId="8" xfId="0" applyNumberFormat="1" applyFont="1" applyFill="1" applyBorder="1" applyAlignment="1" applyProtection="1">
      <alignment vertical="center"/>
      <protection locked="0"/>
    </xf>
    <xf numFmtId="3" fontId="3" fillId="0" borderId="8" xfId="0" applyNumberFormat="1" applyFont="1" applyFill="1" applyBorder="1" applyAlignment="1" applyProtection="1">
      <alignment vertical="center"/>
      <protection locked="0"/>
    </xf>
    <xf numFmtId="3" fontId="15" fillId="2" borderId="2" xfId="0" applyNumberFormat="1" applyFont="1" applyFill="1" applyBorder="1" applyAlignment="1" applyProtection="1">
      <alignment horizontal="center" vertical="center"/>
      <protection locked="0"/>
    </xf>
    <xf numFmtId="3" fontId="15" fillId="2" borderId="0" xfId="0" applyNumberFormat="1" applyFont="1" applyFill="1" applyBorder="1" applyAlignment="1" applyProtection="1">
      <alignment horizontal="center" vertical="center"/>
      <protection locked="0"/>
    </xf>
    <xf numFmtId="3" fontId="3" fillId="2" borderId="10" xfId="0" applyNumberFormat="1" applyFont="1" applyFill="1" applyBorder="1" applyAlignment="1" applyProtection="1">
      <alignment vertical="center"/>
      <protection locked="0"/>
    </xf>
    <xf numFmtId="3" fontId="3" fillId="0" borderId="10" xfId="0" applyNumberFormat="1" applyFont="1" applyFill="1" applyBorder="1" applyAlignment="1" applyProtection="1">
      <alignment vertical="center"/>
      <protection locked="0"/>
    </xf>
    <xf numFmtId="0" fontId="4" fillId="0" borderId="20" xfId="0" applyFont="1" applyBorder="1" applyAlignment="1" applyProtection="1"/>
    <xf numFmtId="0" fontId="12" fillId="0" borderId="20" xfId="0" applyFont="1" applyBorder="1" applyAlignment="1" applyProtection="1"/>
    <xf numFmtId="0" fontId="3" fillId="0" borderId="41" xfId="0" applyFont="1" applyBorder="1" applyAlignment="1" applyProtection="1"/>
    <xf numFmtId="0" fontId="3" fillId="0" borderId="0" xfId="0" applyFont="1" applyBorder="1" applyProtection="1"/>
    <xf numFmtId="3" fontId="9" fillId="0" borderId="10" xfId="0" applyNumberFormat="1" applyFont="1" applyFill="1" applyBorder="1" applyAlignment="1" applyProtection="1">
      <alignment vertical="center"/>
    </xf>
    <xf numFmtId="3" fontId="9" fillId="0" borderId="9" xfId="0" applyNumberFormat="1" applyFont="1" applyFill="1" applyBorder="1" applyAlignment="1" applyProtection="1">
      <alignment vertical="center"/>
    </xf>
    <xf numFmtId="3" fontId="9" fillId="0" borderId="5"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3" fontId="1" fillId="2" borderId="5" xfId="0" applyNumberFormat="1" applyFont="1" applyFill="1" applyBorder="1" applyAlignment="1" applyProtection="1">
      <alignment vertical="center"/>
    </xf>
    <xf numFmtId="0" fontId="0" fillId="0" borderId="41" xfId="0" applyBorder="1" applyProtection="1"/>
    <xf numFmtId="0" fontId="0" fillId="0" borderId="12" xfId="0" applyBorder="1" applyProtection="1"/>
    <xf numFmtId="0" fontId="0" fillId="0" borderId="13" xfId="0" applyBorder="1" applyProtection="1"/>
    <xf numFmtId="0" fontId="46" fillId="0" borderId="0" xfId="0" applyFont="1" applyBorder="1" applyAlignment="1" applyProtection="1">
      <alignment horizontal="center" vertical="center"/>
    </xf>
    <xf numFmtId="0" fontId="46" fillId="0" borderId="20" xfId="0" applyFont="1" applyBorder="1" applyAlignment="1" applyProtection="1">
      <alignment horizontal="center" vertical="center"/>
    </xf>
    <xf numFmtId="0" fontId="46" fillId="0" borderId="20" xfId="0" applyFont="1" applyBorder="1" applyAlignment="1" applyProtection="1">
      <alignment horizontal="center"/>
    </xf>
    <xf numFmtId="0" fontId="4" fillId="0" borderId="0" xfId="2"/>
    <xf numFmtId="10" fontId="4" fillId="3" borderId="8" xfId="3" applyNumberFormat="1" applyFont="1" applyFill="1" applyBorder="1" applyAlignment="1" applyProtection="1">
      <alignment horizontal="center" vertical="center" wrapText="1"/>
    </xf>
    <xf numFmtId="10" fontId="7" fillId="3" borderId="8" xfId="3" applyNumberFormat="1" applyFont="1" applyFill="1" applyBorder="1" applyAlignment="1" applyProtection="1">
      <alignment horizontal="center" vertical="center" wrapText="1"/>
    </xf>
    <xf numFmtId="0" fontId="4" fillId="0" borderId="0" xfId="2" applyAlignment="1">
      <alignment horizontal="center"/>
    </xf>
    <xf numFmtId="3" fontId="4" fillId="0" borderId="8" xfId="2" applyNumberFormat="1" applyFont="1" applyFill="1" applyBorder="1" applyAlignment="1" applyProtection="1">
      <alignment horizontal="center" vertical="center" wrapText="1"/>
    </xf>
    <xf numFmtId="0" fontId="6" fillId="0" borderId="0" xfId="0" applyFont="1" applyFill="1" applyAlignment="1"/>
    <xf numFmtId="0" fontId="0" fillId="0" borderId="0" xfId="0" applyFill="1" applyAlignment="1">
      <alignment horizontal="center"/>
    </xf>
    <xf numFmtId="0" fontId="0" fillId="0" borderId="0" xfId="0" applyFill="1" applyAlignment="1">
      <alignment vertical="center" wrapText="1"/>
    </xf>
    <xf numFmtId="0" fontId="0" fillId="0" borderId="0" xfId="0" applyAlignment="1">
      <alignment horizontal="center"/>
    </xf>
    <xf numFmtId="3" fontId="29" fillId="0" borderId="0" xfId="0" applyNumberFormat="1" applyFont="1" applyFill="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center" vertical="center"/>
    </xf>
    <xf numFmtId="3" fontId="0" fillId="0" borderId="0" xfId="0" applyNumberFormat="1" applyFill="1" applyAlignment="1" applyProtection="1">
      <alignment vertical="center" wrapText="1"/>
    </xf>
    <xf numFmtId="0" fontId="0" fillId="0" borderId="0" xfId="0" applyFill="1" applyAlignment="1" applyProtection="1">
      <alignment horizontal="center" vertical="center" wrapText="1"/>
    </xf>
    <xf numFmtId="3" fontId="0" fillId="7" borderId="8" xfId="0" applyNumberFormat="1"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0" fillId="7" borderId="8" xfId="0" applyFill="1" applyBorder="1" applyAlignment="1" applyProtection="1">
      <alignment horizontal="center"/>
    </xf>
    <xf numFmtId="9" fontId="0" fillId="0" borderId="8" xfId="3" applyFont="1" applyFill="1" applyBorder="1" applyAlignment="1" applyProtection="1">
      <alignment horizontal="center" vertical="center" wrapText="1"/>
    </xf>
    <xf numFmtId="2" fontId="0" fillId="0" borderId="8" xfId="0" applyNumberFormat="1" applyFill="1" applyBorder="1" applyAlignment="1" applyProtection="1">
      <alignment horizontal="center" vertical="center" wrapText="1"/>
    </xf>
    <xf numFmtId="0" fontId="0" fillId="0" borderId="0" xfId="0" applyProtection="1"/>
    <xf numFmtId="1" fontId="28" fillId="6" borderId="51" xfId="0" applyNumberFormat="1" applyFont="1" applyFill="1" applyBorder="1" applyAlignment="1" applyProtection="1">
      <alignment horizontal="center" vertical="center"/>
    </xf>
    <xf numFmtId="0" fontId="31" fillId="6" borderId="19" xfId="0" applyFont="1" applyFill="1" applyBorder="1" applyAlignment="1" applyProtection="1">
      <alignment horizontal="centerContinuous" vertical="center" wrapText="1"/>
      <protection hidden="1"/>
    </xf>
    <xf numFmtId="0" fontId="16" fillId="6" borderId="14" xfId="0" applyFont="1" applyFill="1" applyBorder="1" applyAlignment="1" applyProtection="1">
      <alignment horizontal="centerContinuous" vertical="center" wrapText="1"/>
      <protection hidden="1"/>
    </xf>
    <xf numFmtId="0" fontId="8" fillId="6" borderId="52" xfId="0" applyFont="1" applyFill="1" applyBorder="1" applyAlignment="1" applyProtection="1">
      <alignment vertical="center" wrapText="1"/>
      <protection hidden="1"/>
    </xf>
    <xf numFmtId="3" fontId="17" fillId="0" borderId="21" xfId="0" applyNumberFormat="1" applyFont="1" applyFill="1" applyBorder="1" applyAlignment="1" applyProtection="1">
      <alignment vertical="center"/>
      <protection hidden="1"/>
    </xf>
    <xf numFmtId="0" fontId="28" fillId="6" borderId="32" xfId="0" applyFont="1" applyFill="1" applyBorder="1" applyAlignment="1" applyProtection="1">
      <alignment vertical="center" wrapText="1"/>
      <protection hidden="1"/>
    </xf>
    <xf numFmtId="0" fontId="14" fillId="6" borderId="32" xfId="0" applyFont="1" applyFill="1" applyBorder="1" applyAlignment="1" applyProtection="1">
      <alignment horizontal="left" vertical="center" wrapText="1"/>
      <protection hidden="1"/>
    </xf>
    <xf numFmtId="3" fontId="18" fillId="0" borderId="5" xfId="0" applyNumberFormat="1" applyFont="1" applyFill="1" applyBorder="1" applyAlignment="1" applyProtection="1">
      <alignment vertical="center"/>
      <protection hidden="1"/>
    </xf>
    <xf numFmtId="3" fontId="18" fillId="0" borderId="8" xfId="0" applyNumberFormat="1" applyFont="1" applyFill="1" applyBorder="1" applyAlignment="1" applyProtection="1">
      <alignment vertical="center"/>
      <protection hidden="1"/>
    </xf>
    <xf numFmtId="0" fontId="14" fillId="6" borderId="53" xfId="0" applyFont="1" applyFill="1" applyBorder="1" applyAlignment="1" applyProtection="1">
      <alignment horizontal="left" vertical="center" wrapText="1"/>
      <protection hidden="1"/>
    </xf>
    <xf numFmtId="0" fontId="17" fillId="6" borderId="0" xfId="0" applyFont="1" applyFill="1" applyBorder="1" applyAlignment="1" applyProtection="1">
      <alignment vertical="center" wrapText="1"/>
      <protection hidden="1"/>
    </xf>
    <xf numFmtId="3" fontId="17" fillId="6" borderId="0" xfId="0" applyNumberFormat="1" applyFont="1" applyFill="1" applyBorder="1" applyAlignment="1" applyProtection="1">
      <alignment vertical="center"/>
      <protection hidden="1"/>
    </xf>
    <xf numFmtId="3" fontId="18" fillId="0" borderId="5" xfId="0" applyNumberFormat="1" applyFont="1" applyFill="1" applyBorder="1" applyAlignment="1" applyProtection="1">
      <alignment horizontal="right" vertical="center" wrapText="1"/>
      <protection hidden="1"/>
    </xf>
    <xf numFmtId="3" fontId="18" fillId="0" borderId="8" xfId="0" applyNumberFormat="1" applyFont="1" applyFill="1" applyBorder="1" applyAlignment="1" applyProtection="1">
      <alignment horizontal="right" vertical="center" wrapText="1"/>
      <protection hidden="1"/>
    </xf>
    <xf numFmtId="3" fontId="17" fillId="6" borderId="51" xfId="0" applyNumberFormat="1" applyFont="1" applyFill="1" applyBorder="1" applyAlignment="1" applyProtection="1">
      <alignment horizontal="right" vertical="center"/>
      <protection hidden="1"/>
    </xf>
    <xf numFmtId="3" fontId="17" fillId="6" borderId="59" xfId="0" applyNumberFormat="1" applyFont="1" applyFill="1" applyBorder="1" applyAlignment="1" applyProtection="1">
      <alignment horizontal="right" vertical="center"/>
      <protection hidden="1"/>
    </xf>
    <xf numFmtId="3" fontId="17" fillId="6" borderId="28" xfId="0" applyNumberFormat="1" applyFont="1" applyFill="1" applyBorder="1" applyAlignment="1" applyProtection="1">
      <alignment horizontal="right" vertical="center"/>
      <protection hidden="1"/>
    </xf>
    <xf numFmtId="3" fontId="14" fillId="2" borderId="12" xfId="0" applyNumberFormat="1" applyFont="1" applyFill="1" applyBorder="1" applyAlignment="1" applyProtection="1">
      <alignment vertical="center" wrapText="1"/>
    </xf>
    <xf numFmtId="3" fontId="1" fillId="2" borderId="0" xfId="0" applyNumberFormat="1" applyFont="1" applyFill="1" applyProtection="1"/>
    <xf numFmtId="3" fontId="14" fillId="2" borderId="0" xfId="0" applyNumberFormat="1" applyFont="1" applyFill="1" applyProtection="1"/>
    <xf numFmtId="3" fontId="1" fillId="2" borderId="19" xfId="0" applyNumberFormat="1" applyFont="1" applyFill="1" applyBorder="1" applyProtection="1"/>
    <xf numFmtId="3" fontId="47" fillId="2" borderId="14" xfId="0" applyNumberFormat="1" applyFont="1" applyFill="1" applyBorder="1" applyAlignment="1" applyProtection="1">
      <alignment horizontal="left" vertical="center" indent="1"/>
    </xf>
    <xf numFmtId="3" fontId="47" fillId="2" borderId="14" xfId="0" applyNumberFormat="1" applyFont="1" applyFill="1" applyBorder="1" applyAlignment="1" applyProtection="1">
      <alignment vertical="center"/>
    </xf>
    <xf numFmtId="3" fontId="14" fillId="2" borderId="42" xfId="0" applyNumberFormat="1" applyFont="1" applyFill="1" applyBorder="1" applyAlignment="1" applyProtection="1"/>
    <xf numFmtId="3" fontId="14" fillId="2" borderId="24" xfId="0" applyNumberFormat="1" applyFont="1" applyFill="1" applyBorder="1" applyAlignment="1" applyProtection="1">
      <alignment horizontal="center" vertical="center"/>
    </xf>
    <xf numFmtId="3" fontId="1" fillId="2" borderId="0" xfId="0" applyNumberFormat="1" applyFont="1" applyFill="1" applyBorder="1" applyProtection="1"/>
    <xf numFmtId="3" fontId="6" fillId="2" borderId="25" xfId="0" applyNumberFormat="1" applyFont="1" applyFill="1" applyBorder="1" applyAlignment="1" applyProtection="1">
      <alignment horizontal="centerContinuous"/>
    </xf>
    <xf numFmtId="3" fontId="6" fillId="2" borderId="2" xfId="0" applyNumberFormat="1" applyFont="1" applyFill="1" applyBorder="1" applyAlignment="1" applyProtection="1">
      <alignment horizontal="centerContinuous"/>
    </xf>
    <xf numFmtId="3" fontId="30" fillId="2" borderId="20" xfId="0" applyNumberFormat="1" applyFont="1" applyFill="1" applyBorder="1" applyProtection="1"/>
    <xf numFmtId="3" fontId="1" fillId="2" borderId="20" xfId="0" applyNumberFormat="1" applyFont="1" applyFill="1" applyBorder="1" applyProtection="1"/>
    <xf numFmtId="3" fontId="6" fillId="2" borderId="26" xfId="0" applyNumberFormat="1" applyFont="1" applyFill="1" applyBorder="1" applyAlignment="1" applyProtection="1">
      <alignment horizontal="centerContinuous"/>
    </xf>
    <xf numFmtId="3" fontId="6" fillId="2" borderId="45" xfId="0" applyNumberFormat="1" applyFont="1" applyFill="1" applyBorder="1" applyAlignment="1" applyProtection="1">
      <alignment horizontal="centerContinuous"/>
    </xf>
    <xf numFmtId="3" fontId="6" fillId="2" borderId="49" xfId="0" applyNumberFormat="1" applyFont="1" applyFill="1" applyBorder="1" applyAlignment="1" applyProtection="1">
      <alignment horizontal="centerContinuous"/>
    </xf>
    <xf numFmtId="3" fontId="1" fillId="2" borderId="41" xfId="0" applyNumberFormat="1" applyFont="1" applyFill="1" applyBorder="1" applyProtection="1"/>
    <xf numFmtId="3" fontId="1" fillId="2" borderId="44" xfId="0" applyNumberFormat="1" applyFont="1" applyFill="1" applyBorder="1" applyProtection="1"/>
    <xf numFmtId="3" fontId="1" fillId="2" borderId="61" xfId="0" applyNumberFormat="1" applyFont="1" applyFill="1" applyBorder="1" applyAlignment="1" applyProtection="1">
      <alignment horizontal="center"/>
    </xf>
    <xf numFmtId="3" fontId="1" fillId="2" borderId="0" xfId="0" applyNumberFormat="1" applyFont="1" applyFill="1" applyBorder="1" applyAlignment="1" applyProtection="1">
      <alignment horizontal="center"/>
    </xf>
    <xf numFmtId="3" fontId="49" fillId="2" borderId="41" xfId="0" applyNumberFormat="1" applyFont="1" applyFill="1" applyBorder="1" applyAlignment="1" applyProtection="1">
      <alignment horizontal="left" vertical="center"/>
    </xf>
    <xf numFmtId="3" fontId="1" fillId="2" borderId="12" xfId="0" applyNumberFormat="1" applyFont="1" applyFill="1" applyBorder="1" applyAlignment="1" applyProtection="1">
      <alignment vertical="center"/>
    </xf>
    <xf numFmtId="3" fontId="4" fillId="2" borderId="13" xfId="0" applyNumberFormat="1" applyFont="1" applyFill="1" applyBorder="1" applyAlignment="1" applyProtection="1">
      <alignment vertical="center"/>
    </xf>
    <xf numFmtId="3" fontId="1" fillId="2" borderId="0" xfId="0" applyNumberFormat="1" applyFont="1" applyFill="1" applyBorder="1" applyAlignment="1" applyProtection="1">
      <alignment vertical="center"/>
    </xf>
    <xf numFmtId="3" fontId="4" fillId="2" borderId="40" xfId="0" applyNumberFormat="1" applyFont="1" applyFill="1" applyBorder="1" applyAlignment="1" applyProtection="1">
      <alignment vertical="center"/>
    </xf>
    <xf numFmtId="3" fontId="8" fillId="2" borderId="62" xfId="0" applyNumberFormat="1" applyFont="1" applyFill="1" applyBorder="1" applyAlignment="1" applyProtection="1">
      <alignment horizontal="centerContinuous" vertical="center"/>
    </xf>
    <xf numFmtId="3" fontId="1" fillId="2" borderId="23" xfId="0" applyNumberFormat="1" applyFont="1" applyFill="1" applyBorder="1" applyAlignment="1" applyProtection="1">
      <alignment horizontal="centerContinuous"/>
    </xf>
    <xf numFmtId="3" fontId="1" fillId="2" borderId="24" xfId="0" applyNumberFormat="1" applyFont="1" applyFill="1" applyBorder="1" applyAlignment="1" applyProtection="1">
      <alignment horizontal="centerContinuous"/>
    </xf>
    <xf numFmtId="3" fontId="8" fillId="2" borderId="21" xfId="0" applyNumberFormat="1" applyFont="1" applyFill="1" applyBorder="1" applyAlignment="1" applyProtection="1">
      <alignment horizontal="centerContinuous" vertical="center" wrapText="1"/>
    </xf>
    <xf numFmtId="3" fontId="1" fillId="2" borderId="4" xfId="0" applyNumberFormat="1" applyFont="1" applyFill="1" applyBorder="1" applyAlignment="1" applyProtection="1">
      <alignment horizontal="center"/>
    </xf>
    <xf numFmtId="3" fontId="1" fillId="2" borderId="44" xfId="0" applyNumberFormat="1" applyFont="1" applyFill="1" applyBorder="1" applyAlignment="1" applyProtection="1">
      <alignment horizontal="center"/>
    </xf>
    <xf numFmtId="3" fontId="1" fillId="2" borderId="40" xfId="0" applyNumberFormat="1"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5" xfId="0" applyFont="1" applyFill="1" applyBorder="1" applyAlignment="1" applyProtection="1">
      <alignment horizontal="left" vertical="center" indent="11"/>
    </xf>
    <xf numFmtId="0" fontId="15" fillId="2" borderId="2" xfId="0" applyFont="1" applyFill="1" applyBorder="1" applyAlignment="1" applyProtection="1">
      <alignment horizontal="centerContinuous"/>
    </xf>
    <xf numFmtId="3" fontId="8" fillId="2" borderId="3" xfId="0" applyNumberFormat="1" applyFont="1" applyFill="1" applyBorder="1" applyAlignment="1" applyProtection="1">
      <alignment horizontal="left" vertical="center"/>
    </xf>
    <xf numFmtId="0" fontId="15" fillId="2" borderId="0" xfId="0" applyFont="1" applyFill="1" applyBorder="1" applyAlignment="1" applyProtection="1">
      <alignment horizontal="centerContinuous"/>
    </xf>
    <xf numFmtId="0" fontId="17" fillId="2" borderId="21" xfId="0" applyFont="1" applyFill="1" applyBorder="1" applyAlignment="1" applyProtection="1">
      <alignment horizontal="centerContinuous" vertical="center"/>
    </xf>
    <xf numFmtId="0" fontId="17" fillId="2" borderId="23" xfId="0" applyFont="1" applyFill="1" applyBorder="1" applyAlignment="1" applyProtection="1">
      <alignment horizontal="centerContinuous" vertical="center"/>
    </xf>
    <xf numFmtId="0" fontId="17" fillId="2" borderId="23" xfId="0" applyFont="1" applyFill="1" applyBorder="1" applyAlignment="1" applyProtection="1">
      <alignment horizontal="centerContinuous"/>
    </xf>
    <xf numFmtId="3" fontId="17" fillId="2" borderId="24" xfId="0" applyNumberFormat="1" applyFont="1" applyFill="1" applyBorder="1" applyAlignment="1" applyProtection="1">
      <alignment horizontal="centerContinuous" vertical="center"/>
    </xf>
    <xf numFmtId="3" fontId="15" fillId="2" borderId="39" xfId="0" applyNumberFormat="1" applyFont="1" applyFill="1" applyBorder="1" applyAlignment="1" applyProtection="1">
      <alignment horizontal="center" vertical="center"/>
    </xf>
    <xf numFmtId="3" fontId="15" fillId="2" borderId="16" xfId="0" applyNumberFormat="1" applyFont="1" applyFill="1" applyBorder="1" applyAlignment="1" applyProtection="1">
      <alignment horizontal="center" vertical="center"/>
    </xf>
    <xf numFmtId="3" fontId="1" fillId="2" borderId="31" xfId="0" applyNumberFormat="1" applyFont="1" applyFill="1" applyBorder="1" applyProtection="1"/>
    <xf numFmtId="3" fontId="1" fillId="2" borderId="63" xfId="0" applyNumberFormat="1" applyFont="1" applyFill="1" applyBorder="1" applyProtection="1"/>
    <xf numFmtId="3" fontId="1" fillId="2" borderId="58" xfId="0" applyNumberFormat="1" applyFont="1" applyFill="1" applyBorder="1" applyAlignment="1" applyProtection="1">
      <alignment horizontal="center"/>
    </xf>
    <xf numFmtId="3" fontId="1" fillId="2" borderId="13" xfId="0" applyNumberFormat="1" applyFont="1" applyFill="1" applyBorder="1" applyAlignment="1" applyProtection="1">
      <alignment horizontal="center"/>
    </xf>
    <xf numFmtId="0" fontId="15" fillId="2" borderId="64" xfId="0" applyFont="1" applyFill="1" applyBorder="1" applyAlignment="1" applyProtection="1">
      <alignment horizontal="centerContinuous" vertical="center"/>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34" xfId="0" applyFont="1" applyFill="1" applyBorder="1" applyAlignment="1" applyProtection="1">
      <alignment horizontal="center" vertical="center" wrapText="1"/>
    </xf>
    <xf numFmtId="0" fontId="17" fillId="2" borderId="38" xfId="0" applyFont="1" applyFill="1" applyBorder="1" applyAlignment="1" applyProtection="1">
      <alignment horizontal="center" vertical="center" wrapText="1"/>
    </xf>
    <xf numFmtId="1" fontId="14" fillId="2" borderId="46" xfId="0" applyNumberFormat="1" applyFont="1" applyFill="1" applyBorder="1" applyAlignment="1" applyProtection="1">
      <alignment horizontal="center" vertical="center" wrapText="1"/>
    </xf>
    <xf numFmtId="3" fontId="4" fillId="2" borderId="65" xfId="0" applyNumberFormat="1" applyFont="1" applyFill="1" applyBorder="1" applyAlignment="1" applyProtection="1">
      <alignment vertical="center"/>
    </xf>
    <xf numFmtId="10" fontId="4" fillId="2" borderId="30" xfId="0" applyNumberFormat="1" applyFont="1" applyFill="1" applyBorder="1" applyAlignment="1" applyProtection="1">
      <alignment vertical="center"/>
    </xf>
    <xf numFmtId="3" fontId="4" fillId="2" borderId="43" xfId="0" applyNumberFormat="1" applyFont="1" applyFill="1" applyBorder="1" applyAlignment="1" applyProtection="1">
      <alignment vertical="center"/>
    </xf>
    <xf numFmtId="0" fontId="7" fillId="2" borderId="25" xfId="0" applyFont="1" applyFill="1" applyBorder="1" applyAlignment="1" applyProtection="1">
      <alignment wrapText="1"/>
    </xf>
    <xf numFmtId="3" fontId="15" fillId="2" borderId="28" xfId="0" applyNumberFormat="1" applyFont="1" applyFill="1" applyBorder="1" applyAlignment="1" applyProtection="1">
      <alignment horizontal="right" vertical="center"/>
    </xf>
    <xf numFmtId="3" fontId="15" fillId="2" borderId="29" xfId="0" applyNumberFormat="1" applyFont="1" applyFill="1" applyBorder="1" applyAlignment="1" applyProtection="1">
      <alignment horizontal="right" vertical="center"/>
    </xf>
    <xf numFmtId="3" fontId="1" fillId="2" borderId="0" xfId="0" applyNumberFormat="1" applyFont="1" applyFill="1" applyBorder="1" applyAlignment="1" applyProtection="1">
      <alignment horizontal="right" vertical="center"/>
    </xf>
    <xf numFmtId="3" fontId="15" fillId="2" borderId="35" xfId="0" applyNumberFormat="1" applyFont="1" applyFill="1" applyBorder="1" applyAlignment="1" applyProtection="1">
      <alignment horizontal="right" vertical="center"/>
    </xf>
    <xf numFmtId="3" fontId="9" fillId="2" borderId="54" xfId="0" applyNumberFormat="1" applyFont="1" applyFill="1" applyBorder="1" applyAlignment="1" applyProtection="1">
      <alignment horizontal="right" vertical="center"/>
    </xf>
    <xf numFmtId="3" fontId="9" fillId="2" borderId="28" xfId="0" applyNumberFormat="1" applyFont="1" applyFill="1" applyBorder="1" applyAlignment="1" applyProtection="1">
      <alignment horizontal="right" vertical="center"/>
    </xf>
    <xf numFmtId="3" fontId="9" fillId="2" borderId="36" xfId="0" applyNumberFormat="1" applyFont="1" applyFill="1" applyBorder="1" applyAlignment="1" applyProtection="1">
      <alignment horizontal="right" vertical="center"/>
    </xf>
    <xf numFmtId="3" fontId="9" fillId="2" borderId="35" xfId="0" applyNumberFormat="1" applyFont="1" applyFill="1" applyBorder="1" applyAlignment="1" applyProtection="1">
      <alignment horizontal="right" vertical="center"/>
    </xf>
    <xf numFmtId="3" fontId="9" fillId="2" borderId="29" xfId="0" applyNumberFormat="1" applyFont="1" applyFill="1" applyBorder="1" applyAlignment="1" applyProtection="1">
      <alignment horizontal="right" vertical="center"/>
    </xf>
    <xf numFmtId="3" fontId="9" fillId="2" borderId="55" xfId="0" applyNumberFormat="1" applyFont="1" applyFill="1" applyBorder="1" applyAlignment="1" applyProtection="1">
      <alignment horizontal="right" vertical="center"/>
    </xf>
    <xf numFmtId="3" fontId="9" fillId="2" borderId="66" xfId="0" applyNumberFormat="1" applyFont="1" applyFill="1" applyBorder="1" applyAlignment="1" applyProtection="1">
      <alignment horizontal="right" vertical="center"/>
    </xf>
    <xf numFmtId="10" fontId="4" fillId="2" borderId="8" xfId="0" applyNumberFormat="1" applyFont="1" applyFill="1" applyBorder="1" applyAlignment="1" applyProtection="1">
      <alignment vertical="center"/>
    </xf>
    <xf numFmtId="3" fontId="4" fillId="2" borderId="34" xfId="0" applyNumberFormat="1" applyFont="1" applyFill="1" applyBorder="1" applyAlignment="1" applyProtection="1">
      <alignment vertical="center"/>
    </xf>
    <xf numFmtId="3" fontId="15" fillId="2" borderId="0" xfId="0" applyNumberFormat="1" applyFont="1" applyFill="1" applyBorder="1" applyAlignment="1" applyProtection="1">
      <alignment horizontal="right" vertical="center"/>
    </xf>
    <xf numFmtId="3" fontId="15" fillId="2" borderId="40" xfId="0" applyNumberFormat="1" applyFont="1" applyFill="1" applyBorder="1" applyAlignment="1" applyProtection="1">
      <alignment horizontal="right" vertical="center"/>
    </xf>
    <xf numFmtId="3" fontId="15" fillId="2" borderId="20" xfId="0" applyNumberFormat="1" applyFont="1" applyFill="1" applyBorder="1" applyAlignment="1" applyProtection="1">
      <alignment horizontal="right" vertical="center"/>
    </xf>
    <xf numFmtId="3" fontId="9" fillId="2" borderId="46" xfId="0" applyNumberFormat="1" applyFont="1" applyFill="1" applyBorder="1" applyAlignment="1" applyProtection="1">
      <alignment horizontal="right" vertical="center"/>
    </xf>
    <xf numFmtId="3" fontId="9" fillId="2" borderId="47"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vertical="center"/>
    </xf>
    <xf numFmtId="10" fontId="1" fillId="2" borderId="8" xfId="0" applyNumberFormat="1" applyFont="1" applyFill="1" applyBorder="1" applyAlignment="1" applyProtection="1">
      <alignment vertical="center"/>
    </xf>
    <xf numFmtId="3" fontId="1" fillId="2" borderId="7" xfId="0" applyNumberFormat="1" applyFont="1" applyFill="1" applyBorder="1" applyAlignment="1" applyProtection="1">
      <alignment vertical="center"/>
    </xf>
    <xf numFmtId="3" fontId="1" fillId="2" borderId="34" xfId="0" applyNumberFormat="1" applyFont="1" applyFill="1" applyBorder="1" applyAlignment="1" applyProtection="1">
      <alignment vertical="center"/>
    </xf>
    <xf numFmtId="0" fontId="1" fillId="2" borderId="26" xfId="0" applyFont="1" applyFill="1" applyBorder="1" applyAlignment="1" applyProtection="1">
      <alignment vertical="center" wrapText="1"/>
    </xf>
    <xf numFmtId="3" fontId="15" fillId="2" borderId="23" xfId="0" applyNumberFormat="1" applyFont="1" applyFill="1" applyBorder="1" applyAlignment="1" applyProtection="1">
      <alignment horizontal="right" vertical="center"/>
    </xf>
    <xf numFmtId="3" fontId="15" fillId="2" borderId="62" xfId="0" applyNumberFormat="1" applyFont="1" applyFill="1" applyBorder="1" applyAlignment="1" applyProtection="1">
      <alignment horizontal="right" vertical="center"/>
    </xf>
    <xf numFmtId="3" fontId="15" fillId="2" borderId="50" xfId="0" applyNumberFormat="1" applyFont="1" applyFill="1" applyBorder="1" applyAlignment="1" applyProtection="1">
      <alignment horizontal="right" vertical="center"/>
    </xf>
    <xf numFmtId="164" fontId="28" fillId="2" borderId="21" xfId="0" applyNumberFormat="1" applyFont="1" applyFill="1" applyBorder="1" applyAlignment="1" applyProtection="1">
      <alignment horizontal="center" vertical="center"/>
    </xf>
    <xf numFmtId="3" fontId="9" fillId="2" borderId="62" xfId="0" applyNumberFormat="1" applyFont="1" applyFill="1" applyBorder="1" applyAlignment="1" applyProtection="1">
      <alignment horizontal="right" vertical="center"/>
    </xf>
    <xf numFmtId="3" fontId="9" fillId="2" borderId="23" xfId="0" applyNumberFormat="1" applyFont="1" applyFill="1" applyBorder="1" applyAlignment="1" applyProtection="1">
      <alignment horizontal="right" vertical="center"/>
    </xf>
    <xf numFmtId="3" fontId="9" fillId="2" borderId="24" xfId="0" applyNumberFormat="1" applyFont="1" applyFill="1" applyBorder="1" applyAlignment="1" applyProtection="1">
      <alignment horizontal="right" vertical="center"/>
    </xf>
    <xf numFmtId="3" fontId="9" fillId="2" borderId="21" xfId="0" applyNumberFormat="1" applyFont="1" applyFill="1" applyBorder="1" applyAlignment="1" applyProtection="1">
      <alignment horizontal="right" vertical="center"/>
    </xf>
    <xf numFmtId="3" fontId="9" fillId="2" borderId="50" xfId="0" applyNumberFormat="1" applyFont="1" applyFill="1" applyBorder="1" applyAlignment="1" applyProtection="1">
      <alignment horizontal="right" vertical="center"/>
    </xf>
    <xf numFmtId="3" fontId="9" fillId="2" borderId="67" xfId="0" applyNumberFormat="1" applyFont="1" applyFill="1" applyBorder="1" applyAlignment="1" applyProtection="1">
      <alignment horizontal="right" vertical="center"/>
    </xf>
    <xf numFmtId="3" fontId="9" fillId="2" borderId="68" xfId="0" applyNumberFormat="1" applyFont="1" applyFill="1" applyBorder="1" applyAlignment="1" applyProtection="1">
      <alignment horizontal="right" vertical="center"/>
    </xf>
    <xf numFmtId="0" fontId="1" fillId="2" borderId="26" xfId="0" applyFont="1" applyFill="1" applyBorder="1" applyAlignment="1" applyProtection="1">
      <alignment horizontal="left" vertical="center" wrapText="1"/>
    </xf>
    <xf numFmtId="1" fontId="14" fillId="2" borderId="26" xfId="0" applyNumberFormat="1" applyFont="1" applyFill="1" applyBorder="1" applyAlignment="1" applyProtection="1">
      <alignment horizontal="center" vertical="center" wrapText="1"/>
    </xf>
    <xf numFmtId="3" fontId="15" fillId="2" borderId="26" xfId="0" applyNumberFormat="1" applyFont="1" applyFill="1" applyBorder="1" applyAlignment="1" applyProtection="1">
      <alignment horizontal="center" vertical="center"/>
    </xf>
    <xf numFmtId="3" fontId="9" fillId="2" borderId="26" xfId="0" applyNumberFormat="1" applyFont="1" applyFill="1" applyBorder="1" applyAlignment="1" applyProtection="1">
      <alignment horizontal="right" vertical="center"/>
    </xf>
    <xf numFmtId="3" fontId="9" fillId="2" borderId="49"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horizontal="center" vertical="center"/>
    </xf>
    <xf numFmtId="10" fontId="4" fillId="2" borderId="65" xfId="0" applyNumberFormat="1" applyFont="1" applyFill="1" applyBorder="1" applyAlignment="1" applyProtection="1">
      <alignment horizontal="center" vertical="center"/>
    </xf>
    <xf numFmtId="3" fontId="9" fillId="4" borderId="5" xfId="0" applyNumberFormat="1" applyFont="1" applyFill="1" applyBorder="1" applyAlignment="1" applyProtection="1">
      <alignment vertical="center"/>
      <protection locked="0"/>
    </xf>
    <xf numFmtId="3" fontId="1" fillId="2" borderId="8" xfId="0" applyNumberFormat="1" applyFont="1" applyFill="1" applyBorder="1" applyAlignment="1" applyProtection="1">
      <alignment vertical="center"/>
    </xf>
    <xf numFmtId="3" fontId="9" fillId="4" borderId="8" xfId="0" applyNumberFormat="1" applyFont="1" applyFill="1" applyBorder="1" applyAlignment="1" applyProtection="1">
      <alignment vertical="center"/>
      <protection locked="0"/>
    </xf>
    <xf numFmtId="3" fontId="9" fillId="4" borderId="9" xfId="0" applyNumberFormat="1" applyFont="1" applyFill="1" applyBorder="1" applyAlignment="1" applyProtection="1">
      <alignment vertical="center"/>
      <protection locked="0"/>
    </xf>
    <xf numFmtId="3" fontId="9" fillId="2" borderId="6" xfId="0" applyNumberFormat="1" applyFont="1" applyFill="1" applyBorder="1" applyAlignment="1" applyProtection="1">
      <alignment horizontal="right" vertical="center"/>
    </xf>
    <xf numFmtId="3" fontId="9" fillId="2" borderId="30" xfId="0" applyNumberFormat="1" applyFont="1" applyFill="1" applyBorder="1" applyAlignment="1" applyProtection="1">
      <alignment horizontal="right" vertical="center"/>
    </xf>
    <xf numFmtId="3" fontId="9" fillId="2" borderId="69" xfId="0" applyNumberFormat="1" applyFont="1" applyFill="1" applyBorder="1" applyAlignment="1" applyProtection="1">
      <alignment horizontal="right" vertical="center"/>
    </xf>
    <xf numFmtId="3" fontId="9" fillId="2" borderId="5" xfId="0" applyNumberFormat="1" applyFont="1" applyFill="1" applyBorder="1" applyAlignment="1" applyProtection="1">
      <alignment horizontal="right" vertical="center"/>
    </xf>
    <xf numFmtId="3" fontId="9" fillId="2" borderId="9" xfId="0" applyNumberFormat="1" applyFont="1" applyFill="1" applyBorder="1" applyAlignment="1" applyProtection="1">
      <alignment horizontal="right" vertical="center"/>
    </xf>
    <xf numFmtId="0" fontId="7" fillId="3" borderId="5" xfId="0" applyFont="1" applyFill="1" applyBorder="1" applyAlignment="1" applyProtection="1">
      <alignment wrapText="1"/>
    </xf>
    <xf numFmtId="3" fontId="1" fillId="2" borderId="0" xfId="0" applyNumberFormat="1" applyFont="1" applyFill="1" applyAlignment="1" applyProtection="1">
      <alignment vertical="center"/>
    </xf>
    <xf numFmtId="0" fontId="1" fillId="2" borderId="26" xfId="0" applyFont="1" applyFill="1" applyBorder="1" applyAlignment="1" applyProtection="1">
      <alignment horizontal="left" wrapText="1"/>
    </xf>
    <xf numFmtId="3" fontId="9" fillId="4" borderId="16" xfId="0" applyNumberFormat="1" applyFont="1" applyFill="1" applyBorder="1" applyAlignment="1" applyProtection="1">
      <alignment vertical="center"/>
      <protection locked="0"/>
    </xf>
    <xf numFmtId="3" fontId="1" fillId="2" borderId="17" xfId="0" applyNumberFormat="1" applyFont="1" applyFill="1" applyBorder="1" applyAlignment="1" applyProtection="1">
      <alignment vertical="center"/>
    </xf>
    <xf numFmtId="3" fontId="1" fillId="2" borderId="18" xfId="0" applyNumberFormat="1" applyFont="1" applyFill="1" applyBorder="1" applyAlignment="1" applyProtection="1">
      <alignment vertical="center"/>
    </xf>
    <xf numFmtId="3" fontId="1" fillId="2" borderId="16" xfId="0" applyNumberFormat="1" applyFont="1" applyFill="1" applyBorder="1" applyAlignment="1" applyProtection="1">
      <alignment vertical="center"/>
    </xf>
    <xf numFmtId="3" fontId="9" fillId="4" borderId="17" xfId="0" applyNumberFormat="1" applyFont="1" applyFill="1" applyBorder="1" applyAlignment="1" applyProtection="1">
      <alignment vertical="center"/>
      <protection locked="0"/>
    </xf>
    <xf numFmtId="3" fontId="9" fillId="4" borderId="18" xfId="0" applyNumberFormat="1" applyFont="1" applyFill="1" applyBorder="1" applyAlignment="1" applyProtection="1">
      <alignment vertical="center"/>
      <protection locked="0"/>
    </xf>
    <xf numFmtId="3" fontId="1" fillId="2" borderId="14" xfId="0" applyNumberFormat="1" applyFont="1" applyFill="1" applyBorder="1" applyAlignment="1" applyProtection="1">
      <alignment vertical="center"/>
    </xf>
    <xf numFmtId="3" fontId="1" fillId="2" borderId="42" xfId="0" applyNumberFormat="1" applyFont="1" applyFill="1" applyBorder="1" applyAlignment="1" applyProtection="1">
      <alignment vertical="center"/>
    </xf>
    <xf numFmtId="3" fontId="1" fillId="2" borderId="46" xfId="0" applyNumberFormat="1" applyFont="1" applyFill="1" applyBorder="1" applyAlignment="1" applyProtection="1">
      <alignment vertical="center"/>
    </xf>
    <xf numFmtId="3" fontId="1" fillId="2" borderId="47" xfId="0" applyNumberFormat="1" applyFont="1" applyFill="1" applyBorder="1" applyAlignment="1" applyProtection="1">
      <alignment vertical="center"/>
    </xf>
    <xf numFmtId="3" fontId="4" fillId="2" borderId="58" xfId="0" applyNumberFormat="1" applyFont="1" applyFill="1" applyBorder="1" applyAlignment="1" applyProtection="1">
      <alignment horizontal="left" vertical="center"/>
    </xf>
    <xf numFmtId="3" fontId="4" fillId="2" borderId="17" xfId="0" applyNumberFormat="1" applyFont="1" applyFill="1" applyBorder="1" applyAlignment="1" applyProtection="1">
      <alignment vertical="center"/>
    </xf>
    <xf numFmtId="10" fontId="4" fillId="2" borderId="17" xfId="0" applyNumberFormat="1" applyFont="1" applyFill="1" applyBorder="1" applyAlignment="1" applyProtection="1">
      <alignment vertical="center"/>
    </xf>
    <xf numFmtId="3" fontId="4" fillId="2" borderId="18" xfId="0" applyNumberFormat="1" applyFont="1" applyFill="1" applyBorder="1" applyAlignment="1" applyProtection="1">
      <alignment vertical="center"/>
    </xf>
    <xf numFmtId="3" fontId="9" fillId="4" borderId="10" xfId="0" applyNumberFormat="1" applyFont="1" applyFill="1" applyBorder="1" applyAlignment="1" applyProtection="1">
      <alignment vertical="center"/>
      <protection locked="0"/>
    </xf>
    <xf numFmtId="3" fontId="1" fillId="2" borderId="48" xfId="0" applyNumberFormat="1" applyFont="1" applyFill="1" applyBorder="1" applyAlignment="1" applyProtection="1">
      <alignment vertical="center"/>
    </xf>
    <xf numFmtId="3" fontId="1" fillId="2" borderId="54" xfId="0" applyNumberFormat="1" applyFont="1" applyFill="1" applyBorder="1" applyAlignment="1" applyProtection="1">
      <alignment vertical="center"/>
    </xf>
    <xf numFmtId="3" fontId="1" fillId="2" borderId="28" xfId="0" applyNumberFormat="1" applyFont="1" applyFill="1" applyBorder="1" applyAlignment="1" applyProtection="1">
      <alignment vertical="center"/>
    </xf>
    <xf numFmtId="3" fontId="1" fillId="2" borderId="36" xfId="0" applyNumberFormat="1" applyFont="1" applyFill="1" applyBorder="1" applyAlignment="1" applyProtection="1">
      <alignment vertical="center"/>
    </xf>
    <xf numFmtId="3" fontId="1" fillId="2" borderId="59" xfId="0" applyNumberFormat="1" applyFont="1" applyFill="1" applyBorder="1" applyAlignment="1" applyProtection="1">
      <alignment vertical="center"/>
    </xf>
    <xf numFmtId="3" fontId="4" fillId="2" borderId="28" xfId="0" applyNumberFormat="1" applyFont="1" applyFill="1" applyBorder="1" applyAlignment="1" applyProtection="1">
      <alignment vertical="center"/>
    </xf>
    <xf numFmtId="3" fontId="1" fillId="2" borderId="29" xfId="0" applyNumberFormat="1" applyFont="1" applyFill="1" applyBorder="1" applyAlignment="1" applyProtection="1">
      <alignment vertical="center"/>
    </xf>
    <xf numFmtId="3" fontId="1" fillId="2" borderId="49" xfId="0" applyNumberFormat="1" applyFont="1" applyFill="1" applyBorder="1" applyAlignment="1" applyProtection="1">
      <alignment vertical="center"/>
    </xf>
    <xf numFmtId="3" fontId="1" fillId="2" borderId="26" xfId="0" applyNumberFormat="1" applyFont="1" applyFill="1" applyBorder="1" applyAlignment="1" applyProtection="1">
      <alignment vertical="center"/>
    </xf>
    <xf numFmtId="3" fontId="4" fillId="2" borderId="70" xfId="0" applyNumberFormat="1" applyFont="1" applyFill="1" applyBorder="1" applyAlignment="1" applyProtection="1">
      <alignment horizontal="left" vertical="center"/>
    </xf>
    <xf numFmtId="3" fontId="4" fillId="2" borderId="70" xfId="0" applyNumberFormat="1" applyFont="1" applyFill="1" applyBorder="1" applyAlignment="1" applyProtection="1">
      <alignment horizontal="center" vertical="center"/>
    </xf>
    <xf numFmtId="3" fontId="4" fillId="2" borderId="56" xfId="0" applyNumberFormat="1" applyFont="1" applyFill="1" applyBorder="1" applyAlignment="1" applyProtection="1">
      <alignment horizontal="center" vertical="center"/>
    </xf>
    <xf numFmtId="3" fontId="4" fillId="2" borderId="71" xfId="0" applyNumberFormat="1" applyFont="1" applyFill="1" applyBorder="1" applyAlignment="1" applyProtection="1">
      <alignment horizontal="center" vertical="center"/>
    </xf>
    <xf numFmtId="10" fontId="4" fillId="2" borderId="62" xfId="0" applyNumberFormat="1" applyFont="1" applyFill="1" applyBorder="1" applyAlignment="1" applyProtection="1">
      <alignment horizontal="center" vertical="center"/>
    </xf>
    <xf numFmtId="10" fontId="4" fillId="2" borderId="23" xfId="0" applyNumberFormat="1" applyFont="1" applyFill="1" applyBorder="1" applyAlignment="1" applyProtection="1">
      <alignment horizontal="center" vertical="center"/>
    </xf>
    <xf numFmtId="0" fontId="1" fillId="2" borderId="26" xfId="0" applyFont="1" applyFill="1" applyBorder="1" applyAlignment="1" applyProtection="1">
      <alignment wrapText="1"/>
    </xf>
    <xf numFmtId="3" fontId="1" fillId="2" borderId="61" xfId="0" applyNumberFormat="1" applyFont="1" applyFill="1" applyBorder="1" applyAlignment="1" applyProtection="1">
      <alignment vertical="center"/>
    </xf>
    <xf numFmtId="3" fontId="1" fillId="2" borderId="65" xfId="0" applyNumberFormat="1" applyFont="1" applyFill="1" applyBorder="1" applyAlignment="1" applyProtection="1">
      <alignment horizontal="centerContinuous" vertical="center"/>
    </xf>
    <xf numFmtId="3" fontId="1" fillId="2" borderId="65" xfId="0" applyNumberFormat="1" applyFont="1" applyFill="1" applyBorder="1" applyAlignment="1" applyProtection="1">
      <alignment horizontal="center" vertical="center"/>
    </xf>
    <xf numFmtId="3" fontId="1" fillId="2" borderId="72" xfId="0" applyNumberFormat="1" applyFont="1" applyFill="1" applyBorder="1" applyAlignment="1" applyProtection="1">
      <alignment horizontal="center" vertical="center"/>
    </xf>
    <xf numFmtId="3" fontId="1" fillId="2" borderId="7" xfId="0" applyNumberFormat="1" applyFont="1" applyFill="1" applyBorder="1" applyAlignment="1" applyProtection="1">
      <alignment horizontal="center" vertical="center"/>
    </xf>
    <xf numFmtId="3" fontId="1" fillId="2" borderId="7" xfId="0" applyNumberFormat="1" applyFont="1" applyFill="1" applyBorder="1" applyAlignment="1" applyProtection="1">
      <alignment horizontal="centerContinuous" vertical="center"/>
    </xf>
    <xf numFmtId="3" fontId="1" fillId="2" borderId="40" xfId="0" applyNumberFormat="1" applyFont="1" applyFill="1" applyBorder="1" applyAlignment="1" applyProtection="1">
      <alignment horizontal="center" vertical="center"/>
    </xf>
    <xf numFmtId="3" fontId="51" fillId="2" borderId="0" xfId="0" applyNumberFormat="1" applyFont="1" applyFill="1" applyAlignment="1" applyProtection="1">
      <alignment vertical="center"/>
    </xf>
    <xf numFmtId="0" fontId="4" fillId="2" borderId="58" xfId="0" applyFont="1" applyFill="1" applyBorder="1" applyAlignment="1" applyProtection="1">
      <alignment vertical="center"/>
    </xf>
    <xf numFmtId="0" fontId="4" fillId="2" borderId="59" xfId="0" applyFont="1" applyFill="1" applyBorder="1" applyAlignment="1" applyProtection="1">
      <alignment horizontal="centerContinuous" vertical="center"/>
    </xf>
    <xf numFmtId="3" fontId="1" fillId="2" borderId="59" xfId="0" applyNumberFormat="1" applyFont="1" applyFill="1" applyBorder="1" applyAlignment="1" applyProtection="1">
      <alignment horizontal="center" vertical="center"/>
    </xf>
    <xf numFmtId="3" fontId="1" fillId="2" borderId="60" xfId="0" applyNumberFormat="1" applyFont="1" applyFill="1" applyBorder="1" applyAlignment="1" applyProtection="1">
      <alignment horizontal="center" vertical="center"/>
    </xf>
    <xf numFmtId="0" fontId="4" fillId="2" borderId="59" xfId="0" applyFont="1" applyFill="1" applyBorder="1" applyAlignment="1" applyProtection="1">
      <alignment vertical="center"/>
    </xf>
    <xf numFmtId="3" fontId="1" fillId="2" borderId="13" xfId="0" applyNumberFormat="1" applyFont="1" applyFill="1" applyBorder="1" applyAlignment="1" applyProtection="1">
      <alignment horizontal="center" vertical="center"/>
    </xf>
    <xf numFmtId="3" fontId="1" fillId="2" borderId="6" xfId="0" applyNumberFormat="1" applyFont="1" applyFill="1" applyBorder="1" applyAlignment="1" applyProtection="1">
      <alignment horizontal="left" vertical="center"/>
    </xf>
    <xf numFmtId="3" fontId="1" fillId="2" borderId="30" xfId="0" applyNumberFormat="1" applyFont="1" applyFill="1" applyBorder="1" applyAlignment="1" applyProtection="1">
      <alignment vertical="center"/>
    </xf>
    <xf numFmtId="3" fontId="1" fillId="2" borderId="65" xfId="0" applyNumberFormat="1" applyFont="1" applyFill="1" applyBorder="1" applyAlignment="1" applyProtection="1">
      <alignment vertical="center"/>
    </xf>
    <xf numFmtId="10" fontId="1" fillId="2" borderId="23" xfId="0" applyNumberFormat="1" applyFont="1" applyFill="1" applyBorder="1" applyAlignment="1" applyProtection="1">
      <alignment vertical="center"/>
    </xf>
    <xf numFmtId="3" fontId="1" fillId="2" borderId="23" xfId="0" applyNumberFormat="1" applyFont="1" applyFill="1" applyBorder="1" applyAlignment="1" applyProtection="1">
      <alignment vertical="center"/>
    </xf>
    <xf numFmtId="3" fontId="1" fillId="2" borderId="24" xfId="0" applyNumberFormat="1" applyFont="1" applyFill="1" applyBorder="1" applyAlignment="1" applyProtection="1">
      <alignment vertical="center"/>
    </xf>
    <xf numFmtId="3" fontId="4" fillId="2" borderId="10" xfId="0" applyNumberFormat="1" applyFont="1" applyFill="1" applyBorder="1" applyAlignment="1" applyProtection="1">
      <alignment horizontal="left" vertical="center"/>
    </xf>
    <xf numFmtId="3" fontId="4" fillId="2" borderId="8" xfId="0" applyNumberFormat="1" applyFont="1" applyFill="1" applyBorder="1" applyAlignment="1" applyProtection="1">
      <alignment vertical="center"/>
    </xf>
    <xf numFmtId="3" fontId="49" fillId="2" borderId="0" xfId="0" applyNumberFormat="1" applyFont="1" applyFill="1" applyBorder="1" applyAlignment="1" applyProtection="1">
      <alignment horizontal="left" vertical="center"/>
    </xf>
    <xf numFmtId="3" fontId="1" fillId="2" borderId="10" xfId="0" applyNumberFormat="1" applyFont="1" applyFill="1" applyBorder="1" applyAlignment="1" applyProtection="1">
      <alignment vertical="center"/>
    </xf>
    <xf numFmtId="3" fontId="4" fillId="2" borderId="61" xfId="0" applyNumberFormat="1" applyFont="1" applyFill="1" applyBorder="1" applyAlignment="1" applyProtection="1">
      <alignment horizontal="left" vertical="center"/>
    </xf>
    <xf numFmtId="3" fontId="4" fillId="2" borderId="39" xfId="0" applyNumberFormat="1" applyFont="1" applyFill="1" applyBorder="1" applyAlignment="1" applyProtection="1">
      <alignment horizontal="left" vertical="center"/>
    </xf>
    <xf numFmtId="3" fontId="4" fillId="2" borderId="59" xfId="0" applyNumberFormat="1" applyFont="1" applyFill="1" applyBorder="1" applyAlignment="1" applyProtection="1">
      <alignment vertical="center"/>
    </xf>
    <xf numFmtId="10" fontId="1" fillId="2" borderId="17" xfId="0" applyNumberFormat="1" applyFont="1" applyFill="1" applyBorder="1" applyAlignment="1" applyProtection="1">
      <alignment vertical="center"/>
    </xf>
    <xf numFmtId="3" fontId="4" fillId="2" borderId="19" xfId="0" applyNumberFormat="1" applyFont="1" applyFill="1" applyBorder="1" applyAlignment="1" applyProtection="1">
      <alignment horizontal="left" vertical="center"/>
    </xf>
    <xf numFmtId="3" fontId="4" fillId="2" borderId="14" xfId="0" applyNumberFormat="1" applyFont="1" applyFill="1" applyBorder="1" applyAlignment="1" applyProtection="1">
      <alignment vertical="center"/>
    </xf>
    <xf numFmtId="10" fontId="1" fillId="2" borderId="21" xfId="0" applyNumberFormat="1" applyFont="1" applyFill="1" applyBorder="1" applyAlignment="1" applyProtection="1">
      <alignment vertical="center"/>
    </xf>
    <xf numFmtId="3" fontId="4" fillId="2" borderId="20" xfId="0" applyNumberFormat="1" applyFont="1" applyFill="1" applyBorder="1" applyAlignment="1" applyProtection="1">
      <alignment horizontal="left" vertical="center"/>
    </xf>
    <xf numFmtId="10" fontId="1" fillId="2" borderId="16" xfId="0" applyNumberFormat="1" applyFont="1" applyFill="1" applyBorder="1" applyAlignment="1" applyProtection="1">
      <alignment horizontal="center" vertical="justify"/>
    </xf>
    <xf numFmtId="10" fontId="1" fillId="2" borderId="17" xfId="0" applyNumberFormat="1" applyFont="1" applyFill="1" applyBorder="1" applyAlignment="1" applyProtection="1">
      <alignment horizontal="center" vertical="justify"/>
    </xf>
    <xf numFmtId="0" fontId="4" fillId="2" borderId="17" xfId="0" applyFont="1" applyFill="1" applyBorder="1" applyAlignment="1" applyProtection="1">
      <alignment vertical="center"/>
    </xf>
    <xf numFmtId="3" fontId="1" fillId="2" borderId="41" xfId="0" applyNumberFormat="1" applyFont="1" applyFill="1" applyBorder="1" applyAlignment="1" applyProtection="1">
      <alignment vertical="center"/>
    </xf>
    <xf numFmtId="3" fontId="1" fillId="2" borderId="12" xfId="0" applyNumberFormat="1" applyFont="1" applyFill="1" applyBorder="1" applyAlignment="1" applyProtection="1">
      <alignment horizontal="centerContinuous" vertical="center"/>
    </xf>
    <xf numFmtId="3" fontId="1" fillId="2" borderId="35" xfId="0" applyNumberFormat="1" applyFont="1" applyFill="1" applyBorder="1" applyAlignment="1" applyProtection="1">
      <alignment horizontal="centerContinuous" vertical="center"/>
    </xf>
    <xf numFmtId="3" fontId="1" fillId="2" borderId="28" xfId="0" applyNumberFormat="1" applyFont="1" applyFill="1" applyBorder="1" applyAlignment="1" applyProtection="1">
      <alignment horizontal="centerContinuous" vertical="center"/>
    </xf>
    <xf numFmtId="0" fontId="4" fillId="2" borderId="28" xfId="0" applyFont="1" applyFill="1" applyBorder="1" applyAlignment="1" applyProtection="1">
      <alignment horizontal="centerContinuous" vertical="center"/>
    </xf>
    <xf numFmtId="3" fontId="1" fillId="2" borderId="29" xfId="0" applyNumberFormat="1" applyFont="1" applyFill="1" applyBorder="1" applyAlignment="1" applyProtection="1">
      <alignment horizontal="centerContinuous" vertical="center"/>
    </xf>
    <xf numFmtId="3" fontId="1" fillId="2" borderId="64" xfId="0" applyNumberFormat="1" applyFont="1" applyFill="1" applyBorder="1" applyAlignment="1" applyProtection="1">
      <alignment vertical="center"/>
    </xf>
    <xf numFmtId="3" fontId="1" fillId="2" borderId="0" xfId="0" applyNumberFormat="1" applyFont="1" applyFill="1" applyBorder="1" applyAlignment="1" applyProtection="1">
      <alignment horizontal="left" vertical="center"/>
    </xf>
    <xf numFmtId="3" fontId="1" fillId="2" borderId="0" xfId="0"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Continuous" vertical="center"/>
    </xf>
    <xf numFmtId="3" fontId="1" fillId="0" borderId="0" xfId="0" applyNumberFormat="1" applyFont="1" applyFill="1" applyBorder="1" applyAlignment="1" applyProtection="1">
      <alignment vertical="center"/>
    </xf>
    <xf numFmtId="3" fontId="1" fillId="0" borderId="0" xfId="0" applyNumberFormat="1" applyFont="1" applyFill="1" applyAlignment="1" applyProtection="1">
      <alignment vertical="center"/>
    </xf>
    <xf numFmtId="3" fontId="1" fillId="0" borderId="17" xfId="0" applyNumberFormat="1" applyFont="1" applyFill="1" applyBorder="1" applyAlignment="1" applyProtection="1">
      <alignment vertical="center"/>
    </xf>
    <xf numFmtId="3" fontId="1" fillId="2" borderId="40" xfId="0" applyNumberFormat="1" applyFont="1" applyFill="1" applyBorder="1" applyAlignment="1" applyProtection="1">
      <alignment vertical="center"/>
    </xf>
    <xf numFmtId="3" fontId="1" fillId="0" borderId="8" xfId="0" applyNumberFormat="1" applyFont="1" applyFill="1" applyBorder="1" applyAlignment="1" applyProtection="1">
      <alignment vertical="center"/>
    </xf>
    <xf numFmtId="3" fontId="1" fillId="0" borderId="9" xfId="0" applyNumberFormat="1" applyFont="1" applyFill="1" applyBorder="1" applyAlignment="1" applyProtection="1">
      <alignment vertical="center"/>
    </xf>
    <xf numFmtId="3" fontId="1" fillId="0" borderId="5" xfId="0" applyNumberFormat="1" applyFont="1" applyFill="1" applyBorder="1" applyAlignment="1" applyProtection="1">
      <alignment vertical="center"/>
    </xf>
    <xf numFmtId="3" fontId="1" fillId="2" borderId="19" xfId="0" applyNumberFormat="1" applyFont="1" applyFill="1" applyBorder="1" applyAlignment="1" applyProtection="1">
      <alignment vertical="center"/>
    </xf>
    <xf numFmtId="3" fontId="1" fillId="0" borderId="11" xfId="0" applyNumberFormat="1" applyFont="1" applyFill="1" applyBorder="1" applyAlignment="1" applyProtection="1">
      <alignment vertical="center"/>
    </xf>
    <xf numFmtId="3" fontId="1" fillId="0" borderId="10" xfId="0" applyNumberFormat="1" applyFont="1" applyFill="1" applyBorder="1" applyAlignment="1" applyProtection="1">
      <alignment vertical="center"/>
    </xf>
    <xf numFmtId="3" fontId="9" fillId="2" borderId="10"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horizontal="right" vertical="center"/>
    </xf>
    <xf numFmtId="3" fontId="9" fillId="2" borderId="11" xfId="0" applyNumberFormat="1" applyFont="1" applyFill="1" applyBorder="1" applyAlignment="1" applyProtection="1">
      <alignment horizontal="right" vertical="center"/>
    </xf>
    <xf numFmtId="3" fontId="1" fillId="2" borderId="11" xfId="0" applyNumberFormat="1" applyFont="1" applyFill="1" applyBorder="1" applyAlignment="1" applyProtection="1">
      <alignment vertical="center"/>
    </xf>
    <xf numFmtId="3" fontId="1" fillId="0" borderId="37" xfId="0" applyNumberFormat="1" applyFont="1" applyFill="1" applyBorder="1" applyAlignment="1" applyProtection="1">
      <alignment vertical="center"/>
    </xf>
    <xf numFmtId="3" fontId="1" fillId="2" borderId="37" xfId="0" applyNumberFormat="1" applyFont="1" applyFill="1" applyBorder="1" applyAlignment="1" applyProtection="1">
      <alignment vertical="center"/>
    </xf>
    <xf numFmtId="3" fontId="1" fillId="2" borderId="39" xfId="0" applyNumberFormat="1" applyFont="1" applyFill="1" applyBorder="1" applyAlignment="1" applyProtection="1">
      <alignment vertical="center"/>
    </xf>
    <xf numFmtId="3" fontId="15" fillId="2" borderId="55" xfId="0" applyNumberFormat="1" applyFont="1" applyFill="1" applyBorder="1" applyAlignment="1" applyProtection="1">
      <alignment vertical="center"/>
    </xf>
    <xf numFmtId="3" fontId="15" fillId="2" borderId="35" xfId="0" applyNumberFormat="1" applyFont="1" applyFill="1" applyBorder="1" applyAlignment="1" applyProtection="1">
      <alignment vertical="center"/>
    </xf>
    <xf numFmtId="3" fontId="15" fillId="2" borderId="29" xfId="0" applyNumberFormat="1" applyFont="1" applyFill="1" applyBorder="1" applyAlignment="1" applyProtection="1">
      <alignment vertical="center"/>
    </xf>
    <xf numFmtId="3" fontId="15" fillId="2" borderId="48" xfId="0" applyNumberFormat="1" applyFont="1" applyFill="1" applyBorder="1" applyAlignment="1" applyProtection="1">
      <alignment vertical="center"/>
    </xf>
    <xf numFmtId="3" fontId="15" fillId="2" borderId="47" xfId="0" applyNumberFormat="1" applyFont="1" applyFill="1" applyBorder="1" applyAlignment="1" applyProtection="1">
      <alignment vertical="center"/>
    </xf>
    <xf numFmtId="3" fontId="15" fillId="2" borderId="46" xfId="0" applyNumberFormat="1" applyFont="1" applyFill="1" applyBorder="1" applyAlignment="1" applyProtection="1">
      <alignment vertical="center"/>
    </xf>
    <xf numFmtId="3" fontId="15" fillId="0" borderId="44" xfId="0" applyNumberFormat="1" applyFont="1" applyFill="1" applyBorder="1" applyAlignment="1" applyProtection="1">
      <alignment vertical="center"/>
    </xf>
    <xf numFmtId="3" fontId="15" fillId="0" borderId="43" xfId="0" applyNumberFormat="1" applyFont="1" applyFill="1" applyBorder="1" applyAlignment="1" applyProtection="1">
      <alignment vertical="center"/>
    </xf>
    <xf numFmtId="3" fontId="15" fillId="2" borderId="63" xfId="0" applyNumberFormat="1" applyFont="1" applyFill="1" applyBorder="1" applyAlignment="1" applyProtection="1">
      <alignment vertical="center"/>
    </xf>
    <xf numFmtId="3" fontId="15" fillId="2" borderId="59" xfId="0" applyNumberFormat="1" applyFont="1" applyFill="1" applyBorder="1" applyAlignment="1" applyProtection="1">
      <alignment vertical="center"/>
    </xf>
    <xf numFmtId="3" fontId="15" fillId="2" borderId="73" xfId="0" applyNumberFormat="1" applyFont="1" applyFill="1" applyBorder="1" applyAlignment="1" applyProtection="1">
      <alignment vertical="center"/>
    </xf>
    <xf numFmtId="3" fontId="9" fillId="4" borderId="39" xfId="0" applyNumberFormat="1" applyFont="1" applyFill="1" applyBorder="1" applyAlignment="1" applyProtection="1">
      <alignment vertical="center"/>
      <protection locked="0"/>
    </xf>
    <xf numFmtId="1" fontId="14" fillId="2" borderId="25" xfId="0" applyNumberFormat="1" applyFont="1" applyFill="1" applyBorder="1" applyAlignment="1" applyProtection="1">
      <alignment horizontal="center" vertical="center" wrapText="1"/>
    </xf>
    <xf numFmtId="3" fontId="15" fillId="2" borderId="25" xfId="0" applyNumberFormat="1" applyFont="1" applyFill="1" applyBorder="1" applyAlignment="1" applyProtection="1">
      <alignment horizontal="center" vertical="center"/>
    </xf>
    <xf numFmtId="3" fontId="9" fillId="2" borderId="25" xfId="0" applyNumberFormat="1" applyFont="1" applyFill="1" applyBorder="1" applyAlignment="1" applyProtection="1">
      <alignment horizontal="right" vertical="center"/>
    </xf>
    <xf numFmtId="3" fontId="9" fillId="2" borderId="3" xfId="0" applyNumberFormat="1" applyFont="1" applyFill="1" applyBorder="1" applyAlignment="1" applyProtection="1">
      <alignment horizontal="right" vertical="center"/>
    </xf>
    <xf numFmtId="164" fontId="28" fillId="2" borderId="8" xfId="0" applyNumberFormat="1" applyFont="1" applyFill="1" applyBorder="1" applyAlignment="1" applyProtection="1">
      <alignment horizontal="center" vertical="center"/>
    </xf>
    <xf numFmtId="3" fontId="9" fillId="2" borderId="8" xfId="0" applyNumberFormat="1" applyFont="1" applyFill="1" applyBorder="1" applyAlignment="1" applyProtection="1">
      <alignment horizontal="right" vertical="center"/>
      <protection locked="0"/>
    </xf>
    <xf numFmtId="1" fontId="14" fillId="2" borderId="20" xfId="0" applyNumberFormat="1" applyFont="1" applyFill="1" applyBorder="1" applyAlignment="1" applyProtection="1">
      <alignment horizontal="center" vertical="center" wrapText="1"/>
    </xf>
    <xf numFmtId="3" fontId="15" fillId="2" borderId="20" xfId="0" applyNumberFormat="1" applyFont="1" applyFill="1" applyBorder="1" applyAlignment="1" applyProtection="1">
      <alignment horizontal="center" vertical="center"/>
    </xf>
    <xf numFmtId="3" fontId="3" fillId="2" borderId="46" xfId="0" applyNumberFormat="1" applyFont="1" applyFill="1" applyBorder="1" applyAlignment="1" applyProtection="1">
      <alignment horizontal="right" vertical="center"/>
    </xf>
    <xf numFmtId="3" fontId="3" fillId="2" borderId="47" xfId="0" applyNumberFormat="1" applyFont="1" applyFill="1" applyBorder="1" applyAlignment="1" applyProtection="1">
      <alignment horizontal="right" vertical="center"/>
    </xf>
    <xf numFmtId="3" fontId="9" fillId="2" borderId="23" xfId="0" applyNumberFormat="1" applyFont="1" applyFill="1" applyBorder="1" applyAlignment="1" applyProtection="1">
      <alignment horizontal="right" vertical="center"/>
      <protection locked="0"/>
    </xf>
    <xf numFmtId="3" fontId="6" fillId="2" borderId="0" xfId="0" applyNumberFormat="1" applyFont="1" applyFill="1" applyAlignment="1" applyProtection="1">
      <alignment vertical="center"/>
    </xf>
    <xf numFmtId="3" fontId="9" fillId="4" borderId="38" xfId="0" applyNumberFormat="1" applyFont="1" applyFill="1" applyBorder="1" applyAlignment="1" applyProtection="1">
      <alignment vertical="center"/>
      <protection locked="0"/>
    </xf>
    <xf numFmtId="3" fontId="9" fillId="4" borderId="34" xfId="0" applyNumberFormat="1" applyFont="1" applyFill="1" applyBorder="1" applyAlignment="1" applyProtection="1">
      <alignment vertical="center"/>
      <protection locked="0"/>
    </xf>
    <xf numFmtId="3" fontId="3" fillId="2" borderId="25" xfId="0" applyNumberFormat="1" applyFont="1" applyFill="1" applyBorder="1" applyAlignment="1" applyProtection="1">
      <alignment horizontal="right" vertical="center"/>
    </xf>
    <xf numFmtId="3" fontId="3" fillId="2" borderId="3" xfId="0" applyNumberFormat="1" applyFont="1" applyFill="1" applyBorder="1" applyAlignment="1" applyProtection="1">
      <alignment horizontal="right" vertical="center"/>
    </xf>
    <xf numFmtId="164" fontId="28" fillId="2" borderId="5" xfId="0" applyNumberFormat="1" applyFont="1" applyFill="1" applyBorder="1" applyAlignment="1" applyProtection="1">
      <alignment horizontal="center" vertical="center"/>
    </xf>
    <xf numFmtId="3" fontId="3" fillId="2" borderId="41" xfId="0" applyNumberFormat="1" applyFont="1" applyFill="1" applyBorder="1" applyAlignment="1" applyProtection="1">
      <alignment horizontal="right" vertical="center"/>
    </xf>
    <xf numFmtId="3" fontId="3" fillId="2" borderId="13" xfId="0" applyNumberFormat="1" applyFont="1" applyFill="1" applyBorder="1" applyAlignment="1" applyProtection="1">
      <alignment horizontal="right" vertical="center"/>
    </xf>
    <xf numFmtId="0" fontId="8" fillId="2" borderId="25" xfId="0" applyFont="1" applyFill="1" applyBorder="1" applyAlignment="1" applyProtection="1">
      <alignment horizontal="centerContinuous" vertical="center"/>
    </xf>
    <xf numFmtId="0" fontId="8" fillId="2" borderId="3" xfId="0" applyFont="1" applyFill="1" applyBorder="1" applyAlignment="1" applyProtection="1">
      <alignment horizontal="centerContinuous" vertical="center"/>
    </xf>
    <xf numFmtId="1" fontId="14" fillId="2" borderId="46" xfId="0" applyNumberFormat="1" applyFont="1" applyFill="1" applyBorder="1" applyAlignment="1" applyProtection="1">
      <alignment horizontal="center" vertical="center"/>
    </xf>
    <xf numFmtId="3" fontId="14" fillId="2" borderId="48" xfId="0" applyNumberFormat="1" applyFont="1" applyFill="1" applyBorder="1" applyAlignment="1" applyProtection="1">
      <alignment horizontal="center" vertical="center" wrapText="1"/>
    </xf>
    <xf numFmtId="0" fontId="17" fillId="2" borderId="67" xfId="0" applyFont="1" applyFill="1" applyBorder="1" applyAlignment="1" applyProtection="1">
      <alignment horizontal="centerContinuous" vertical="center"/>
    </xf>
    <xf numFmtId="3" fontId="17" fillId="2" borderId="24" xfId="0" applyNumberFormat="1" applyFont="1" applyFill="1" applyBorder="1" applyAlignment="1" applyProtection="1">
      <alignment horizontal="centerContinuous"/>
    </xf>
    <xf numFmtId="0" fontId="17" fillId="2" borderId="5" xfId="0" applyFont="1" applyFill="1" applyBorder="1" applyAlignment="1" applyProtection="1">
      <alignment horizontal="centerContinuous" vertical="center"/>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3" fontId="1" fillId="2" borderId="59" xfId="0" applyNumberFormat="1" applyFont="1" applyFill="1" applyBorder="1" applyAlignment="1" applyProtection="1">
      <alignment horizontal="centerContinuous" vertical="center"/>
    </xf>
    <xf numFmtId="3" fontId="1" fillId="0" borderId="0" xfId="0" applyNumberFormat="1" applyFont="1" applyFill="1" applyProtection="1"/>
    <xf numFmtId="3" fontId="14" fillId="0" borderId="24" xfId="0" applyNumberFormat="1" applyFont="1" applyFill="1" applyBorder="1" applyAlignment="1" applyProtection="1">
      <alignment horizontal="center" vertical="center"/>
    </xf>
    <xf numFmtId="3" fontId="4" fillId="0" borderId="40" xfId="0" applyNumberFormat="1" applyFont="1" applyFill="1" applyBorder="1" applyAlignment="1" applyProtection="1">
      <alignment vertical="center"/>
    </xf>
    <xf numFmtId="3" fontId="15" fillId="2" borderId="3" xfId="0" applyNumberFormat="1" applyFont="1" applyFill="1" applyBorder="1" applyAlignment="1" applyProtection="1">
      <alignment horizontal="centerContinuous"/>
    </xf>
    <xf numFmtId="3" fontId="17" fillId="0" borderId="50" xfId="0" applyNumberFormat="1" applyFont="1" applyFill="1" applyBorder="1" applyAlignment="1" applyProtection="1">
      <alignment horizontal="centerContinuous"/>
    </xf>
    <xf numFmtId="0" fontId="17" fillId="0" borderId="74" xfId="0" applyFont="1" applyFill="1" applyBorder="1" applyAlignment="1" applyProtection="1">
      <alignment horizontal="center" vertical="center" wrapText="1"/>
    </xf>
    <xf numFmtId="3" fontId="51" fillId="0" borderId="0" xfId="0" applyNumberFormat="1" applyFont="1" applyFill="1" applyAlignment="1" applyProtection="1">
      <alignment vertical="center"/>
    </xf>
    <xf numFmtId="3" fontId="1" fillId="0" borderId="0" xfId="0" applyNumberFormat="1" applyFont="1" applyFill="1" applyAlignment="1" applyProtection="1">
      <alignment vertical="center"/>
      <protection hidden="1"/>
    </xf>
    <xf numFmtId="0" fontId="1" fillId="0" borderId="26" xfId="0" applyFont="1" applyFill="1" applyBorder="1" applyAlignment="1" applyProtection="1">
      <alignment horizontal="left" wrapText="1"/>
    </xf>
    <xf numFmtId="3" fontId="4" fillId="2" borderId="6" xfId="0" applyNumberFormat="1" applyFont="1" applyFill="1" applyBorder="1" applyAlignment="1" applyProtection="1">
      <alignment horizontal="left" vertical="center" wrapText="1"/>
    </xf>
    <xf numFmtId="3" fontId="4" fillId="2" borderId="6" xfId="0" applyNumberFormat="1" applyFont="1" applyFill="1" applyBorder="1" applyAlignment="1" applyProtection="1">
      <alignment horizontal="left" vertical="justify" wrapText="1"/>
    </xf>
    <xf numFmtId="3" fontId="18" fillId="0" borderId="26" xfId="0" applyNumberFormat="1" applyFont="1" applyFill="1" applyBorder="1" applyAlignment="1" applyProtection="1">
      <alignment vertical="center"/>
      <protection hidden="1"/>
    </xf>
    <xf numFmtId="3" fontId="17" fillId="0" borderId="16" xfId="0" applyNumberFormat="1" applyFont="1" applyFill="1" applyBorder="1" applyAlignment="1" applyProtection="1">
      <alignment vertical="center"/>
      <protection hidden="1"/>
    </xf>
    <xf numFmtId="3" fontId="17" fillId="0" borderId="17" xfId="0" applyNumberFormat="1" applyFont="1" applyFill="1" applyBorder="1" applyAlignment="1" applyProtection="1">
      <alignment vertical="center"/>
      <protection hidden="1"/>
    </xf>
    <xf numFmtId="3" fontId="17" fillId="6" borderId="4" xfId="0" applyNumberFormat="1" applyFont="1" applyFill="1" applyBorder="1" applyAlignment="1" applyProtection="1">
      <alignment vertical="center"/>
      <protection hidden="1"/>
    </xf>
    <xf numFmtId="3" fontId="18" fillId="0" borderId="9" xfId="0" applyNumberFormat="1" applyFont="1" applyFill="1" applyBorder="1" applyAlignment="1" applyProtection="1">
      <alignment vertical="center"/>
      <protection hidden="1"/>
    </xf>
    <xf numFmtId="3" fontId="17" fillId="0" borderId="18" xfId="0" applyNumberFormat="1" applyFont="1" applyFill="1" applyBorder="1" applyAlignment="1" applyProtection="1">
      <alignment vertical="center"/>
      <protection hidden="1"/>
    </xf>
    <xf numFmtId="3" fontId="17" fillId="0" borderId="21" xfId="0" applyNumberFormat="1" applyFont="1" applyFill="1" applyBorder="1" applyAlignment="1" applyProtection="1">
      <alignment horizontal="right" vertical="center"/>
      <protection hidden="1"/>
    </xf>
    <xf numFmtId="3" fontId="17" fillId="0" borderId="23" xfId="0" applyNumberFormat="1" applyFont="1" applyFill="1" applyBorder="1" applyAlignment="1" applyProtection="1">
      <alignment horizontal="right" vertical="center"/>
      <protection hidden="1"/>
    </xf>
    <xf numFmtId="3" fontId="17" fillId="0" borderId="52" xfId="0" applyNumberFormat="1" applyFont="1" applyFill="1" applyBorder="1" applyAlignment="1" applyProtection="1">
      <alignment horizontal="right" vertical="center"/>
      <protection hidden="1"/>
    </xf>
    <xf numFmtId="3" fontId="17" fillId="0" borderId="31" xfId="0" applyNumberFormat="1" applyFont="1" applyFill="1" applyBorder="1" applyAlignment="1" applyProtection="1">
      <alignment horizontal="right" vertical="center"/>
      <protection hidden="1"/>
    </xf>
    <xf numFmtId="3" fontId="17" fillId="0" borderId="32" xfId="0" applyNumberFormat="1" applyFont="1" applyFill="1" applyBorder="1" applyAlignment="1" applyProtection="1">
      <alignment horizontal="right" vertical="center"/>
      <protection hidden="1"/>
    </xf>
    <xf numFmtId="3" fontId="8" fillId="0" borderId="25" xfId="0" applyNumberFormat="1" applyFont="1" applyFill="1" applyBorder="1" applyAlignment="1" applyProtection="1">
      <alignment vertical="center" wrapText="1"/>
      <protection hidden="1"/>
    </xf>
    <xf numFmtId="3" fontId="17" fillId="0" borderId="23" xfId="0" applyNumberFormat="1" applyFont="1" applyFill="1" applyBorder="1" applyAlignment="1" applyProtection="1">
      <alignment vertical="center"/>
      <protection hidden="1"/>
    </xf>
    <xf numFmtId="3" fontId="17" fillId="0" borderId="24" xfId="0" applyNumberFormat="1" applyFont="1" applyFill="1" applyBorder="1" applyAlignment="1" applyProtection="1">
      <alignment vertical="center"/>
      <protection hidden="1"/>
    </xf>
    <xf numFmtId="3" fontId="17" fillId="0" borderId="26" xfId="0" applyNumberFormat="1" applyFont="1" applyFill="1" applyBorder="1" applyAlignment="1" applyProtection="1">
      <alignment vertical="center"/>
      <protection hidden="1"/>
    </xf>
    <xf numFmtId="3" fontId="17" fillId="0" borderId="5" xfId="0" applyNumberFormat="1" applyFont="1" applyFill="1" applyBorder="1" applyAlignment="1" applyProtection="1">
      <alignment vertical="center"/>
      <protection hidden="1"/>
    </xf>
    <xf numFmtId="3" fontId="17" fillId="0" borderId="8" xfId="0" applyNumberFormat="1" applyFont="1" applyFill="1" applyBorder="1" applyAlignment="1" applyProtection="1">
      <alignment vertical="center"/>
      <protection hidden="1"/>
    </xf>
    <xf numFmtId="3" fontId="17" fillId="0" borderId="9" xfId="0" applyNumberFormat="1" applyFont="1" applyFill="1" applyBorder="1" applyAlignment="1" applyProtection="1">
      <alignment vertical="center"/>
      <protection hidden="1"/>
    </xf>
    <xf numFmtId="0" fontId="6" fillId="6" borderId="32" xfId="0" applyFont="1" applyFill="1" applyBorder="1" applyAlignment="1" applyProtection="1">
      <alignment horizontal="left" vertical="center" wrapText="1"/>
      <protection hidden="1"/>
    </xf>
    <xf numFmtId="0" fontId="53" fillId="6" borderId="51" xfId="0" applyFont="1" applyFill="1" applyBorder="1" applyAlignment="1" applyProtection="1">
      <alignment vertical="center" wrapText="1"/>
      <protection hidden="1"/>
    </xf>
    <xf numFmtId="3" fontId="18" fillId="6" borderId="46" xfId="0" applyNumberFormat="1" applyFont="1" applyFill="1" applyBorder="1" applyAlignment="1" applyProtection="1">
      <alignment vertical="center"/>
      <protection hidden="1"/>
    </xf>
    <xf numFmtId="3" fontId="18" fillId="6" borderId="51" xfId="0" applyNumberFormat="1" applyFont="1" applyFill="1" applyBorder="1" applyAlignment="1" applyProtection="1">
      <alignment vertical="center"/>
      <protection hidden="1"/>
    </xf>
    <xf numFmtId="3" fontId="18" fillId="0" borderId="32" xfId="0" applyNumberFormat="1" applyFont="1" applyFill="1" applyBorder="1" applyAlignment="1" applyProtection="1">
      <alignment horizontal="right" vertical="center"/>
      <protection hidden="1"/>
    </xf>
    <xf numFmtId="3" fontId="18" fillId="0" borderId="16" xfId="0" applyNumberFormat="1" applyFont="1" applyFill="1" applyBorder="1" applyAlignment="1" applyProtection="1">
      <alignment horizontal="right" vertical="center" wrapText="1"/>
      <protection hidden="1"/>
    </xf>
    <xf numFmtId="3" fontId="18" fillId="0" borderId="17" xfId="0" applyNumberFormat="1" applyFont="1" applyFill="1" applyBorder="1" applyAlignment="1" applyProtection="1">
      <alignment horizontal="right" vertical="center" wrapText="1"/>
      <protection hidden="1"/>
    </xf>
    <xf numFmtId="3" fontId="17" fillId="0" borderId="5" xfId="0" applyNumberFormat="1" applyFont="1" applyFill="1" applyBorder="1" applyAlignment="1" applyProtection="1">
      <alignment horizontal="right" vertical="center" wrapText="1"/>
      <protection hidden="1"/>
    </xf>
    <xf numFmtId="3" fontId="17" fillId="0" borderId="8" xfId="0" applyNumberFormat="1" applyFont="1" applyFill="1" applyBorder="1" applyAlignment="1" applyProtection="1">
      <alignment horizontal="right" vertical="center" wrapText="1"/>
      <protection hidden="1"/>
    </xf>
    <xf numFmtId="0" fontId="17" fillId="6" borderId="25" xfId="0" applyFont="1" applyFill="1" applyBorder="1" applyAlignment="1" applyProtection="1">
      <alignment vertical="center" wrapText="1"/>
      <protection hidden="1"/>
    </xf>
    <xf numFmtId="0" fontId="17" fillId="6" borderId="81" xfId="0" applyFont="1" applyFill="1" applyBorder="1" applyAlignment="1" applyProtection="1">
      <alignment vertical="center" wrapText="1"/>
      <protection hidden="1"/>
    </xf>
    <xf numFmtId="0" fontId="17" fillId="6" borderId="26" xfId="0" applyFont="1" applyFill="1" applyBorder="1" applyAlignment="1" applyProtection="1">
      <alignment vertical="center" wrapText="1"/>
      <protection hidden="1"/>
    </xf>
    <xf numFmtId="0" fontId="17" fillId="6" borderId="57" xfId="0" applyFont="1" applyFill="1" applyBorder="1" applyAlignment="1" applyProtection="1">
      <alignment vertical="center" wrapText="1"/>
      <protection hidden="1"/>
    </xf>
    <xf numFmtId="0" fontId="34" fillId="6" borderId="46" xfId="0" applyFont="1" applyFill="1" applyBorder="1" applyAlignment="1" applyProtection="1">
      <alignment vertical="center" wrapText="1"/>
      <protection hidden="1"/>
    </xf>
    <xf numFmtId="0" fontId="27" fillId="6" borderId="46" xfId="0" applyFont="1" applyFill="1" applyBorder="1" applyAlignment="1" applyProtection="1">
      <alignment vertical="center" wrapText="1"/>
      <protection hidden="1"/>
    </xf>
    <xf numFmtId="3" fontId="17" fillId="0" borderId="8" xfId="0" applyNumberFormat="1" applyFont="1" applyFill="1" applyBorder="1" applyAlignment="1" applyProtection="1">
      <alignment horizontal="right" vertical="center"/>
      <protection hidden="1"/>
    </xf>
    <xf numFmtId="3" fontId="17" fillId="0" borderId="32" xfId="0" applyNumberFormat="1" applyFont="1" applyFill="1" applyBorder="1" applyAlignment="1" applyProtection="1">
      <alignment horizontal="right" vertical="center" wrapText="1"/>
      <protection hidden="1"/>
    </xf>
    <xf numFmtId="3" fontId="18" fillId="0" borderId="32" xfId="0" applyNumberFormat="1" applyFont="1" applyFill="1" applyBorder="1" applyAlignment="1" applyProtection="1">
      <alignment horizontal="right" vertical="center" wrapText="1"/>
      <protection hidden="1"/>
    </xf>
    <xf numFmtId="3" fontId="17" fillId="0" borderId="53" xfId="0" applyNumberFormat="1" applyFont="1" applyFill="1" applyBorder="1" applyAlignment="1" applyProtection="1">
      <alignment horizontal="right" vertical="center" wrapText="1"/>
      <protection hidden="1"/>
    </xf>
    <xf numFmtId="3" fontId="17" fillId="6" borderId="64" xfId="0" applyNumberFormat="1" applyFont="1" applyFill="1" applyBorder="1" applyAlignment="1" applyProtection="1">
      <alignment horizontal="right" vertical="center"/>
      <protection hidden="1"/>
    </xf>
    <xf numFmtId="3" fontId="17" fillId="6" borderId="54" xfId="0" applyNumberFormat="1" applyFont="1" applyFill="1" applyBorder="1" applyAlignment="1" applyProtection="1">
      <alignment horizontal="right" vertical="center"/>
      <protection hidden="1"/>
    </xf>
    <xf numFmtId="3" fontId="17" fillId="6" borderId="29" xfId="0" applyNumberFormat="1" applyFont="1" applyFill="1" applyBorder="1" applyAlignment="1" applyProtection="1">
      <alignment horizontal="right" vertical="center"/>
      <protection hidden="1"/>
    </xf>
    <xf numFmtId="3" fontId="17" fillId="6" borderId="73" xfId="0" applyNumberFormat="1" applyFont="1" applyFill="1" applyBorder="1" applyAlignment="1" applyProtection="1">
      <alignment horizontal="right" vertical="center"/>
      <protection hidden="1"/>
    </xf>
    <xf numFmtId="0" fontId="31" fillId="6" borderId="14" xfId="0" applyFont="1" applyFill="1" applyBorder="1" applyAlignment="1" applyProtection="1">
      <alignment horizontal="centerContinuous" vertical="center" wrapText="1"/>
      <protection hidden="1"/>
    </xf>
    <xf numFmtId="3" fontId="17" fillId="0" borderId="33" xfId="0" applyNumberFormat="1" applyFont="1" applyFill="1" applyBorder="1" applyAlignment="1" applyProtection="1">
      <alignment horizontal="right" vertical="center" wrapText="1"/>
      <protection hidden="1"/>
    </xf>
    <xf numFmtId="0" fontId="26" fillId="6" borderId="35" xfId="0" applyFont="1" applyFill="1" applyBorder="1" applyAlignment="1" applyProtection="1">
      <alignment horizontal="center" vertical="center" wrapText="1"/>
      <protection hidden="1"/>
    </xf>
    <xf numFmtId="0" fontId="26" fillId="6" borderId="28" xfId="0" applyFont="1" applyFill="1" applyBorder="1" applyAlignment="1" applyProtection="1">
      <alignment horizontal="center" vertical="center" wrapText="1"/>
      <protection hidden="1"/>
    </xf>
    <xf numFmtId="0" fontId="26" fillId="6" borderId="36" xfId="0" applyFont="1" applyFill="1" applyBorder="1" applyAlignment="1" applyProtection="1">
      <alignment horizontal="center" vertical="center" wrapText="1"/>
      <protection hidden="1"/>
    </xf>
    <xf numFmtId="3" fontId="18" fillId="0" borderId="33" xfId="0" applyNumberFormat="1" applyFont="1" applyFill="1" applyBorder="1" applyAlignment="1" applyProtection="1">
      <alignment horizontal="right" vertical="center"/>
      <protection hidden="1"/>
    </xf>
    <xf numFmtId="3" fontId="17" fillId="0" borderId="24" xfId="0" applyNumberFormat="1" applyFont="1" applyFill="1" applyBorder="1" applyAlignment="1" applyProtection="1">
      <alignment horizontal="right" vertical="center"/>
      <protection hidden="1"/>
    </xf>
    <xf numFmtId="3" fontId="17" fillId="0" borderId="5" xfId="0" applyNumberFormat="1" applyFont="1" applyFill="1" applyBorder="1" applyAlignment="1" applyProtection="1">
      <alignment horizontal="right" vertical="center"/>
      <protection hidden="1"/>
    </xf>
    <xf numFmtId="3" fontId="17" fillId="0" borderId="9" xfId="0" applyNumberFormat="1" applyFont="1" applyFill="1" applyBorder="1" applyAlignment="1" applyProtection="1">
      <alignment horizontal="right" vertical="center"/>
      <protection hidden="1"/>
    </xf>
    <xf numFmtId="3" fontId="17" fillId="0" borderId="9" xfId="0" applyNumberFormat="1" applyFont="1" applyFill="1" applyBorder="1" applyAlignment="1" applyProtection="1">
      <alignment horizontal="right" vertical="center" wrapText="1"/>
      <protection hidden="1"/>
    </xf>
    <xf numFmtId="3" fontId="18" fillId="0" borderId="9" xfId="0" applyNumberFormat="1" applyFont="1" applyFill="1" applyBorder="1" applyAlignment="1" applyProtection="1">
      <alignment horizontal="right" vertical="center" wrapText="1"/>
      <protection hidden="1"/>
    </xf>
    <xf numFmtId="3" fontId="18" fillId="0" borderId="18" xfId="0" applyNumberFormat="1" applyFont="1" applyFill="1" applyBorder="1" applyAlignment="1" applyProtection="1">
      <alignment horizontal="right" vertical="center" wrapText="1"/>
      <protection hidden="1"/>
    </xf>
    <xf numFmtId="0" fontId="0" fillId="0" borderId="0" xfId="0" applyFill="1" applyProtection="1">
      <protection hidden="1"/>
    </xf>
    <xf numFmtId="0" fontId="0" fillId="2" borderId="0" xfId="0" applyFill="1" applyProtection="1">
      <protection hidden="1"/>
    </xf>
    <xf numFmtId="0" fontId="0" fillId="0" borderId="0" xfId="0" applyProtection="1">
      <protection hidden="1"/>
    </xf>
    <xf numFmtId="0" fontId="6" fillId="0" borderId="0" xfId="0" applyFont="1" applyFill="1" applyProtection="1">
      <protection hidden="1"/>
    </xf>
    <xf numFmtId="0" fontId="22" fillId="2" borderId="0" xfId="0" applyFont="1" applyFill="1" applyProtection="1">
      <protection hidden="1"/>
    </xf>
    <xf numFmtId="0" fontId="6" fillId="2" borderId="0" xfId="0" applyFont="1" applyFill="1" applyProtection="1">
      <protection hidden="1"/>
    </xf>
    <xf numFmtId="0" fontId="6" fillId="0" borderId="0" xfId="0" applyFont="1" applyProtection="1">
      <protection hidden="1"/>
    </xf>
    <xf numFmtId="0" fontId="38" fillId="2" borderId="0" xfId="0" applyFont="1" applyFill="1" applyAlignment="1" applyProtection="1">
      <alignment vertical="center"/>
      <protection hidden="1"/>
    </xf>
    <xf numFmtId="0" fontId="25" fillId="5" borderId="0" xfId="0" applyFont="1" applyFill="1" applyBorder="1" applyAlignment="1" applyProtection="1">
      <alignment horizontal="right" vertical="center"/>
      <protection hidden="1"/>
    </xf>
    <xf numFmtId="0" fontId="21" fillId="0" borderId="0" xfId="0" applyFont="1" applyFill="1" applyBorder="1" applyProtection="1">
      <protection hidden="1"/>
    </xf>
    <xf numFmtId="0" fontId="19" fillId="2" borderId="12" xfId="0" applyFont="1" applyFill="1" applyBorder="1" applyAlignment="1" applyProtection="1">
      <alignment wrapText="1"/>
      <protection hidden="1"/>
    </xf>
    <xf numFmtId="0" fontId="21" fillId="0" borderId="0" xfId="0" applyFont="1" applyFill="1" applyProtection="1">
      <protection hidden="1"/>
    </xf>
    <xf numFmtId="0" fontId="21" fillId="0" borderId="0" xfId="0" applyFont="1" applyFill="1" applyAlignment="1" applyProtection="1">
      <alignment vertical="center"/>
      <protection hidden="1"/>
    </xf>
    <xf numFmtId="0" fontId="0" fillId="0" borderId="0" xfId="0" applyAlignment="1" applyProtection="1">
      <alignment vertical="center"/>
      <protection hidden="1"/>
    </xf>
    <xf numFmtId="0" fontId="21"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7" fillId="0" borderId="0" xfId="0" applyFont="1" applyAlignment="1" applyProtection="1">
      <alignment vertical="center"/>
      <protection hidden="1"/>
    </xf>
    <xf numFmtId="0" fontId="54" fillId="0" borderId="0" xfId="0" applyFont="1" applyFill="1" applyAlignment="1" applyProtection="1">
      <alignment vertical="center"/>
      <protection hidden="1"/>
    </xf>
    <xf numFmtId="3" fontId="14" fillId="2" borderId="24"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vertical="center"/>
    </xf>
    <xf numFmtId="1" fontId="18" fillId="2" borderId="26" xfId="0" applyNumberFormat="1" applyFont="1" applyFill="1" applyBorder="1" applyAlignment="1" applyProtection="1">
      <alignment horizontal="center" vertical="center"/>
    </xf>
    <xf numFmtId="1" fontId="18" fillId="2" borderId="57" xfId="0" applyNumberFormat="1" applyFont="1" applyFill="1" applyBorder="1" applyAlignment="1" applyProtection="1">
      <alignment horizontal="center" vertical="center"/>
    </xf>
    <xf numFmtId="3" fontId="14" fillId="2" borderId="19" xfId="0" applyNumberFormat="1" applyFont="1" applyFill="1" applyBorder="1" applyAlignment="1" applyProtection="1">
      <alignment horizontal="center" vertical="center" wrapText="1"/>
    </xf>
    <xf numFmtId="3" fontId="15" fillId="2" borderId="1" xfId="0" applyNumberFormat="1" applyFont="1" applyFill="1" applyBorder="1" applyAlignment="1" applyProtection="1">
      <alignment vertical="center"/>
    </xf>
    <xf numFmtId="3" fontId="15" fillId="0" borderId="4" xfId="0" applyNumberFormat="1" applyFont="1" applyFill="1" applyBorder="1" applyAlignment="1" applyProtection="1">
      <alignment vertical="center"/>
    </xf>
    <xf numFmtId="3" fontId="15" fillId="2" borderId="23" xfId="0" applyNumberFormat="1" applyFont="1" applyFill="1" applyBorder="1" applyAlignment="1" applyProtection="1">
      <alignment vertical="center"/>
    </xf>
    <xf numFmtId="3" fontId="15" fillId="2" borderId="24" xfId="0" applyNumberFormat="1" applyFont="1" applyFill="1" applyBorder="1" applyAlignment="1" applyProtection="1">
      <alignment vertical="center"/>
    </xf>
    <xf numFmtId="3" fontId="15" fillId="2" borderId="62" xfId="0" applyNumberFormat="1" applyFont="1" applyFill="1" applyBorder="1" applyAlignment="1" applyProtection="1">
      <alignment vertical="center"/>
    </xf>
    <xf numFmtId="3" fontId="55" fillId="2" borderId="52" xfId="0" applyNumberFormat="1" applyFont="1" applyFill="1" applyBorder="1" applyAlignment="1" applyProtection="1">
      <alignment horizontal="left" vertical="center" wrapText="1"/>
    </xf>
    <xf numFmtId="3" fontId="12" fillId="2" borderId="32" xfId="0" applyNumberFormat="1" applyFont="1" applyFill="1" applyBorder="1" applyAlignment="1" applyProtection="1">
      <alignment horizontal="left" vertical="center" wrapText="1"/>
    </xf>
    <xf numFmtId="3" fontId="12" fillId="0" borderId="32" xfId="0" applyNumberFormat="1" applyFont="1" applyFill="1" applyBorder="1" applyAlignment="1" applyProtection="1">
      <alignment horizontal="left" vertical="center" wrapText="1"/>
    </xf>
    <xf numFmtId="3" fontId="18" fillId="0" borderId="5" xfId="0" applyNumberFormat="1" applyFont="1" applyFill="1" applyBorder="1" applyProtection="1"/>
    <xf numFmtId="3" fontId="7" fillId="0" borderId="26" xfId="0" applyNumberFormat="1" applyFont="1" applyFill="1" applyBorder="1" applyAlignment="1" applyProtection="1">
      <alignment vertical="center" wrapText="1"/>
    </xf>
    <xf numFmtId="3" fontId="15" fillId="0" borderId="35" xfId="0" applyNumberFormat="1" applyFont="1" applyFill="1" applyBorder="1" applyAlignment="1" applyProtection="1">
      <alignment horizontal="right" vertical="center"/>
    </xf>
    <xf numFmtId="3" fontId="15" fillId="0" borderId="54" xfId="0" applyNumberFormat="1" applyFont="1" applyFill="1" applyBorder="1" applyAlignment="1" applyProtection="1">
      <alignment horizontal="right" vertical="center"/>
    </xf>
    <xf numFmtId="3" fontId="15" fillId="0" borderId="47" xfId="0" applyNumberFormat="1" applyFont="1" applyFill="1" applyBorder="1" applyAlignment="1" applyProtection="1">
      <alignment horizontal="right" vertical="center"/>
    </xf>
    <xf numFmtId="3" fontId="4" fillId="0" borderId="32" xfId="0" applyNumberFormat="1" applyFont="1" applyFill="1" applyBorder="1" applyAlignment="1" applyProtection="1">
      <alignment horizontal="left" vertical="center" wrapText="1"/>
    </xf>
    <xf numFmtId="3" fontId="4" fillId="2" borderId="32" xfId="0" applyNumberFormat="1" applyFont="1" applyFill="1" applyBorder="1" applyAlignment="1" applyProtection="1">
      <alignment horizontal="left" vertical="center" wrapText="1"/>
    </xf>
    <xf numFmtId="3" fontId="4" fillId="2" borderId="33" xfId="0" applyNumberFormat="1" applyFont="1" applyFill="1" applyBorder="1" applyAlignment="1" applyProtection="1">
      <alignment horizontal="left" vertical="center" wrapText="1"/>
    </xf>
    <xf numFmtId="0" fontId="4" fillId="0" borderId="0" xfId="2" applyAlignment="1">
      <alignment horizontal="left" vertical="center" wrapText="1" indent="2"/>
    </xf>
    <xf numFmtId="0" fontId="0" fillId="0" borderId="0" xfId="0" applyAlignment="1">
      <alignment horizontal="left" vertical="center" wrapText="1" indent="2"/>
    </xf>
    <xf numFmtId="0" fontId="21" fillId="0" borderId="0" xfId="0" applyFont="1" applyFill="1" applyAlignment="1" applyProtection="1">
      <alignment horizontal="left" vertical="center" wrapText="1"/>
      <protection hidden="1"/>
    </xf>
    <xf numFmtId="0" fontId="4" fillId="0" borderId="0" xfId="2" applyAlignment="1">
      <alignment horizontal="left"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xf>
    <xf numFmtId="3" fontId="50" fillId="2" borderId="35" xfId="0" applyNumberFormat="1" applyFont="1" applyFill="1" applyBorder="1" applyAlignment="1" applyProtection="1">
      <alignment vertical="center" wrapText="1"/>
    </xf>
    <xf numFmtId="3" fontId="28" fillId="2" borderId="20" xfId="0" applyNumberFormat="1" applyFont="1" applyFill="1" applyBorder="1" applyAlignment="1" applyProtection="1">
      <alignment vertical="center" wrapText="1"/>
    </xf>
    <xf numFmtId="3" fontId="30" fillId="2" borderId="25" xfId="0" applyNumberFormat="1" applyFont="1" applyFill="1" applyBorder="1" applyAlignment="1" applyProtection="1">
      <alignment vertical="center" wrapText="1"/>
    </xf>
    <xf numFmtId="3" fontId="1" fillId="2" borderId="26" xfId="0" applyNumberFormat="1" applyFont="1" applyFill="1" applyBorder="1" applyAlignment="1" applyProtection="1">
      <alignment horizontal="left" vertical="center" wrapText="1"/>
    </xf>
    <xf numFmtId="3" fontId="1" fillId="2" borderId="19" xfId="0" applyNumberFormat="1" applyFont="1" applyFill="1" applyBorder="1" applyAlignment="1" applyProtection="1">
      <alignment horizontal="left" vertical="justify" wrapText="1"/>
    </xf>
    <xf numFmtId="3" fontId="30" fillId="2" borderId="51" xfId="0" applyNumberFormat="1" applyFont="1" applyFill="1" applyBorder="1" applyAlignment="1" applyProtection="1">
      <alignment vertical="center" wrapText="1"/>
    </xf>
    <xf numFmtId="3" fontId="15" fillId="2" borderId="20" xfId="0" applyNumberFormat="1" applyFont="1" applyFill="1" applyBorder="1" applyAlignment="1" applyProtection="1">
      <alignment horizontal="left" vertical="center" wrapText="1"/>
    </xf>
    <xf numFmtId="3" fontId="14" fillId="2" borderId="51" xfId="0" applyNumberFormat="1" applyFont="1" applyFill="1" applyBorder="1" applyAlignment="1" applyProtection="1">
      <alignment vertical="center" wrapText="1"/>
    </xf>
    <xf numFmtId="3" fontId="15" fillId="2" borderId="81" xfId="0" applyNumberFormat="1" applyFont="1" applyFill="1" applyBorder="1" applyAlignment="1" applyProtection="1">
      <alignment horizontal="left" vertical="center" wrapText="1"/>
    </xf>
    <xf numFmtId="3" fontId="14" fillId="2" borderId="81" xfId="0" applyNumberFormat="1" applyFont="1" applyFill="1" applyBorder="1" applyAlignment="1" applyProtection="1">
      <alignment vertical="center" wrapText="1"/>
    </xf>
    <xf numFmtId="3" fontId="7" fillId="2" borderId="26" xfId="0" applyNumberFormat="1" applyFont="1" applyFill="1" applyBorder="1" applyAlignment="1" applyProtection="1">
      <alignment vertical="center" wrapText="1"/>
    </xf>
    <xf numFmtId="3" fontId="4" fillId="2" borderId="26" xfId="0" applyNumberFormat="1" applyFont="1" applyFill="1" applyBorder="1" applyAlignment="1" applyProtection="1">
      <alignment horizontal="left" vertical="center" wrapText="1"/>
    </xf>
    <xf numFmtId="3" fontId="4" fillId="2" borderId="26" xfId="0" applyNumberFormat="1" applyFont="1" applyFill="1" applyBorder="1" applyAlignment="1" applyProtection="1">
      <alignment vertical="center" wrapText="1"/>
    </xf>
    <xf numFmtId="3" fontId="4" fillId="0" borderId="26" xfId="0" applyNumberFormat="1" applyFont="1" applyFill="1" applyBorder="1" applyAlignment="1" applyProtection="1">
      <alignment vertical="center" wrapText="1"/>
      <protection hidden="1"/>
    </xf>
    <xf numFmtId="3" fontId="7" fillId="2" borderId="26" xfId="0" applyNumberFormat="1" applyFont="1" applyFill="1" applyBorder="1" applyAlignment="1" applyProtection="1">
      <alignment vertical="center" wrapText="1"/>
      <protection locked="0"/>
    </xf>
    <xf numFmtId="3" fontId="4" fillId="2" borderId="27" xfId="0" applyNumberFormat="1" applyFont="1" applyFill="1" applyBorder="1" applyAlignment="1" applyProtection="1">
      <alignment horizontal="left" vertical="center" wrapText="1"/>
    </xf>
    <xf numFmtId="3" fontId="1" fillId="2" borderId="20" xfId="0" applyNumberFormat="1" applyFont="1" applyFill="1" applyBorder="1" applyAlignment="1" applyProtection="1">
      <alignment horizontal="left" vertical="center" wrapText="1"/>
    </xf>
    <xf numFmtId="3" fontId="14" fillId="2" borderId="52" xfId="0" applyNumberFormat="1" applyFont="1" applyFill="1" applyBorder="1" applyAlignment="1" applyProtection="1">
      <alignment horizontal="left" vertical="center" wrapText="1"/>
    </xf>
    <xf numFmtId="3" fontId="15" fillId="2" borderId="46" xfId="0" applyNumberFormat="1" applyFont="1" applyFill="1" applyBorder="1" applyAlignment="1" applyProtection="1">
      <alignment horizontal="left" vertical="center" wrapText="1"/>
    </xf>
    <xf numFmtId="3" fontId="18" fillId="2" borderId="33" xfId="0" applyNumberFormat="1" applyFont="1" applyFill="1" applyBorder="1" applyAlignment="1" applyProtection="1">
      <alignment horizontal="left" vertical="center" wrapText="1"/>
    </xf>
    <xf numFmtId="3" fontId="4" fillId="2" borderId="33" xfId="0" applyNumberFormat="1" applyFont="1" applyFill="1" applyBorder="1" applyAlignment="1" applyProtection="1">
      <alignment horizontal="left" vertical="center" wrapText="1"/>
      <protection locked="0"/>
    </xf>
    <xf numFmtId="3" fontId="15" fillId="2" borderId="19" xfId="0" applyNumberFormat="1" applyFont="1" applyFill="1" applyBorder="1" applyAlignment="1" applyProtection="1">
      <alignment horizontal="left" vertical="center" wrapText="1"/>
    </xf>
    <xf numFmtId="3" fontId="15" fillId="0" borderId="20" xfId="0" applyNumberFormat="1" applyFont="1" applyFill="1" applyBorder="1" applyAlignment="1" applyProtection="1">
      <alignment horizontal="left" vertical="center" wrapText="1"/>
    </xf>
    <xf numFmtId="3" fontId="15" fillId="2" borderId="41" xfId="0" applyNumberFormat="1" applyFont="1" applyFill="1" applyBorder="1" applyAlignment="1" applyProtection="1">
      <alignment horizontal="left" vertical="center" wrapText="1"/>
    </xf>
    <xf numFmtId="3" fontId="15" fillId="2" borderId="0" xfId="0" applyNumberFormat="1" applyFont="1" applyFill="1" applyBorder="1" applyAlignment="1" applyProtection="1">
      <alignment horizontal="left" vertical="center" wrapText="1"/>
    </xf>
    <xf numFmtId="3" fontId="1" fillId="2" borderId="0" xfId="0" applyNumberFormat="1" applyFont="1" applyFill="1" applyAlignment="1" applyProtection="1">
      <alignment vertical="center" wrapText="1"/>
    </xf>
    <xf numFmtId="3" fontId="1" fillId="2" borderId="0" xfId="0" applyNumberFormat="1" applyFont="1" applyFill="1" applyBorder="1" applyAlignment="1" applyProtection="1">
      <alignment horizontal="left" vertical="center" wrapText="1"/>
    </xf>
    <xf numFmtId="3" fontId="1" fillId="2" borderId="0" xfId="0" applyNumberFormat="1" applyFont="1" applyFill="1" applyBorder="1" applyAlignment="1" applyProtection="1">
      <alignment horizontal="left" wrapText="1"/>
    </xf>
    <xf numFmtId="1" fontId="7" fillId="2" borderId="5" xfId="0" applyNumberFormat="1" applyFont="1" applyFill="1" applyBorder="1" applyAlignment="1" applyProtection="1">
      <alignment horizontal="left" vertical="center" wrapText="1"/>
    </xf>
    <xf numFmtId="3" fontId="18" fillId="0" borderId="32" xfId="0" applyNumberFormat="1" applyFont="1" applyFill="1" applyBorder="1" applyAlignment="1" applyProtection="1">
      <alignment horizontal="left" vertical="center" wrapText="1"/>
    </xf>
    <xf numFmtId="3" fontId="18" fillId="2" borderId="32" xfId="0" applyNumberFormat="1" applyFont="1" applyFill="1" applyBorder="1" applyAlignment="1" applyProtection="1">
      <alignment horizontal="left" vertical="center" wrapText="1"/>
    </xf>
    <xf numFmtId="3" fontId="4" fillId="0" borderId="7" xfId="0" applyNumberFormat="1" applyFont="1" applyFill="1" applyBorder="1" applyAlignment="1" applyProtection="1">
      <alignment vertical="center"/>
    </xf>
    <xf numFmtId="3" fontId="4" fillId="0" borderId="17" xfId="0" applyNumberFormat="1" applyFont="1" applyFill="1" applyBorder="1" applyAlignment="1" applyProtection="1">
      <alignment vertical="center"/>
    </xf>
    <xf numFmtId="1" fontId="17" fillId="2" borderId="19" xfId="0" applyNumberFormat="1" applyFont="1" applyFill="1" applyBorder="1" applyAlignment="1" applyProtection="1">
      <alignment horizontal="center" vertical="center"/>
    </xf>
    <xf numFmtId="1" fontId="17" fillId="2" borderId="20" xfId="0" applyNumberFormat="1" applyFont="1" applyFill="1" applyBorder="1" applyAlignment="1" applyProtection="1">
      <alignment horizontal="center" vertical="center"/>
    </xf>
    <xf numFmtId="3" fontId="1" fillId="0" borderId="7" xfId="0" applyNumberFormat="1" applyFont="1" applyFill="1" applyBorder="1" applyAlignment="1" applyProtection="1">
      <alignment vertical="center"/>
    </xf>
    <xf numFmtId="3" fontId="9" fillId="4" borderId="10" xfId="0" applyNumberFormat="1" applyFont="1" applyFill="1" applyBorder="1" applyAlignment="1" applyProtection="1">
      <alignment vertical="center"/>
    </xf>
    <xf numFmtId="3" fontId="9" fillId="4" borderId="5" xfId="0" applyNumberFormat="1" applyFont="1" applyFill="1" applyBorder="1" applyAlignment="1" applyProtection="1">
      <alignment vertical="center"/>
    </xf>
    <xf numFmtId="3" fontId="6" fillId="2" borderId="19" xfId="0" applyNumberFormat="1" applyFont="1" applyFill="1" applyBorder="1" applyAlignment="1" applyProtection="1">
      <alignment horizontal="center" wrapText="1"/>
    </xf>
    <xf numFmtId="3" fontId="1" fillId="2" borderId="0" xfId="0" applyNumberFormat="1" applyFont="1" applyFill="1" applyAlignment="1" applyProtection="1">
      <alignment wrapText="1"/>
    </xf>
    <xf numFmtId="3" fontId="28" fillId="2" borderId="29" xfId="0" applyNumberFormat="1" applyFont="1" applyFill="1" applyBorder="1" applyAlignment="1" applyProtection="1">
      <alignment vertical="center" wrapText="1"/>
    </xf>
    <xf numFmtId="3" fontId="30" fillId="2" borderId="24" xfId="0" applyNumberFormat="1" applyFont="1" applyFill="1" applyBorder="1" applyAlignment="1" applyProtection="1">
      <alignment vertical="center" wrapText="1"/>
    </xf>
    <xf numFmtId="3" fontId="14" fillId="2" borderId="49" xfId="0" applyNumberFormat="1" applyFont="1" applyFill="1" applyBorder="1" applyAlignment="1" applyProtection="1">
      <alignment horizontal="center" vertical="center" wrapText="1"/>
    </xf>
    <xf numFmtId="3" fontId="14" fillId="2" borderId="68" xfId="0" applyNumberFormat="1" applyFont="1" applyFill="1" applyBorder="1" applyAlignment="1" applyProtection="1">
      <alignment horizontal="left" vertical="center" wrapText="1"/>
    </xf>
    <xf numFmtId="3" fontId="15" fillId="2" borderId="9" xfId="0" applyNumberFormat="1" applyFont="1" applyFill="1" applyBorder="1" applyAlignment="1" applyProtection="1">
      <alignment horizontal="left" vertical="center" wrapText="1"/>
    </xf>
    <xf numFmtId="3" fontId="17" fillId="2" borderId="9" xfId="0" quotePrefix="1" applyNumberFormat="1" applyFont="1" applyFill="1" applyBorder="1" applyAlignment="1" applyProtection="1">
      <alignment horizontal="left" vertical="center" wrapText="1"/>
    </xf>
    <xf numFmtId="3" fontId="4" fillId="2" borderId="9"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horizontal="left" vertical="center" wrapText="1"/>
      <protection locked="0"/>
    </xf>
    <xf numFmtId="3" fontId="4" fillId="2" borderId="9" xfId="0" applyNumberFormat="1" applyFont="1" applyFill="1" applyBorder="1" applyAlignment="1" applyProtection="1">
      <alignment horizontal="left" vertical="center" wrapText="1"/>
      <protection locked="0"/>
    </xf>
    <xf numFmtId="3" fontId="14" fillId="2" borderId="9" xfId="0" applyNumberFormat="1" applyFont="1" applyFill="1" applyBorder="1" applyAlignment="1" applyProtection="1">
      <alignment horizontal="left" vertical="center" wrapText="1"/>
    </xf>
    <xf numFmtId="3" fontId="17" fillId="0" borderId="9" xfId="0" quotePrefix="1" applyNumberFormat="1" applyFont="1" applyFill="1" applyBorder="1" applyAlignment="1" applyProtection="1">
      <alignment horizontal="left" vertical="center" wrapText="1"/>
    </xf>
    <xf numFmtId="3" fontId="4" fillId="2" borderId="18" xfId="0" applyNumberFormat="1" applyFont="1" applyFill="1" applyBorder="1" applyAlignment="1" applyProtection="1">
      <alignment horizontal="left" vertical="center" wrapText="1"/>
    </xf>
    <xf numFmtId="3" fontId="14" fillId="2" borderId="2" xfId="0" applyNumberFormat="1" applyFont="1" applyFill="1" applyBorder="1" applyAlignment="1" applyProtection="1">
      <alignment horizontal="center" vertical="center" wrapText="1"/>
    </xf>
    <xf numFmtId="3" fontId="30" fillId="2" borderId="8" xfId="0" applyNumberFormat="1" applyFont="1" applyFill="1" applyBorder="1" applyAlignment="1" applyProtection="1">
      <alignment vertical="center" wrapText="1"/>
    </xf>
    <xf numFmtId="3" fontId="14" fillId="2" borderId="8" xfId="0" applyNumberFormat="1" applyFont="1" applyFill="1" applyBorder="1" applyAlignment="1" applyProtection="1">
      <alignment horizontal="left" vertical="center" wrapText="1"/>
    </xf>
    <xf numFmtId="3" fontId="17" fillId="2" borderId="8" xfId="0" quotePrefix="1" applyNumberFormat="1" applyFont="1" applyFill="1" applyBorder="1" applyAlignment="1" applyProtection="1">
      <alignment horizontal="left" vertical="center" wrapText="1"/>
    </xf>
    <xf numFmtId="3" fontId="4" fillId="2" borderId="8" xfId="0" applyNumberFormat="1" applyFont="1" applyFill="1" applyBorder="1" applyAlignment="1" applyProtection="1">
      <alignment horizontal="left" vertical="center" wrapText="1"/>
    </xf>
    <xf numFmtId="3" fontId="1" fillId="2" borderId="8" xfId="0" applyNumberFormat="1" applyFont="1" applyFill="1" applyBorder="1" applyAlignment="1" applyProtection="1">
      <alignment horizontal="left" vertical="center" wrapText="1"/>
    </xf>
    <xf numFmtId="3" fontId="14" fillId="2" borderId="0" xfId="0" applyNumberFormat="1" applyFont="1" applyFill="1" applyBorder="1" applyAlignment="1" applyProtection="1">
      <alignment horizontal="center" vertical="center" wrapText="1"/>
    </xf>
    <xf numFmtId="3" fontId="14" fillId="2" borderId="45" xfId="0" applyNumberFormat="1" applyFont="1" applyFill="1" applyBorder="1" applyAlignment="1" applyProtection="1">
      <alignment horizontal="center" vertical="center" wrapText="1"/>
    </xf>
    <xf numFmtId="3" fontId="30" fillId="2" borderId="9" xfId="0" applyNumberFormat="1" applyFont="1" applyFill="1" applyBorder="1" applyAlignment="1" applyProtection="1">
      <alignment vertical="center" wrapText="1"/>
    </xf>
    <xf numFmtId="3" fontId="1" fillId="2" borderId="18" xfId="0" applyNumberFormat="1" applyFont="1" applyFill="1" applyBorder="1" applyAlignment="1" applyProtection="1">
      <alignment horizontal="left" vertical="center" wrapText="1"/>
    </xf>
    <xf numFmtId="1" fontId="4" fillId="2" borderId="0" xfId="0" applyNumberFormat="1" applyFont="1" applyFill="1" applyAlignment="1" applyProtection="1">
      <alignment horizontal="center"/>
    </xf>
    <xf numFmtId="1" fontId="4" fillId="2" borderId="19" xfId="0" applyNumberFormat="1" applyFont="1" applyFill="1" applyBorder="1" applyAlignment="1" applyProtection="1">
      <alignment horizontal="center"/>
    </xf>
    <xf numFmtId="1" fontId="4" fillId="2" borderId="20" xfId="0" applyNumberFormat="1" applyFont="1" applyFill="1" applyBorder="1" applyAlignment="1" applyProtection="1">
      <alignment horizontal="center"/>
    </xf>
    <xf numFmtId="164" fontId="3" fillId="2" borderId="35" xfId="0" applyNumberFormat="1" applyFont="1" applyFill="1" applyBorder="1" applyAlignment="1" applyProtection="1">
      <alignment horizontal="center" vertical="center"/>
    </xf>
    <xf numFmtId="164" fontId="14" fillId="2" borderId="67" xfId="0" applyNumberFormat="1" applyFont="1" applyFill="1" applyBorder="1" applyAlignment="1" applyProtection="1">
      <alignment horizontal="center" vertical="center"/>
    </xf>
    <xf numFmtId="164" fontId="14" fillId="2" borderId="5" xfId="0" applyNumberFormat="1" applyFont="1" applyFill="1" applyBorder="1" applyAlignment="1" applyProtection="1">
      <alignment horizontal="center" vertical="center"/>
    </xf>
    <xf numFmtId="164" fontId="17" fillId="2"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3" fillId="2" borderId="5" xfId="0" applyNumberFormat="1" applyFont="1" applyFill="1" applyBorder="1" applyAlignment="1" applyProtection="1">
      <alignment horizontal="center" vertical="center"/>
    </xf>
    <xf numFmtId="164" fontId="17" fillId="0" borderId="5" xfId="0" applyNumberFormat="1" applyFont="1" applyFill="1" applyBorder="1" applyAlignment="1" applyProtection="1">
      <alignment horizontal="center" vertical="center"/>
    </xf>
    <xf numFmtId="164" fontId="4" fillId="2" borderId="16" xfId="0" applyNumberFormat="1" applyFont="1" applyFill="1" applyBorder="1" applyAlignment="1" applyProtection="1">
      <alignment horizontal="center" vertical="center"/>
    </xf>
    <xf numFmtId="164" fontId="14" fillId="2" borderId="8" xfId="0" applyNumberFormat="1" applyFont="1" applyFill="1" applyBorder="1" applyAlignment="1" applyProtection="1">
      <alignment horizontal="center" vertical="center"/>
    </xf>
    <xf numFmtId="164" fontId="17" fillId="2" borderId="8" xfId="0" applyNumberFormat="1" applyFont="1" applyFill="1" applyBorder="1" applyAlignment="1" applyProtection="1">
      <alignment horizontal="center" vertical="center"/>
    </xf>
    <xf numFmtId="164" fontId="4" fillId="2" borderId="8" xfId="0" applyNumberFormat="1" applyFont="1" applyFill="1" applyBorder="1" applyAlignment="1" applyProtection="1">
      <alignment horizontal="center" vertical="center"/>
    </xf>
    <xf numFmtId="164" fontId="3" fillId="2" borderId="8" xfId="0" applyNumberFormat="1" applyFont="1" applyFill="1" applyBorder="1" applyAlignment="1" applyProtection="1">
      <alignment horizontal="center" vertical="center"/>
    </xf>
    <xf numFmtId="164" fontId="18" fillId="2" borderId="8" xfId="0" applyNumberFormat="1" applyFont="1" applyFill="1" applyBorder="1" applyAlignment="1" applyProtection="1">
      <alignment horizontal="center" vertical="center"/>
    </xf>
    <xf numFmtId="164" fontId="18" fillId="2" borderId="5" xfId="0" applyNumberFormat="1" applyFont="1" applyFill="1" applyBorder="1" applyAlignment="1" applyProtection="1">
      <alignment horizontal="center" vertical="center"/>
    </xf>
    <xf numFmtId="164" fontId="18" fillId="2" borderId="16"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center" wrapText="1"/>
    </xf>
    <xf numFmtId="3" fontId="30" fillId="2" borderId="50" xfId="0" applyNumberFormat="1" applyFont="1" applyFill="1" applyBorder="1" applyAlignment="1" applyProtection="1">
      <alignment vertical="center" wrapText="1"/>
    </xf>
    <xf numFmtId="3" fontId="14" fillId="2" borderId="69" xfId="0" applyNumberFormat="1" applyFont="1" applyFill="1" applyBorder="1" applyAlignment="1" applyProtection="1">
      <alignment horizontal="left" vertical="center" wrapText="1"/>
    </xf>
    <xf numFmtId="3" fontId="15" fillId="2" borderId="11" xfId="0" applyNumberFormat="1" applyFont="1" applyFill="1" applyBorder="1" applyAlignment="1" applyProtection="1">
      <alignment horizontal="left" vertical="center" wrapText="1"/>
    </xf>
    <xf numFmtId="3" fontId="17" fillId="2" borderId="11" xfId="0" quotePrefix="1" applyNumberFormat="1" applyFont="1" applyFill="1" applyBorder="1" applyAlignment="1" applyProtection="1">
      <alignment horizontal="left" vertical="center" wrapText="1"/>
    </xf>
    <xf numFmtId="3" fontId="4" fillId="2" borderId="11" xfId="0" applyNumberFormat="1" applyFont="1" applyFill="1" applyBorder="1" applyAlignment="1" applyProtection="1">
      <alignment horizontal="left" vertical="center" wrapText="1"/>
    </xf>
    <xf numFmtId="3" fontId="1" fillId="2" borderId="11" xfId="0" applyNumberFormat="1" applyFont="1" applyFill="1" applyBorder="1" applyAlignment="1" applyProtection="1">
      <alignment horizontal="left" vertical="center" wrapText="1"/>
    </xf>
    <xf numFmtId="3" fontId="14" fillId="2" borderId="11" xfId="0" applyNumberFormat="1" applyFont="1" applyFill="1" applyBorder="1" applyAlignment="1" applyProtection="1">
      <alignment horizontal="left" vertical="center" wrapText="1"/>
    </xf>
    <xf numFmtId="3" fontId="4" fillId="2" borderId="37" xfId="0" applyNumberFormat="1" applyFont="1" applyFill="1" applyBorder="1" applyAlignment="1" applyProtection="1">
      <alignment horizontal="left" vertical="center" wrapText="1"/>
    </xf>
    <xf numFmtId="164" fontId="14" fillId="2" borderId="5" xfId="0" applyNumberFormat="1" applyFont="1" applyFill="1" applyBorder="1" applyAlignment="1" applyProtection="1">
      <alignment horizontal="left" vertical="center" wrapText="1"/>
    </xf>
    <xf numFmtId="1" fontId="18" fillId="2" borderId="19" xfId="0" applyNumberFormat="1" applyFont="1" applyFill="1" applyBorder="1" applyAlignment="1" applyProtection="1">
      <alignment horizontal="center"/>
    </xf>
    <xf numFmtId="1" fontId="18" fillId="2" borderId="20" xfId="0" applyNumberFormat="1" applyFont="1" applyFill="1" applyBorder="1" applyAlignment="1" applyProtection="1">
      <alignment horizontal="center"/>
    </xf>
    <xf numFmtId="1" fontId="17" fillId="2" borderId="46" xfId="0" applyNumberFormat="1" applyFont="1" applyFill="1" applyBorder="1" applyAlignment="1" applyProtection="1">
      <alignment horizontal="center" vertical="center"/>
    </xf>
    <xf numFmtId="1" fontId="17" fillId="2" borderId="25" xfId="0" applyNumberFormat="1" applyFont="1" applyFill="1" applyBorder="1" applyAlignment="1" applyProtection="1">
      <alignment horizontal="center" vertical="center"/>
    </xf>
    <xf numFmtId="1" fontId="18" fillId="2" borderId="19" xfId="0" applyNumberFormat="1" applyFont="1" applyFill="1" applyBorder="1" applyAlignment="1" applyProtection="1">
      <alignment horizontal="center" vertical="center"/>
    </xf>
    <xf numFmtId="1" fontId="17" fillId="2" borderId="26" xfId="0" applyNumberFormat="1" applyFont="1" applyFill="1" applyBorder="1" applyAlignment="1" applyProtection="1">
      <alignment horizontal="center" vertical="center"/>
    </xf>
    <xf numFmtId="1" fontId="17" fillId="2" borderId="81" xfId="0" applyNumberFormat="1" applyFont="1" applyFill="1" applyBorder="1" applyAlignment="1" applyProtection="1">
      <alignment horizontal="center" vertical="center"/>
    </xf>
    <xf numFmtId="1" fontId="18" fillId="0" borderId="26" xfId="0" applyNumberFormat="1" applyFont="1" applyFill="1" applyBorder="1" applyAlignment="1" applyProtection="1">
      <alignment horizontal="center" vertical="center"/>
      <protection hidden="1"/>
    </xf>
    <xf numFmtId="164" fontId="3" fillId="2" borderId="20" xfId="0" applyNumberFormat="1" applyFont="1" applyFill="1" applyBorder="1" applyAlignment="1" applyProtection="1">
      <alignment horizontal="center" vertical="center"/>
    </xf>
    <xf numFmtId="164" fontId="17" fillId="2" borderId="11" xfId="0" applyNumberFormat="1" applyFont="1" applyFill="1" applyBorder="1" applyAlignment="1" applyProtection="1">
      <alignment horizontal="center" vertical="center"/>
    </xf>
    <xf numFmtId="1" fontId="18" fillId="2" borderId="11" xfId="0" applyNumberFormat="1" applyFont="1" applyFill="1" applyBorder="1" applyAlignment="1" applyProtection="1">
      <alignment horizontal="center" vertical="center"/>
    </xf>
    <xf numFmtId="1" fontId="56" fillId="2" borderId="83" xfId="0" applyNumberFormat="1" applyFont="1" applyFill="1" applyBorder="1" applyAlignment="1" applyProtection="1">
      <alignment horizontal="center" vertical="center"/>
    </xf>
    <xf numFmtId="1" fontId="57" fillId="2" borderId="83" xfId="0" applyNumberFormat="1" applyFont="1" applyFill="1" applyBorder="1" applyAlignment="1" applyProtection="1">
      <alignment horizontal="center" vertical="center"/>
    </xf>
    <xf numFmtId="164" fontId="17" fillId="2" borderId="46" xfId="0" quotePrefix="1" applyNumberFormat="1" applyFont="1" applyFill="1" applyBorder="1" applyAlignment="1" applyProtection="1">
      <alignment horizontal="center" vertical="center"/>
    </xf>
    <xf numFmtId="164" fontId="18" fillId="0" borderId="26" xfId="0" quotePrefix="1" applyNumberFormat="1" applyFont="1" applyFill="1" applyBorder="1" applyAlignment="1" applyProtection="1">
      <alignment horizontal="center" vertical="center"/>
    </xf>
    <xf numFmtId="164" fontId="18" fillId="0" borderId="26" xfId="0" applyNumberFormat="1" applyFont="1" applyFill="1" applyBorder="1" applyAlignment="1" applyProtection="1">
      <alignment horizontal="center" vertical="center"/>
    </xf>
    <xf numFmtId="164" fontId="18" fillId="2" borderId="26" xfId="0" quotePrefix="1" applyNumberFormat="1" applyFont="1" applyFill="1" applyBorder="1" applyAlignment="1" applyProtection="1">
      <alignment horizontal="center" vertical="center"/>
    </xf>
    <xf numFmtId="164" fontId="18" fillId="2" borderId="26" xfId="0" applyNumberFormat="1" applyFont="1" applyFill="1" applyBorder="1" applyAlignment="1" applyProtection="1">
      <alignment horizontal="center" vertical="center"/>
    </xf>
    <xf numFmtId="164" fontId="18" fillId="2" borderId="27" xfId="0" applyNumberFormat="1" applyFont="1" applyFill="1" applyBorder="1" applyAlignment="1" applyProtection="1">
      <alignment horizontal="center" vertical="center"/>
    </xf>
    <xf numFmtId="164" fontId="17" fillId="2" borderId="0" xfId="0" quotePrefix="1" applyNumberFormat="1" applyFont="1" applyFill="1" applyBorder="1" applyAlignment="1" applyProtection="1">
      <alignment horizontal="center" vertical="center"/>
    </xf>
    <xf numFmtId="1" fontId="18" fillId="2" borderId="0" xfId="0" applyNumberFormat="1" applyFont="1" applyFill="1" applyAlignment="1" applyProtection="1">
      <alignment horizontal="center" vertical="center"/>
    </xf>
    <xf numFmtId="1" fontId="18" fillId="2" borderId="0" xfId="0" applyNumberFormat="1" applyFont="1" applyFill="1" applyAlignment="1" applyProtection="1">
      <alignment horizontal="center"/>
    </xf>
    <xf numFmtId="1" fontId="7" fillId="2" borderId="5" xfId="0" applyNumberFormat="1" applyFont="1" applyFill="1" applyBorder="1" applyAlignment="1" applyProtection="1">
      <alignment horizontal="center" vertical="center"/>
    </xf>
    <xf numFmtId="1" fontId="3" fillId="2" borderId="19" xfId="0" applyNumberFormat="1" applyFont="1" applyFill="1" applyBorder="1" applyAlignment="1" applyProtection="1">
      <alignment horizontal="center"/>
    </xf>
    <xf numFmtId="1" fontId="3" fillId="2" borderId="20" xfId="0" applyNumberFormat="1" applyFont="1" applyFill="1" applyBorder="1" applyAlignment="1" applyProtection="1">
      <alignment horizontal="center"/>
    </xf>
    <xf numFmtId="1" fontId="3" fillId="2" borderId="0" xfId="0" applyNumberFormat="1" applyFont="1" applyFill="1" applyAlignment="1" applyProtection="1">
      <alignment horizontal="center" vertical="center"/>
    </xf>
    <xf numFmtId="1" fontId="3" fillId="2" borderId="0" xfId="0" applyNumberFormat="1" applyFont="1" applyFill="1" applyAlignment="1" applyProtection="1">
      <alignment horizontal="center"/>
    </xf>
    <xf numFmtId="0" fontId="22" fillId="2" borderId="0" xfId="0" applyFont="1" applyFill="1" applyAlignment="1" applyProtection="1">
      <alignment wrapText="1"/>
      <protection hidden="1"/>
    </xf>
    <xf numFmtId="0" fontId="21" fillId="0" borderId="0" xfId="0" applyFont="1" applyFill="1" applyBorder="1" applyAlignment="1" applyProtection="1">
      <alignment wrapText="1"/>
      <protection hidden="1"/>
    </xf>
    <xf numFmtId="0" fontId="3" fillId="6" borderId="32" xfId="0" applyFont="1" applyFill="1" applyBorder="1" applyAlignment="1" applyProtection="1">
      <alignment horizontal="left" vertical="center" wrapText="1"/>
      <protection hidden="1"/>
    </xf>
    <xf numFmtId="0" fontId="7" fillId="6" borderId="26" xfId="0" applyFont="1" applyFill="1" applyBorder="1" applyAlignment="1" applyProtection="1">
      <alignment horizontal="left" vertical="center" wrapText="1"/>
      <protection hidden="1"/>
    </xf>
    <xf numFmtId="0" fontId="3" fillId="6" borderId="26" xfId="0" applyFont="1" applyFill="1" applyBorder="1" applyAlignment="1" applyProtection="1">
      <alignment horizontal="left" vertical="center" wrapText="1"/>
      <protection hidden="1"/>
    </xf>
    <xf numFmtId="0" fontId="21" fillId="0" borderId="0" xfId="0" applyFont="1" applyFill="1" applyAlignment="1" applyProtection="1">
      <alignment wrapText="1"/>
      <protection hidden="1"/>
    </xf>
    <xf numFmtId="3" fontId="4" fillId="0" borderId="8" xfId="0" applyNumberFormat="1" applyFon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0" fontId="37" fillId="2" borderId="0" xfId="0" applyFont="1" applyFill="1" applyAlignment="1" applyProtection="1">
      <protection hidden="1"/>
    </xf>
    <xf numFmtId="3" fontId="12" fillId="2" borderId="32" xfId="0" applyNumberFormat="1" applyFont="1" applyFill="1" applyBorder="1" applyAlignment="1" applyProtection="1">
      <alignment horizontal="left" vertical="center" wrapText="1"/>
      <protection locked="0"/>
    </xf>
    <xf numFmtId="3" fontId="4" fillId="0" borderId="32" xfId="0" applyNumberFormat="1" applyFont="1" applyFill="1" applyBorder="1" applyAlignment="1" applyProtection="1">
      <alignment horizontal="left" vertical="center" wrapText="1"/>
      <protection locked="0"/>
    </xf>
    <xf numFmtId="164" fontId="17" fillId="2" borderId="19" xfId="0" quotePrefix="1" applyNumberFormat="1" applyFont="1" applyFill="1" applyBorder="1" applyAlignment="1" applyProtection="1">
      <alignment horizontal="left" vertical="center"/>
    </xf>
    <xf numFmtId="164" fontId="17" fillId="0" borderId="20" xfId="0" quotePrefix="1" applyNumberFormat="1" applyFont="1" applyFill="1" applyBorder="1" applyAlignment="1" applyProtection="1">
      <alignment horizontal="left" vertical="center"/>
    </xf>
    <xf numFmtId="164" fontId="17" fillId="2" borderId="41" xfId="0" quotePrefix="1" applyNumberFormat="1" applyFont="1" applyFill="1" applyBorder="1" applyAlignment="1" applyProtection="1">
      <alignment horizontal="left" vertical="center"/>
    </xf>
    <xf numFmtId="164" fontId="17" fillId="2" borderId="46" xfId="0" quotePrefix="1" applyNumberFormat="1" applyFont="1" applyFill="1" applyBorder="1" applyAlignment="1" applyProtection="1">
      <alignment horizontal="left" vertical="center"/>
    </xf>
    <xf numFmtId="164" fontId="17" fillId="2" borderId="19" xfId="0" quotePrefix="1" applyNumberFormat="1" applyFont="1" applyFill="1" applyBorder="1" applyAlignment="1" applyProtection="1">
      <alignment vertical="center"/>
    </xf>
    <xf numFmtId="3" fontId="15" fillId="2" borderId="19" xfId="0" applyNumberFormat="1" applyFont="1" applyFill="1" applyBorder="1" applyAlignment="1" applyProtection="1">
      <alignment vertical="center" wrapText="1"/>
    </xf>
    <xf numFmtId="164" fontId="17" fillId="2" borderId="46" xfId="0" quotePrefix="1" applyNumberFormat="1" applyFont="1" applyFill="1" applyBorder="1" applyAlignment="1" applyProtection="1">
      <alignment vertical="center"/>
    </xf>
    <xf numFmtId="3" fontId="15" fillId="2" borderId="46" xfId="0" applyNumberFormat="1" applyFont="1" applyFill="1" applyBorder="1" applyAlignment="1" applyProtection="1">
      <alignment vertical="center" wrapText="1"/>
    </xf>
    <xf numFmtId="164" fontId="17" fillId="0" borderId="20" xfId="0" quotePrefix="1" applyNumberFormat="1" applyFont="1" applyFill="1" applyBorder="1" applyAlignment="1" applyProtection="1">
      <alignment vertical="center"/>
    </xf>
    <xf numFmtId="3" fontId="15" fillId="0" borderId="20" xfId="0" applyNumberFormat="1" applyFont="1" applyFill="1" applyBorder="1" applyAlignment="1" applyProtection="1">
      <alignment vertical="center" wrapText="1"/>
    </xf>
    <xf numFmtId="164" fontId="17" fillId="2" borderId="41" xfId="0" quotePrefix="1" applyNumberFormat="1" applyFont="1" applyFill="1" applyBorder="1" applyAlignment="1" applyProtection="1">
      <alignment vertical="center"/>
    </xf>
    <xf numFmtId="3" fontId="15" fillId="2" borderId="41" xfId="0" applyNumberFormat="1" applyFont="1" applyFill="1" applyBorder="1" applyAlignment="1" applyProtection="1">
      <alignment vertical="center" wrapText="1"/>
    </xf>
    <xf numFmtId="3" fontId="9" fillId="4" borderId="16" xfId="0" applyNumberFormat="1" applyFont="1" applyFill="1" applyBorder="1" applyAlignment="1" applyProtection="1">
      <alignment vertical="center"/>
    </xf>
    <xf numFmtId="3" fontId="9" fillId="4" borderId="39" xfId="0" applyNumberFormat="1" applyFont="1" applyFill="1" applyBorder="1" applyAlignment="1" applyProtection="1">
      <alignment vertical="center"/>
    </xf>
    <xf numFmtId="3" fontId="9" fillId="2" borderId="56" xfId="0" applyNumberFormat="1" applyFont="1" applyFill="1" applyBorder="1" applyAlignment="1" applyProtection="1">
      <alignment vertical="center"/>
    </xf>
    <xf numFmtId="3" fontId="9" fillId="2" borderId="66" xfId="0" applyNumberFormat="1" applyFont="1" applyFill="1" applyBorder="1" applyAlignment="1" applyProtection="1">
      <alignment vertical="center"/>
    </xf>
    <xf numFmtId="164" fontId="17" fillId="2" borderId="16" xfId="0" quotePrefix="1" applyNumberFormat="1" applyFont="1" applyFill="1" applyBorder="1" applyAlignment="1" applyProtection="1">
      <alignment horizontal="left" vertical="center"/>
    </xf>
    <xf numFmtId="3" fontId="15" fillId="2" borderId="17" xfId="0" applyNumberFormat="1" applyFont="1" applyFill="1" applyBorder="1" applyAlignment="1" applyProtection="1">
      <alignment horizontal="left" vertical="center" wrapText="1"/>
    </xf>
    <xf numFmtId="3" fontId="9" fillId="2" borderId="30" xfId="0" applyNumberFormat="1" applyFont="1" applyFill="1" applyBorder="1" applyAlignment="1" applyProtection="1">
      <alignment vertical="center"/>
    </xf>
    <xf numFmtId="164" fontId="28" fillId="2" borderId="55" xfId="0" applyNumberFormat="1" applyFont="1" applyFill="1" applyBorder="1" applyAlignment="1" applyProtection="1">
      <alignment horizontal="center" vertical="center"/>
    </xf>
    <xf numFmtId="3" fontId="30" fillId="2" borderId="66" xfId="0" applyNumberFormat="1" applyFont="1" applyFill="1" applyBorder="1" applyAlignment="1" applyProtection="1">
      <alignment vertical="center" wrapText="1"/>
    </xf>
    <xf numFmtId="3" fontId="9" fillId="2" borderId="1" xfId="0" applyNumberFormat="1" applyFont="1" applyFill="1" applyBorder="1" applyAlignment="1" applyProtection="1">
      <alignment horizontal="right" vertical="center"/>
    </xf>
    <xf numFmtId="3" fontId="9" fillId="2" borderId="48" xfId="0" applyNumberFormat="1" applyFont="1" applyFill="1" applyBorder="1" applyAlignment="1" applyProtection="1">
      <alignment vertical="center"/>
    </xf>
    <xf numFmtId="3" fontId="9" fillId="2" borderId="47" xfId="0" applyNumberFormat="1" applyFont="1" applyFill="1" applyBorder="1" applyAlignment="1" applyProtection="1">
      <alignment vertical="center"/>
    </xf>
    <xf numFmtId="3" fontId="3" fillId="0" borderId="9" xfId="0" applyNumberFormat="1" applyFont="1" applyFill="1" applyBorder="1" applyAlignment="1" applyProtection="1">
      <alignment horizontal="right" vertical="center"/>
    </xf>
    <xf numFmtId="3" fontId="1" fillId="2" borderId="20" xfId="0" applyNumberFormat="1" applyFont="1" applyFill="1" applyBorder="1" applyAlignment="1" applyProtection="1">
      <alignment vertical="center"/>
    </xf>
    <xf numFmtId="3" fontId="4" fillId="2" borderId="20" xfId="0" applyNumberFormat="1" applyFont="1" applyFill="1" applyBorder="1" applyAlignment="1" applyProtection="1">
      <alignment horizontal="center" vertical="center"/>
    </xf>
    <xf numFmtId="3" fontId="1" fillId="2" borderId="20" xfId="0" applyNumberFormat="1" applyFont="1" applyFill="1" applyBorder="1" applyAlignment="1" applyProtection="1">
      <alignment horizontal="center" vertical="center"/>
    </xf>
    <xf numFmtId="3" fontId="1" fillId="2" borderId="21" xfId="0" applyNumberFormat="1" applyFont="1" applyFill="1" applyBorder="1" applyAlignment="1" applyProtection="1">
      <alignment horizontal="left" vertical="center"/>
    </xf>
    <xf numFmtId="3" fontId="1" fillId="2" borderId="56" xfId="0" applyNumberFormat="1" applyFont="1" applyFill="1" applyBorder="1" applyAlignment="1" applyProtection="1">
      <alignment vertical="center"/>
    </xf>
    <xf numFmtId="3" fontId="4" fillId="2" borderId="5" xfId="0" applyNumberFormat="1" applyFont="1" applyFill="1" applyBorder="1" applyAlignment="1" applyProtection="1">
      <alignment horizontal="left" vertical="center"/>
    </xf>
    <xf numFmtId="3" fontId="1" fillId="2" borderId="44" xfId="0" applyNumberFormat="1" applyFont="1" applyFill="1" applyBorder="1" applyAlignment="1" applyProtection="1">
      <alignment vertical="center"/>
    </xf>
    <xf numFmtId="3" fontId="4" fillId="2" borderId="44" xfId="0" applyNumberFormat="1" applyFont="1" applyFill="1" applyBorder="1" applyAlignment="1" applyProtection="1">
      <alignment horizontal="left" vertical="center"/>
    </xf>
    <xf numFmtId="3" fontId="4" fillId="2" borderId="16" xfId="0" applyNumberFormat="1" applyFont="1" applyFill="1" applyBorder="1" applyAlignment="1" applyProtection="1">
      <alignment horizontal="left" vertical="center"/>
    </xf>
    <xf numFmtId="3" fontId="9" fillId="2" borderId="14" xfId="0" applyNumberFormat="1" applyFont="1" applyFill="1" applyBorder="1" applyAlignment="1" applyProtection="1">
      <alignment vertical="center"/>
    </xf>
    <xf numFmtId="3" fontId="9" fillId="2" borderId="42" xfId="0" applyNumberFormat="1" applyFont="1" applyFill="1" applyBorder="1" applyAlignment="1" applyProtection="1">
      <alignment vertical="center"/>
    </xf>
    <xf numFmtId="3" fontId="9" fillId="2" borderId="17" xfId="0" applyNumberFormat="1" applyFont="1" applyFill="1" applyBorder="1" applyAlignment="1" applyProtection="1">
      <alignment vertical="center"/>
    </xf>
    <xf numFmtId="3" fontId="9" fillId="2" borderId="18" xfId="0" applyNumberFormat="1" applyFont="1" applyFill="1" applyBorder="1" applyAlignment="1" applyProtection="1">
      <alignment vertical="center"/>
    </xf>
    <xf numFmtId="164" fontId="17" fillId="2" borderId="55" xfId="0" quotePrefix="1" applyNumberFormat="1" applyFont="1" applyFill="1" applyBorder="1" applyAlignment="1" applyProtection="1">
      <alignment horizontal="left" vertical="center"/>
    </xf>
    <xf numFmtId="3" fontId="15" fillId="2" borderId="56" xfId="0" applyNumberFormat="1" applyFont="1" applyFill="1" applyBorder="1" applyAlignment="1" applyProtection="1">
      <alignment horizontal="left" vertical="center" wrapText="1"/>
    </xf>
    <xf numFmtId="164" fontId="17" fillId="0" borderId="67" xfId="0" quotePrefix="1" applyNumberFormat="1" applyFont="1" applyFill="1" applyBorder="1" applyAlignment="1" applyProtection="1">
      <alignment horizontal="left" vertical="center"/>
    </xf>
    <xf numFmtId="3" fontId="15" fillId="0" borderId="30" xfId="0" applyNumberFormat="1" applyFont="1" applyFill="1" applyBorder="1" applyAlignment="1" applyProtection="1">
      <alignment horizontal="left" vertical="center" wrapText="1"/>
    </xf>
    <xf numFmtId="3" fontId="9" fillId="2" borderId="68" xfId="0" applyNumberFormat="1" applyFont="1" applyFill="1" applyBorder="1" applyAlignment="1" applyProtection="1">
      <alignment vertical="center"/>
    </xf>
    <xf numFmtId="164" fontId="30" fillId="2" borderId="46" xfId="0" applyNumberFormat="1" applyFont="1" applyFill="1" applyBorder="1" applyAlignment="1" applyProtection="1">
      <alignment vertical="center"/>
    </xf>
    <xf numFmtId="164" fontId="30" fillId="2" borderId="48" xfId="0" applyNumberFormat="1" applyFont="1" applyFill="1" applyBorder="1" applyAlignment="1" applyProtection="1">
      <alignment vertical="center"/>
    </xf>
    <xf numFmtId="164" fontId="7" fillId="2" borderId="5" xfId="0" applyNumberFormat="1" applyFont="1" applyFill="1" applyBorder="1" applyAlignment="1" applyProtection="1">
      <alignment horizontal="center" vertical="center"/>
    </xf>
    <xf numFmtId="3" fontId="7" fillId="2" borderId="9" xfId="0" applyNumberFormat="1" applyFont="1" applyFill="1" applyBorder="1" applyAlignment="1" applyProtection="1">
      <alignment horizontal="left" vertical="center" wrapText="1"/>
    </xf>
    <xf numFmtId="3" fontId="9" fillId="0" borderId="10" xfId="0" applyNumberFormat="1" applyFont="1" applyFill="1" applyBorder="1" applyAlignment="1" applyProtection="1">
      <alignment vertical="center"/>
      <protection locked="0"/>
    </xf>
    <xf numFmtId="164" fontId="4" fillId="2" borderId="26" xfId="0" applyNumberFormat="1" applyFont="1" applyFill="1" applyBorder="1" applyAlignment="1" applyProtection="1">
      <alignment horizontal="center" vertical="center"/>
    </xf>
    <xf numFmtId="3" fontId="4" fillId="2" borderId="45" xfId="0" applyNumberFormat="1" applyFont="1" applyFill="1" applyBorder="1" applyAlignment="1" applyProtection="1">
      <alignment horizontal="left" vertical="center" wrapText="1"/>
    </xf>
    <xf numFmtId="3" fontId="3" fillId="2" borderId="45" xfId="0" applyNumberFormat="1" applyFont="1" applyFill="1" applyBorder="1" applyAlignment="1" applyProtection="1">
      <alignment horizontal="right" vertical="center"/>
    </xf>
    <xf numFmtId="3" fontId="9" fillId="4" borderId="45" xfId="0" applyNumberFormat="1" applyFont="1" applyFill="1" applyBorder="1" applyAlignment="1" applyProtection="1">
      <alignment vertical="center"/>
      <protection locked="0"/>
    </xf>
    <xf numFmtId="3" fontId="9" fillId="4" borderId="26" xfId="0" applyNumberFormat="1" applyFont="1" applyFill="1" applyBorder="1" applyAlignment="1" applyProtection="1">
      <alignment vertical="center"/>
      <protection locked="0"/>
    </xf>
    <xf numFmtId="3" fontId="9" fillId="4" borderId="49" xfId="0" applyNumberFormat="1" applyFont="1" applyFill="1" applyBorder="1" applyAlignment="1" applyProtection="1">
      <alignment vertical="center"/>
      <protection locked="0"/>
    </xf>
    <xf numFmtId="3" fontId="1" fillId="2" borderId="0" xfId="0" applyNumberFormat="1" applyFont="1" applyFill="1" applyAlignment="1" applyProtection="1">
      <alignment vertical="center"/>
      <protection locked="0"/>
    </xf>
    <xf numFmtId="0" fontId="58" fillId="0" borderId="0" xfId="0" applyFont="1"/>
    <xf numFmtId="0" fontId="4" fillId="0" borderId="20"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40" xfId="0" applyNumberFormat="1" applyFont="1" applyBorder="1" applyAlignment="1" applyProtection="1">
      <alignment horizontal="justify" vertical="top"/>
    </xf>
    <xf numFmtId="0" fontId="24" fillId="5" borderId="0" xfId="0" applyFont="1" applyFill="1" applyBorder="1" applyAlignment="1" applyProtection="1">
      <alignment horizontal="center" vertical="center" wrapText="1"/>
      <protection hidden="1"/>
    </xf>
    <xf numFmtId="167" fontId="7" fillId="7" borderId="8" xfId="0" applyNumberFormat="1" applyFont="1" applyFill="1" applyBorder="1" applyAlignment="1" applyProtection="1">
      <alignment horizontal="center" vertical="center" wrapText="1"/>
    </xf>
    <xf numFmtId="3" fontId="7" fillId="7" borderId="8" xfId="0" applyNumberFormat="1" applyFont="1" applyFill="1" applyBorder="1" applyAlignment="1" applyProtection="1">
      <alignment horizontal="center" vertical="center" wrapText="1"/>
    </xf>
    <xf numFmtId="167" fontId="7" fillId="0" borderId="8" xfId="2" applyNumberFormat="1" applyFont="1" applyFill="1" applyBorder="1" applyAlignment="1">
      <alignment horizontal="center" vertical="center" wrapText="1"/>
    </xf>
    <xf numFmtId="3" fontId="17" fillId="0" borderId="3" xfId="0" applyNumberFormat="1" applyFont="1" applyFill="1" applyBorder="1" applyAlignment="1" applyProtection="1">
      <alignment vertical="center"/>
      <protection hidden="1"/>
    </xf>
    <xf numFmtId="3" fontId="17" fillId="0" borderId="10" xfId="0" applyNumberFormat="1" applyFont="1" applyFill="1" applyBorder="1" applyAlignment="1" applyProtection="1">
      <alignment vertical="center"/>
      <protection hidden="1"/>
    </xf>
    <xf numFmtId="3" fontId="17" fillId="0" borderId="49" xfId="0" applyNumberFormat="1" applyFont="1" applyFill="1" applyBorder="1" applyAlignment="1" applyProtection="1">
      <alignment vertical="center"/>
      <protection hidden="1"/>
    </xf>
    <xf numFmtId="3" fontId="18" fillId="0" borderId="49" xfId="0" applyNumberFormat="1" applyFont="1" applyFill="1" applyBorder="1" applyAlignment="1" applyProtection="1">
      <alignment vertical="center"/>
      <protection hidden="1"/>
    </xf>
    <xf numFmtId="3" fontId="17" fillId="0" borderId="82" xfId="0" applyNumberFormat="1" applyFont="1" applyFill="1" applyBorder="1" applyAlignment="1" applyProtection="1">
      <alignment vertical="center"/>
      <protection hidden="1"/>
    </xf>
    <xf numFmtId="0" fontId="32" fillId="6" borderId="55" xfId="0" applyFont="1" applyFill="1" applyBorder="1" applyAlignment="1" applyProtection="1">
      <alignment horizontal="center" vertical="center" wrapText="1"/>
      <protection hidden="1"/>
    </xf>
    <xf numFmtId="0" fontId="32" fillId="6" borderId="56" xfId="0" applyFont="1" applyFill="1" applyBorder="1" applyAlignment="1" applyProtection="1">
      <alignment horizontal="center" vertical="center" wrapText="1"/>
      <protection hidden="1"/>
    </xf>
    <xf numFmtId="0" fontId="32" fillId="6" borderId="71" xfId="0" applyFont="1" applyFill="1" applyBorder="1" applyAlignment="1" applyProtection="1">
      <alignment horizontal="center" vertical="center" wrapText="1"/>
      <protection hidden="1"/>
    </xf>
    <xf numFmtId="3" fontId="18" fillId="6" borderId="58" xfId="0" applyNumberFormat="1" applyFont="1" applyFill="1" applyBorder="1" applyAlignment="1" applyProtection="1">
      <alignment vertical="center"/>
      <protection hidden="1"/>
    </xf>
    <xf numFmtId="3" fontId="18" fillId="6" borderId="59" xfId="0" applyNumberFormat="1" applyFont="1" applyFill="1" applyBorder="1" applyAlignment="1" applyProtection="1">
      <alignment vertical="center"/>
      <protection hidden="1"/>
    </xf>
    <xf numFmtId="3" fontId="18" fillId="6" borderId="60" xfId="0" applyNumberFormat="1" applyFont="1" applyFill="1" applyBorder="1" applyAlignment="1" applyProtection="1">
      <alignment vertical="center"/>
      <protection hidden="1"/>
    </xf>
    <xf numFmtId="0" fontId="3" fillId="0" borderId="40" xfId="0" quotePrefix="1" applyFont="1" applyBorder="1" applyAlignment="1" applyProtection="1">
      <alignment horizontal="left"/>
    </xf>
    <xf numFmtId="3" fontId="3" fillId="0" borderId="8" xfId="0" applyNumberFormat="1" applyFont="1" applyFill="1" applyBorder="1" applyAlignment="1" applyProtection="1">
      <alignment horizontal="right" vertical="center"/>
    </xf>
    <xf numFmtId="3" fontId="1" fillId="0" borderId="18" xfId="0" applyNumberFormat="1" applyFont="1" applyFill="1" applyBorder="1" applyAlignment="1" applyProtection="1">
      <alignment vertical="center"/>
    </xf>
    <xf numFmtId="3" fontId="59" fillId="4" borderId="8"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horizontal="right" vertical="center"/>
    </xf>
    <xf numFmtId="3" fontId="47" fillId="0" borderId="14" xfId="0" applyNumberFormat="1" applyFont="1" applyFill="1" applyBorder="1" applyAlignment="1" applyProtection="1">
      <alignment vertical="center"/>
    </xf>
    <xf numFmtId="3" fontId="15" fillId="0" borderId="34" xfId="0" applyNumberFormat="1" applyFont="1" applyFill="1" applyBorder="1" applyAlignment="1" applyProtection="1">
      <alignment horizontal="center" vertical="center"/>
    </xf>
    <xf numFmtId="3" fontId="15" fillId="0" borderId="48" xfId="0" applyNumberFormat="1" applyFont="1" applyFill="1" applyBorder="1" applyAlignment="1" applyProtection="1">
      <alignment horizontal="center" vertical="center"/>
    </xf>
    <xf numFmtId="3" fontId="15" fillId="0" borderId="28" xfId="0" applyNumberFormat="1" applyFont="1" applyFill="1" applyBorder="1" applyAlignment="1" applyProtection="1">
      <alignment horizontal="right" vertical="center"/>
    </xf>
    <xf numFmtId="3" fontId="15" fillId="0" borderId="0" xfId="0" applyNumberFormat="1" applyFont="1" applyFill="1" applyBorder="1" applyAlignment="1" applyProtection="1">
      <alignment horizontal="right" vertical="center"/>
    </xf>
    <xf numFmtId="3" fontId="15" fillId="0" borderId="50" xfId="0" applyNumberFormat="1" applyFont="1" applyFill="1" applyBorder="1" applyAlignment="1" applyProtection="1">
      <alignment horizontal="right" vertical="center"/>
    </xf>
    <xf numFmtId="3" fontId="1" fillId="0" borderId="14" xfId="0" applyNumberFormat="1" applyFont="1" applyFill="1" applyBorder="1" applyAlignment="1" applyProtection="1">
      <alignment vertical="center"/>
    </xf>
    <xf numFmtId="3" fontId="15" fillId="0" borderId="29" xfId="0" applyNumberFormat="1" applyFont="1" applyFill="1" applyBorder="1" applyAlignment="1" applyProtection="1">
      <alignment horizontal="right" vertical="center"/>
    </xf>
    <xf numFmtId="3" fontId="15" fillId="0" borderId="23" xfId="0" applyNumberFormat="1" applyFont="1" applyFill="1" applyBorder="1" applyAlignment="1" applyProtection="1">
      <alignment horizontal="right" vertical="center"/>
    </xf>
    <xf numFmtId="3" fontId="15" fillId="0" borderId="8" xfId="0" applyNumberFormat="1" applyFont="1" applyFill="1" applyBorder="1" applyAlignment="1" applyProtection="1">
      <alignment horizontal="right" vertical="center"/>
    </xf>
    <xf numFmtId="3" fontId="15" fillId="0" borderId="23" xfId="0" applyNumberFormat="1" applyFont="1" applyFill="1" applyBorder="1" applyAlignment="1" applyProtection="1">
      <alignment vertical="center"/>
    </xf>
    <xf numFmtId="3" fontId="15" fillId="0" borderId="48" xfId="0" applyNumberFormat="1" applyFont="1" applyFill="1" applyBorder="1" applyAlignment="1" applyProtection="1">
      <alignment vertical="center"/>
    </xf>
    <xf numFmtId="3" fontId="15" fillId="0" borderId="55" xfId="0" applyNumberFormat="1" applyFont="1" applyFill="1" applyBorder="1" applyAlignment="1" applyProtection="1">
      <alignment vertical="center"/>
    </xf>
    <xf numFmtId="3" fontId="15" fillId="0" borderId="73" xfId="0" applyNumberFormat="1" applyFont="1" applyFill="1" applyBorder="1" applyAlignment="1" applyProtection="1">
      <alignment vertical="center"/>
    </xf>
    <xf numFmtId="3" fontId="15" fillId="0" borderId="24" xfId="0" applyNumberFormat="1" applyFont="1" applyFill="1" applyBorder="1" applyAlignment="1" applyProtection="1">
      <alignment horizontal="right" vertical="center"/>
    </xf>
    <xf numFmtId="3" fontId="1" fillId="8" borderId="9" xfId="0" applyNumberFormat="1" applyFont="1" applyFill="1" applyBorder="1" applyAlignment="1" applyProtection="1">
      <alignment vertical="center"/>
    </xf>
    <xf numFmtId="3" fontId="1" fillId="0" borderId="23" xfId="0" applyNumberFormat="1" applyFont="1" applyFill="1" applyBorder="1" applyAlignment="1" applyProtection="1">
      <alignment horizontal="centerContinuous"/>
    </xf>
    <xf numFmtId="3" fontId="15" fillId="0" borderId="17" xfId="0" applyNumberFormat="1" applyFont="1" applyFill="1" applyBorder="1" applyAlignment="1" applyProtection="1">
      <alignment horizontal="center" vertical="center"/>
    </xf>
    <xf numFmtId="3" fontId="9" fillId="0" borderId="36" xfId="0" applyNumberFormat="1" applyFont="1" applyFill="1" applyBorder="1" applyAlignment="1" applyProtection="1">
      <alignment horizontal="right" vertical="center"/>
    </xf>
    <xf numFmtId="3" fontId="9" fillId="0" borderId="50" xfId="0" applyNumberFormat="1" applyFont="1" applyFill="1" applyBorder="1" applyAlignment="1" applyProtection="1">
      <alignment horizontal="right" vertical="center"/>
    </xf>
    <xf numFmtId="3" fontId="15" fillId="0" borderId="45" xfId="0" applyNumberFormat="1" applyFont="1" applyFill="1" applyBorder="1" applyAlignment="1" applyProtection="1">
      <alignment horizontal="center" vertical="center"/>
    </xf>
    <xf numFmtId="3" fontId="9" fillId="0" borderId="69" xfId="0" applyNumberFormat="1" applyFont="1" applyFill="1" applyBorder="1" applyAlignment="1" applyProtection="1">
      <alignment horizontal="right" vertical="center"/>
    </xf>
    <xf numFmtId="3" fontId="3" fillId="0" borderId="11" xfId="0" applyNumberFormat="1" applyFont="1" applyFill="1" applyBorder="1" applyAlignment="1" applyProtection="1">
      <alignment horizontal="right" vertical="center"/>
    </xf>
    <xf numFmtId="3" fontId="9" fillId="0" borderId="11" xfId="0"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9" fillId="0" borderId="9" xfId="0" applyNumberFormat="1" applyFont="1" applyFill="1" applyBorder="1" applyAlignment="1" applyProtection="1">
      <alignment horizontal="right" vertical="center"/>
    </xf>
    <xf numFmtId="3" fontId="3" fillId="0" borderId="37" xfId="0" applyNumberFormat="1" applyFont="1" applyFill="1" applyBorder="1" applyAlignment="1" applyProtection="1">
      <alignment horizontal="right" vertical="center"/>
    </xf>
    <xf numFmtId="3" fontId="15" fillId="0" borderId="2" xfId="0" applyNumberFormat="1" applyFont="1" applyFill="1" applyBorder="1" applyAlignment="1" applyProtection="1">
      <alignment horizontal="center" vertical="center"/>
    </xf>
    <xf numFmtId="3" fontId="15" fillId="0" borderId="0" xfId="0" applyNumberFormat="1" applyFont="1" applyFill="1" applyBorder="1" applyAlignment="1" applyProtection="1">
      <alignment horizontal="center" vertical="center"/>
    </xf>
    <xf numFmtId="3" fontId="9" fillId="0" borderId="55" xfId="0" applyNumberFormat="1" applyFont="1" applyFill="1" applyBorder="1" applyAlignment="1" applyProtection="1">
      <alignment horizontal="right" vertical="center"/>
    </xf>
    <xf numFmtId="3" fontId="9" fillId="0" borderId="14" xfId="0" applyNumberFormat="1" applyFont="1" applyFill="1" applyBorder="1" applyAlignment="1" applyProtection="1">
      <alignment vertical="center"/>
    </xf>
    <xf numFmtId="3" fontId="9" fillId="0" borderId="56" xfId="0" applyNumberFormat="1" applyFont="1" applyFill="1" applyBorder="1" applyAlignment="1" applyProtection="1">
      <alignment vertical="center"/>
    </xf>
    <xf numFmtId="3" fontId="9" fillId="0" borderId="48" xfId="0" applyNumberFormat="1" applyFont="1" applyFill="1" applyBorder="1" applyAlignment="1" applyProtection="1">
      <alignment vertical="center"/>
    </xf>
    <xf numFmtId="3" fontId="9" fillId="0" borderId="30" xfId="0" applyNumberFormat="1" applyFont="1" applyFill="1" applyBorder="1" applyAlignment="1" applyProtection="1">
      <alignment vertical="center"/>
    </xf>
    <xf numFmtId="3" fontId="60" fillId="4" borderId="8" xfId="0" applyNumberFormat="1" applyFont="1" applyFill="1" applyBorder="1" applyAlignment="1" applyProtection="1">
      <alignment vertical="center"/>
      <protection locked="0"/>
    </xf>
    <xf numFmtId="0" fontId="4" fillId="0" borderId="20"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40" xfId="0" applyNumberFormat="1" applyFont="1" applyBorder="1" applyAlignment="1" applyProtection="1">
      <alignment horizontal="justify" vertical="top"/>
    </xf>
    <xf numFmtId="0" fontId="3" fillId="0" borderId="20" xfId="0" applyFont="1" applyBorder="1" applyAlignment="1" applyProtection="1">
      <alignment horizontal="justify" vertical="top"/>
    </xf>
    <xf numFmtId="0" fontId="3" fillId="0" borderId="0" xfId="0" applyFont="1" applyBorder="1" applyAlignment="1" applyProtection="1">
      <alignment horizontal="justify" vertical="top"/>
    </xf>
    <xf numFmtId="0" fontId="3" fillId="0" borderId="40" xfId="0" applyFont="1" applyBorder="1" applyAlignment="1" applyProtection="1">
      <alignment horizontal="justify" vertical="top"/>
    </xf>
    <xf numFmtId="0" fontId="5" fillId="0" borderId="0" xfId="0" applyFont="1" applyBorder="1" applyAlignment="1" applyProtection="1">
      <alignment horizontal="center"/>
    </xf>
    <xf numFmtId="0" fontId="4" fillId="0" borderId="20" xfId="0" applyFont="1" applyBorder="1" applyAlignment="1" applyProtection="1">
      <alignment horizontal="justify" vertical="top"/>
    </xf>
    <xf numFmtId="0" fontId="4" fillId="0" borderId="0" xfId="0" applyFont="1" applyBorder="1" applyAlignment="1" applyProtection="1">
      <alignment horizontal="justify" vertical="top"/>
    </xf>
    <xf numFmtId="0" fontId="4" fillId="0" borderId="40" xfId="0" applyFont="1" applyBorder="1" applyAlignment="1" applyProtection="1">
      <alignment horizontal="justify" vertical="top"/>
    </xf>
    <xf numFmtId="0" fontId="52" fillId="0" borderId="20" xfId="0" applyFont="1" applyBorder="1" applyAlignment="1" applyProtection="1">
      <alignment horizontal="justify" vertical="top"/>
    </xf>
    <xf numFmtId="0" fontId="52" fillId="0" borderId="0" xfId="0" applyFont="1" applyBorder="1" applyAlignment="1" applyProtection="1">
      <alignment horizontal="justify" vertical="top"/>
    </xf>
    <xf numFmtId="0" fontId="52" fillId="0" borderId="40" xfId="0" applyFont="1" applyBorder="1" applyAlignment="1" applyProtection="1">
      <alignment horizontal="justify" vertical="top"/>
    </xf>
    <xf numFmtId="0" fontId="41" fillId="0" borderId="19" xfId="0" applyFont="1" applyBorder="1" applyAlignment="1" applyProtection="1">
      <alignment horizontal="left" vertical="center" wrapText="1"/>
    </xf>
    <xf numFmtId="0" fontId="41" fillId="0" borderId="14" xfId="0" applyFont="1" applyBorder="1" applyAlignment="1" applyProtection="1">
      <alignment horizontal="left" vertical="center" wrapText="1"/>
    </xf>
    <xf numFmtId="0" fontId="41" fillId="0" borderId="42" xfId="0" applyFont="1" applyBorder="1" applyAlignment="1" applyProtection="1">
      <alignment horizontal="left" vertical="center" wrapText="1"/>
    </xf>
    <xf numFmtId="0" fontId="8" fillId="6" borderId="46" xfId="0" applyFont="1" applyFill="1" applyBorder="1" applyAlignment="1" applyProtection="1">
      <alignment horizontal="center" vertical="center"/>
      <protection locked="0"/>
    </xf>
    <xf numFmtId="0" fontId="8" fillId="6" borderId="48" xfId="0" applyFont="1" applyFill="1" applyBorder="1" applyAlignment="1" applyProtection="1">
      <alignment horizontal="center" vertical="center"/>
      <protection locked="0"/>
    </xf>
    <xf numFmtId="0" fontId="8" fillId="6" borderId="47" xfId="0" applyFont="1" applyFill="1" applyBorder="1" applyAlignment="1" applyProtection="1">
      <alignment horizontal="center" vertical="center"/>
      <protection locked="0"/>
    </xf>
    <xf numFmtId="0" fontId="42" fillId="0" borderId="40" xfId="0" applyFont="1" applyBorder="1" applyAlignment="1" applyProtection="1">
      <alignment horizontal="left" vertical="center" wrapText="1"/>
    </xf>
    <xf numFmtId="0" fontId="19" fillId="0" borderId="19"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4" fillId="0" borderId="41" xfId="0" applyFont="1" applyBorder="1" applyAlignment="1" applyProtection="1">
      <alignment horizontal="center" vertical="justify"/>
    </xf>
    <xf numFmtId="0" fontId="4" fillId="0" borderId="12" xfId="0" applyFont="1" applyBorder="1" applyAlignment="1" applyProtection="1">
      <alignment horizontal="center" vertical="justify"/>
    </xf>
    <xf numFmtId="0" fontId="4" fillId="0" borderId="13" xfId="0" applyFont="1" applyBorder="1" applyAlignment="1" applyProtection="1">
      <alignment horizontal="center" vertical="justify"/>
    </xf>
    <xf numFmtId="0" fontId="3" fillId="0" borderId="20" xfId="0" quotePrefix="1" applyFont="1" applyBorder="1" applyAlignment="1" applyProtection="1">
      <alignment horizontal="justify" vertical="top" wrapText="1"/>
    </xf>
    <xf numFmtId="0" fontId="3" fillId="0" borderId="0" xfId="0" quotePrefix="1" applyFont="1" applyBorder="1" applyAlignment="1" applyProtection="1">
      <alignment horizontal="justify" vertical="top" wrapText="1"/>
    </xf>
    <xf numFmtId="0" fontId="3" fillId="0" borderId="40" xfId="0" quotePrefix="1" applyFont="1" applyBorder="1" applyAlignment="1" applyProtection="1">
      <alignment horizontal="justify" vertical="top" wrapText="1"/>
    </xf>
    <xf numFmtId="0" fontId="3" fillId="0" borderId="19" xfId="0" quotePrefix="1" applyFont="1" applyBorder="1" applyAlignment="1" applyProtection="1">
      <alignment horizontal="left"/>
    </xf>
    <xf numFmtId="0" fontId="3" fillId="0" borderId="14" xfId="0" quotePrefix="1" applyFont="1" applyBorder="1" applyAlignment="1" applyProtection="1">
      <alignment horizontal="left"/>
    </xf>
    <xf numFmtId="0" fontId="3" fillId="0" borderId="42" xfId="0" quotePrefix="1" applyFont="1" applyBorder="1" applyAlignment="1" applyProtection="1">
      <alignment horizontal="left"/>
    </xf>
    <xf numFmtId="3" fontId="4" fillId="2" borderId="50"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xf>
    <xf numFmtId="3" fontId="4" fillId="2" borderId="3" xfId="0" applyNumberFormat="1" applyFont="1" applyFill="1" applyBorder="1" applyAlignment="1" applyProtection="1">
      <alignment horizontal="center" vertical="center"/>
    </xf>
    <xf numFmtId="3" fontId="3" fillId="2" borderId="11" xfId="0" applyNumberFormat="1" applyFont="1" applyFill="1" applyBorder="1" applyAlignment="1" applyProtection="1">
      <alignment horizontal="center"/>
    </xf>
    <xf numFmtId="3" fontId="3" fillId="2" borderId="45" xfId="0" applyNumberFormat="1" applyFont="1" applyFill="1" applyBorder="1" applyAlignment="1" applyProtection="1">
      <alignment horizontal="center"/>
    </xf>
    <xf numFmtId="3" fontId="3" fillId="2" borderId="49" xfId="0" applyNumberFormat="1" applyFont="1" applyFill="1" applyBorder="1" applyAlignment="1" applyProtection="1">
      <alignment horizontal="center"/>
    </xf>
    <xf numFmtId="3" fontId="14" fillId="2" borderId="12" xfId="0" applyNumberFormat="1" applyFont="1" applyFill="1" applyBorder="1" applyAlignment="1" applyProtection="1">
      <alignment horizontal="center"/>
    </xf>
    <xf numFmtId="3" fontId="8" fillId="2" borderId="25"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center" vertical="center" wrapText="1"/>
    </xf>
    <xf numFmtId="3" fontId="8" fillId="2" borderId="3" xfId="0" applyNumberFormat="1" applyFont="1" applyFill="1" applyBorder="1" applyAlignment="1" applyProtection="1">
      <alignment horizontal="center" vertical="center" wrapText="1"/>
    </xf>
    <xf numFmtId="3" fontId="48" fillId="2" borderId="9" xfId="0" applyNumberFormat="1" applyFont="1" applyFill="1" applyBorder="1" applyAlignment="1" applyProtection="1">
      <alignment horizontal="center" vertical="center"/>
    </xf>
    <xf numFmtId="3" fontId="48" fillId="2" borderId="18" xfId="0" applyNumberFormat="1" applyFont="1" applyFill="1" applyBorder="1" applyAlignment="1" applyProtection="1">
      <alignment horizontal="center" vertical="center"/>
    </xf>
    <xf numFmtId="3" fontId="28" fillId="2" borderId="0" xfId="0" applyNumberFormat="1" applyFont="1" applyFill="1" applyBorder="1" applyAlignment="1" applyProtection="1">
      <alignment horizontal="left" vertical="center" indent="5"/>
    </xf>
    <xf numFmtId="3" fontId="28" fillId="2" borderId="12" xfId="0" applyNumberFormat="1" applyFont="1" applyFill="1" applyBorder="1" applyAlignment="1" applyProtection="1">
      <alignment horizontal="left" vertical="center" indent="5"/>
    </xf>
    <xf numFmtId="3" fontId="47" fillId="2" borderId="0" xfId="0" applyNumberFormat="1" applyFont="1" applyFill="1" applyBorder="1" applyAlignment="1" applyProtection="1">
      <alignment horizontal="left" vertical="center"/>
    </xf>
    <xf numFmtId="3" fontId="47" fillId="2" borderId="40" xfId="0" applyNumberFormat="1" applyFont="1" applyFill="1" applyBorder="1" applyAlignment="1" applyProtection="1">
      <alignment horizontal="left" vertical="center"/>
    </xf>
    <xf numFmtId="3" fontId="47" fillId="2" borderId="12" xfId="0" applyNumberFormat="1" applyFont="1" applyFill="1" applyBorder="1" applyAlignment="1" applyProtection="1">
      <alignment horizontal="left" vertical="center"/>
    </xf>
    <xf numFmtId="3" fontId="47" fillId="2" borderId="13" xfId="0" applyNumberFormat="1" applyFont="1" applyFill="1" applyBorder="1" applyAlignment="1" applyProtection="1">
      <alignment horizontal="left" vertical="center"/>
    </xf>
    <xf numFmtId="3" fontId="48" fillId="2" borderId="10" xfId="0" applyNumberFormat="1" applyFont="1" applyFill="1" applyBorder="1" applyAlignment="1" applyProtection="1">
      <alignment horizontal="center" vertical="center"/>
    </xf>
    <xf numFmtId="3" fontId="48" fillId="2" borderId="8" xfId="0" applyNumberFormat="1" applyFont="1" applyFill="1" applyBorder="1" applyAlignment="1" applyProtection="1">
      <alignment horizontal="center" vertical="center"/>
    </xf>
    <xf numFmtId="3" fontId="48" fillId="2" borderId="39" xfId="0" applyNumberFormat="1" applyFont="1" applyFill="1" applyBorder="1" applyAlignment="1" applyProtection="1">
      <alignment horizontal="center" vertical="center"/>
    </xf>
    <xf numFmtId="3" fontId="48" fillId="2" borderId="17" xfId="0" applyNumberFormat="1" applyFont="1" applyFill="1" applyBorder="1" applyAlignment="1" applyProtection="1">
      <alignment horizontal="center" vertical="center"/>
    </xf>
    <xf numFmtId="3" fontId="14" fillId="2" borderId="62" xfId="0" applyNumberFormat="1" applyFont="1" applyFill="1" applyBorder="1" applyAlignment="1" applyProtection="1">
      <alignment horizontal="center" vertical="center"/>
    </xf>
    <xf numFmtId="3" fontId="14" fillId="2" borderId="23" xfId="0" applyNumberFormat="1" applyFont="1" applyFill="1" applyBorder="1" applyAlignment="1" applyProtection="1">
      <alignment horizontal="center" vertical="center"/>
    </xf>
    <xf numFmtId="3" fontId="47" fillId="2" borderId="14" xfId="0" applyNumberFormat="1" applyFont="1" applyFill="1" applyBorder="1" applyAlignment="1" applyProtection="1">
      <alignment horizontal="left" vertical="center"/>
    </xf>
    <xf numFmtId="3" fontId="47" fillId="2" borderId="42" xfId="0" applyNumberFormat="1" applyFont="1" applyFill="1" applyBorder="1" applyAlignment="1" applyProtection="1">
      <alignment horizontal="left" vertical="center"/>
    </xf>
    <xf numFmtId="1" fontId="17" fillId="2" borderId="19" xfId="0" applyNumberFormat="1" applyFont="1" applyFill="1" applyBorder="1" applyAlignment="1" applyProtection="1">
      <alignment horizontal="center" vertical="center"/>
    </xf>
    <xf numFmtId="1" fontId="17" fillId="2" borderId="20" xfId="0" applyNumberFormat="1" applyFont="1" applyFill="1" applyBorder="1" applyAlignment="1" applyProtection="1">
      <alignment horizontal="center" vertical="center"/>
    </xf>
    <xf numFmtId="3" fontId="14" fillId="2" borderId="1" xfId="0" applyNumberFormat="1" applyFont="1" applyFill="1" applyBorder="1" applyAlignment="1" applyProtection="1">
      <alignment horizontal="center" vertical="center" wrapText="1"/>
    </xf>
    <xf numFmtId="3" fontId="14" fillId="2" borderId="4" xfId="0" applyNumberFormat="1" applyFont="1" applyFill="1" applyBorder="1" applyAlignment="1" applyProtection="1">
      <alignment horizontal="center" vertical="center" wrapText="1"/>
    </xf>
    <xf numFmtId="1" fontId="14" fillId="2" borderId="21" xfId="0" applyNumberFormat="1" applyFont="1" applyFill="1" applyBorder="1" applyAlignment="1" applyProtection="1">
      <alignment horizontal="center" vertical="center" wrapText="1"/>
    </xf>
    <xf numFmtId="1" fontId="14" fillId="2" borderId="16" xfId="0" applyNumberFormat="1" applyFont="1" applyFill="1" applyBorder="1" applyAlignment="1" applyProtection="1">
      <alignment horizontal="center" vertical="center" wrapText="1"/>
    </xf>
    <xf numFmtId="3" fontId="28" fillId="2" borderId="14" xfId="0" applyNumberFormat="1" applyFont="1" applyFill="1" applyBorder="1" applyAlignment="1" applyProtection="1">
      <alignment horizontal="left" vertical="center" indent="5"/>
    </xf>
    <xf numFmtId="3" fontId="14" fillId="2" borderId="19" xfId="0" applyNumberFormat="1" applyFont="1" applyFill="1" applyBorder="1" applyAlignment="1" applyProtection="1">
      <alignment horizontal="center" vertical="center"/>
    </xf>
    <xf numFmtId="3" fontId="14" fillId="2" borderId="42" xfId="0" applyNumberFormat="1" applyFont="1" applyFill="1" applyBorder="1" applyAlignment="1" applyProtection="1">
      <alignment horizontal="center" vertical="center"/>
    </xf>
    <xf numFmtId="0" fontId="45" fillId="0" borderId="55"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63" xfId="0" applyFont="1" applyBorder="1" applyAlignment="1">
      <alignment horizontal="center" vertical="center" wrapText="1"/>
    </xf>
    <xf numFmtId="1" fontId="27" fillId="2" borderId="12" xfId="0" applyNumberFormat="1" applyFont="1" applyFill="1" applyBorder="1" applyAlignment="1" applyProtection="1">
      <alignment horizontal="left" vertical="center"/>
    </xf>
    <xf numFmtId="3" fontId="14" fillId="2" borderId="12" xfId="0" applyNumberFormat="1" applyFont="1" applyFill="1" applyBorder="1" applyAlignment="1" applyProtection="1">
      <alignment horizontal="left" vertical="top" wrapText="1"/>
    </xf>
    <xf numFmtId="3" fontId="47" fillId="2" borderId="0" xfId="0" applyNumberFormat="1" applyFont="1" applyFill="1" applyBorder="1" applyAlignment="1" applyProtection="1">
      <alignment horizontal="left" vertical="center" indent="1"/>
    </xf>
    <xf numFmtId="3" fontId="47" fillId="2" borderId="40" xfId="0" applyNumberFormat="1" applyFont="1" applyFill="1" applyBorder="1" applyAlignment="1" applyProtection="1">
      <alignment horizontal="left" vertical="center" indent="1"/>
    </xf>
    <xf numFmtId="3" fontId="47" fillId="2" borderId="12" xfId="0" applyNumberFormat="1" applyFont="1" applyFill="1" applyBorder="1" applyAlignment="1" applyProtection="1">
      <alignment horizontal="left" vertical="center" indent="1"/>
    </xf>
    <xf numFmtId="3" fontId="47" fillId="2" borderId="13" xfId="0" applyNumberFormat="1" applyFont="1" applyFill="1" applyBorder="1" applyAlignment="1" applyProtection="1">
      <alignment horizontal="left" vertical="center" indent="1"/>
    </xf>
    <xf numFmtId="3" fontId="7" fillId="2" borderId="4" xfId="0" applyNumberFormat="1" applyFont="1" applyFill="1" applyBorder="1" applyAlignment="1" applyProtection="1">
      <alignment horizontal="center" vertical="center" wrapText="1"/>
    </xf>
    <xf numFmtId="3" fontId="7" fillId="2" borderId="64" xfId="0" applyNumberFormat="1" applyFont="1" applyFill="1" applyBorder="1" applyAlignment="1" applyProtection="1">
      <alignment horizontal="center" vertical="center" wrapText="1"/>
    </xf>
    <xf numFmtId="3" fontId="48" fillId="2" borderId="34" xfId="0" applyNumberFormat="1" applyFont="1" applyFill="1" applyBorder="1" applyAlignment="1" applyProtection="1">
      <alignment horizontal="center" vertical="center"/>
    </xf>
    <xf numFmtId="3" fontId="48" fillId="2" borderId="73" xfId="0" applyNumberFormat="1" applyFont="1" applyFill="1" applyBorder="1" applyAlignment="1" applyProtection="1">
      <alignment horizontal="center" vertical="center"/>
    </xf>
    <xf numFmtId="3" fontId="28" fillId="2" borderId="14" xfId="0" applyNumberFormat="1" applyFont="1" applyFill="1" applyBorder="1" applyAlignment="1" applyProtection="1">
      <alignment horizontal="right" vertical="center"/>
    </xf>
    <xf numFmtId="3" fontId="14" fillId="2" borderId="25" xfId="0" applyNumberFormat="1" applyFont="1" applyFill="1" applyBorder="1" applyAlignment="1" applyProtection="1">
      <alignment horizontal="center" vertical="center"/>
    </xf>
    <xf numFmtId="3" fontId="14" fillId="2" borderId="14" xfId="0" applyNumberFormat="1" applyFont="1" applyFill="1" applyBorder="1" applyAlignment="1" applyProtection="1">
      <alignment horizontal="center" vertical="center"/>
    </xf>
    <xf numFmtId="3" fontId="14" fillId="2" borderId="20" xfId="0" applyNumberFormat="1" applyFont="1" applyFill="1" applyBorder="1" applyAlignment="1" applyProtection="1">
      <alignment horizontal="center" vertical="center"/>
    </xf>
    <xf numFmtId="3" fontId="14" fillId="2" borderId="0" xfId="0" applyNumberFormat="1" applyFont="1" applyFill="1" applyBorder="1" applyAlignment="1" applyProtection="1">
      <alignment horizontal="center" vertical="center"/>
    </xf>
    <xf numFmtId="0" fontId="45" fillId="0" borderId="66"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73" xfId="0" applyFont="1" applyBorder="1" applyAlignment="1">
      <alignment horizontal="center" vertical="center" wrapText="1"/>
    </xf>
    <xf numFmtId="0" fontId="17" fillId="2" borderId="19"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7" fillId="2" borderId="50"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7" fillId="2" borderId="63" xfId="0" applyFont="1" applyFill="1" applyBorder="1" applyAlignment="1" applyProtection="1">
      <alignment horizontal="center" vertical="center"/>
    </xf>
    <xf numFmtId="164" fontId="30" fillId="2" borderId="19" xfId="0" applyNumberFormat="1" applyFont="1" applyFill="1" applyBorder="1" applyAlignment="1" applyProtection="1">
      <alignment horizontal="center" vertical="center"/>
    </xf>
    <xf numFmtId="164" fontId="30" fillId="2" borderId="14" xfId="0" applyNumberFormat="1" applyFont="1" applyFill="1" applyBorder="1" applyAlignment="1" applyProtection="1">
      <alignment horizontal="center" vertical="center"/>
    </xf>
    <xf numFmtId="3" fontId="30" fillId="2" borderId="0" xfId="0" applyNumberFormat="1" applyFont="1" applyFill="1" applyBorder="1" applyAlignment="1" applyProtection="1">
      <alignment horizontal="center" vertical="center" wrapText="1"/>
    </xf>
    <xf numFmtId="3" fontId="48" fillId="2" borderId="57" xfId="0" applyNumberFormat="1" applyFont="1" applyFill="1" applyBorder="1" applyAlignment="1" applyProtection="1">
      <alignment horizontal="center" vertical="center"/>
    </xf>
    <xf numFmtId="3" fontId="48" fillId="2" borderId="75" xfId="0" applyNumberFormat="1" applyFont="1" applyFill="1" applyBorder="1" applyAlignment="1" applyProtection="1">
      <alignment horizontal="center" vertical="center"/>
    </xf>
    <xf numFmtId="3" fontId="48" fillId="2" borderId="41" xfId="0" applyNumberFormat="1" applyFont="1" applyFill="1" applyBorder="1" applyAlignment="1" applyProtection="1">
      <alignment horizontal="center" vertical="center"/>
    </xf>
    <xf numFmtId="3" fontId="48" fillId="2" borderId="58"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3" fontId="8" fillId="2" borderId="2"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center" vertical="center"/>
    </xf>
    <xf numFmtId="3" fontId="15" fillId="2" borderId="25" xfId="0" applyNumberFormat="1" applyFont="1" applyFill="1" applyBorder="1" applyAlignment="1" applyProtection="1">
      <alignment horizontal="center" vertical="center" wrapText="1"/>
    </xf>
    <xf numFmtId="3" fontId="15" fillId="2" borderId="2" xfId="0" applyNumberFormat="1" applyFont="1" applyFill="1" applyBorder="1" applyAlignment="1" applyProtection="1">
      <alignment horizontal="center" vertical="center" wrapText="1"/>
    </xf>
    <xf numFmtId="3" fontId="15" fillId="2" borderId="3" xfId="0" applyNumberFormat="1" applyFont="1" applyFill="1" applyBorder="1" applyAlignment="1" applyProtection="1">
      <alignment horizontal="center" vertical="center" wrapText="1"/>
    </xf>
    <xf numFmtId="3" fontId="30" fillId="2" borderId="25" xfId="0" applyNumberFormat="1" applyFont="1" applyFill="1" applyBorder="1" applyAlignment="1" applyProtection="1">
      <alignment horizontal="center" vertical="center"/>
    </xf>
    <xf numFmtId="3" fontId="30" fillId="2" borderId="2" xfId="0" applyNumberFormat="1" applyFont="1" applyFill="1" applyBorder="1" applyAlignment="1" applyProtection="1">
      <alignment horizontal="center" vertical="center"/>
    </xf>
    <xf numFmtId="3" fontId="30" fillId="2" borderId="3" xfId="0" applyNumberFormat="1" applyFont="1" applyFill="1" applyBorder="1" applyAlignment="1" applyProtection="1">
      <alignment horizontal="center" vertical="center"/>
    </xf>
    <xf numFmtId="3" fontId="14" fillId="2" borderId="25" xfId="0" applyNumberFormat="1" applyFont="1" applyFill="1" applyBorder="1" applyAlignment="1" applyProtection="1">
      <alignment horizontal="center" vertical="center" wrapText="1"/>
    </xf>
    <xf numFmtId="3" fontId="14" fillId="2" borderId="3" xfId="0" applyNumberFormat="1" applyFont="1" applyFill="1" applyBorder="1" applyAlignment="1" applyProtection="1">
      <alignment horizontal="center" vertical="center" wrapText="1"/>
    </xf>
    <xf numFmtId="3" fontId="28" fillId="2" borderId="0" xfId="0" applyNumberFormat="1" applyFont="1" applyFill="1" applyBorder="1" applyAlignment="1" applyProtection="1">
      <alignment horizontal="right" vertical="center"/>
    </xf>
    <xf numFmtId="3" fontId="28" fillId="2" borderId="12" xfId="0" applyNumberFormat="1" applyFont="1" applyFill="1" applyBorder="1" applyAlignment="1" applyProtection="1">
      <alignment horizontal="right" vertical="center"/>
    </xf>
    <xf numFmtId="3" fontId="14" fillId="2" borderId="24" xfId="0" applyNumberFormat="1" applyFont="1" applyFill="1" applyBorder="1" applyAlignment="1" applyProtection="1">
      <alignment horizontal="center" vertical="center" wrapText="1"/>
    </xf>
    <xf numFmtId="3" fontId="14" fillId="2" borderId="18" xfId="0" applyNumberFormat="1" applyFont="1" applyFill="1" applyBorder="1" applyAlignment="1" applyProtection="1">
      <alignment horizontal="center" vertical="center" wrapText="1"/>
    </xf>
    <xf numFmtId="1" fontId="14" fillId="2" borderId="55" xfId="0" applyNumberFormat="1" applyFont="1" applyFill="1" applyBorder="1" applyAlignment="1" applyProtection="1">
      <alignment horizontal="center" vertical="center"/>
    </xf>
    <xf numFmtId="1" fontId="14" fillId="2" borderId="44" xfId="0" applyNumberFormat="1" applyFont="1" applyFill="1" applyBorder="1" applyAlignment="1" applyProtection="1">
      <alignment horizontal="center" vertical="center"/>
    </xf>
    <xf numFmtId="3" fontId="14" fillId="2" borderId="66" xfId="0" applyNumberFormat="1" applyFont="1" applyFill="1" applyBorder="1" applyAlignment="1" applyProtection="1">
      <alignment horizontal="center" vertical="center" wrapText="1"/>
    </xf>
    <xf numFmtId="3" fontId="14" fillId="2" borderId="43" xfId="0" applyNumberFormat="1" applyFont="1" applyFill="1" applyBorder="1" applyAlignment="1" applyProtection="1">
      <alignment horizontal="center" vertical="center" wrapText="1"/>
    </xf>
    <xf numFmtId="3" fontId="30" fillId="2" borderId="12" xfId="0" applyNumberFormat="1" applyFont="1" applyFill="1" applyBorder="1" applyAlignment="1" applyProtection="1">
      <alignment horizontal="center" vertical="center" wrapText="1"/>
    </xf>
    <xf numFmtId="3" fontId="14" fillId="2" borderId="12" xfId="0" applyNumberFormat="1" applyFont="1" applyFill="1" applyBorder="1" applyAlignment="1" applyProtection="1">
      <alignment horizontal="left" vertical="center" wrapText="1"/>
    </xf>
    <xf numFmtId="0" fontId="17" fillId="2" borderId="76" xfId="0" applyFont="1" applyFill="1" applyBorder="1" applyAlignment="1" applyProtection="1">
      <alignment horizontal="center" vertical="center"/>
    </xf>
    <xf numFmtId="0" fontId="15" fillId="2" borderId="77" xfId="0" applyFont="1" applyFill="1" applyBorder="1" applyAlignment="1" applyProtection="1">
      <alignment horizontal="center" vertical="center" wrapText="1"/>
    </xf>
    <xf numFmtId="0" fontId="15" fillId="2" borderId="78" xfId="0" applyFont="1" applyFill="1" applyBorder="1" applyAlignment="1" applyProtection="1">
      <alignment horizontal="center" vertical="center" wrapText="1"/>
    </xf>
    <xf numFmtId="0" fontId="15" fillId="2" borderId="79" xfId="0" applyFont="1" applyFill="1" applyBorder="1" applyAlignment="1" applyProtection="1">
      <alignment horizontal="center" vertical="center" wrapText="1"/>
    </xf>
    <xf numFmtId="0" fontId="15" fillId="2" borderId="80" xfId="0" applyFont="1" applyFill="1" applyBorder="1" applyAlignment="1" applyProtection="1">
      <alignment horizontal="center" vertical="center" wrapText="1"/>
    </xf>
    <xf numFmtId="1" fontId="17" fillId="2" borderId="21" xfId="0" applyNumberFormat="1" applyFont="1" applyFill="1" applyBorder="1" applyAlignment="1" applyProtection="1">
      <alignment horizontal="center" vertical="center" wrapText="1"/>
    </xf>
    <xf numFmtId="1" fontId="17" fillId="2" borderId="16"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43" fillId="0" borderId="66" xfId="0" applyFont="1" applyBorder="1" applyAlignment="1">
      <alignment horizontal="center" vertical="center" wrapText="1"/>
    </xf>
    <xf numFmtId="0" fontId="43" fillId="0" borderId="55" xfId="0" applyFont="1" applyBorder="1" applyAlignment="1">
      <alignment horizontal="center" vertical="center" wrapText="1"/>
    </xf>
    <xf numFmtId="3" fontId="18" fillId="6" borderId="46" xfId="0" applyNumberFormat="1" applyFont="1" applyFill="1" applyBorder="1" applyAlignment="1" applyProtection="1">
      <alignment horizontal="center" vertical="center"/>
      <protection hidden="1"/>
    </xf>
    <xf numFmtId="3" fontId="18" fillId="6" borderId="48" xfId="0" applyNumberFormat="1" applyFont="1" applyFill="1" applyBorder="1" applyAlignment="1" applyProtection="1">
      <alignment horizontal="center" vertical="center"/>
      <protection hidden="1"/>
    </xf>
    <xf numFmtId="3" fontId="18" fillId="0" borderId="26" xfId="0" applyNumberFormat="1" applyFont="1" applyFill="1" applyBorder="1" applyAlignment="1" applyProtection="1">
      <alignment horizontal="center" vertical="center"/>
      <protection hidden="1"/>
    </xf>
    <xf numFmtId="3" fontId="18" fillId="0" borderId="45" xfId="0" applyNumberFormat="1" applyFont="1" applyFill="1" applyBorder="1" applyAlignment="1" applyProtection="1">
      <alignment horizontal="center" vertical="center"/>
      <protection hidden="1"/>
    </xf>
    <xf numFmtId="0" fontId="31" fillId="6" borderId="1" xfId="0" applyFont="1" applyFill="1" applyBorder="1" applyAlignment="1" applyProtection="1">
      <alignment horizontal="center" vertical="center" wrapText="1"/>
      <protection hidden="1"/>
    </xf>
    <xf numFmtId="0" fontId="31" fillId="6" borderId="4" xfId="0" applyFont="1" applyFill="1" applyBorder="1" applyAlignment="1" applyProtection="1">
      <alignment horizontal="center" vertical="center" wrapText="1"/>
      <protection hidden="1"/>
    </xf>
    <xf numFmtId="0" fontId="16" fillId="6" borderId="1" xfId="0" applyFont="1" applyFill="1" applyBorder="1" applyAlignment="1" applyProtection="1">
      <alignment horizontal="center" vertical="center" wrapText="1"/>
      <protection hidden="1"/>
    </xf>
    <xf numFmtId="0" fontId="16" fillId="6" borderId="4" xfId="0" applyFont="1" applyFill="1" applyBorder="1" applyAlignment="1" applyProtection="1">
      <alignment horizontal="center" vertical="center" wrapText="1"/>
      <protection hidden="1"/>
    </xf>
    <xf numFmtId="0" fontId="16" fillId="6" borderId="64" xfId="0" applyFont="1" applyFill="1" applyBorder="1" applyAlignment="1" applyProtection="1">
      <alignment horizontal="center" vertical="center" wrapText="1"/>
      <protection hidden="1"/>
    </xf>
    <xf numFmtId="0" fontId="16" fillId="6" borderId="19" xfId="0" applyFont="1" applyFill="1" applyBorder="1" applyAlignment="1" applyProtection="1">
      <alignment horizontal="center" vertical="center" wrapText="1"/>
      <protection hidden="1"/>
    </xf>
    <xf numFmtId="0" fontId="16" fillId="6" borderId="42" xfId="0" applyFont="1" applyFill="1" applyBorder="1" applyAlignment="1" applyProtection="1">
      <alignment horizontal="center" vertical="center" wrapText="1"/>
      <protection hidden="1"/>
    </xf>
    <xf numFmtId="0" fontId="16" fillId="6" borderId="41" xfId="0" applyFont="1" applyFill="1" applyBorder="1" applyAlignment="1" applyProtection="1">
      <alignment horizontal="center" vertical="center" wrapText="1"/>
      <protection hidden="1"/>
    </xf>
    <xf numFmtId="0" fontId="16" fillId="6" borderId="12" xfId="0" applyFont="1" applyFill="1" applyBorder="1" applyAlignment="1" applyProtection="1">
      <alignment horizontal="center" vertical="center" wrapText="1"/>
      <protection hidden="1"/>
    </xf>
    <xf numFmtId="3" fontId="17" fillId="0" borderId="25" xfId="0" applyNumberFormat="1" applyFont="1" applyFill="1" applyBorder="1" applyAlignment="1" applyProtection="1">
      <alignment horizontal="center" vertical="center"/>
      <protection hidden="1"/>
    </xf>
    <xf numFmtId="3" fontId="17" fillId="0" borderId="2" xfId="0" applyNumberFormat="1" applyFont="1" applyFill="1" applyBorder="1" applyAlignment="1" applyProtection="1">
      <alignment horizontal="center" vertical="center"/>
      <protection hidden="1"/>
    </xf>
    <xf numFmtId="3" fontId="17" fillId="0" borderId="26" xfId="0" applyNumberFormat="1" applyFont="1" applyFill="1" applyBorder="1" applyAlignment="1" applyProtection="1">
      <alignment horizontal="center" vertical="center"/>
      <protection hidden="1"/>
    </xf>
    <xf numFmtId="3" fontId="17" fillId="0" borderId="45" xfId="0" applyNumberFormat="1" applyFont="1" applyFill="1" applyBorder="1" applyAlignment="1" applyProtection="1">
      <alignment horizontal="center" vertical="center"/>
      <protection hidden="1"/>
    </xf>
    <xf numFmtId="0" fontId="16" fillId="6" borderId="20" xfId="0" applyFont="1" applyFill="1" applyBorder="1" applyAlignment="1" applyProtection="1">
      <alignment horizontal="center" vertical="center" wrapText="1"/>
      <protection hidden="1"/>
    </xf>
    <xf numFmtId="3" fontId="17" fillId="0" borderId="27" xfId="0" applyNumberFormat="1" applyFont="1" applyFill="1" applyBorder="1" applyAlignment="1" applyProtection="1">
      <alignment horizontal="center" vertical="center"/>
      <protection hidden="1"/>
    </xf>
    <xf numFmtId="3" fontId="17" fillId="0" borderId="84" xfId="0" applyNumberFormat="1" applyFont="1" applyFill="1" applyBorder="1" applyAlignment="1" applyProtection="1">
      <alignment horizontal="center" vertical="center"/>
      <protection hidden="1"/>
    </xf>
    <xf numFmtId="0" fontId="20" fillId="2" borderId="0" xfId="0" applyFont="1" applyFill="1" applyAlignment="1" applyProtection="1">
      <alignment horizontal="center"/>
      <protection hidden="1"/>
    </xf>
    <xf numFmtId="0" fontId="39" fillId="2" borderId="0" xfId="0" applyFont="1" applyFill="1" applyAlignment="1" applyProtection="1">
      <alignment horizontal="left"/>
      <protection hidden="1"/>
    </xf>
    <xf numFmtId="0" fontId="24" fillId="5" borderId="0" xfId="0" applyFont="1" applyFill="1" applyBorder="1" applyAlignment="1" applyProtection="1">
      <alignment horizontal="center" vertical="center" wrapText="1"/>
      <protection hidden="1"/>
    </xf>
    <xf numFmtId="0" fontId="31" fillId="6" borderId="64" xfId="0" applyFont="1" applyFill="1" applyBorder="1" applyAlignment="1" applyProtection="1">
      <alignment horizontal="center" vertical="center" wrapText="1"/>
      <protection hidden="1"/>
    </xf>
    <xf numFmtId="0" fontId="33" fillId="6" borderId="52" xfId="0" applyFont="1" applyFill="1" applyBorder="1" applyAlignment="1" applyProtection="1">
      <alignment horizontal="center" vertical="center" wrapText="1"/>
      <protection hidden="1"/>
    </xf>
    <xf numFmtId="0" fontId="33" fillId="6" borderId="33" xfId="0" applyFont="1" applyFill="1" applyBorder="1" applyAlignment="1" applyProtection="1">
      <alignment horizontal="center" vertical="center" wrapText="1"/>
      <protection hidden="1"/>
    </xf>
    <xf numFmtId="3" fontId="36" fillId="0" borderId="0" xfId="0" applyNumberFormat="1" applyFont="1" applyAlignment="1" applyProtection="1">
      <alignment horizontal="center" vertical="top"/>
      <protection hidden="1"/>
    </xf>
    <xf numFmtId="0" fontId="36" fillId="0" borderId="0" xfId="0" applyFont="1" applyFill="1" applyBorder="1" applyAlignment="1" applyProtection="1">
      <alignment horizontal="center" vertical="center"/>
    </xf>
    <xf numFmtId="167" fontId="7" fillId="7" borderId="8"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xf>
    <xf numFmtId="3" fontId="7" fillId="7" borderId="8" xfId="0" applyNumberFormat="1" applyFont="1" applyFill="1" applyBorder="1" applyAlignment="1" applyProtection="1">
      <alignment horizontal="center" vertical="center" wrapText="1"/>
    </xf>
    <xf numFmtId="167" fontId="7" fillId="7" borderId="7" xfId="0" applyNumberFormat="1" applyFont="1" applyFill="1" applyBorder="1" applyAlignment="1" applyProtection="1">
      <alignment horizontal="center" vertical="center" wrapText="1"/>
    </xf>
    <xf numFmtId="167" fontId="7" fillId="7" borderId="30" xfId="0" applyNumberFormat="1" applyFont="1" applyFill="1" applyBorder="1" applyAlignment="1" applyProtection="1">
      <alignment horizontal="center" vertical="center" wrapText="1"/>
    </xf>
    <xf numFmtId="167" fontId="7" fillId="0" borderId="7" xfId="2" applyNumberFormat="1" applyFont="1" applyFill="1" applyBorder="1" applyAlignment="1">
      <alignment horizontal="center" vertical="center" wrapText="1"/>
    </xf>
    <xf numFmtId="167" fontId="7" fillId="0" borderId="30" xfId="2" applyNumberFormat="1" applyFont="1" applyFill="1" applyBorder="1" applyAlignment="1">
      <alignment horizontal="center" vertical="center" wrapText="1"/>
    </xf>
    <xf numFmtId="167" fontId="7" fillId="0" borderId="11" xfId="2" applyNumberFormat="1" applyFont="1" applyFill="1" applyBorder="1" applyAlignment="1">
      <alignment horizontal="center" vertical="center" wrapText="1"/>
    </xf>
    <xf numFmtId="167" fontId="7" fillId="0" borderId="10" xfId="2" applyNumberFormat="1" applyFont="1" applyFill="1" applyBorder="1" applyAlignment="1">
      <alignment horizontal="center" vertical="center" wrapText="1"/>
    </xf>
    <xf numFmtId="167" fontId="7" fillId="0" borderId="8" xfId="2" applyNumberFormat="1" applyFont="1" applyFill="1" applyBorder="1" applyAlignment="1">
      <alignment horizontal="center" vertical="center" wrapText="1"/>
    </xf>
    <xf numFmtId="0" fontId="36" fillId="0" borderId="20" xfId="2" applyFont="1" applyFill="1" applyBorder="1" applyAlignment="1" applyProtection="1">
      <alignment horizontal="center" vertical="center"/>
    </xf>
    <xf numFmtId="0" fontId="36" fillId="0" borderId="0" xfId="2" applyFont="1" applyFill="1" applyBorder="1" applyAlignment="1" applyProtection="1">
      <alignment horizontal="center" vertical="center"/>
    </xf>
    <xf numFmtId="3" fontId="36" fillId="0" borderId="20" xfId="2" applyNumberFormat="1" applyFont="1" applyFill="1" applyBorder="1" applyAlignment="1" applyProtection="1">
      <alignment horizontal="center" vertical="center"/>
    </xf>
    <xf numFmtId="3" fontId="36" fillId="0" borderId="0" xfId="2" applyNumberFormat="1" applyFont="1" applyFill="1" applyBorder="1" applyAlignment="1" applyProtection="1">
      <alignment horizontal="center" vertical="center"/>
    </xf>
  </cellXfs>
  <cellStyles count="4">
    <cellStyle name="Euro" xfId="1"/>
    <cellStyle name="Normal" xfId="0" builtinId="0"/>
    <cellStyle name="Normal 2" xfId="2"/>
    <cellStyle name="Porcentual 2" xfId="3"/>
  </cellStyles>
  <dxfs count="12">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s>
  <tableStyles count="0" defaultTableStyle="TableStyleMedium9" defaultPivotStyle="PivotStyleLight16"/>
  <colors>
    <mruColors>
      <color rgb="FF00CCFF"/>
      <color rgb="FF66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JUNIO%202011\ABEJORRAL\ABEJORRAL%202%20TRIM%20VALIDADO\VALIDADOR%202193%20TRIMEST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SEPTIEMBRE%202011\AMAGA\VALIDADOR%202193%20TRIMEST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SEGUIMIENTO A EQUILIBRIO"/>
      <sheetName val="DATOS PARA CONCILIAR"/>
      <sheetName val="VALIDACION BALANCES Vs CHIP"/>
    </sheetNames>
    <sheetDataSet>
      <sheetData sheetId="0"/>
      <sheetData sheetId="1"/>
      <sheetData sheetId="2">
        <row r="1">
          <cell r="AJ1">
            <v>1</v>
          </cell>
          <cell r="AK1" t="str">
            <v>TOTAL ACTIVO</v>
          </cell>
          <cell r="AL1">
            <v>3384320891</v>
          </cell>
        </row>
        <row r="2">
          <cell r="AJ2">
            <v>11</v>
          </cell>
          <cell r="AK2" t="str">
            <v>EFECTIVO</v>
          </cell>
          <cell r="AL2">
            <v>84648095</v>
          </cell>
        </row>
        <row r="3">
          <cell r="AJ3">
            <v>0</v>
          </cell>
          <cell r="AK3">
            <v>0</v>
          </cell>
          <cell r="AL3">
            <v>0</v>
          </cell>
        </row>
        <row r="4">
          <cell r="AJ4">
            <v>1105</v>
          </cell>
          <cell r="AK4" t="str">
            <v>CAJA</v>
          </cell>
          <cell r="AL4">
            <v>4114542</v>
          </cell>
        </row>
        <row r="5">
          <cell r="AJ5">
            <v>110501</v>
          </cell>
          <cell r="AK5" t="str">
            <v>Caja Principal</v>
          </cell>
          <cell r="AL5">
            <v>3314542</v>
          </cell>
        </row>
        <row r="6">
          <cell r="AJ6">
            <v>110502</v>
          </cell>
          <cell r="AK6" t="str">
            <v>Cajas Menores</v>
          </cell>
          <cell r="AL6">
            <v>800000</v>
          </cell>
        </row>
        <row r="7">
          <cell r="AJ7">
            <v>1110</v>
          </cell>
          <cell r="AK7" t="str">
            <v>BANCOS Y CORPORACIONES</v>
          </cell>
          <cell r="AL7">
            <v>20349982</v>
          </cell>
        </row>
        <row r="8">
          <cell r="AJ8" t="str">
            <v>111005-111090</v>
          </cell>
          <cell r="AK8" t="str">
            <v>Cuenta Corriente Bancaria</v>
          </cell>
          <cell r="AL8">
            <v>12058197</v>
          </cell>
        </row>
        <row r="9">
          <cell r="AJ9">
            <v>111006</v>
          </cell>
          <cell r="AK9" t="str">
            <v>Cuenta de Ahorro</v>
          </cell>
          <cell r="AL9">
            <v>8291785</v>
          </cell>
        </row>
        <row r="10">
          <cell r="AJ10">
            <v>1112</v>
          </cell>
          <cell r="AK10" t="str">
            <v>ADMINISTRACIÓN DE LIQUIDEZ</v>
          </cell>
          <cell r="AL10">
            <v>60183571</v>
          </cell>
        </row>
        <row r="11">
          <cell r="AJ11">
            <v>1120</v>
          </cell>
          <cell r="AK11" t="str">
            <v>FONDOS EN TRANSITO</v>
          </cell>
          <cell r="AL11">
            <v>0</v>
          </cell>
        </row>
        <row r="12">
          <cell r="AJ12">
            <v>12</v>
          </cell>
          <cell r="AK12" t="str">
            <v>INVERSIONES</v>
          </cell>
          <cell r="AL12">
            <v>10370369</v>
          </cell>
        </row>
        <row r="13">
          <cell r="AJ13" t="str">
            <v>1201-1202-120203</v>
          </cell>
          <cell r="AK13" t="str">
            <v>INVERS ADMINISTRACIÓN DE LIQUIDEZ EN TÍTULOS DE DEUDAY TITULOS PARTICIPATIVOS</v>
          </cell>
          <cell r="AL13">
            <v>10370369</v>
          </cell>
        </row>
        <row r="14">
          <cell r="AJ14">
            <v>1207</v>
          </cell>
          <cell r="AK14" t="str">
            <v>INVERSIONES PATRIMONIALES EN ENTIDADES NO CONTROLADAS</v>
          </cell>
          <cell r="AL14">
            <v>0</v>
          </cell>
        </row>
        <row r="15">
          <cell r="AJ15">
            <v>13</v>
          </cell>
          <cell r="AK15" t="str">
            <v>RENTAS POR COBRAR</v>
          </cell>
          <cell r="AL15">
            <v>0</v>
          </cell>
        </row>
        <row r="16">
          <cell r="AJ16">
            <v>14</v>
          </cell>
          <cell r="AK16" t="str">
            <v>DEUDORES</v>
          </cell>
          <cell r="AL16">
            <v>838199086</v>
          </cell>
        </row>
        <row r="17">
          <cell r="AJ17">
            <v>1409</v>
          </cell>
          <cell r="AK17" t="str">
            <v>SERVICIOS DE SALUD</v>
          </cell>
          <cell r="AL17">
            <v>863263362</v>
          </cell>
        </row>
        <row r="18">
          <cell r="AJ18">
            <v>1420</v>
          </cell>
          <cell r="AK18" t="str">
            <v>AVANCES Y ANTICIPOS ENTREGADOS</v>
          </cell>
          <cell r="AL18">
            <v>0</v>
          </cell>
        </row>
        <row r="19">
          <cell r="AJ19">
            <v>1470</v>
          </cell>
          <cell r="AK19" t="str">
            <v>OTROS DEUDORES</v>
          </cell>
          <cell r="AL19">
            <v>6361802</v>
          </cell>
        </row>
        <row r="20">
          <cell r="AJ20">
            <v>1475</v>
          </cell>
          <cell r="AK20" t="str">
            <v>DEUDAS DE DIFICIL COBRO</v>
          </cell>
          <cell r="AL20">
            <v>9243268</v>
          </cell>
        </row>
        <row r="21">
          <cell r="AJ21">
            <v>148014</v>
          </cell>
          <cell r="AK21" t="str">
            <v>Provision para deudores (Servicios de Salud) digite el valor con signo positivo</v>
          </cell>
          <cell r="AL21">
            <v>40669346</v>
          </cell>
        </row>
        <row r="22">
          <cell r="AJ22">
            <v>15</v>
          </cell>
          <cell r="AK22" t="str">
            <v>INVENTARIOS</v>
          </cell>
          <cell r="AL22">
            <v>61273123</v>
          </cell>
        </row>
        <row r="23">
          <cell r="AJ23">
            <v>16</v>
          </cell>
          <cell r="AK23" t="str">
            <v xml:space="preserve">PROPIEDAD, PLANTA Y EQUIPO  </v>
          </cell>
          <cell r="AL23">
            <v>787888400</v>
          </cell>
        </row>
        <row r="24">
          <cell r="AJ24">
            <v>19</v>
          </cell>
          <cell r="AK24" t="str">
            <v>OTROS ACTIVOS</v>
          </cell>
          <cell r="AL24">
            <v>1601941818</v>
          </cell>
        </row>
        <row r="25">
          <cell r="AJ25">
            <v>1905</v>
          </cell>
          <cell r="AK25" t="str">
            <v>BIENES Y SERVICIOS PAGADOS POR ANTICIPADO</v>
          </cell>
          <cell r="AL25">
            <v>295422019</v>
          </cell>
        </row>
        <row r="26">
          <cell r="AJ26">
            <v>1910</v>
          </cell>
          <cell r="AK26" t="str">
            <v>CARGOS DIFERIDOS</v>
          </cell>
          <cell r="AL26">
            <v>106507031</v>
          </cell>
        </row>
        <row r="27">
          <cell r="AJ27">
            <v>1960</v>
          </cell>
          <cell r="AK27" t="str">
            <v>BIENES DE ARTE Y CULTURA</v>
          </cell>
          <cell r="AL27">
            <v>0</v>
          </cell>
        </row>
        <row r="28">
          <cell r="AJ28">
            <v>1970</v>
          </cell>
          <cell r="AK28" t="str">
            <v>INTANGIBLES</v>
          </cell>
          <cell r="AL28">
            <v>44934400</v>
          </cell>
        </row>
        <row r="29">
          <cell r="AJ29">
            <v>1975</v>
          </cell>
          <cell r="AK29" t="str">
            <v>AMORTIZACION INTANGIBLES</v>
          </cell>
          <cell r="AL29">
            <v>-30504494</v>
          </cell>
        </row>
        <row r="30">
          <cell r="AJ30" t="str">
            <v>19…</v>
          </cell>
          <cell r="AK30" t="str">
            <v>RESPONSABILIDADES - SOLO POR GLOSAS</v>
          </cell>
          <cell r="AL30">
            <v>0</v>
          </cell>
        </row>
        <row r="31">
          <cell r="AJ31" t="str">
            <v>1999….</v>
          </cell>
          <cell r="AK31" t="str">
            <v>VALORIZACIONES Y ( OTROS ACTIVOS DIFERENTES A LOS ANTERIORES DEL GRUPO 19)</v>
          </cell>
          <cell r="AL31">
            <v>1185582862</v>
          </cell>
        </row>
        <row r="32">
          <cell r="AJ32">
            <v>2</v>
          </cell>
          <cell r="AK32" t="str">
            <v>TOTAL PASIVO</v>
          </cell>
          <cell r="AL32">
            <v>1101871317</v>
          </cell>
        </row>
        <row r="33">
          <cell r="AJ33">
            <v>22</v>
          </cell>
          <cell r="AK33" t="str">
            <v>OPERACIONES DE CREDITO PUBLICO</v>
          </cell>
          <cell r="AL33">
            <v>63154891</v>
          </cell>
        </row>
        <row r="34">
          <cell r="AJ34">
            <v>23</v>
          </cell>
          <cell r="AK34" t="str">
            <v>OBLIGACIONES FINANCIERAS</v>
          </cell>
          <cell r="AL34">
            <v>0</v>
          </cell>
        </row>
        <row r="35">
          <cell r="AJ35">
            <v>24</v>
          </cell>
          <cell r="AK35" t="str">
            <v>CUENTAS POR PAGAR</v>
          </cell>
          <cell r="AL35">
            <v>918995184</v>
          </cell>
        </row>
        <row r="36">
          <cell r="AJ36">
            <v>2401</v>
          </cell>
          <cell r="AK36" t="str">
            <v>ADQUISICION DE BIENES Y SERVICIOS  NACIONALES</v>
          </cell>
          <cell r="AL36">
            <v>305478347</v>
          </cell>
        </row>
        <row r="37">
          <cell r="AJ37">
            <v>2406</v>
          </cell>
          <cell r="AK37" t="str">
            <v>ADQUISICION DE BIENES Y SERVICIOS  DEL EXTERIOR</v>
          </cell>
          <cell r="AL37">
            <v>0</v>
          </cell>
        </row>
        <row r="38">
          <cell r="AJ38">
            <v>2425</v>
          </cell>
          <cell r="AK38" t="str">
            <v>ACREEDORES</v>
          </cell>
          <cell r="AL38">
            <v>376442364</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2329465</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5909640</v>
          </cell>
        </row>
        <row r="46">
          <cell r="AJ46">
            <v>242510</v>
          </cell>
          <cell r="AK46" t="str">
            <v>Seguros</v>
          </cell>
          <cell r="AL46">
            <v>47681169</v>
          </cell>
        </row>
        <row r="47">
          <cell r="AJ47">
            <v>242518</v>
          </cell>
          <cell r="AK47" t="str">
            <v>Aportes a Fondos Pensionales</v>
          </cell>
          <cell r="AL47">
            <v>1447166</v>
          </cell>
        </row>
        <row r="48">
          <cell r="AJ48">
            <v>242519</v>
          </cell>
          <cell r="AK48" t="str">
            <v>Aportes a Seguridad Social</v>
          </cell>
          <cell r="AL48">
            <v>1391284</v>
          </cell>
        </row>
        <row r="49">
          <cell r="AJ49">
            <v>242520</v>
          </cell>
          <cell r="AK49" t="str">
            <v>Aportes al ICBF, SENA, CAJAS COMPENSACION</v>
          </cell>
          <cell r="AL49">
            <v>0</v>
          </cell>
        </row>
        <row r="50">
          <cell r="AJ50">
            <v>242521</v>
          </cell>
          <cell r="AK50" t="str">
            <v>Sindicatos</v>
          </cell>
          <cell r="AL50">
            <v>45810</v>
          </cell>
        </row>
        <row r="51">
          <cell r="AJ51">
            <v>242522</v>
          </cell>
          <cell r="AK51" t="str">
            <v>Cooperativas</v>
          </cell>
          <cell r="AL51">
            <v>0</v>
          </cell>
        </row>
        <row r="52">
          <cell r="AJ52">
            <v>242523</v>
          </cell>
          <cell r="AK52" t="str">
            <v>Fondos de Empleados</v>
          </cell>
          <cell r="AL52">
            <v>8505498</v>
          </cell>
        </row>
        <row r="53">
          <cell r="AJ53">
            <v>242524</v>
          </cell>
          <cell r="AK53" t="str">
            <v>Embargos Judiciales</v>
          </cell>
          <cell r="AL53">
            <v>730912</v>
          </cell>
        </row>
        <row r="54">
          <cell r="AJ54">
            <v>242526</v>
          </cell>
          <cell r="AK54" t="str">
            <v>Fondos mutuos</v>
          </cell>
          <cell r="AL54">
            <v>0</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0</v>
          </cell>
        </row>
        <row r="58">
          <cell r="AJ58">
            <v>242551</v>
          </cell>
          <cell r="AK58" t="str">
            <v xml:space="preserve">Comisiones  </v>
          </cell>
          <cell r="AL58">
            <v>0</v>
          </cell>
        </row>
        <row r="59">
          <cell r="AJ59">
            <v>242552</v>
          </cell>
          <cell r="AK59" t="str">
            <v>Honorarios</v>
          </cell>
          <cell r="AL59">
            <v>90280456</v>
          </cell>
        </row>
        <row r="60">
          <cell r="AJ60">
            <v>242553</v>
          </cell>
          <cell r="AK60" t="str">
            <v>Servicios</v>
          </cell>
          <cell r="AL60">
            <v>218120964</v>
          </cell>
        </row>
        <row r="61">
          <cell r="AJ61">
            <v>242590</v>
          </cell>
          <cell r="AK61" t="str">
            <v>Otros Acreedores</v>
          </cell>
          <cell r="AL61">
            <v>0</v>
          </cell>
        </row>
        <row r="62">
          <cell r="AJ62">
            <v>2430</v>
          </cell>
          <cell r="AK62" t="str">
            <v>SUBSIDIOS ASIGNADOS</v>
          </cell>
          <cell r="AL62">
            <v>0</v>
          </cell>
        </row>
        <row r="63">
          <cell r="AJ63">
            <v>2436</v>
          </cell>
          <cell r="AK63" t="str">
            <v>RETENCION EN LA FUENTE E IMPUESTO TIMBRE</v>
          </cell>
          <cell r="AL63">
            <v>13299568</v>
          </cell>
        </row>
        <row r="64">
          <cell r="AJ64">
            <v>2440</v>
          </cell>
          <cell r="AK64" t="str">
            <v>IMPUESTOS, CONTRIBUCIONES Y TASAS POR PAGAR</v>
          </cell>
          <cell r="AL64">
            <v>64703168</v>
          </cell>
        </row>
        <row r="65">
          <cell r="AJ65">
            <v>2445</v>
          </cell>
          <cell r="AK65" t="str">
            <v>IMPUESTO AL VALOR AGREGADO - IVA</v>
          </cell>
          <cell r="AL65">
            <v>0</v>
          </cell>
        </row>
        <row r="66">
          <cell r="AJ66">
            <v>2450</v>
          </cell>
          <cell r="AK66" t="str">
            <v>AVANCES Y ANTICIPOS RECIBIDOS</v>
          </cell>
          <cell r="AL66">
            <v>159071737</v>
          </cell>
        </row>
        <row r="67">
          <cell r="AJ67">
            <v>245001</v>
          </cell>
          <cell r="AK67" t="str">
            <v>Anticipos Sobre Ventas</v>
          </cell>
          <cell r="AL67">
            <v>159071737</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49550047</v>
          </cell>
        </row>
        <row r="76">
          <cell r="AJ76">
            <v>250501</v>
          </cell>
          <cell r="AK76" t="str">
            <v>NOMINAS POR PAGAR</v>
          </cell>
          <cell r="AL76">
            <v>0</v>
          </cell>
        </row>
        <row r="77">
          <cell r="AJ77">
            <v>0</v>
          </cell>
          <cell r="AK77" t="str">
            <v>PRESTACIONES SOCIALES</v>
          </cell>
          <cell r="AL77">
            <v>46959121</v>
          </cell>
        </row>
        <row r="78">
          <cell r="AJ78">
            <v>250502</v>
          </cell>
          <cell r="AK78" t="str">
            <v>Cesantías por Pagar</v>
          </cell>
          <cell r="AL78">
            <v>46078803</v>
          </cell>
        </row>
        <row r="79">
          <cell r="AJ79">
            <v>250503</v>
          </cell>
          <cell r="AK79" t="str">
            <v>Intereses Sobre las Cesantias</v>
          </cell>
          <cell r="AL79">
            <v>0</v>
          </cell>
        </row>
        <row r="80">
          <cell r="AJ80">
            <v>250504</v>
          </cell>
          <cell r="AK80" t="str">
            <v>Vacaciones</v>
          </cell>
          <cell r="AL80">
            <v>0</v>
          </cell>
        </row>
        <row r="81">
          <cell r="AJ81">
            <v>250505</v>
          </cell>
          <cell r="AK81" t="str">
            <v>Prima de Vacaciones</v>
          </cell>
          <cell r="AL81">
            <v>880318</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2590926</v>
          </cell>
        </row>
        <row r="86">
          <cell r="AJ86">
            <v>27</v>
          </cell>
          <cell r="AK86" t="str">
            <v>PASIVOS ESTIMADOS</v>
          </cell>
          <cell r="AL86">
            <v>57282777</v>
          </cell>
        </row>
        <row r="87">
          <cell r="AJ87">
            <v>2710</v>
          </cell>
          <cell r="AK87" t="str">
            <v>PROVISION PARA CONTINGENCIAS</v>
          </cell>
          <cell r="AL87">
            <v>0</v>
          </cell>
        </row>
        <row r="88">
          <cell r="AJ88">
            <v>2715</v>
          </cell>
          <cell r="AK88" t="str">
            <v>PROVISION PARA PRESTACIONES SOCIALES</v>
          </cell>
          <cell r="AL88">
            <v>57282777</v>
          </cell>
        </row>
        <row r="89">
          <cell r="AJ89">
            <v>271501</v>
          </cell>
          <cell r="AK89" t="str">
            <v xml:space="preserve">Cesantías  </v>
          </cell>
          <cell r="AL89">
            <v>23356167</v>
          </cell>
        </row>
        <row r="90">
          <cell r="AJ90">
            <v>271502</v>
          </cell>
          <cell r="AK90" t="str">
            <v>Intereses Sobre las Cesantias</v>
          </cell>
          <cell r="AL90">
            <v>4388399</v>
          </cell>
        </row>
        <row r="91">
          <cell r="AJ91">
            <v>271503</v>
          </cell>
          <cell r="AK91" t="str">
            <v>Vacaciones</v>
          </cell>
          <cell r="AL91">
            <v>8863219</v>
          </cell>
        </row>
        <row r="92">
          <cell r="AJ92">
            <v>271504</v>
          </cell>
          <cell r="AK92" t="str">
            <v>Prima de Servicios</v>
          </cell>
          <cell r="AL92">
            <v>0</v>
          </cell>
        </row>
        <row r="93">
          <cell r="AJ93">
            <v>271505</v>
          </cell>
          <cell r="AK93" t="str">
            <v>Primas Extralegales</v>
          </cell>
          <cell r="AL93">
            <v>0</v>
          </cell>
        </row>
        <row r="94">
          <cell r="AJ94">
            <v>271506</v>
          </cell>
          <cell r="AK94" t="str">
            <v>Prima de Vacaciones</v>
          </cell>
          <cell r="AL94">
            <v>7410761</v>
          </cell>
        </row>
        <row r="95">
          <cell r="AJ95">
            <v>271509</v>
          </cell>
          <cell r="AK95" t="str">
            <v>Prima de Navidad</v>
          </cell>
          <cell r="AL95">
            <v>13264231</v>
          </cell>
        </row>
        <row r="96">
          <cell r="AJ96" t="str">
            <v>2715….</v>
          </cell>
          <cell r="AK96" t="str">
            <v>Otras Provisiones para Prestaciones Sociales</v>
          </cell>
          <cell r="AL96">
            <v>0</v>
          </cell>
        </row>
        <row r="97">
          <cell r="AJ97">
            <v>2720</v>
          </cell>
          <cell r="AK97" t="str">
            <v>PROVISION PARA PENSIONES</v>
          </cell>
          <cell r="AL97">
            <v>0</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12888418</v>
          </cell>
        </row>
        <row r="104">
          <cell r="AJ104">
            <v>2905</v>
          </cell>
          <cell r="AK104" t="str">
            <v>RECAUDOS A FAVOR DE TERCEROS</v>
          </cell>
          <cell r="AL104">
            <v>0</v>
          </cell>
        </row>
        <row r="105">
          <cell r="AJ105">
            <v>290590</v>
          </cell>
          <cell r="AK105" t="str">
            <v>OTROS RECAUDOS A FAVOR DE TERCEROS (Consignaciones sin identificar)</v>
          </cell>
          <cell r="AL105">
            <v>12888418</v>
          </cell>
        </row>
        <row r="106">
          <cell r="AJ106">
            <v>2910</v>
          </cell>
          <cell r="AK106" t="str">
            <v>INGRESOS RECIBIDOS POR ANTICIPADO</v>
          </cell>
          <cell r="AL106">
            <v>0</v>
          </cell>
        </row>
        <row r="107">
          <cell r="AJ107">
            <v>3</v>
          </cell>
          <cell r="AK107" t="str">
            <v>TOTAL PATRIMONIO</v>
          </cell>
          <cell r="AL107">
            <v>2282449574</v>
          </cell>
        </row>
        <row r="108">
          <cell r="AJ108">
            <v>32</v>
          </cell>
          <cell r="AK108" t="str">
            <v xml:space="preserve">   PATRIMONIO INSTITUCIONAL</v>
          </cell>
          <cell r="AL108">
            <v>2282449574</v>
          </cell>
        </row>
        <row r="109">
          <cell r="AJ109">
            <v>0</v>
          </cell>
          <cell r="AK109" t="str">
            <v>TOTAL PASIVO Y PATRIMONIO</v>
          </cell>
          <cell r="AL109">
            <v>3384320891</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DATOS PARA CONCILIAR"/>
      <sheetName val="VALIDACION BALANCES Vs CHIP"/>
    </sheetNames>
    <sheetDataSet>
      <sheetData sheetId="0"/>
      <sheetData sheetId="1"/>
      <sheetData sheetId="2">
        <row r="1">
          <cell r="AJ1">
            <v>1</v>
          </cell>
          <cell r="AK1" t="str">
            <v>TOTAL ACTIVO</v>
          </cell>
          <cell r="AL1">
            <v>6551475989</v>
          </cell>
        </row>
        <row r="2">
          <cell r="AJ2">
            <v>11</v>
          </cell>
          <cell r="AK2" t="str">
            <v>EFECTIVO</v>
          </cell>
          <cell r="AL2">
            <v>67078428</v>
          </cell>
        </row>
        <row r="3">
          <cell r="AJ3">
            <v>0</v>
          </cell>
          <cell r="AK3">
            <v>0</v>
          </cell>
          <cell r="AL3">
            <v>0</v>
          </cell>
        </row>
        <row r="4">
          <cell r="AJ4">
            <v>1105</v>
          </cell>
          <cell r="AK4" t="str">
            <v>CAJA</v>
          </cell>
          <cell r="AL4">
            <v>9391294</v>
          </cell>
        </row>
        <row r="5">
          <cell r="AJ5">
            <v>110501</v>
          </cell>
          <cell r="AK5" t="str">
            <v>Caja Principal</v>
          </cell>
          <cell r="AL5">
            <v>7691294</v>
          </cell>
        </row>
        <row r="6">
          <cell r="AJ6">
            <v>110502</v>
          </cell>
          <cell r="AK6" t="str">
            <v>Cajas Menores</v>
          </cell>
          <cell r="AL6">
            <v>1700000</v>
          </cell>
        </row>
        <row r="7">
          <cell r="AJ7">
            <v>1110</v>
          </cell>
          <cell r="AK7" t="str">
            <v>BANCOS Y CORPORACIONES</v>
          </cell>
          <cell r="AL7">
            <v>57687134</v>
          </cell>
        </row>
        <row r="8">
          <cell r="AJ8" t="str">
            <v>111005-111090</v>
          </cell>
          <cell r="AK8" t="str">
            <v>Cuenta Corriente Bancaria</v>
          </cell>
          <cell r="AL8">
            <v>54191030</v>
          </cell>
        </row>
        <row r="9">
          <cell r="AJ9">
            <v>111006</v>
          </cell>
          <cell r="AK9" t="str">
            <v>Cuenta de Ahorro</v>
          </cell>
          <cell r="AL9">
            <v>3496104</v>
          </cell>
        </row>
        <row r="10">
          <cell r="AJ10">
            <v>1112</v>
          </cell>
          <cell r="AK10" t="str">
            <v>ADMINISTRACIÓN DE LIQUIDEZ</v>
          </cell>
          <cell r="AL10">
            <v>0</v>
          </cell>
        </row>
        <row r="11">
          <cell r="AJ11">
            <v>1120</v>
          </cell>
          <cell r="AK11" t="str">
            <v>FONDOS EN TRANSITO</v>
          </cell>
          <cell r="AL11">
            <v>0</v>
          </cell>
        </row>
        <row r="12">
          <cell r="AJ12">
            <v>12</v>
          </cell>
          <cell r="AK12" t="str">
            <v>INVERSIONES</v>
          </cell>
          <cell r="AL12">
            <v>13398434</v>
          </cell>
        </row>
        <row r="13">
          <cell r="AJ13" t="str">
            <v>1201-1202-120203</v>
          </cell>
          <cell r="AK13" t="str">
            <v>INVERS ADMINISTRACIÓN DE LIQUIDEZ EN TÍTULOS DE DEUDAY TITULOS PARTICIPATIVOS</v>
          </cell>
          <cell r="AL13">
            <v>1575900</v>
          </cell>
        </row>
        <row r="14">
          <cell r="AJ14">
            <v>1207</v>
          </cell>
          <cell r="AK14" t="str">
            <v>INVERSIONES PATRIMONIALES EN ENTIDADES NO CONTROLADAS</v>
          </cell>
          <cell r="AL14">
            <v>11822534</v>
          </cell>
        </row>
        <row r="15">
          <cell r="AJ15">
            <v>13</v>
          </cell>
          <cell r="AK15" t="str">
            <v>RENTAS POR COBRAR</v>
          </cell>
          <cell r="AL15">
            <v>0</v>
          </cell>
        </row>
        <row r="16">
          <cell r="AJ16">
            <v>14</v>
          </cell>
          <cell r="AK16" t="str">
            <v>DEUDORES</v>
          </cell>
          <cell r="AL16">
            <v>947920026</v>
          </cell>
        </row>
        <row r="17">
          <cell r="AJ17">
            <v>1409</v>
          </cell>
          <cell r="AK17" t="str">
            <v>SERVICIOS DE SALUD</v>
          </cell>
          <cell r="AL17">
            <v>880736048</v>
          </cell>
        </row>
        <row r="18">
          <cell r="AJ18">
            <v>1420</v>
          </cell>
          <cell r="AK18" t="str">
            <v>AVANCES Y ANTICIPOS ENTREGADOS</v>
          </cell>
          <cell r="AL18">
            <v>0</v>
          </cell>
        </row>
        <row r="19">
          <cell r="AJ19">
            <v>1470</v>
          </cell>
          <cell r="AK19" t="str">
            <v>OTROS DEUDORES</v>
          </cell>
          <cell r="AL19">
            <v>91738698</v>
          </cell>
        </row>
        <row r="20">
          <cell r="AJ20">
            <v>1475</v>
          </cell>
          <cell r="AK20" t="str">
            <v>DEUDAS DE DIFICIL COBRO</v>
          </cell>
          <cell r="AL20">
            <v>189374731</v>
          </cell>
        </row>
        <row r="21">
          <cell r="AJ21">
            <v>148014</v>
          </cell>
          <cell r="AK21" t="str">
            <v>Provision para deudores (Servicios de Salud) digite el valor con signo positivo</v>
          </cell>
          <cell r="AL21">
            <v>213929451</v>
          </cell>
        </row>
        <row r="22">
          <cell r="AJ22">
            <v>15</v>
          </cell>
          <cell r="AK22" t="str">
            <v>INVENTARIOS</v>
          </cell>
          <cell r="AL22">
            <v>121798638</v>
          </cell>
        </row>
        <row r="23">
          <cell r="AJ23">
            <v>16</v>
          </cell>
          <cell r="AK23" t="str">
            <v xml:space="preserve">PROPIEDAD, PLANTA Y EQUIPO  </v>
          </cell>
          <cell r="AL23">
            <v>1342589754</v>
          </cell>
        </row>
        <row r="24">
          <cell r="AJ24">
            <v>19</v>
          </cell>
          <cell r="AK24" t="str">
            <v>OTROS ACTIVOS</v>
          </cell>
          <cell r="AL24">
            <v>4058690709</v>
          </cell>
        </row>
        <row r="25">
          <cell r="AJ25">
            <v>1905</v>
          </cell>
          <cell r="AK25" t="str">
            <v>BIENES Y SERVICIOS PAGADOS POR ANTICIPADO</v>
          </cell>
          <cell r="AL25">
            <v>1392489064</v>
          </cell>
        </row>
        <row r="26">
          <cell r="AJ26">
            <v>1910</v>
          </cell>
          <cell r="AK26" t="str">
            <v>CARGOS DIFERIDOS</v>
          </cell>
          <cell r="AL26">
            <v>11540754</v>
          </cell>
        </row>
        <row r="27">
          <cell r="AJ27">
            <v>1960</v>
          </cell>
          <cell r="AK27" t="str">
            <v>BIENES DE ARTE Y CULTURA</v>
          </cell>
          <cell r="AL27">
            <v>2949555</v>
          </cell>
        </row>
        <row r="28">
          <cell r="AJ28">
            <v>1970</v>
          </cell>
          <cell r="AK28" t="str">
            <v>INTANGIBLES</v>
          </cell>
          <cell r="AL28">
            <v>61358869</v>
          </cell>
        </row>
        <row r="29">
          <cell r="AJ29">
            <v>1975</v>
          </cell>
          <cell r="AK29" t="str">
            <v>AMORTIZACION INTANGIBLES</v>
          </cell>
          <cell r="AL29">
            <v>-61358869</v>
          </cell>
        </row>
        <row r="30">
          <cell r="AJ30" t="str">
            <v>19…</v>
          </cell>
          <cell r="AK30" t="str">
            <v>RESPONSABILIDADES - SOLO POR GLOSAS</v>
          </cell>
          <cell r="AL30">
            <v>0</v>
          </cell>
        </row>
        <row r="31">
          <cell r="AJ31" t="str">
            <v>1999….</v>
          </cell>
          <cell r="AK31" t="str">
            <v>VALORIZACIONES Y ( OTROS ACTIVOS DIFERENTES A LOS ANTERIORES DEL GRUPO 19)</v>
          </cell>
          <cell r="AL31">
            <v>2651711336</v>
          </cell>
        </row>
        <row r="32">
          <cell r="AJ32">
            <v>2</v>
          </cell>
          <cell r="AK32" t="str">
            <v>TOTAL PASIVO</v>
          </cell>
          <cell r="AL32">
            <v>1267721500</v>
          </cell>
        </row>
        <row r="33">
          <cell r="AJ33">
            <v>22</v>
          </cell>
          <cell r="AK33" t="str">
            <v>OPERACIONES DE CREDITO PUBLICO</v>
          </cell>
          <cell r="AL33">
            <v>0</v>
          </cell>
        </row>
        <row r="34">
          <cell r="AJ34">
            <v>23</v>
          </cell>
          <cell r="AK34" t="str">
            <v>OBLIGACIONES FINANCIERAS</v>
          </cell>
          <cell r="AL34">
            <v>0</v>
          </cell>
        </row>
        <row r="35">
          <cell r="AJ35">
            <v>24</v>
          </cell>
          <cell r="AK35" t="str">
            <v>CUENTAS POR PAGAR</v>
          </cell>
          <cell r="AL35">
            <v>575753364</v>
          </cell>
        </row>
        <row r="36">
          <cell r="AJ36">
            <v>2401</v>
          </cell>
          <cell r="AK36" t="str">
            <v>ADQUISICION DE BIENES Y SERVICIOS  NACIONALES</v>
          </cell>
          <cell r="AL36">
            <v>326909245</v>
          </cell>
        </row>
        <row r="37">
          <cell r="AJ37">
            <v>2406</v>
          </cell>
          <cell r="AK37" t="str">
            <v>ADQUISICION DE BIENES Y SERVICIOS  DEL EXTERIOR</v>
          </cell>
          <cell r="AL37">
            <v>0</v>
          </cell>
        </row>
        <row r="38">
          <cell r="AJ38">
            <v>2425</v>
          </cell>
          <cell r="AK38" t="str">
            <v>ACREEDORES</v>
          </cell>
          <cell r="AL38">
            <v>191352989</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0</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0</v>
          </cell>
        </row>
        <row r="46">
          <cell r="AJ46">
            <v>242510</v>
          </cell>
          <cell r="AK46" t="str">
            <v>Seguros</v>
          </cell>
          <cell r="AL46">
            <v>3769502</v>
          </cell>
        </row>
        <row r="47">
          <cell r="AJ47">
            <v>242518</v>
          </cell>
          <cell r="AK47" t="str">
            <v>Aportes a Fondos Pensionales</v>
          </cell>
          <cell r="AL47">
            <v>3475477</v>
          </cell>
        </row>
        <row r="48">
          <cell r="AJ48">
            <v>242519</v>
          </cell>
          <cell r="AK48" t="str">
            <v>Aportes a Seguridad Social</v>
          </cell>
          <cell r="AL48">
            <v>3479809</v>
          </cell>
        </row>
        <row r="49">
          <cell r="AJ49">
            <v>242520</v>
          </cell>
          <cell r="AK49" t="str">
            <v>Aportes al ICBF, SENA, CAJAS COMPENSACION</v>
          </cell>
          <cell r="AL49">
            <v>7653384</v>
          </cell>
        </row>
        <row r="50">
          <cell r="AJ50">
            <v>242521</v>
          </cell>
          <cell r="AK50" t="str">
            <v>Sindicatos</v>
          </cell>
          <cell r="AL50">
            <v>0</v>
          </cell>
        </row>
        <row r="51">
          <cell r="AJ51">
            <v>242522</v>
          </cell>
          <cell r="AK51" t="str">
            <v>Cooperativas</v>
          </cell>
          <cell r="AL51">
            <v>1393655</v>
          </cell>
        </row>
        <row r="52">
          <cell r="AJ52">
            <v>242523</v>
          </cell>
          <cell r="AK52" t="str">
            <v>Fondos de Empleados</v>
          </cell>
          <cell r="AL52">
            <v>7091329</v>
          </cell>
        </row>
        <row r="53">
          <cell r="AJ53">
            <v>242524</v>
          </cell>
          <cell r="AK53" t="str">
            <v>Embargos Judiciales</v>
          </cell>
          <cell r="AL53">
            <v>132100</v>
          </cell>
        </row>
        <row r="54">
          <cell r="AJ54">
            <v>242526</v>
          </cell>
          <cell r="AK54" t="str">
            <v>Fondos mutuos</v>
          </cell>
          <cell r="AL54">
            <v>723587</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355700</v>
          </cell>
        </row>
        <row r="58">
          <cell r="AJ58">
            <v>242551</v>
          </cell>
          <cell r="AK58" t="str">
            <v xml:space="preserve">Comisiones  </v>
          </cell>
          <cell r="AL58">
            <v>0</v>
          </cell>
        </row>
        <row r="59">
          <cell r="AJ59">
            <v>242552</v>
          </cell>
          <cell r="AK59" t="str">
            <v>Honorarios</v>
          </cell>
          <cell r="AL59">
            <v>129684454</v>
          </cell>
        </row>
        <row r="60">
          <cell r="AJ60">
            <v>242553</v>
          </cell>
          <cell r="AK60" t="str">
            <v>Servicios</v>
          </cell>
          <cell r="AL60">
            <v>11137332</v>
          </cell>
        </row>
        <row r="61">
          <cell r="AJ61">
            <v>242590</v>
          </cell>
          <cell r="AK61" t="str">
            <v>Otros Acreedores</v>
          </cell>
          <cell r="AL61">
            <v>22456660</v>
          </cell>
        </row>
        <row r="62">
          <cell r="AJ62">
            <v>2430</v>
          </cell>
          <cell r="AK62" t="str">
            <v>SUBSIDIOS ASIGNADOS</v>
          </cell>
          <cell r="AL62">
            <v>0</v>
          </cell>
        </row>
        <row r="63">
          <cell r="AJ63">
            <v>2436</v>
          </cell>
          <cell r="AK63" t="str">
            <v>RETENCION EN LA FUENTE E IMPUESTO TIMBRE</v>
          </cell>
          <cell r="AL63">
            <v>3962058</v>
          </cell>
        </row>
        <row r="64">
          <cell r="AJ64">
            <v>2440</v>
          </cell>
          <cell r="AK64" t="str">
            <v>IMPUESTOS, CONTRIBUCIONES Y TASAS POR PAGAR</v>
          </cell>
          <cell r="AL64">
            <v>53529072</v>
          </cell>
        </row>
        <row r="65">
          <cell r="AJ65">
            <v>2445</v>
          </cell>
          <cell r="AK65" t="str">
            <v>IMPUESTO AL VALOR AGREGADO - IVA</v>
          </cell>
          <cell r="AL65">
            <v>0</v>
          </cell>
        </row>
        <row r="66">
          <cell r="AJ66">
            <v>2450</v>
          </cell>
          <cell r="AK66" t="str">
            <v>AVANCES Y ANTICIPOS RECIBIDOS</v>
          </cell>
          <cell r="AL66">
            <v>0</v>
          </cell>
        </row>
        <row r="67">
          <cell r="AJ67">
            <v>245001</v>
          </cell>
          <cell r="AK67" t="str">
            <v>Anticipos Sobre Ventas</v>
          </cell>
          <cell r="AL67">
            <v>0</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296094278</v>
          </cell>
        </row>
        <row r="76">
          <cell r="AJ76">
            <v>250501</v>
          </cell>
          <cell r="AK76" t="str">
            <v>NOMINAS POR PAGAR</v>
          </cell>
          <cell r="AL76">
            <v>3314351</v>
          </cell>
        </row>
        <row r="77">
          <cell r="AJ77">
            <v>0</v>
          </cell>
          <cell r="AK77" t="str">
            <v>PRESTACIONES SOCIALES</v>
          </cell>
          <cell r="AL77">
            <v>223877937</v>
          </cell>
        </row>
        <row r="78">
          <cell r="AJ78">
            <v>250502</v>
          </cell>
          <cell r="AK78" t="str">
            <v>Cesantías por Pagar</v>
          </cell>
          <cell r="AL78">
            <v>200803957</v>
          </cell>
        </row>
        <row r="79">
          <cell r="AJ79">
            <v>250503</v>
          </cell>
          <cell r="AK79" t="str">
            <v>Intereses Sobre las Cesantias</v>
          </cell>
          <cell r="AL79">
            <v>0</v>
          </cell>
        </row>
        <row r="80">
          <cell r="AJ80">
            <v>250504</v>
          </cell>
          <cell r="AK80" t="str">
            <v>Vacaciones</v>
          </cell>
          <cell r="AL80">
            <v>11536990</v>
          </cell>
        </row>
        <row r="81">
          <cell r="AJ81">
            <v>250505</v>
          </cell>
          <cell r="AK81" t="str">
            <v>Prima de Vacaciones</v>
          </cell>
          <cell r="AL81">
            <v>11536990</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68901990</v>
          </cell>
        </row>
        <row r="86">
          <cell r="AJ86">
            <v>27</v>
          </cell>
          <cell r="AK86" t="str">
            <v>PASIVOS ESTIMADOS</v>
          </cell>
          <cell r="AL86">
            <v>376852767</v>
          </cell>
        </row>
        <row r="87">
          <cell r="AJ87">
            <v>2710</v>
          </cell>
          <cell r="AK87" t="str">
            <v>PROVISION PARA CONTINGENCIAS</v>
          </cell>
          <cell r="AL87">
            <v>0</v>
          </cell>
        </row>
        <row r="88">
          <cell r="AJ88">
            <v>2715</v>
          </cell>
          <cell r="AK88" t="str">
            <v>PROVISION PARA PRESTACIONES SOCIALES</v>
          </cell>
          <cell r="AL88">
            <v>198653825</v>
          </cell>
        </row>
        <row r="89">
          <cell r="AJ89">
            <v>271501</v>
          </cell>
          <cell r="AK89" t="str">
            <v xml:space="preserve">Cesantías  </v>
          </cell>
          <cell r="AL89">
            <v>72060309</v>
          </cell>
        </row>
        <row r="90">
          <cell r="AJ90">
            <v>271502</v>
          </cell>
          <cell r="AK90" t="str">
            <v>Intereses Sobre las Cesantias</v>
          </cell>
          <cell r="AL90">
            <v>8772103</v>
          </cell>
        </row>
        <row r="91">
          <cell r="AJ91">
            <v>271503</v>
          </cell>
          <cell r="AK91" t="str">
            <v>Vacaciones</v>
          </cell>
          <cell r="AL91">
            <v>13417378</v>
          </cell>
        </row>
        <row r="92">
          <cell r="AJ92">
            <v>271504</v>
          </cell>
          <cell r="AK92" t="str">
            <v>Prima de Servicios</v>
          </cell>
          <cell r="AL92">
            <v>20052000</v>
          </cell>
        </row>
        <row r="93">
          <cell r="AJ93">
            <v>271505</v>
          </cell>
          <cell r="AK93" t="str">
            <v>Primas Extralegales</v>
          </cell>
          <cell r="AL93">
            <v>0</v>
          </cell>
        </row>
        <row r="94">
          <cell r="AJ94">
            <v>271506</v>
          </cell>
          <cell r="AK94" t="str">
            <v>Prima de Vacaciones</v>
          </cell>
          <cell r="AL94">
            <v>17027609</v>
          </cell>
        </row>
        <row r="95">
          <cell r="AJ95">
            <v>271509</v>
          </cell>
          <cell r="AK95" t="str">
            <v>Prima de Navidad</v>
          </cell>
          <cell r="AL95">
            <v>57712139</v>
          </cell>
        </row>
        <row r="96">
          <cell r="AJ96" t="str">
            <v>2715….</v>
          </cell>
          <cell r="AK96" t="str">
            <v>Otras Provisiones para Prestaciones Sociales</v>
          </cell>
          <cell r="AL96">
            <v>9612287</v>
          </cell>
        </row>
        <row r="97">
          <cell r="AJ97">
            <v>2720</v>
          </cell>
          <cell r="AK97" t="str">
            <v>PROVISION PARA PENSIONES</v>
          </cell>
          <cell r="AL97">
            <v>178198942</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19021091</v>
          </cell>
        </row>
        <row r="104">
          <cell r="AJ104">
            <v>2905</v>
          </cell>
          <cell r="AK104" t="str">
            <v>RECAUDOS A FAVOR DE TERCEROS</v>
          </cell>
          <cell r="AL104">
            <v>0</v>
          </cell>
        </row>
        <row r="105">
          <cell r="AJ105">
            <v>290590</v>
          </cell>
          <cell r="AK105" t="str">
            <v>OTROS RECAUDOS A FAVOR DE TERCEROS (Consignaciones sin identificar)</v>
          </cell>
          <cell r="AL105">
            <v>0</v>
          </cell>
        </row>
        <row r="106">
          <cell r="AJ106">
            <v>2910</v>
          </cell>
          <cell r="AK106" t="str">
            <v>INGRESOS RECIBIDOS POR ANTICIPADO</v>
          </cell>
          <cell r="AL106">
            <v>19021091</v>
          </cell>
        </row>
        <row r="107">
          <cell r="AJ107">
            <v>3</v>
          </cell>
          <cell r="AK107" t="str">
            <v>TOTAL PATRIMONIO</v>
          </cell>
          <cell r="AL107">
            <v>5283754489</v>
          </cell>
        </row>
        <row r="108">
          <cell r="AJ108">
            <v>32</v>
          </cell>
          <cell r="AK108" t="str">
            <v xml:space="preserve">   PATRIMONIO INSTITUCIONAL</v>
          </cell>
          <cell r="AL108">
            <v>5283754489</v>
          </cell>
        </row>
        <row r="109">
          <cell r="AJ109">
            <v>0</v>
          </cell>
          <cell r="AK109" t="str">
            <v>TOTAL PASIVO Y PATRIMONIO</v>
          </cell>
          <cell r="AL109">
            <v>6551475989</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IV124"/>
  <sheetViews>
    <sheetView showGridLines="0" zoomScale="80" zoomScaleNormal="80" workbookViewId="0">
      <selection activeCell="B5" sqref="B5:F5"/>
    </sheetView>
  </sheetViews>
  <sheetFormatPr baseColWidth="10" defaultColWidth="0" defaultRowHeight="12"/>
  <cols>
    <col min="1" max="1" width="21.7109375" style="37" customWidth="1"/>
    <col min="2" max="2" width="49.140625" style="37" customWidth="1"/>
    <col min="3" max="3" width="14.140625" style="37" customWidth="1"/>
    <col min="4" max="4" width="14.85546875" style="37" customWidth="1"/>
    <col min="5" max="5" width="15.85546875" style="37" customWidth="1"/>
    <col min="6" max="6" width="17.140625" style="37" customWidth="1"/>
    <col min="7" max="7" width="80.28515625" style="37" customWidth="1"/>
    <col min="8" max="8" width="1.42578125" style="37" customWidth="1"/>
    <col min="9" max="31" width="11.42578125" style="37" hidden="1" customWidth="1"/>
    <col min="32" max="16384" width="11.42578125" style="38" hidden="1"/>
  </cols>
  <sheetData>
    <row r="1" spans="1:31" s="36" customFormat="1" ht="16.5">
      <c r="A1" s="874" t="s">
        <v>521</v>
      </c>
      <c r="B1" s="875"/>
      <c r="C1" s="875"/>
      <c r="D1" s="875"/>
      <c r="E1" s="875"/>
      <c r="F1" s="875"/>
      <c r="G1" s="876"/>
      <c r="H1" s="35"/>
      <c r="I1" s="35"/>
      <c r="J1" s="35"/>
      <c r="K1" s="35"/>
      <c r="L1" s="35"/>
      <c r="M1" s="35"/>
      <c r="N1" s="35"/>
      <c r="O1" s="35"/>
      <c r="P1" s="35"/>
      <c r="Q1" s="35"/>
      <c r="R1" s="35"/>
      <c r="S1" s="35"/>
      <c r="T1" s="35"/>
      <c r="U1" s="35"/>
      <c r="V1" s="35"/>
      <c r="W1" s="35"/>
      <c r="X1" s="35"/>
      <c r="Y1" s="35"/>
      <c r="Z1" s="35"/>
      <c r="AA1" s="35"/>
      <c r="AB1" s="35"/>
      <c r="AC1" s="35"/>
      <c r="AD1" s="35"/>
      <c r="AE1" s="35"/>
    </row>
    <row r="2" spans="1:31" ht="12.75" thickBot="1">
      <c r="A2" s="149"/>
      <c r="B2" s="147"/>
      <c r="C2" s="147"/>
      <c r="D2" s="147"/>
      <c r="E2" s="147"/>
      <c r="F2" s="147"/>
      <c r="G2" s="880"/>
    </row>
    <row r="3" spans="1:31" ht="20.25" thickBot="1">
      <c r="A3" s="221" t="s">
        <v>0</v>
      </c>
      <c r="B3" s="877" t="s">
        <v>625</v>
      </c>
      <c r="C3" s="878"/>
      <c r="D3" s="879"/>
      <c r="E3" s="220" t="s">
        <v>382</v>
      </c>
      <c r="F3" s="244">
        <v>2019</v>
      </c>
      <c r="G3" s="880"/>
    </row>
    <row r="4" spans="1:31" ht="12.75" thickBot="1">
      <c r="A4" s="149"/>
      <c r="B4" s="147"/>
      <c r="C4" s="147"/>
      <c r="D4" s="147"/>
      <c r="E4" s="147"/>
      <c r="F4" s="147"/>
      <c r="G4" s="880"/>
    </row>
    <row r="5" spans="1:31" ht="18.75" thickBot="1">
      <c r="A5" s="222" t="s">
        <v>509</v>
      </c>
      <c r="B5" s="877" t="s">
        <v>626</v>
      </c>
      <c r="C5" s="878"/>
      <c r="D5" s="878"/>
      <c r="E5" s="878"/>
      <c r="F5" s="879"/>
      <c r="G5" s="148"/>
    </row>
    <row r="6" spans="1:31">
      <c r="A6" s="149"/>
      <c r="B6" s="147"/>
      <c r="C6" s="147"/>
      <c r="D6" s="147"/>
      <c r="E6" s="147"/>
      <c r="F6" s="147"/>
      <c r="G6" s="148"/>
    </row>
    <row r="7" spans="1:31" ht="13.5" thickBot="1">
      <c r="A7" s="217"/>
      <c r="B7" s="218"/>
      <c r="C7" s="218"/>
      <c r="D7" s="218"/>
      <c r="E7" s="218"/>
      <c r="F7" s="218"/>
      <c r="G7" s="219"/>
    </row>
    <row r="8" spans="1:31" ht="13.5" thickBot="1">
      <c r="A8" s="899"/>
      <c r="B8" s="900"/>
      <c r="C8" s="900"/>
      <c r="D8" s="900"/>
      <c r="E8" s="900"/>
      <c r="F8" s="900"/>
      <c r="G8" s="901"/>
    </row>
    <row r="9" spans="1:31">
      <c r="A9" s="881" t="s">
        <v>2</v>
      </c>
      <c r="B9" s="882"/>
      <c r="C9" s="882"/>
      <c r="D9" s="882"/>
      <c r="E9" s="882"/>
      <c r="F9" s="882"/>
      <c r="G9" s="883"/>
    </row>
    <row r="10" spans="1:31">
      <c r="A10" s="884"/>
      <c r="B10" s="885"/>
      <c r="C10" s="885"/>
      <c r="D10" s="885"/>
      <c r="E10" s="885"/>
      <c r="F10" s="885"/>
      <c r="G10" s="886"/>
    </row>
    <row r="11" spans="1:31" ht="12.75" thickBot="1">
      <c r="A11" s="887"/>
      <c r="B11" s="888"/>
      <c r="C11" s="888"/>
      <c r="D11" s="888"/>
      <c r="E11" s="888"/>
      <c r="F11" s="888"/>
      <c r="G11" s="889"/>
    </row>
    <row r="12" spans="1:31">
      <c r="A12" s="890" t="s">
        <v>484</v>
      </c>
      <c r="B12" s="891"/>
      <c r="C12" s="891"/>
      <c r="D12" s="891"/>
      <c r="E12" s="891"/>
      <c r="F12" s="891"/>
      <c r="G12" s="892"/>
    </row>
    <row r="13" spans="1:31">
      <c r="A13" s="893"/>
      <c r="B13" s="894"/>
      <c r="C13" s="894"/>
      <c r="D13" s="894"/>
      <c r="E13" s="894"/>
      <c r="F13" s="894"/>
      <c r="G13" s="895"/>
    </row>
    <row r="14" spans="1:31" ht="12.75" thickBot="1">
      <c r="A14" s="896"/>
      <c r="B14" s="897"/>
      <c r="C14" s="897"/>
      <c r="D14" s="897"/>
      <c r="E14" s="897"/>
      <c r="F14" s="897"/>
      <c r="G14" s="898"/>
    </row>
    <row r="15" spans="1:31">
      <c r="A15" s="905" t="s">
        <v>3</v>
      </c>
      <c r="B15" s="906"/>
      <c r="C15" s="906"/>
      <c r="D15" s="906"/>
      <c r="E15" s="906"/>
      <c r="F15" s="906"/>
      <c r="G15" s="907"/>
    </row>
    <row r="16" spans="1:31">
      <c r="A16" s="146"/>
      <c r="B16" s="176"/>
      <c r="C16" s="176"/>
      <c r="D16" s="176"/>
      <c r="E16" s="176"/>
      <c r="F16" s="176"/>
      <c r="G16" s="821"/>
    </row>
    <row r="17" spans="1:7">
      <c r="A17" s="146" t="s">
        <v>624</v>
      </c>
      <c r="B17" s="176"/>
      <c r="C17" s="176"/>
      <c r="D17" s="176"/>
      <c r="E17" s="176"/>
      <c r="F17" s="176"/>
      <c r="G17" s="821"/>
    </row>
    <row r="18" spans="1:7">
      <c r="A18" s="146"/>
      <c r="B18" s="147"/>
      <c r="C18" s="147"/>
      <c r="D18" s="147"/>
      <c r="E18" s="147"/>
      <c r="F18" s="147"/>
      <c r="G18" s="148"/>
    </row>
    <row r="19" spans="1:7">
      <c r="A19" s="902" t="s">
        <v>469</v>
      </c>
      <c r="B19" s="903"/>
      <c r="C19" s="903"/>
      <c r="D19" s="903"/>
      <c r="E19" s="903"/>
      <c r="F19" s="903"/>
      <c r="G19" s="904"/>
    </row>
    <row r="20" spans="1:7">
      <c r="A20" s="902"/>
      <c r="B20" s="903"/>
      <c r="C20" s="903"/>
      <c r="D20" s="903"/>
      <c r="E20" s="903"/>
      <c r="F20" s="903"/>
      <c r="G20" s="904"/>
    </row>
    <row r="21" spans="1:7">
      <c r="A21" s="902"/>
      <c r="B21" s="903"/>
      <c r="C21" s="903"/>
      <c r="D21" s="903"/>
      <c r="E21" s="903"/>
      <c r="F21" s="903"/>
      <c r="G21" s="904"/>
    </row>
    <row r="22" spans="1:7">
      <c r="A22" s="146"/>
      <c r="B22" s="147"/>
      <c r="C22" s="147"/>
      <c r="D22" s="147"/>
      <c r="E22" s="147"/>
      <c r="F22" s="147"/>
      <c r="G22" s="148"/>
    </row>
    <row r="23" spans="1:7">
      <c r="A23" s="864" t="s">
        <v>470</v>
      </c>
      <c r="B23" s="865"/>
      <c r="C23" s="865"/>
      <c r="D23" s="865"/>
      <c r="E23" s="865"/>
      <c r="F23" s="865"/>
      <c r="G23" s="866"/>
    </row>
    <row r="24" spans="1:7">
      <c r="A24" s="149"/>
      <c r="B24" s="147"/>
      <c r="C24" s="147"/>
      <c r="D24" s="147"/>
      <c r="E24" s="147"/>
      <c r="F24" s="147"/>
      <c r="G24" s="148"/>
    </row>
    <row r="25" spans="1:7">
      <c r="A25" s="871" t="s">
        <v>4</v>
      </c>
      <c r="B25" s="872"/>
      <c r="C25" s="872"/>
      <c r="D25" s="872"/>
      <c r="E25" s="872"/>
      <c r="F25" s="872"/>
      <c r="G25" s="873"/>
    </row>
    <row r="26" spans="1:7">
      <c r="A26" s="149"/>
      <c r="B26" s="147"/>
      <c r="C26" s="147"/>
      <c r="D26" s="147"/>
      <c r="E26" s="147"/>
      <c r="F26" s="147"/>
      <c r="G26" s="148"/>
    </row>
    <row r="27" spans="1:7">
      <c r="A27" s="871" t="s">
        <v>471</v>
      </c>
      <c r="B27" s="872"/>
      <c r="C27" s="872"/>
      <c r="D27" s="872"/>
      <c r="E27" s="872"/>
      <c r="F27" s="872"/>
      <c r="G27" s="873"/>
    </row>
    <row r="28" spans="1:7">
      <c r="A28" s="146"/>
      <c r="B28" s="147"/>
      <c r="C28" s="147"/>
      <c r="D28" s="147"/>
      <c r="E28" s="147"/>
      <c r="F28" s="147"/>
      <c r="G28" s="148"/>
    </row>
    <row r="29" spans="1:7">
      <c r="A29" s="149"/>
      <c r="B29" s="147"/>
      <c r="C29" s="147"/>
      <c r="D29" s="147"/>
      <c r="E29" s="147"/>
      <c r="F29" s="147"/>
      <c r="G29" s="148"/>
    </row>
    <row r="30" spans="1:7">
      <c r="A30" s="864" t="s">
        <v>472</v>
      </c>
      <c r="B30" s="865"/>
      <c r="C30" s="865"/>
      <c r="D30" s="865"/>
      <c r="E30" s="865"/>
      <c r="F30" s="865"/>
      <c r="G30" s="866"/>
    </row>
    <row r="31" spans="1:7">
      <c r="A31" s="146"/>
      <c r="B31" s="147"/>
      <c r="C31" s="147"/>
      <c r="D31" s="147"/>
      <c r="E31" s="147"/>
      <c r="F31" s="147"/>
      <c r="G31" s="148"/>
    </row>
    <row r="32" spans="1:7">
      <c r="A32" s="149"/>
      <c r="B32" s="147"/>
      <c r="C32" s="147"/>
      <c r="D32" s="147"/>
      <c r="E32" s="147"/>
      <c r="F32" s="147"/>
      <c r="G32" s="148"/>
    </row>
    <row r="33" spans="1:256">
      <c r="A33" s="864" t="s">
        <v>473</v>
      </c>
      <c r="B33" s="865"/>
      <c r="C33" s="865"/>
      <c r="D33" s="865"/>
      <c r="E33" s="865"/>
      <c r="F33" s="865"/>
      <c r="G33" s="866"/>
    </row>
    <row r="34" spans="1:256">
      <c r="A34" s="864"/>
      <c r="B34" s="865"/>
      <c r="C34" s="865"/>
      <c r="D34" s="865"/>
      <c r="E34" s="865"/>
      <c r="F34" s="865"/>
      <c r="G34" s="866"/>
    </row>
    <row r="35" spans="1:256" ht="12.75" thickBot="1">
      <c r="A35" s="150"/>
      <c r="B35" s="151"/>
      <c r="C35" s="151"/>
      <c r="D35" s="151"/>
      <c r="E35" s="151"/>
      <c r="F35" s="151"/>
      <c r="G35" s="152"/>
    </row>
    <row r="36" spans="1:256" ht="12.75" thickBot="1"/>
    <row r="37" spans="1:256">
      <c r="A37" s="153" t="s">
        <v>468</v>
      </c>
      <c r="B37" s="154"/>
      <c r="C37" s="154"/>
      <c r="D37" s="154"/>
      <c r="E37" s="154"/>
      <c r="F37" s="154"/>
      <c r="G37" s="155"/>
    </row>
    <row r="38" spans="1:256">
      <c r="A38" s="149"/>
      <c r="B38" s="147"/>
      <c r="C38" s="147"/>
      <c r="D38" s="147"/>
      <c r="E38" s="147"/>
      <c r="F38" s="147"/>
      <c r="G38" s="148"/>
    </row>
    <row r="39" spans="1:256">
      <c r="A39" s="149" t="s">
        <v>475</v>
      </c>
      <c r="B39" s="147"/>
      <c r="C39" s="147"/>
      <c r="D39" s="147"/>
      <c r="E39" s="147"/>
      <c r="F39" s="147"/>
      <c r="G39" s="148"/>
    </row>
    <row r="40" spans="1:256">
      <c r="A40" s="149" t="s">
        <v>474</v>
      </c>
      <c r="B40" s="147"/>
      <c r="C40" s="147"/>
      <c r="D40" s="147"/>
      <c r="E40" s="147"/>
      <c r="F40" s="147"/>
      <c r="G40" s="148"/>
    </row>
    <row r="41" spans="1:256">
      <c r="A41" s="149" t="s">
        <v>5</v>
      </c>
      <c r="B41" s="147"/>
      <c r="C41" s="147"/>
      <c r="D41" s="147"/>
      <c r="E41" s="147"/>
      <c r="F41" s="147"/>
      <c r="G41" s="148"/>
    </row>
    <row r="42" spans="1:256">
      <c r="A42" s="149"/>
      <c r="B42" s="147"/>
      <c r="C42" s="147"/>
      <c r="D42" s="147"/>
      <c r="E42" s="147"/>
      <c r="F42" s="147"/>
      <c r="G42" s="148"/>
    </row>
    <row r="43" spans="1:256">
      <c r="A43" s="157" t="s">
        <v>6</v>
      </c>
      <c r="B43" s="147"/>
      <c r="C43" s="147"/>
      <c r="D43" s="147"/>
      <c r="E43" s="147"/>
      <c r="F43" s="147"/>
      <c r="G43" s="148"/>
    </row>
    <row r="44" spans="1:256">
      <c r="A44" s="149" t="s">
        <v>476</v>
      </c>
      <c r="B44" s="147"/>
      <c r="C44" s="147"/>
      <c r="D44" s="147"/>
      <c r="E44" s="147"/>
      <c r="F44" s="147"/>
      <c r="G44" s="148"/>
    </row>
    <row r="45" spans="1:256" ht="12.75" thickBot="1">
      <c r="A45" s="150"/>
      <c r="B45" s="151"/>
      <c r="C45" s="151"/>
      <c r="D45" s="151"/>
      <c r="E45" s="151"/>
      <c r="F45" s="151"/>
      <c r="G45" s="152"/>
    </row>
    <row r="46" spans="1:256">
      <c r="A46" s="176"/>
      <c r="B46" s="147"/>
      <c r="C46" s="147"/>
      <c r="D46" s="147"/>
      <c r="E46" s="147"/>
      <c r="F46" s="147"/>
      <c r="G46" s="147"/>
    </row>
    <row r="47" spans="1:256" s="211" customFormat="1" ht="16.5" thickBot="1">
      <c r="A47" s="867" t="s">
        <v>477</v>
      </c>
      <c r="B47" s="867"/>
      <c r="C47" s="867"/>
      <c r="D47" s="867"/>
      <c r="E47" s="867"/>
      <c r="F47" s="867"/>
      <c r="G47" s="86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row>
    <row r="48" spans="1:256" ht="15.75">
      <c r="A48" s="177" t="s">
        <v>28</v>
      </c>
      <c r="B48" s="178"/>
      <c r="C48" s="154"/>
      <c r="D48" s="154"/>
      <c r="E48" s="154"/>
      <c r="F48" s="154"/>
      <c r="G48" s="155"/>
      <c r="H48" s="149"/>
      <c r="I48" s="147"/>
      <c r="J48" s="147"/>
      <c r="K48" s="147"/>
      <c r="L48" s="147"/>
      <c r="M48" s="147"/>
      <c r="N48" s="148"/>
      <c r="O48" s="149"/>
      <c r="P48" s="147"/>
      <c r="Q48" s="147"/>
      <c r="R48" s="147"/>
      <c r="S48" s="147"/>
      <c r="T48" s="147"/>
      <c r="U48" s="148"/>
      <c r="V48" s="149"/>
      <c r="W48" s="147"/>
      <c r="X48" s="147"/>
      <c r="Y48" s="147"/>
      <c r="Z48" s="147"/>
      <c r="AA48" s="147"/>
      <c r="AB48" s="148"/>
      <c r="AC48" s="149"/>
      <c r="AD48" s="147"/>
      <c r="AE48" s="147"/>
      <c r="AF48" s="147"/>
      <c r="AG48" s="147"/>
      <c r="AH48" s="147"/>
      <c r="AI48" s="148"/>
      <c r="AJ48" s="149"/>
      <c r="AK48" s="147"/>
      <c r="AL48" s="147"/>
      <c r="AM48" s="147"/>
      <c r="AN48" s="147"/>
      <c r="AO48" s="147"/>
      <c r="AP48" s="148"/>
      <c r="AQ48" s="149"/>
      <c r="AR48" s="147"/>
      <c r="AS48" s="147"/>
      <c r="AT48" s="147"/>
      <c r="AU48" s="147"/>
      <c r="AV48" s="147"/>
      <c r="AW48" s="148"/>
      <c r="AX48" s="149"/>
      <c r="AY48" s="147"/>
      <c r="AZ48" s="147"/>
      <c r="BA48" s="147"/>
      <c r="BB48" s="147"/>
      <c r="BC48" s="147"/>
      <c r="BD48" s="148"/>
      <c r="BE48" s="149"/>
      <c r="BF48" s="147"/>
      <c r="BG48" s="147"/>
      <c r="BH48" s="147"/>
      <c r="BI48" s="147"/>
      <c r="BJ48" s="147"/>
      <c r="BK48" s="148"/>
      <c r="BL48" s="149"/>
      <c r="BM48" s="147"/>
      <c r="BN48" s="147"/>
      <c r="BO48" s="147"/>
      <c r="BP48" s="147"/>
      <c r="BQ48" s="147"/>
      <c r="BR48" s="148"/>
      <c r="BS48" s="149"/>
      <c r="BT48" s="147"/>
      <c r="BU48" s="147"/>
      <c r="BV48" s="147"/>
      <c r="BW48" s="147"/>
      <c r="BX48" s="147"/>
      <c r="BY48" s="148"/>
      <c r="BZ48" s="149"/>
      <c r="CA48" s="147"/>
      <c r="CB48" s="147"/>
      <c r="CC48" s="147"/>
      <c r="CD48" s="147"/>
      <c r="CE48" s="147"/>
      <c r="CF48" s="148"/>
      <c r="CG48" s="149"/>
      <c r="CH48" s="147"/>
      <c r="CI48" s="147"/>
      <c r="CJ48" s="147"/>
      <c r="CK48" s="147"/>
      <c r="CL48" s="147"/>
      <c r="CM48" s="148"/>
      <c r="CN48" s="149"/>
      <c r="CO48" s="147"/>
      <c r="CP48" s="147"/>
      <c r="CQ48" s="147"/>
      <c r="CR48" s="147"/>
      <c r="CS48" s="147"/>
      <c r="CT48" s="148"/>
      <c r="CU48" s="149"/>
      <c r="CV48" s="147"/>
      <c r="CW48" s="147"/>
      <c r="CX48" s="147"/>
      <c r="CY48" s="147"/>
      <c r="CZ48" s="147"/>
      <c r="DA48" s="148"/>
      <c r="DB48" s="149"/>
      <c r="DC48" s="147"/>
      <c r="DD48" s="147"/>
      <c r="DE48" s="147"/>
      <c r="DF48" s="147"/>
      <c r="DG48" s="147"/>
      <c r="DH48" s="148"/>
      <c r="DI48" s="149"/>
      <c r="DJ48" s="147"/>
      <c r="DK48" s="147"/>
      <c r="DL48" s="147"/>
      <c r="DM48" s="147"/>
      <c r="DN48" s="147"/>
      <c r="DO48" s="148"/>
      <c r="DP48" s="149"/>
      <c r="DQ48" s="147"/>
      <c r="DR48" s="147"/>
      <c r="DS48" s="147"/>
      <c r="DT48" s="147"/>
      <c r="DU48" s="147"/>
      <c r="DV48" s="148"/>
      <c r="DW48" s="149"/>
      <c r="DX48" s="147"/>
      <c r="DY48" s="147"/>
      <c r="DZ48" s="147"/>
      <c r="EA48" s="147"/>
      <c r="EB48" s="147"/>
      <c r="EC48" s="148"/>
      <c r="ED48" s="149"/>
      <c r="EE48" s="147"/>
      <c r="EF48" s="147"/>
      <c r="EG48" s="147"/>
      <c r="EH48" s="147"/>
      <c r="EI48" s="147"/>
      <c r="EJ48" s="148"/>
      <c r="EK48" s="149"/>
      <c r="EL48" s="147"/>
      <c r="EM48" s="147"/>
      <c r="EN48" s="147"/>
      <c r="EO48" s="147"/>
      <c r="EP48" s="147"/>
      <c r="EQ48" s="148"/>
      <c r="ER48" s="149"/>
      <c r="ES48" s="147"/>
      <c r="ET48" s="147"/>
      <c r="EU48" s="147"/>
      <c r="EV48" s="147"/>
      <c r="EW48" s="147"/>
      <c r="EX48" s="148"/>
      <c r="EY48" s="149"/>
      <c r="EZ48" s="147"/>
      <c r="FA48" s="147"/>
      <c r="FB48" s="147"/>
      <c r="FC48" s="147"/>
      <c r="FD48" s="147"/>
      <c r="FE48" s="148"/>
      <c r="FF48" s="149"/>
      <c r="FG48" s="147"/>
      <c r="FH48" s="147"/>
      <c r="FI48" s="147"/>
      <c r="FJ48" s="147"/>
      <c r="FK48" s="147"/>
      <c r="FL48" s="148"/>
      <c r="FM48" s="149"/>
      <c r="FN48" s="147"/>
      <c r="FO48" s="147"/>
      <c r="FP48" s="147"/>
      <c r="FQ48" s="147"/>
      <c r="FR48" s="147"/>
      <c r="FS48" s="148"/>
      <c r="FT48" s="149"/>
      <c r="FU48" s="147"/>
      <c r="FV48" s="147"/>
      <c r="FW48" s="147"/>
      <c r="FX48" s="147"/>
      <c r="FY48" s="147"/>
      <c r="FZ48" s="148"/>
      <c r="GA48" s="149"/>
      <c r="GB48" s="147"/>
      <c r="GC48" s="147"/>
      <c r="GD48" s="147"/>
      <c r="GE48" s="147"/>
      <c r="GF48" s="147"/>
      <c r="GG48" s="148"/>
      <c r="GH48" s="149"/>
      <c r="GI48" s="147"/>
      <c r="GJ48" s="147"/>
      <c r="GK48" s="147"/>
      <c r="GL48" s="147"/>
      <c r="GM48" s="147"/>
      <c r="GN48" s="148"/>
      <c r="GO48" s="149"/>
      <c r="GP48" s="147"/>
      <c r="GQ48" s="147"/>
      <c r="GR48" s="147"/>
      <c r="GS48" s="147"/>
      <c r="GT48" s="147"/>
      <c r="GU48" s="148"/>
      <c r="GV48" s="149"/>
      <c r="GW48" s="147"/>
      <c r="GX48" s="147"/>
      <c r="GY48" s="147"/>
      <c r="GZ48" s="147"/>
      <c r="HA48" s="147"/>
      <c r="HB48" s="148"/>
      <c r="HC48" s="149"/>
      <c r="HD48" s="147"/>
      <c r="HE48" s="147"/>
      <c r="HF48" s="147"/>
      <c r="HG48" s="147"/>
      <c r="HH48" s="147"/>
      <c r="HI48" s="148"/>
      <c r="HJ48" s="149"/>
      <c r="HK48" s="147"/>
      <c r="HL48" s="147"/>
      <c r="HM48" s="147"/>
      <c r="HN48" s="147"/>
      <c r="HO48" s="147"/>
      <c r="HP48" s="148"/>
      <c r="HQ48" s="149"/>
      <c r="HR48" s="147"/>
      <c r="HS48" s="147"/>
      <c r="HT48" s="147"/>
      <c r="HU48" s="147"/>
      <c r="HV48" s="147"/>
      <c r="HW48" s="148"/>
      <c r="HX48" s="149"/>
      <c r="HY48" s="147"/>
      <c r="HZ48" s="147"/>
      <c r="IA48" s="147"/>
      <c r="IB48" s="147"/>
      <c r="IC48" s="147"/>
      <c r="ID48" s="148"/>
      <c r="IE48" s="149"/>
      <c r="IF48" s="147"/>
      <c r="IG48" s="147"/>
      <c r="IH48" s="147"/>
      <c r="II48" s="147"/>
      <c r="IJ48" s="147"/>
      <c r="IK48" s="148"/>
      <c r="IL48" s="149"/>
      <c r="IM48" s="147"/>
      <c r="IN48" s="147"/>
      <c r="IO48" s="147"/>
      <c r="IP48" s="147"/>
      <c r="IQ48" s="147"/>
      <c r="IR48" s="148"/>
      <c r="IS48" s="149"/>
      <c r="IT48" s="147"/>
      <c r="IU48" s="147"/>
      <c r="IV48" s="147"/>
    </row>
    <row r="49" spans="1:256" s="39" customFormat="1" ht="12.75">
      <c r="A49" s="208" t="s">
        <v>478</v>
      </c>
      <c r="B49" s="147"/>
      <c r="C49" s="147"/>
      <c r="D49" s="147"/>
      <c r="E49" s="147"/>
      <c r="F49" s="147"/>
      <c r="G49" s="148"/>
      <c r="H49" s="149"/>
      <c r="I49" s="147"/>
      <c r="J49" s="147"/>
      <c r="K49" s="147"/>
      <c r="L49" s="147"/>
      <c r="M49" s="147"/>
      <c r="N49" s="148"/>
      <c r="O49" s="149"/>
      <c r="P49" s="147"/>
      <c r="Q49" s="147"/>
      <c r="R49" s="147"/>
      <c r="S49" s="147"/>
      <c r="T49" s="147"/>
      <c r="U49" s="148"/>
      <c r="V49" s="149"/>
      <c r="W49" s="147"/>
      <c r="X49" s="147"/>
      <c r="Y49" s="147"/>
      <c r="Z49" s="147"/>
      <c r="AA49" s="147"/>
      <c r="AB49" s="148"/>
      <c r="AC49" s="149"/>
      <c r="AD49" s="147"/>
      <c r="AE49" s="147"/>
      <c r="AF49" s="147"/>
      <c r="AG49" s="147"/>
      <c r="AH49" s="147"/>
      <c r="AI49" s="148"/>
      <c r="AJ49" s="149"/>
      <c r="AK49" s="147"/>
      <c r="AL49" s="147"/>
      <c r="AM49" s="147"/>
      <c r="AN49" s="147"/>
      <c r="AO49" s="147"/>
      <c r="AP49" s="148"/>
      <c r="AQ49" s="149"/>
      <c r="AR49" s="147"/>
      <c r="AS49" s="147"/>
      <c r="AT49" s="147"/>
      <c r="AU49" s="147"/>
      <c r="AV49" s="147"/>
      <c r="AW49" s="148"/>
      <c r="AX49" s="149"/>
      <c r="AY49" s="147"/>
      <c r="AZ49" s="147"/>
      <c r="BA49" s="147"/>
      <c r="BB49" s="147"/>
      <c r="BC49" s="147"/>
      <c r="BD49" s="148"/>
      <c r="BE49" s="149"/>
      <c r="BF49" s="147"/>
      <c r="BG49" s="147"/>
      <c r="BH49" s="147"/>
      <c r="BI49" s="147"/>
      <c r="BJ49" s="147"/>
      <c r="BK49" s="148"/>
      <c r="BL49" s="149"/>
      <c r="BM49" s="147"/>
      <c r="BN49" s="147"/>
      <c r="BO49" s="147"/>
      <c r="BP49" s="147"/>
      <c r="BQ49" s="147"/>
      <c r="BR49" s="148"/>
      <c r="BS49" s="149"/>
      <c r="BT49" s="147"/>
      <c r="BU49" s="147"/>
      <c r="BV49" s="147"/>
      <c r="BW49" s="147"/>
      <c r="BX49" s="147"/>
      <c r="BY49" s="148"/>
      <c r="BZ49" s="149"/>
      <c r="CA49" s="147"/>
      <c r="CB49" s="147"/>
      <c r="CC49" s="147"/>
      <c r="CD49" s="147"/>
      <c r="CE49" s="147"/>
      <c r="CF49" s="148"/>
      <c r="CG49" s="149"/>
      <c r="CH49" s="147"/>
      <c r="CI49" s="147"/>
      <c r="CJ49" s="147"/>
      <c r="CK49" s="147"/>
      <c r="CL49" s="147"/>
      <c r="CM49" s="148"/>
      <c r="CN49" s="149"/>
      <c r="CO49" s="147"/>
      <c r="CP49" s="147"/>
      <c r="CQ49" s="147"/>
      <c r="CR49" s="147"/>
      <c r="CS49" s="147"/>
      <c r="CT49" s="148"/>
      <c r="CU49" s="149"/>
      <c r="CV49" s="147"/>
      <c r="CW49" s="147"/>
      <c r="CX49" s="147"/>
      <c r="CY49" s="147"/>
      <c r="CZ49" s="147"/>
      <c r="DA49" s="148"/>
      <c r="DB49" s="149"/>
      <c r="DC49" s="147"/>
      <c r="DD49" s="147"/>
      <c r="DE49" s="147"/>
      <c r="DF49" s="147"/>
      <c r="DG49" s="147"/>
      <c r="DH49" s="148"/>
      <c r="DI49" s="149"/>
      <c r="DJ49" s="147"/>
      <c r="DK49" s="147"/>
      <c r="DL49" s="147"/>
      <c r="DM49" s="147"/>
      <c r="DN49" s="147"/>
      <c r="DO49" s="148"/>
      <c r="DP49" s="149"/>
      <c r="DQ49" s="147"/>
      <c r="DR49" s="147"/>
      <c r="DS49" s="147"/>
      <c r="DT49" s="147"/>
      <c r="DU49" s="147"/>
      <c r="DV49" s="148"/>
      <c r="DW49" s="149"/>
      <c r="DX49" s="147"/>
      <c r="DY49" s="147"/>
      <c r="DZ49" s="147"/>
      <c r="EA49" s="147"/>
      <c r="EB49" s="147"/>
      <c r="EC49" s="148"/>
      <c r="ED49" s="149"/>
      <c r="EE49" s="147"/>
      <c r="EF49" s="147"/>
      <c r="EG49" s="147"/>
      <c r="EH49" s="147"/>
      <c r="EI49" s="147"/>
      <c r="EJ49" s="148"/>
      <c r="EK49" s="149"/>
      <c r="EL49" s="147"/>
      <c r="EM49" s="147"/>
      <c r="EN49" s="147"/>
      <c r="EO49" s="147"/>
      <c r="EP49" s="147"/>
      <c r="EQ49" s="148"/>
      <c r="ER49" s="149"/>
      <c r="ES49" s="147"/>
      <c r="ET49" s="147"/>
      <c r="EU49" s="147"/>
      <c r="EV49" s="147"/>
      <c r="EW49" s="147"/>
      <c r="EX49" s="148"/>
      <c r="EY49" s="149"/>
      <c r="EZ49" s="147"/>
      <c r="FA49" s="147"/>
      <c r="FB49" s="147"/>
      <c r="FC49" s="147"/>
      <c r="FD49" s="147"/>
      <c r="FE49" s="148"/>
      <c r="FF49" s="149"/>
      <c r="FG49" s="147"/>
      <c r="FH49" s="147"/>
      <c r="FI49" s="147"/>
      <c r="FJ49" s="147"/>
      <c r="FK49" s="147"/>
      <c r="FL49" s="148"/>
      <c r="FM49" s="149"/>
      <c r="FN49" s="147"/>
      <c r="FO49" s="147"/>
      <c r="FP49" s="147"/>
      <c r="FQ49" s="147"/>
      <c r="FR49" s="147"/>
      <c r="FS49" s="148"/>
      <c r="FT49" s="149"/>
      <c r="FU49" s="147"/>
      <c r="FV49" s="147"/>
      <c r="FW49" s="147"/>
      <c r="FX49" s="147"/>
      <c r="FY49" s="147"/>
      <c r="FZ49" s="148"/>
      <c r="GA49" s="149"/>
      <c r="GB49" s="147"/>
      <c r="GC49" s="147"/>
      <c r="GD49" s="147"/>
      <c r="GE49" s="147"/>
      <c r="GF49" s="147"/>
      <c r="GG49" s="148"/>
      <c r="GH49" s="149"/>
      <c r="GI49" s="147"/>
      <c r="GJ49" s="147"/>
      <c r="GK49" s="147"/>
      <c r="GL49" s="147"/>
      <c r="GM49" s="147"/>
      <c r="GN49" s="148"/>
      <c r="GO49" s="149"/>
      <c r="GP49" s="147"/>
      <c r="GQ49" s="147"/>
      <c r="GR49" s="147"/>
      <c r="GS49" s="147"/>
      <c r="GT49" s="147"/>
      <c r="GU49" s="148"/>
      <c r="GV49" s="149"/>
      <c r="GW49" s="147"/>
      <c r="GX49" s="147"/>
      <c r="GY49" s="147"/>
      <c r="GZ49" s="147"/>
      <c r="HA49" s="147"/>
      <c r="HB49" s="148"/>
      <c r="HC49" s="149"/>
      <c r="HD49" s="147"/>
      <c r="HE49" s="147"/>
      <c r="HF49" s="147"/>
      <c r="HG49" s="147"/>
      <c r="HH49" s="147"/>
      <c r="HI49" s="148"/>
      <c r="HJ49" s="149"/>
      <c r="HK49" s="147"/>
      <c r="HL49" s="147"/>
      <c r="HM49" s="147"/>
      <c r="HN49" s="147"/>
      <c r="HO49" s="147"/>
      <c r="HP49" s="148"/>
      <c r="HQ49" s="149"/>
      <c r="HR49" s="147"/>
      <c r="HS49" s="147"/>
      <c r="HT49" s="147"/>
      <c r="HU49" s="147"/>
      <c r="HV49" s="147"/>
      <c r="HW49" s="148"/>
      <c r="HX49" s="149"/>
      <c r="HY49" s="147"/>
      <c r="HZ49" s="147"/>
      <c r="IA49" s="147"/>
      <c r="IB49" s="147"/>
      <c r="IC49" s="147"/>
      <c r="ID49" s="148"/>
      <c r="IE49" s="149"/>
      <c r="IF49" s="147"/>
      <c r="IG49" s="147"/>
      <c r="IH49" s="147"/>
      <c r="II49" s="147"/>
      <c r="IJ49" s="147"/>
      <c r="IK49" s="148"/>
      <c r="IL49" s="149"/>
      <c r="IM49" s="147"/>
      <c r="IN49" s="147"/>
      <c r="IO49" s="147"/>
      <c r="IP49" s="147"/>
      <c r="IQ49" s="147"/>
      <c r="IR49" s="148"/>
      <c r="IS49" s="149"/>
      <c r="IT49" s="147"/>
      <c r="IU49" s="147"/>
      <c r="IV49" s="147"/>
    </row>
    <row r="50" spans="1:256" s="39" customFormat="1" ht="12.75">
      <c r="A50" s="208" t="s">
        <v>445</v>
      </c>
      <c r="B50" s="147"/>
      <c r="C50" s="147"/>
      <c r="D50" s="147"/>
      <c r="E50" s="147"/>
      <c r="F50" s="147"/>
      <c r="G50" s="148"/>
      <c r="H50" s="149"/>
      <c r="I50" s="147"/>
      <c r="J50" s="147"/>
      <c r="K50" s="147"/>
      <c r="L50" s="147"/>
      <c r="M50" s="147"/>
      <c r="N50" s="148"/>
      <c r="O50" s="149"/>
      <c r="P50" s="147"/>
      <c r="Q50" s="147"/>
      <c r="R50" s="147"/>
      <c r="S50" s="147"/>
      <c r="T50" s="147"/>
      <c r="U50" s="148"/>
      <c r="V50" s="149"/>
      <c r="W50" s="147"/>
      <c r="X50" s="147"/>
      <c r="Y50" s="147"/>
      <c r="Z50" s="147"/>
      <c r="AA50" s="147"/>
      <c r="AB50" s="148"/>
      <c r="AC50" s="149"/>
      <c r="AD50" s="147"/>
      <c r="AE50" s="147"/>
      <c r="AF50" s="147"/>
      <c r="AG50" s="147"/>
      <c r="AH50" s="147"/>
      <c r="AI50" s="148"/>
      <c r="AJ50" s="149"/>
      <c r="AK50" s="147"/>
      <c r="AL50" s="147"/>
      <c r="AM50" s="147"/>
      <c r="AN50" s="147"/>
      <c r="AO50" s="147"/>
      <c r="AP50" s="148"/>
      <c r="AQ50" s="149"/>
      <c r="AR50" s="147"/>
      <c r="AS50" s="147"/>
      <c r="AT50" s="147"/>
      <c r="AU50" s="147"/>
      <c r="AV50" s="147"/>
      <c r="AW50" s="148"/>
      <c r="AX50" s="149"/>
      <c r="AY50" s="147"/>
      <c r="AZ50" s="147"/>
      <c r="BA50" s="147"/>
      <c r="BB50" s="147"/>
      <c r="BC50" s="147"/>
      <c r="BD50" s="148"/>
      <c r="BE50" s="149"/>
      <c r="BF50" s="147"/>
      <c r="BG50" s="147"/>
      <c r="BH50" s="147"/>
      <c r="BI50" s="147"/>
      <c r="BJ50" s="147"/>
      <c r="BK50" s="148"/>
      <c r="BL50" s="149"/>
      <c r="BM50" s="147"/>
      <c r="BN50" s="147"/>
      <c r="BO50" s="147"/>
      <c r="BP50" s="147"/>
      <c r="BQ50" s="147"/>
      <c r="BR50" s="148"/>
      <c r="BS50" s="149"/>
      <c r="BT50" s="147"/>
      <c r="BU50" s="147"/>
      <c r="BV50" s="147"/>
      <c r="BW50" s="147"/>
      <c r="BX50" s="147"/>
      <c r="BY50" s="148"/>
      <c r="BZ50" s="149"/>
      <c r="CA50" s="147"/>
      <c r="CB50" s="147"/>
      <c r="CC50" s="147"/>
      <c r="CD50" s="147"/>
      <c r="CE50" s="147"/>
      <c r="CF50" s="148"/>
      <c r="CG50" s="149"/>
      <c r="CH50" s="147"/>
      <c r="CI50" s="147"/>
      <c r="CJ50" s="147"/>
      <c r="CK50" s="147"/>
      <c r="CL50" s="147"/>
      <c r="CM50" s="148"/>
      <c r="CN50" s="149"/>
      <c r="CO50" s="147"/>
      <c r="CP50" s="147"/>
      <c r="CQ50" s="147"/>
      <c r="CR50" s="147"/>
      <c r="CS50" s="147"/>
      <c r="CT50" s="148"/>
      <c r="CU50" s="149"/>
      <c r="CV50" s="147"/>
      <c r="CW50" s="147"/>
      <c r="CX50" s="147"/>
      <c r="CY50" s="147"/>
      <c r="CZ50" s="147"/>
      <c r="DA50" s="148"/>
      <c r="DB50" s="149"/>
      <c r="DC50" s="147"/>
      <c r="DD50" s="147"/>
      <c r="DE50" s="147"/>
      <c r="DF50" s="147"/>
      <c r="DG50" s="147"/>
      <c r="DH50" s="148"/>
      <c r="DI50" s="149"/>
      <c r="DJ50" s="147"/>
      <c r="DK50" s="147"/>
      <c r="DL50" s="147"/>
      <c r="DM50" s="147"/>
      <c r="DN50" s="147"/>
      <c r="DO50" s="148"/>
      <c r="DP50" s="149"/>
      <c r="DQ50" s="147"/>
      <c r="DR50" s="147"/>
      <c r="DS50" s="147"/>
      <c r="DT50" s="147"/>
      <c r="DU50" s="147"/>
      <c r="DV50" s="148"/>
      <c r="DW50" s="149"/>
      <c r="DX50" s="147"/>
      <c r="DY50" s="147"/>
      <c r="DZ50" s="147"/>
      <c r="EA50" s="147"/>
      <c r="EB50" s="147"/>
      <c r="EC50" s="148"/>
      <c r="ED50" s="149"/>
      <c r="EE50" s="147"/>
      <c r="EF50" s="147"/>
      <c r="EG50" s="147"/>
      <c r="EH50" s="147"/>
      <c r="EI50" s="147"/>
      <c r="EJ50" s="148"/>
      <c r="EK50" s="149"/>
      <c r="EL50" s="147"/>
      <c r="EM50" s="147"/>
      <c r="EN50" s="147"/>
      <c r="EO50" s="147"/>
      <c r="EP50" s="147"/>
      <c r="EQ50" s="148"/>
      <c r="ER50" s="149"/>
      <c r="ES50" s="147"/>
      <c r="ET50" s="147"/>
      <c r="EU50" s="147"/>
      <c r="EV50" s="147"/>
      <c r="EW50" s="147"/>
      <c r="EX50" s="148"/>
      <c r="EY50" s="149"/>
      <c r="EZ50" s="147"/>
      <c r="FA50" s="147"/>
      <c r="FB50" s="147"/>
      <c r="FC50" s="147"/>
      <c r="FD50" s="147"/>
      <c r="FE50" s="148"/>
      <c r="FF50" s="149"/>
      <c r="FG50" s="147"/>
      <c r="FH50" s="147"/>
      <c r="FI50" s="147"/>
      <c r="FJ50" s="147"/>
      <c r="FK50" s="147"/>
      <c r="FL50" s="148"/>
      <c r="FM50" s="149"/>
      <c r="FN50" s="147"/>
      <c r="FO50" s="147"/>
      <c r="FP50" s="147"/>
      <c r="FQ50" s="147"/>
      <c r="FR50" s="147"/>
      <c r="FS50" s="148"/>
      <c r="FT50" s="149"/>
      <c r="FU50" s="147"/>
      <c r="FV50" s="147"/>
      <c r="FW50" s="147"/>
      <c r="FX50" s="147"/>
      <c r="FY50" s="147"/>
      <c r="FZ50" s="148"/>
      <c r="GA50" s="149"/>
      <c r="GB50" s="147"/>
      <c r="GC50" s="147"/>
      <c r="GD50" s="147"/>
      <c r="GE50" s="147"/>
      <c r="GF50" s="147"/>
      <c r="GG50" s="148"/>
      <c r="GH50" s="149"/>
      <c r="GI50" s="147"/>
      <c r="GJ50" s="147"/>
      <c r="GK50" s="147"/>
      <c r="GL50" s="147"/>
      <c r="GM50" s="147"/>
      <c r="GN50" s="148"/>
      <c r="GO50" s="149"/>
      <c r="GP50" s="147"/>
      <c r="GQ50" s="147"/>
      <c r="GR50" s="147"/>
      <c r="GS50" s="147"/>
      <c r="GT50" s="147"/>
      <c r="GU50" s="148"/>
      <c r="GV50" s="149"/>
      <c r="GW50" s="147"/>
      <c r="GX50" s="147"/>
      <c r="GY50" s="147"/>
      <c r="GZ50" s="147"/>
      <c r="HA50" s="147"/>
      <c r="HB50" s="148"/>
      <c r="HC50" s="149"/>
      <c r="HD50" s="147"/>
      <c r="HE50" s="147"/>
      <c r="HF50" s="147"/>
      <c r="HG50" s="147"/>
      <c r="HH50" s="147"/>
      <c r="HI50" s="148"/>
      <c r="HJ50" s="149"/>
      <c r="HK50" s="147"/>
      <c r="HL50" s="147"/>
      <c r="HM50" s="147"/>
      <c r="HN50" s="147"/>
      <c r="HO50" s="147"/>
      <c r="HP50" s="148"/>
      <c r="HQ50" s="149"/>
      <c r="HR50" s="147"/>
      <c r="HS50" s="147"/>
      <c r="HT50" s="147"/>
      <c r="HU50" s="147"/>
      <c r="HV50" s="147"/>
      <c r="HW50" s="148"/>
      <c r="HX50" s="149"/>
      <c r="HY50" s="147"/>
      <c r="HZ50" s="147"/>
      <c r="IA50" s="147"/>
      <c r="IB50" s="147"/>
      <c r="IC50" s="147"/>
      <c r="ID50" s="148"/>
      <c r="IE50" s="149"/>
      <c r="IF50" s="147"/>
      <c r="IG50" s="147"/>
      <c r="IH50" s="147"/>
      <c r="II50" s="147"/>
      <c r="IJ50" s="147"/>
      <c r="IK50" s="148"/>
      <c r="IL50" s="149"/>
      <c r="IM50" s="147"/>
      <c r="IN50" s="147"/>
      <c r="IO50" s="147"/>
      <c r="IP50" s="147"/>
      <c r="IQ50" s="147"/>
      <c r="IR50" s="148"/>
      <c r="IS50" s="149"/>
      <c r="IT50" s="147"/>
      <c r="IU50" s="147"/>
      <c r="IV50" s="147"/>
    </row>
    <row r="51" spans="1:256" s="39" customFormat="1" ht="12.75">
      <c r="A51" s="861" t="s">
        <v>446</v>
      </c>
      <c r="B51" s="862"/>
      <c r="C51" s="862"/>
      <c r="D51" s="862"/>
      <c r="E51" s="862"/>
      <c r="F51" s="862"/>
      <c r="G51" s="863"/>
      <c r="H51" s="149"/>
      <c r="I51" s="147"/>
      <c r="J51" s="147"/>
      <c r="K51" s="147"/>
      <c r="L51" s="147"/>
      <c r="M51" s="147"/>
      <c r="N51" s="148"/>
      <c r="O51" s="149"/>
      <c r="P51" s="147"/>
      <c r="Q51" s="147"/>
      <c r="R51" s="147"/>
      <c r="S51" s="147"/>
      <c r="T51" s="147"/>
      <c r="U51" s="148"/>
      <c r="V51" s="149"/>
      <c r="W51" s="147"/>
      <c r="X51" s="147"/>
      <c r="Y51" s="147"/>
      <c r="Z51" s="147"/>
      <c r="AA51" s="147"/>
      <c r="AB51" s="148"/>
      <c r="AC51" s="149"/>
      <c r="AD51" s="147"/>
      <c r="AE51" s="147"/>
      <c r="AF51" s="147"/>
      <c r="AG51" s="147"/>
      <c r="AH51" s="147"/>
      <c r="AI51" s="148"/>
      <c r="AJ51" s="149"/>
      <c r="AK51" s="147"/>
      <c r="AL51" s="147"/>
      <c r="AM51" s="147"/>
      <c r="AN51" s="147"/>
      <c r="AO51" s="147"/>
      <c r="AP51" s="148"/>
      <c r="AQ51" s="149"/>
      <c r="AR51" s="147"/>
      <c r="AS51" s="147"/>
      <c r="AT51" s="147"/>
      <c r="AU51" s="147"/>
      <c r="AV51" s="147"/>
      <c r="AW51" s="148"/>
      <c r="AX51" s="149"/>
      <c r="AY51" s="147"/>
      <c r="AZ51" s="147"/>
      <c r="BA51" s="147"/>
      <c r="BB51" s="147"/>
      <c r="BC51" s="147"/>
      <c r="BD51" s="148"/>
      <c r="BE51" s="149"/>
      <c r="BF51" s="147"/>
      <c r="BG51" s="147"/>
      <c r="BH51" s="147"/>
      <c r="BI51" s="147"/>
      <c r="BJ51" s="147"/>
      <c r="BK51" s="148"/>
      <c r="BL51" s="149"/>
      <c r="BM51" s="147"/>
      <c r="BN51" s="147"/>
      <c r="BO51" s="147"/>
      <c r="BP51" s="147"/>
      <c r="BQ51" s="147"/>
      <c r="BR51" s="148"/>
      <c r="BS51" s="149"/>
      <c r="BT51" s="147"/>
      <c r="BU51" s="147"/>
      <c r="BV51" s="147"/>
      <c r="BW51" s="147"/>
      <c r="BX51" s="147"/>
      <c r="BY51" s="148"/>
      <c r="BZ51" s="149"/>
      <c r="CA51" s="147"/>
      <c r="CB51" s="147"/>
      <c r="CC51" s="147"/>
      <c r="CD51" s="147"/>
      <c r="CE51" s="147"/>
      <c r="CF51" s="148"/>
      <c r="CG51" s="149"/>
      <c r="CH51" s="147"/>
      <c r="CI51" s="147"/>
      <c r="CJ51" s="147"/>
      <c r="CK51" s="147"/>
      <c r="CL51" s="147"/>
      <c r="CM51" s="148"/>
      <c r="CN51" s="149"/>
      <c r="CO51" s="147"/>
      <c r="CP51" s="147"/>
      <c r="CQ51" s="147"/>
      <c r="CR51" s="147"/>
      <c r="CS51" s="147"/>
      <c r="CT51" s="148"/>
      <c r="CU51" s="149"/>
      <c r="CV51" s="147"/>
      <c r="CW51" s="147"/>
      <c r="CX51" s="147"/>
      <c r="CY51" s="147"/>
      <c r="CZ51" s="147"/>
      <c r="DA51" s="148"/>
      <c r="DB51" s="149"/>
      <c r="DC51" s="147"/>
      <c r="DD51" s="147"/>
      <c r="DE51" s="147"/>
      <c r="DF51" s="147"/>
      <c r="DG51" s="147"/>
      <c r="DH51" s="148"/>
      <c r="DI51" s="149"/>
      <c r="DJ51" s="147"/>
      <c r="DK51" s="147"/>
      <c r="DL51" s="147"/>
      <c r="DM51" s="147"/>
      <c r="DN51" s="147"/>
      <c r="DO51" s="148"/>
      <c r="DP51" s="149"/>
      <c r="DQ51" s="147"/>
      <c r="DR51" s="147"/>
      <c r="DS51" s="147"/>
      <c r="DT51" s="147"/>
      <c r="DU51" s="147"/>
      <c r="DV51" s="148"/>
      <c r="DW51" s="149"/>
      <c r="DX51" s="147"/>
      <c r="DY51" s="147"/>
      <c r="DZ51" s="147"/>
      <c r="EA51" s="147"/>
      <c r="EB51" s="147"/>
      <c r="EC51" s="148"/>
      <c r="ED51" s="149"/>
      <c r="EE51" s="147"/>
      <c r="EF51" s="147"/>
      <c r="EG51" s="147"/>
      <c r="EH51" s="147"/>
      <c r="EI51" s="147"/>
      <c r="EJ51" s="148"/>
      <c r="EK51" s="149"/>
      <c r="EL51" s="147"/>
      <c r="EM51" s="147"/>
      <c r="EN51" s="147"/>
      <c r="EO51" s="147"/>
      <c r="EP51" s="147"/>
      <c r="EQ51" s="148"/>
      <c r="ER51" s="149"/>
      <c r="ES51" s="147"/>
      <c r="ET51" s="147"/>
      <c r="EU51" s="147"/>
      <c r="EV51" s="147"/>
      <c r="EW51" s="147"/>
      <c r="EX51" s="148"/>
      <c r="EY51" s="149"/>
      <c r="EZ51" s="147"/>
      <c r="FA51" s="147"/>
      <c r="FB51" s="147"/>
      <c r="FC51" s="147"/>
      <c r="FD51" s="147"/>
      <c r="FE51" s="148"/>
      <c r="FF51" s="149"/>
      <c r="FG51" s="147"/>
      <c r="FH51" s="147"/>
      <c r="FI51" s="147"/>
      <c r="FJ51" s="147"/>
      <c r="FK51" s="147"/>
      <c r="FL51" s="148"/>
      <c r="FM51" s="149"/>
      <c r="FN51" s="147"/>
      <c r="FO51" s="147"/>
      <c r="FP51" s="147"/>
      <c r="FQ51" s="147"/>
      <c r="FR51" s="147"/>
      <c r="FS51" s="148"/>
      <c r="FT51" s="149"/>
      <c r="FU51" s="147"/>
      <c r="FV51" s="147"/>
      <c r="FW51" s="147"/>
      <c r="FX51" s="147"/>
      <c r="FY51" s="147"/>
      <c r="FZ51" s="148"/>
      <c r="GA51" s="149"/>
      <c r="GB51" s="147"/>
      <c r="GC51" s="147"/>
      <c r="GD51" s="147"/>
      <c r="GE51" s="147"/>
      <c r="GF51" s="147"/>
      <c r="GG51" s="148"/>
      <c r="GH51" s="149"/>
      <c r="GI51" s="147"/>
      <c r="GJ51" s="147"/>
      <c r="GK51" s="147"/>
      <c r="GL51" s="147"/>
      <c r="GM51" s="147"/>
      <c r="GN51" s="148"/>
      <c r="GO51" s="149"/>
      <c r="GP51" s="147"/>
      <c r="GQ51" s="147"/>
      <c r="GR51" s="147"/>
      <c r="GS51" s="147"/>
      <c r="GT51" s="147"/>
      <c r="GU51" s="148"/>
      <c r="GV51" s="149"/>
      <c r="GW51" s="147"/>
      <c r="GX51" s="147"/>
      <c r="GY51" s="147"/>
      <c r="GZ51" s="147"/>
      <c r="HA51" s="147"/>
      <c r="HB51" s="148"/>
      <c r="HC51" s="149"/>
      <c r="HD51" s="147"/>
      <c r="HE51" s="147"/>
      <c r="HF51" s="147"/>
      <c r="HG51" s="147"/>
      <c r="HH51" s="147"/>
      <c r="HI51" s="148"/>
      <c r="HJ51" s="149"/>
      <c r="HK51" s="147"/>
      <c r="HL51" s="147"/>
      <c r="HM51" s="147"/>
      <c r="HN51" s="147"/>
      <c r="HO51" s="147"/>
      <c r="HP51" s="148"/>
      <c r="HQ51" s="149"/>
      <c r="HR51" s="147"/>
      <c r="HS51" s="147"/>
      <c r="HT51" s="147"/>
      <c r="HU51" s="147"/>
      <c r="HV51" s="147"/>
      <c r="HW51" s="148"/>
      <c r="HX51" s="149"/>
      <c r="HY51" s="147"/>
      <c r="HZ51" s="147"/>
      <c r="IA51" s="147"/>
      <c r="IB51" s="147"/>
      <c r="IC51" s="147"/>
      <c r="ID51" s="148"/>
      <c r="IE51" s="149"/>
      <c r="IF51" s="147"/>
      <c r="IG51" s="147"/>
      <c r="IH51" s="147"/>
      <c r="II51" s="147"/>
      <c r="IJ51" s="147"/>
      <c r="IK51" s="148"/>
      <c r="IL51" s="149"/>
      <c r="IM51" s="147"/>
      <c r="IN51" s="147"/>
      <c r="IO51" s="147"/>
      <c r="IP51" s="147"/>
      <c r="IQ51" s="147"/>
      <c r="IR51" s="148"/>
      <c r="IS51" s="149"/>
      <c r="IT51" s="147"/>
      <c r="IU51" s="147"/>
      <c r="IV51" s="147"/>
    </row>
    <row r="52" spans="1:256" s="39" customFormat="1" ht="12.75">
      <c r="A52" s="861"/>
      <c r="B52" s="862"/>
      <c r="C52" s="862"/>
      <c r="D52" s="862"/>
      <c r="E52" s="862"/>
      <c r="F52" s="862"/>
      <c r="G52" s="863"/>
      <c r="H52" s="149"/>
      <c r="I52" s="147"/>
      <c r="J52" s="147"/>
      <c r="K52" s="147"/>
      <c r="L52" s="147"/>
      <c r="M52" s="147"/>
      <c r="N52" s="148"/>
      <c r="O52" s="149"/>
      <c r="P52" s="147"/>
      <c r="Q52" s="147"/>
      <c r="R52" s="147"/>
      <c r="S52" s="147"/>
      <c r="T52" s="147"/>
      <c r="U52" s="148"/>
      <c r="V52" s="149"/>
      <c r="W52" s="147"/>
      <c r="X52" s="147"/>
      <c r="Y52" s="147"/>
      <c r="Z52" s="147"/>
      <c r="AA52" s="147"/>
      <c r="AB52" s="148"/>
      <c r="AC52" s="149"/>
      <c r="AD52" s="147"/>
      <c r="AE52" s="147"/>
      <c r="AF52" s="147"/>
      <c r="AG52" s="147"/>
      <c r="AH52" s="147"/>
      <c r="AI52" s="148"/>
      <c r="AJ52" s="149"/>
      <c r="AK52" s="147"/>
      <c r="AL52" s="147"/>
      <c r="AM52" s="147"/>
      <c r="AN52" s="147"/>
      <c r="AO52" s="147"/>
      <c r="AP52" s="148"/>
      <c r="AQ52" s="149"/>
      <c r="AR52" s="147"/>
      <c r="AS52" s="147"/>
      <c r="AT52" s="147"/>
      <c r="AU52" s="147"/>
      <c r="AV52" s="147"/>
      <c r="AW52" s="148"/>
      <c r="AX52" s="149"/>
      <c r="AY52" s="147"/>
      <c r="AZ52" s="147"/>
      <c r="BA52" s="147"/>
      <c r="BB52" s="147"/>
      <c r="BC52" s="147"/>
      <c r="BD52" s="148"/>
      <c r="BE52" s="149"/>
      <c r="BF52" s="147"/>
      <c r="BG52" s="147"/>
      <c r="BH52" s="147"/>
      <c r="BI52" s="147"/>
      <c r="BJ52" s="147"/>
      <c r="BK52" s="148"/>
      <c r="BL52" s="149"/>
      <c r="BM52" s="147"/>
      <c r="BN52" s="147"/>
      <c r="BO52" s="147"/>
      <c r="BP52" s="147"/>
      <c r="BQ52" s="147"/>
      <c r="BR52" s="148"/>
      <c r="BS52" s="149"/>
      <c r="BT52" s="147"/>
      <c r="BU52" s="147"/>
      <c r="BV52" s="147"/>
      <c r="BW52" s="147"/>
      <c r="BX52" s="147"/>
      <c r="BY52" s="148"/>
      <c r="BZ52" s="149"/>
      <c r="CA52" s="147"/>
      <c r="CB52" s="147"/>
      <c r="CC52" s="147"/>
      <c r="CD52" s="147"/>
      <c r="CE52" s="147"/>
      <c r="CF52" s="148"/>
      <c r="CG52" s="149"/>
      <c r="CH52" s="147"/>
      <c r="CI52" s="147"/>
      <c r="CJ52" s="147"/>
      <c r="CK52" s="147"/>
      <c r="CL52" s="147"/>
      <c r="CM52" s="148"/>
      <c r="CN52" s="149"/>
      <c r="CO52" s="147"/>
      <c r="CP52" s="147"/>
      <c r="CQ52" s="147"/>
      <c r="CR52" s="147"/>
      <c r="CS52" s="147"/>
      <c r="CT52" s="148"/>
      <c r="CU52" s="149"/>
      <c r="CV52" s="147"/>
      <c r="CW52" s="147"/>
      <c r="CX52" s="147"/>
      <c r="CY52" s="147"/>
      <c r="CZ52" s="147"/>
      <c r="DA52" s="148"/>
      <c r="DB52" s="149"/>
      <c r="DC52" s="147"/>
      <c r="DD52" s="147"/>
      <c r="DE52" s="147"/>
      <c r="DF52" s="147"/>
      <c r="DG52" s="147"/>
      <c r="DH52" s="148"/>
      <c r="DI52" s="149"/>
      <c r="DJ52" s="147"/>
      <c r="DK52" s="147"/>
      <c r="DL52" s="147"/>
      <c r="DM52" s="147"/>
      <c r="DN52" s="147"/>
      <c r="DO52" s="148"/>
      <c r="DP52" s="149"/>
      <c r="DQ52" s="147"/>
      <c r="DR52" s="147"/>
      <c r="DS52" s="147"/>
      <c r="DT52" s="147"/>
      <c r="DU52" s="147"/>
      <c r="DV52" s="148"/>
      <c r="DW52" s="149"/>
      <c r="DX52" s="147"/>
      <c r="DY52" s="147"/>
      <c r="DZ52" s="147"/>
      <c r="EA52" s="147"/>
      <c r="EB52" s="147"/>
      <c r="EC52" s="148"/>
      <c r="ED52" s="149"/>
      <c r="EE52" s="147"/>
      <c r="EF52" s="147"/>
      <c r="EG52" s="147"/>
      <c r="EH52" s="147"/>
      <c r="EI52" s="147"/>
      <c r="EJ52" s="148"/>
      <c r="EK52" s="149"/>
      <c r="EL52" s="147"/>
      <c r="EM52" s="147"/>
      <c r="EN52" s="147"/>
      <c r="EO52" s="147"/>
      <c r="EP52" s="147"/>
      <c r="EQ52" s="148"/>
      <c r="ER52" s="149"/>
      <c r="ES52" s="147"/>
      <c r="ET52" s="147"/>
      <c r="EU52" s="147"/>
      <c r="EV52" s="147"/>
      <c r="EW52" s="147"/>
      <c r="EX52" s="148"/>
      <c r="EY52" s="149"/>
      <c r="EZ52" s="147"/>
      <c r="FA52" s="147"/>
      <c r="FB52" s="147"/>
      <c r="FC52" s="147"/>
      <c r="FD52" s="147"/>
      <c r="FE52" s="148"/>
      <c r="FF52" s="149"/>
      <c r="FG52" s="147"/>
      <c r="FH52" s="147"/>
      <c r="FI52" s="147"/>
      <c r="FJ52" s="147"/>
      <c r="FK52" s="147"/>
      <c r="FL52" s="148"/>
      <c r="FM52" s="149"/>
      <c r="FN52" s="147"/>
      <c r="FO52" s="147"/>
      <c r="FP52" s="147"/>
      <c r="FQ52" s="147"/>
      <c r="FR52" s="147"/>
      <c r="FS52" s="148"/>
      <c r="FT52" s="149"/>
      <c r="FU52" s="147"/>
      <c r="FV52" s="147"/>
      <c r="FW52" s="147"/>
      <c r="FX52" s="147"/>
      <c r="FY52" s="147"/>
      <c r="FZ52" s="148"/>
      <c r="GA52" s="149"/>
      <c r="GB52" s="147"/>
      <c r="GC52" s="147"/>
      <c r="GD52" s="147"/>
      <c r="GE52" s="147"/>
      <c r="GF52" s="147"/>
      <c r="GG52" s="148"/>
      <c r="GH52" s="149"/>
      <c r="GI52" s="147"/>
      <c r="GJ52" s="147"/>
      <c r="GK52" s="147"/>
      <c r="GL52" s="147"/>
      <c r="GM52" s="147"/>
      <c r="GN52" s="148"/>
      <c r="GO52" s="149"/>
      <c r="GP52" s="147"/>
      <c r="GQ52" s="147"/>
      <c r="GR52" s="147"/>
      <c r="GS52" s="147"/>
      <c r="GT52" s="147"/>
      <c r="GU52" s="148"/>
      <c r="GV52" s="149"/>
      <c r="GW52" s="147"/>
      <c r="GX52" s="147"/>
      <c r="GY52" s="147"/>
      <c r="GZ52" s="147"/>
      <c r="HA52" s="147"/>
      <c r="HB52" s="148"/>
      <c r="HC52" s="149"/>
      <c r="HD52" s="147"/>
      <c r="HE52" s="147"/>
      <c r="HF52" s="147"/>
      <c r="HG52" s="147"/>
      <c r="HH52" s="147"/>
      <c r="HI52" s="148"/>
      <c r="HJ52" s="149"/>
      <c r="HK52" s="147"/>
      <c r="HL52" s="147"/>
      <c r="HM52" s="147"/>
      <c r="HN52" s="147"/>
      <c r="HO52" s="147"/>
      <c r="HP52" s="148"/>
      <c r="HQ52" s="149"/>
      <c r="HR52" s="147"/>
      <c r="HS52" s="147"/>
      <c r="HT52" s="147"/>
      <c r="HU52" s="147"/>
      <c r="HV52" s="147"/>
      <c r="HW52" s="148"/>
      <c r="HX52" s="149"/>
      <c r="HY52" s="147"/>
      <c r="HZ52" s="147"/>
      <c r="IA52" s="147"/>
      <c r="IB52" s="147"/>
      <c r="IC52" s="147"/>
      <c r="ID52" s="148"/>
      <c r="IE52" s="149"/>
      <c r="IF52" s="147"/>
      <c r="IG52" s="147"/>
      <c r="IH52" s="147"/>
      <c r="II52" s="147"/>
      <c r="IJ52" s="147"/>
      <c r="IK52" s="148"/>
      <c r="IL52" s="149"/>
      <c r="IM52" s="147"/>
      <c r="IN52" s="147"/>
      <c r="IO52" s="147"/>
      <c r="IP52" s="147"/>
      <c r="IQ52" s="147"/>
      <c r="IR52" s="148"/>
      <c r="IS52" s="149"/>
      <c r="IT52" s="147"/>
      <c r="IU52" s="147"/>
      <c r="IV52" s="147"/>
    </row>
    <row r="53" spans="1:256" s="39" customFormat="1" ht="12.75">
      <c r="A53" s="149"/>
      <c r="B53" s="147"/>
      <c r="C53" s="147"/>
      <c r="D53" s="147"/>
      <c r="E53" s="147"/>
      <c r="F53" s="147"/>
      <c r="G53" s="148"/>
      <c r="H53" s="149"/>
      <c r="I53" s="147"/>
      <c r="J53" s="147"/>
      <c r="K53" s="147"/>
      <c r="L53" s="147"/>
      <c r="M53" s="147"/>
      <c r="N53" s="148"/>
      <c r="O53" s="149"/>
      <c r="P53" s="147"/>
      <c r="Q53" s="147"/>
      <c r="R53" s="147"/>
      <c r="S53" s="147"/>
      <c r="T53" s="147"/>
      <c r="U53" s="148"/>
      <c r="V53" s="149"/>
      <c r="W53" s="147"/>
      <c r="X53" s="147"/>
      <c r="Y53" s="147"/>
      <c r="Z53" s="147"/>
      <c r="AA53" s="147"/>
      <c r="AB53" s="148"/>
      <c r="AC53" s="149"/>
      <c r="AD53" s="147"/>
      <c r="AE53" s="147"/>
      <c r="AF53" s="147"/>
      <c r="AG53" s="147"/>
      <c r="AH53" s="147"/>
      <c r="AI53" s="148"/>
      <c r="AJ53" s="149"/>
      <c r="AK53" s="147"/>
      <c r="AL53" s="147"/>
      <c r="AM53" s="147"/>
      <c r="AN53" s="147"/>
      <c r="AO53" s="147"/>
      <c r="AP53" s="148"/>
      <c r="AQ53" s="149"/>
      <c r="AR53" s="147"/>
      <c r="AS53" s="147"/>
      <c r="AT53" s="147"/>
      <c r="AU53" s="147"/>
      <c r="AV53" s="147"/>
      <c r="AW53" s="148"/>
      <c r="AX53" s="149"/>
      <c r="AY53" s="147"/>
      <c r="AZ53" s="147"/>
      <c r="BA53" s="147"/>
      <c r="BB53" s="147"/>
      <c r="BC53" s="147"/>
      <c r="BD53" s="148"/>
      <c r="BE53" s="149"/>
      <c r="BF53" s="147"/>
      <c r="BG53" s="147"/>
      <c r="BH53" s="147"/>
      <c r="BI53" s="147"/>
      <c r="BJ53" s="147"/>
      <c r="BK53" s="148"/>
      <c r="BL53" s="149"/>
      <c r="BM53" s="147"/>
      <c r="BN53" s="147"/>
      <c r="BO53" s="147"/>
      <c r="BP53" s="147"/>
      <c r="BQ53" s="147"/>
      <c r="BR53" s="148"/>
      <c r="BS53" s="149"/>
      <c r="BT53" s="147"/>
      <c r="BU53" s="147"/>
      <c r="BV53" s="147"/>
      <c r="BW53" s="147"/>
      <c r="BX53" s="147"/>
      <c r="BY53" s="148"/>
      <c r="BZ53" s="149"/>
      <c r="CA53" s="147"/>
      <c r="CB53" s="147"/>
      <c r="CC53" s="147"/>
      <c r="CD53" s="147"/>
      <c r="CE53" s="147"/>
      <c r="CF53" s="148"/>
      <c r="CG53" s="149"/>
      <c r="CH53" s="147"/>
      <c r="CI53" s="147"/>
      <c r="CJ53" s="147"/>
      <c r="CK53" s="147"/>
      <c r="CL53" s="147"/>
      <c r="CM53" s="148"/>
      <c r="CN53" s="149"/>
      <c r="CO53" s="147"/>
      <c r="CP53" s="147"/>
      <c r="CQ53" s="147"/>
      <c r="CR53" s="147"/>
      <c r="CS53" s="147"/>
      <c r="CT53" s="148"/>
      <c r="CU53" s="149"/>
      <c r="CV53" s="147"/>
      <c r="CW53" s="147"/>
      <c r="CX53" s="147"/>
      <c r="CY53" s="147"/>
      <c r="CZ53" s="147"/>
      <c r="DA53" s="148"/>
      <c r="DB53" s="149"/>
      <c r="DC53" s="147"/>
      <c r="DD53" s="147"/>
      <c r="DE53" s="147"/>
      <c r="DF53" s="147"/>
      <c r="DG53" s="147"/>
      <c r="DH53" s="148"/>
      <c r="DI53" s="149"/>
      <c r="DJ53" s="147"/>
      <c r="DK53" s="147"/>
      <c r="DL53" s="147"/>
      <c r="DM53" s="147"/>
      <c r="DN53" s="147"/>
      <c r="DO53" s="148"/>
      <c r="DP53" s="149"/>
      <c r="DQ53" s="147"/>
      <c r="DR53" s="147"/>
      <c r="DS53" s="147"/>
      <c r="DT53" s="147"/>
      <c r="DU53" s="147"/>
      <c r="DV53" s="148"/>
      <c r="DW53" s="149"/>
      <c r="DX53" s="147"/>
      <c r="DY53" s="147"/>
      <c r="DZ53" s="147"/>
      <c r="EA53" s="147"/>
      <c r="EB53" s="147"/>
      <c r="EC53" s="148"/>
      <c r="ED53" s="149"/>
      <c r="EE53" s="147"/>
      <c r="EF53" s="147"/>
      <c r="EG53" s="147"/>
      <c r="EH53" s="147"/>
      <c r="EI53" s="147"/>
      <c r="EJ53" s="148"/>
      <c r="EK53" s="149"/>
      <c r="EL53" s="147"/>
      <c r="EM53" s="147"/>
      <c r="EN53" s="147"/>
      <c r="EO53" s="147"/>
      <c r="EP53" s="147"/>
      <c r="EQ53" s="148"/>
      <c r="ER53" s="149"/>
      <c r="ES53" s="147"/>
      <c r="ET53" s="147"/>
      <c r="EU53" s="147"/>
      <c r="EV53" s="147"/>
      <c r="EW53" s="147"/>
      <c r="EX53" s="148"/>
      <c r="EY53" s="149"/>
      <c r="EZ53" s="147"/>
      <c r="FA53" s="147"/>
      <c r="FB53" s="147"/>
      <c r="FC53" s="147"/>
      <c r="FD53" s="147"/>
      <c r="FE53" s="148"/>
      <c r="FF53" s="149"/>
      <c r="FG53" s="147"/>
      <c r="FH53" s="147"/>
      <c r="FI53" s="147"/>
      <c r="FJ53" s="147"/>
      <c r="FK53" s="147"/>
      <c r="FL53" s="148"/>
      <c r="FM53" s="149"/>
      <c r="FN53" s="147"/>
      <c r="FO53" s="147"/>
      <c r="FP53" s="147"/>
      <c r="FQ53" s="147"/>
      <c r="FR53" s="147"/>
      <c r="FS53" s="148"/>
      <c r="FT53" s="149"/>
      <c r="FU53" s="147"/>
      <c r="FV53" s="147"/>
      <c r="FW53" s="147"/>
      <c r="FX53" s="147"/>
      <c r="FY53" s="147"/>
      <c r="FZ53" s="148"/>
      <c r="GA53" s="149"/>
      <c r="GB53" s="147"/>
      <c r="GC53" s="147"/>
      <c r="GD53" s="147"/>
      <c r="GE53" s="147"/>
      <c r="GF53" s="147"/>
      <c r="GG53" s="148"/>
      <c r="GH53" s="149"/>
      <c r="GI53" s="147"/>
      <c r="GJ53" s="147"/>
      <c r="GK53" s="147"/>
      <c r="GL53" s="147"/>
      <c r="GM53" s="147"/>
      <c r="GN53" s="148"/>
      <c r="GO53" s="149"/>
      <c r="GP53" s="147"/>
      <c r="GQ53" s="147"/>
      <c r="GR53" s="147"/>
      <c r="GS53" s="147"/>
      <c r="GT53" s="147"/>
      <c r="GU53" s="148"/>
      <c r="GV53" s="149"/>
      <c r="GW53" s="147"/>
      <c r="GX53" s="147"/>
      <c r="GY53" s="147"/>
      <c r="GZ53" s="147"/>
      <c r="HA53" s="147"/>
      <c r="HB53" s="148"/>
      <c r="HC53" s="149"/>
      <c r="HD53" s="147"/>
      <c r="HE53" s="147"/>
      <c r="HF53" s="147"/>
      <c r="HG53" s="147"/>
      <c r="HH53" s="147"/>
      <c r="HI53" s="148"/>
      <c r="HJ53" s="149"/>
      <c r="HK53" s="147"/>
      <c r="HL53" s="147"/>
      <c r="HM53" s="147"/>
      <c r="HN53" s="147"/>
      <c r="HO53" s="147"/>
      <c r="HP53" s="148"/>
      <c r="HQ53" s="149"/>
      <c r="HR53" s="147"/>
      <c r="HS53" s="147"/>
      <c r="HT53" s="147"/>
      <c r="HU53" s="147"/>
      <c r="HV53" s="147"/>
      <c r="HW53" s="148"/>
      <c r="HX53" s="149"/>
      <c r="HY53" s="147"/>
      <c r="HZ53" s="147"/>
      <c r="IA53" s="147"/>
      <c r="IB53" s="147"/>
      <c r="IC53" s="147"/>
      <c r="ID53" s="148"/>
      <c r="IE53" s="149"/>
      <c r="IF53" s="147"/>
      <c r="IG53" s="147"/>
      <c r="IH53" s="147"/>
      <c r="II53" s="147"/>
      <c r="IJ53" s="147"/>
      <c r="IK53" s="148"/>
      <c r="IL53" s="149"/>
      <c r="IM53" s="147"/>
      <c r="IN53" s="147"/>
      <c r="IO53" s="147"/>
      <c r="IP53" s="147"/>
      <c r="IQ53" s="147"/>
      <c r="IR53" s="148"/>
      <c r="IS53" s="149"/>
      <c r="IT53" s="147"/>
      <c r="IU53" s="147"/>
      <c r="IV53" s="147"/>
    </row>
    <row r="54" spans="1:256" s="39" customFormat="1" ht="15.75">
      <c r="A54" s="179" t="s">
        <v>29</v>
      </c>
      <c r="B54" s="147"/>
      <c r="C54" s="147"/>
      <c r="D54" s="147"/>
      <c r="E54" s="147"/>
      <c r="F54" s="147"/>
      <c r="G54" s="148"/>
      <c r="H54" s="149"/>
      <c r="I54" s="147"/>
      <c r="J54" s="147"/>
      <c r="K54" s="147"/>
      <c r="L54" s="147"/>
      <c r="M54" s="147"/>
      <c r="N54" s="148"/>
      <c r="O54" s="149"/>
      <c r="P54" s="147"/>
      <c r="Q54" s="147"/>
      <c r="R54" s="147"/>
      <c r="S54" s="147"/>
      <c r="T54" s="147"/>
      <c r="U54" s="148"/>
      <c r="V54" s="149"/>
      <c r="W54" s="147"/>
      <c r="X54" s="147"/>
      <c r="Y54" s="147"/>
      <c r="Z54" s="147"/>
      <c r="AA54" s="147"/>
      <c r="AB54" s="148"/>
      <c r="AC54" s="149"/>
      <c r="AD54" s="147"/>
      <c r="AE54" s="147"/>
      <c r="AF54" s="147"/>
      <c r="AG54" s="147"/>
      <c r="AH54" s="147"/>
      <c r="AI54" s="148"/>
      <c r="AJ54" s="149"/>
      <c r="AK54" s="147"/>
      <c r="AL54" s="147"/>
      <c r="AM54" s="147"/>
      <c r="AN54" s="147"/>
      <c r="AO54" s="147"/>
      <c r="AP54" s="148"/>
      <c r="AQ54" s="149"/>
      <c r="AR54" s="147"/>
      <c r="AS54" s="147"/>
      <c r="AT54" s="147"/>
      <c r="AU54" s="147"/>
      <c r="AV54" s="147"/>
      <c r="AW54" s="148"/>
      <c r="AX54" s="149"/>
      <c r="AY54" s="147"/>
      <c r="AZ54" s="147"/>
      <c r="BA54" s="147"/>
      <c r="BB54" s="147"/>
      <c r="BC54" s="147"/>
      <c r="BD54" s="148"/>
      <c r="BE54" s="149"/>
      <c r="BF54" s="147"/>
      <c r="BG54" s="147"/>
      <c r="BH54" s="147"/>
      <c r="BI54" s="147"/>
      <c r="BJ54" s="147"/>
      <c r="BK54" s="148"/>
      <c r="BL54" s="149"/>
      <c r="BM54" s="147"/>
      <c r="BN54" s="147"/>
      <c r="BO54" s="147"/>
      <c r="BP54" s="147"/>
      <c r="BQ54" s="147"/>
      <c r="BR54" s="148"/>
      <c r="BS54" s="149"/>
      <c r="BT54" s="147"/>
      <c r="BU54" s="147"/>
      <c r="BV54" s="147"/>
      <c r="BW54" s="147"/>
      <c r="BX54" s="147"/>
      <c r="BY54" s="148"/>
      <c r="BZ54" s="149"/>
      <c r="CA54" s="147"/>
      <c r="CB54" s="147"/>
      <c r="CC54" s="147"/>
      <c r="CD54" s="147"/>
      <c r="CE54" s="147"/>
      <c r="CF54" s="148"/>
      <c r="CG54" s="149"/>
      <c r="CH54" s="147"/>
      <c r="CI54" s="147"/>
      <c r="CJ54" s="147"/>
      <c r="CK54" s="147"/>
      <c r="CL54" s="147"/>
      <c r="CM54" s="148"/>
      <c r="CN54" s="149"/>
      <c r="CO54" s="147"/>
      <c r="CP54" s="147"/>
      <c r="CQ54" s="147"/>
      <c r="CR54" s="147"/>
      <c r="CS54" s="147"/>
      <c r="CT54" s="148"/>
      <c r="CU54" s="149"/>
      <c r="CV54" s="147"/>
      <c r="CW54" s="147"/>
      <c r="CX54" s="147"/>
      <c r="CY54" s="147"/>
      <c r="CZ54" s="147"/>
      <c r="DA54" s="148"/>
      <c r="DB54" s="149"/>
      <c r="DC54" s="147"/>
      <c r="DD54" s="147"/>
      <c r="DE54" s="147"/>
      <c r="DF54" s="147"/>
      <c r="DG54" s="147"/>
      <c r="DH54" s="148"/>
      <c r="DI54" s="149"/>
      <c r="DJ54" s="147"/>
      <c r="DK54" s="147"/>
      <c r="DL54" s="147"/>
      <c r="DM54" s="147"/>
      <c r="DN54" s="147"/>
      <c r="DO54" s="148"/>
      <c r="DP54" s="149"/>
      <c r="DQ54" s="147"/>
      <c r="DR54" s="147"/>
      <c r="DS54" s="147"/>
      <c r="DT54" s="147"/>
      <c r="DU54" s="147"/>
      <c r="DV54" s="148"/>
      <c r="DW54" s="149"/>
      <c r="DX54" s="147"/>
      <c r="DY54" s="147"/>
      <c r="DZ54" s="147"/>
      <c r="EA54" s="147"/>
      <c r="EB54" s="147"/>
      <c r="EC54" s="148"/>
      <c r="ED54" s="149"/>
      <c r="EE54" s="147"/>
      <c r="EF54" s="147"/>
      <c r="EG54" s="147"/>
      <c r="EH54" s="147"/>
      <c r="EI54" s="147"/>
      <c r="EJ54" s="148"/>
      <c r="EK54" s="149"/>
      <c r="EL54" s="147"/>
      <c r="EM54" s="147"/>
      <c r="EN54" s="147"/>
      <c r="EO54" s="147"/>
      <c r="EP54" s="147"/>
      <c r="EQ54" s="148"/>
      <c r="ER54" s="149"/>
      <c r="ES54" s="147"/>
      <c r="ET54" s="147"/>
      <c r="EU54" s="147"/>
      <c r="EV54" s="147"/>
      <c r="EW54" s="147"/>
      <c r="EX54" s="148"/>
      <c r="EY54" s="149"/>
      <c r="EZ54" s="147"/>
      <c r="FA54" s="147"/>
      <c r="FB54" s="147"/>
      <c r="FC54" s="147"/>
      <c r="FD54" s="147"/>
      <c r="FE54" s="148"/>
      <c r="FF54" s="149"/>
      <c r="FG54" s="147"/>
      <c r="FH54" s="147"/>
      <c r="FI54" s="147"/>
      <c r="FJ54" s="147"/>
      <c r="FK54" s="147"/>
      <c r="FL54" s="148"/>
      <c r="FM54" s="149"/>
      <c r="FN54" s="147"/>
      <c r="FO54" s="147"/>
      <c r="FP54" s="147"/>
      <c r="FQ54" s="147"/>
      <c r="FR54" s="147"/>
      <c r="FS54" s="148"/>
      <c r="FT54" s="149"/>
      <c r="FU54" s="147"/>
      <c r="FV54" s="147"/>
      <c r="FW54" s="147"/>
      <c r="FX54" s="147"/>
      <c r="FY54" s="147"/>
      <c r="FZ54" s="148"/>
      <c r="GA54" s="149"/>
      <c r="GB54" s="147"/>
      <c r="GC54" s="147"/>
      <c r="GD54" s="147"/>
      <c r="GE54" s="147"/>
      <c r="GF54" s="147"/>
      <c r="GG54" s="148"/>
      <c r="GH54" s="149"/>
      <c r="GI54" s="147"/>
      <c r="GJ54" s="147"/>
      <c r="GK54" s="147"/>
      <c r="GL54" s="147"/>
      <c r="GM54" s="147"/>
      <c r="GN54" s="148"/>
      <c r="GO54" s="149"/>
      <c r="GP54" s="147"/>
      <c r="GQ54" s="147"/>
      <c r="GR54" s="147"/>
      <c r="GS54" s="147"/>
      <c r="GT54" s="147"/>
      <c r="GU54" s="148"/>
      <c r="GV54" s="149"/>
      <c r="GW54" s="147"/>
      <c r="GX54" s="147"/>
      <c r="GY54" s="147"/>
      <c r="GZ54" s="147"/>
      <c r="HA54" s="147"/>
      <c r="HB54" s="148"/>
      <c r="HC54" s="149"/>
      <c r="HD54" s="147"/>
      <c r="HE54" s="147"/>
      <c r="HF54" s="147"/>
      <c r="HG54" s="147"/>
      <c r="HH54" s="147"/>
      <c r="HI54" s="148"/>
      <c r="HJ54" s="149"/>
      <c r="HK54" s="147"/>
      <c r="HL54" s="147"/>
      <c r="HM54" s="147"/>
      <c r="HN54" s="147"/>
      <c r="HO54" s="147"/>
      <c r="HP54" s="148"/>
      <c r="HQ54" s="149"/>
      <c r="HR54" s="147"/>
      <c r="HS54" s="147"/>
      <c r="HT54" s="147"/>
      <c r="HU54" s="147"/>
      <c r="HV54" s="147"/>
      <c r="HW54" s="148"/>
      <c r="HX54" s="149"/>
      <c r="HY54" s="147"/>
      <c r="HZ54" s="147"/>
      <c r="IA54" s="147"/>
      <c r="IB54" s="147"/>
      <c r="IC54" s="147"/>
      <c r="ID54" s="148"/>
      <c r="IE54" s="149"/>
      <c r="IF54" s="147"/>
      <c r="IG54" s="147"/>
      <c r="IH54" s="147"/>
      <c r="II54" s="147"/>
      <c r="IJ54" s="147"/>
      <c r="IK54" s="148"/>
      <c r="IL54" s="149"/>
      <c r="IM54" s="147"/>
      <c r="IN54" s="147"/>
      <c r="IO54" s="147"/>
      <c r="IP54" s="147"/>
      <c r="IQ54" s="147"/>
      <c r="IR54" s="148"/>
      <c r="IS54" s="149"/>
      <c r="IT54" s="147"/>
      <c r="IU54" s="147"/>
      <c r="IV54" s="147"/>
    </row>
    <row r="55" spans="1:256">
      <c r="A55" s="149"/>
      <c r="B55" s="147"/>
      <c r="C55" s="147"/>
      <c r="D55" s="147"/>
      <c r="E55" s="147"/>
      <c r="F55" s="147"/>
      <c r="G55" s="148"/>
      <c r="H55" s="149"/>
      <c r="I55" s="147"/>
      <c r="J55" s="147"/>
      <c r="K55" s="147"/>
      <c r="L55" s="147"/>
      <c r="M55" s="147"/>
      <c r="N55" s="148"/>
      <c r="O55" s="149"/>
      <c r="P55" s="147"/>
      <c r="Q55" s="147"/>
      <c r="R55" s="147"/>
      <c r="S55" s="147"/>
      <c r="T55" s="147"/>
      <c r="U55" s="148"/>
      <c r="V55" s="149"/>
      <c r="W55" s="147"/>
      <c r="X55" s="147"/>
      <c r="Y55" s="147"/>
      <c r="Z55" s="147"/>
      <c r="AA55" s="147"/>
      <c r="AB55" s="148"/>
      <c r="AC55" s="149"/>
      <c r="AD55" s="147"/>
      <c r="AE55" s="147"/>
      <c r="AF55" s="147"/>
      <c r="AG55" s="147"/>
      <c r="AH55" s="147"/>
      <c r="AI55" s="148"/>
      <c r="AJ55" s="149"/>
      <c r="AK55" s="147"/>
      <c r="AL55" s="147"/>
      <c r="AM55" s="147"/>
      <c r="AN55" s="147"/>
      <c r="AO55" s="147"/>
      <c r="AP55" s="148"/>
      <c r="AQ55" s="149"/>
      <c r="AR55" s="147"/>
      <c r="AS55" s="147"/>
      <c r="AT55" s="147"/>
      <c r="AU55" s="147"/>
      <c r="AV55" s="147"/>
      <c r="AW55" s="148"/>
      <c r="AX55" s="149"/>
      <c r="AY55" s="147"/>
      <c r="AZ55" s="147"/>
      <c r="BA55" s="147"/>
      <c r="BB55" s="147"/>
      <c r="BC55" s="147"/>
      <c r="BD55" s="148"/>
      <c r="BE55" s="149"/>
      <c r="BF55" s="147"/>
      <c r="BG55" s="147"/>
      <c r="BH55" s="147"/>
      <c r="BI55" s="147"/>
      <c r="BJ55" s="147"/>
      <c r="BK55" s="148"/>
      <c r="BL55" s="149"/>
      <c r="BM55" s="147"/>
      <c r="BN55" s="147"/>
      <c r="BO55" s="147"/>
      <c r="BP55" s="147"/>
      <c r="BQ55" s="147"/>
      <c r="BR55" s="148"/>
      <c r="BS55" s="149"/>
      <c r="BT55" s="147"/>
      <c r="BU55" s="147"/>
      <c r="BV55" s="147"/>
      <c r="BW55" s="147"/>
      <c r="BX55" s="147"/>
      <c r="BY55" s="148"/>
      <c r="BZ55" s="149"/>
      <c r="CA55" s="147"/>
      <c r="CB55" s="147"/>
      <c r="CC55" s="147"/>
      <c r="CD55" s="147"/>
      <c r="CE55" s="147"/>
      <c r="CF55" s="148"/>
      <c r="CG55" s="149"/>
      <c r="CH55" s="147"/>
      <c r="CI55" s="147"/>
      <c r="CJ55" s="147"/>
      <c r="CK55" s="147"/>
      <c r="CL55" s="147"/>
      <c r="CM55" s="148"/>
      <c r="CN55" s="149"/>
      <c r="CO55" s="147"/>
      <c r="CP55" s="147"/>
      <c r="CQ55" s="147"/>
      <c r="CR55" s="147"/>
      <c r="CS55" s="147"/>
      <c r="CT55" s="148"/>
      <c r="CU55" s="149"/>
      <c r="CV55" s="147"/>
      <c r="CW55" s="147"/>
      <c r="CX55" s="147"/>
      <c r="CY55" s="147"/>
      <c r="CZ55" s="147"/>
      <c r="DA55" s="148"/>
      <c r="DB55" s="149"/>
      <c r="DC55" s="147"/>
      <c r="DD55" s="147"/>
      <c r="DE55" s="147"/>
      <c r="DF55" s="147"/>
      <c r="DG55" s="147"/>
      <c r="DH55" s="148"/>
      <c r="DI55" s="149"/>
      <c r="DJ55" s="147"/>
      <c r="DK55" s="147"/>
      <c r="DL55" s="147"/>
      <c r="DM55" s="147"/>
      <c r="DN55" s="147"/>
      <c r="DO55" s="148"/>
      <c r="DP55" s="149"/>
      <c r="DQ55" s="147"/>
      <c r="DR55" s="147"/>
      <c r="DS55" s="147"/>
      <c r="DT55" s="147"/>
      <c r="DU55" s="147"/>
      <c r="DV55" s="148"/>
      <c r="DW55" s="149"/>
      <c r="DX55" s="147"/>
      <c r="DY55" s="147"/>
      <c r="DZ55" s="147"/>
      <c r="EA55" s="147"/>
      <c r="EB55" s="147"/>
      <c r="EC55" s="148"/>
      <c r="ED55" s="149"/>
      <c r="EE55" s="147"/>
      <c r="EF55" s="147"/>
      <c r="EG55" s="147"/>
      <c r="EH55" s="147"/>
      <c r="EI55" s="147"/>
      <c r="EJ55" s="148"/>
      <c r="EK55" s="149"/>
      <c r="EL55" s="147"/>
      <c r="EM55" s="147"/>
      <c r="EN55" s="147"/>
      <c r="EO55" s="147"/>
      <c r="EP55" s="147"/>
      <c r="EQ55" s="148"/>
      <c r="ER55" s="149"/>
      <c r="ES55" s="147"/>
      <c r="ET55" s="147"/>
      <c r="EU55" s="147"/>
      <c r="EV55" s="147"/>
      <c r="EW55" s="147"/>
      <c r="EX55" s="148"/>
      <c r="EY55" s="149"/>
      <c r="EZ55" s="147"/>
      <c r="FA55" s="147"/>
      <c r="FB55" s="147"/>
      <c r="FC55" s="147"/>
      <c r="FD55" s="147"/>
      <c r="FE55" s="148"/>
      <c r="FF55" s="149"/>
      <c r="FG55" s="147"/>
      <c r="FH55" s="147"/>
      <c r="FI55" s="147"/>
      <c r="FJ55" s="147"/>
      <c r="FK55" s="147"/>
      <c r="FL55" s="148"/>
      <c r="FM55" s="149"/>
      <c r="FN55" s="147"/>
      <c r="FO55" s="147"/>
      <c r="FP55" s="147"/>
      <c r="FQ55" s="147"/>
      <c r="FR55" s="147"/>
      <c r="FS55" s="148"/>
      <c r="FT55" s="149"/>
      <c r="FU55" s="147"/>
      <c r="FV55" s="147"/>
      <c r="FW55" s="147"/>
      <c r="FX55" s="147"/>
      <c r="FY55" s="147"/>
      <c r="FZ55" s="148"/>
      <c r="GA55" s="149"/>
      <c r="GB55" s="147"/>
      <c r="GC55" s="147"/>
      <c r="GD55" s="147"/>
      <c r="GE55" s="147"/>
      <c r="GF55" s="147"/>
      <c r="GG55" s="148"/>
      <c r="GH55" s="149"/>
      <c r="GI55" s="147"/>
      <c r="GJ55" s="147"/>
      <c r="GK55" s="147"/>
      <c r="GL55" s="147"/>
      <c r="GM55" s="147"/>
      <c r="GN55" s="148"/>
      <c r="GO55" s="149"/>
      <c r="GP55" s="147"/>
      <c r="GQ55" s="147"/>
      <c r="GR55" s="147"/>
      <c r="GS55" s="147"/>
      <c r="GT55" s="147"/>
      <c r="GU55" s="148"/>
      <c r="GV55" s="149"/>
      <c r="GW55" s="147"/>
      <c r="GX55" s="147"/>
      <c r="GY55" s="147"/>
      <c r="GZ55" s="147"/>
      <c r="HA55" s="147"/>
      <c r="HB55" s="148"/>
      <c r="HC55" s="149"/>
      <c r="HD55" s="147"/>
      <c r="HE55" s="147"/>
      <c r="HF55" s="147"/>
      <c r="HG55" s="147"/>
      <c r="HH55" s="147"/>
      <c r="HI55" s="148"/>
      <c r="HJ55" s="149"/>
      <c r="HK55" s="147"/>
      <c r="HL55" s="147"/>
      <c r="HM55" s="147"/>
      <c r="HN55" s="147"/>
      <c r="HO55" s="147"/>
      <c r="HP55" s="148"/>
      <c r="HQ55" s="149"/>
      <c r="HR55" s="147"/>
      <c r="HS55" s="147"/>
      <c r="HT55" s="147"/>
      <c r="HU55" s="147"/>
      <c r="HV55" s="147"/>
      <c r="HW55" s="148"/>
      <c r="HX55" s="149"/>
      <c r="HY55" s="147"/>
      <c r="HZ55" s="147"/>
      <c r="IA55" s="147"/>
      <c r="IB55" s="147"/>
      <c r="IC55" s="147"/>
      <c r="ID55" s="148"/>
      <c r="IE55" s="149"/>
      <c r="IF55" s="147"/>
      <c r="IG55" s="147"/>
      <c r="IH55" s="147"/>
      <c r="II55" s="147"/>
      <c r="IJ55" s="147"/>
      <c r="IK55" s="148"/>
      <c r="IL55" s="149"/>
      <c r="IM55" s="147"/>
      <c r="IN55" s="147"/>
      <c r="IO55" s="147"/>
      <c r="IP55" s="147"/>
      <c r="IQ55" s="147"/>
      <c r="IR55" s="148"/>
      <c r="IS55" s="149"/>
      <c r="IT55" s="147"/>
      <c r="IU55" s="147"/>
      <c r="IV55" s="147"/>
    </row>
    <row r="56" spans="1:256" ht="12.75">
      <c r="A56" s="208" t="s">
        <v>479</v>
      </c>
      <c r="B56" s="147"/>
      <c r="C56" s="147"/>
      <c r="D56" s="147"/>
      <c r="E56" s="147"/>
      <c r="F56" s="147"/>
      <c r="G56" s="148"/>
      <c r="H56" s="156"/>
      <c r="I56" s="147"/>
      <c r="J56" s="147"/>
      <c r="K56" s="147"/>
      <c r="L56" s="147"/>
      <c r="M56" s="147"/>
      <c r="N56" s="148"/>
      <c r="O56" s="156"/>
      <c r="P56" s="147"/>
      <c r="Q56" s="147"/>
      <c r="R56" s="147"/>
      <c r="S56" s="147"/>
      <c r="T56" s="147"/>
      <c r="U56" s="148"/>
      <c r="V56" s="156"/>
      <c r="W56" s="147"/>
      <c r="X56" s="147"/>
      <c r="Y56" s="147"/>
      <c r="Z56" s="147"/>
      <c r="AA56" s="147"/>
      <c r="AB56" s="148"/>
      <c r="AC56" s="156"/>
      <c r="AD56" s="147"/>
      <c r="AE56" s="147"/>
      <c r="AF56" s="147"/>
      <c r="AG56" s="147"/>
      <c r="AH56" s="147"/>
      <c r="AI56" s="148"/>
      <c r="AJ56" s="156"/>
      <c r="AK56" s="147"/>
      <c r="AL56" s="147"/>
      <c r="AM56" s="147"/>
      <c r="AN56" s="147"/>
      <c r="AO56" s="147"/>
      <c r="AP56" s="148"/>
      <c r="AQ56" s="156"/>
      <c r="AR56" s="147"/>
      <c r="AS56" s="147"/>
      <c r="AT56" s="147"/>
      <c r="AU56" s="147"/>
      <c r="AV56" s="147"/>
      <c r="AW56" s="148"/>
      <c r="AX56" s="156"/>
      <c r="AY56" s="147"/>
      <c r="AZ56" s="147"/>
      <c r="BA56" s="147"/>
      <c r="BB56" s="147"/>
      <c r="BC56" s="147"/>
      <c r="BD56" s="148"/>
      <c r="BE56" s="156"/>
      <c r="BF56" s="147"/>
      <c r="BG56" s="147"/>
      <c r="BH56" s="147"/>
      <c r="BI56" s="147"/>
      <c r="BJ56" s="147"/>
      <c r="BK56" s="148"/>
      <c r="BL56" s="156"/>
      <c r="BM56" s="147"/>
      <c r="BN56" s="147"/>
      <c r="BO56" s="147"/>
      <c r="BP56" s="147"/>
      <c r="BQ56" s="147"/>
      <c r="BR56" s="148"/>
      <c r="BS56" s="156"/>
      <c r="BT56" s="147"/>
      <c r="BU56" s="147"/>
      <c r="BV56" s="147"/>
      <c r="BW56" s="147"/>
      <c r="BX56" s="147"/>
      <c r="BY56" s="148"/>
      <c r="BZ56" s="156"/>
      <c r="CA56" s="147"/>
      <c r="CB56" s="147"/>
      <c r="CC56" s="147"/>
      <c r="CD56" s="147"/>
      <c r="CE56" s="147"/>
      <c r="CF56" s="148"/>
      <c r="CG56" s="156"/>
      <c r="CH56" s="147"/>
      <c r="CI56" s="147"/>
      <c r="CJ56" s="147"/>
      <c r="CK56" s="147"/>
      <c r="CL56" s="147"/>
      <c r="CM56" s="148"/>
      <c r="CN56" s="156"/>
      <c r="CO56" s="147"/>
      <c r="CP56" s="147"/>
      <c r="CQ56" s="147"/>
      <c r="CR56" s="147"/>
      <c r="CS56" s="147"/>
      <c r="CT56" s="148"/>
      <c r="CU56" s="156"/>
      <c r="CV56" s="147"/>
      <c r="CW56" s="147"/>
      <c r="CX56" s="147"/>
      <c r="CY56" s="147"/>
      <c r="CZ56" s="147"/>
      <c r="DA56" s="148"/>
      <c r="DB56" s="156"/>
      <c r="DC56" s="147"/>
      <c r="DD56" s="147"/>
      <c r="DE56" s="147"/>
      <c r="DF56" s="147"/>
      <c r="DG56" s="147"/>
      <c r="DH56" s="148"/>
      <c r="DI56" s="156"/>
      <c r="DJ56" s="147"/>
      <c r="DK56" s="147"/>
      <c r="DL56" s="147"/>
      <c r="DM56" s="147"/>
      <c r="DN56" s="147"/>
      <c r="DO56" s="148"/>
      <c r="DP56" s="156"/>
      <c r="DQ56" s="147"/>
      <c r="DR56" s="147"/>
      <c r="DS56" s="147"/>
      <c r="DT56" s="147"/>
      <c r="DU56" s="147"/>
      <c r="DV56" s="148"/>
      <c r="DW56" s="156"/>
      <c r="DX56" s="147"/>
      <c r="DY56" s="147"/>
      <c r="DZ56" s="147"/>
      <c r="EA56" s="147"/>
      <c r="EB56" s="147"/>
      <c r="EC56" s="148"/>
      <c r="ED56" s="156"/>
      <c r="EE56" s="147"/>
      <c r="EF56" s="147"/>
      <c r="EG56" s="147"/>
      <c r="EH56" s="147"/>
      <c r="EI56" s="147"/>
      <c r="EJ56" s="148"/>
      <c r="EK56" s="156"/>
      <c r="EL56" s="147"/>
      <c r="EM56" s="147"/>
      <c r="EN56" s="147"/>
      <c r="EO56" s="147"/>
      <c r="EP56" s="147"/>
      <c r="EQ56" s="148"/>
      <c r="ER56" s="156"/>
      <c r="ES56" s="147"/>
      <c r="ET56" s="147"/>
      <c r="EU56" s="147"/>
      <c r="EV56" s="147"/>
      <c r="EW56" s="147"/>
      <c r="EX56" s="148"/>
      <c r="EY56" s="156"/>
      <c r="EZ56" s="147"/>
      <c r="FA56" s="147"/>
      <c r="FB56" s="147"/>
      <c r="FC56" s="147"/>
      <c r="FD56" s="147"/>
      <c r="FE56" s="148"/>
      <c r="FF56" s="156"/>
      <c r="FG56" s="147"/>
      <c r="FH56" s="147"/>
      <c r="FI56" s="147"/>
      <c r="FJ56" s="147"/>
      <c r="FK56" s="147"/>
      <c r="FL56" s="148"/>
      <c r="FM56" s="156"/>
      <c r="FN56" s="147"/>
      <c r="FO56" s="147"/>
      <c r="FP56" s="147"/>
      <c r="FQ56" s="147"/>
      <c r="FR56" s="147"/>
      <c r="FS56" s="148"/>
      <c r="FT56" s="156"/>
      <c r="FU56" s="147"/>
      <c r="FV56" s="147"/>
      <c r="FW56" s="147"/>
      <c r="FX56" s="147"/>
      <c r="FY56" s="147"/>
      <c r="FZ56" s="148"/>
      <c r="GA56" s="156"/>
      <c r="GB56" s="147"/>
      <c r="GC56" s="147"/>
      <c r="GD56" s="147"/>
      <c r="GE56" s="147"/>
      <c r="GF56" s="147"/>
      <c r="GG56" s="148"/>
      <c r="GH56" s="156"/>
      <c r="GI56" s="147"/>
      <c r="GJ56" s="147"/>
      <c r="GK56" s="147"/>
      <c r="GL56" s="147"/>
      <c r="GM56" s="147"/>
      <c r="GN56" s="148"/>
      <c r="GO56" s="156"/>
      <c r="GP56" s="147"/>
      <c r="GQ56" s="147"/>
      <c r="GR56" s="147"/>
      <c r="GS56" s="147"/>
      <c r="GT56" s="147"/>
      <c r="GU56" s="148"/>
      <c r="GV56" s="156"/>
      <c r="GW56" s="147"/>
      <c r="GX56" s="147"/>
      <c r="GY56" s="147"/>
      <c r="GZ56" s="147"/>
      <c r="HA56" s="147"/>
      <c r="HB56" s="148"/>
      <c r="HC56" s="156"/>
      <c r="HD56" s="147"/>
      <c r="HE56" s="147"/>
      <c r="HF56" s="147"/>
      <c r="HG56" s="147"/>
      <c r="HH56" s="147"/>
      <c r="HI56" s="148"/>
      <c r="HJ56" s="156"/>
      <c r="HK56" s="147"/>
      <c r="HL56" s="147"/>
      <c r="HM56" s="147"/>
      <c r="HN56" s="147"/>
      <c r="HO56" s="147"/>
      <c r="HP56" s="148"/>
      <c r="HQ56" s="156"/>
      <c r="HR56" s="147"/>
      <c r="HS56" s="147"/>
      <c r="HT56" s="147"/>
      <c r="HU56" s="147"/>
      <c r="HV56" s="147"/>
      <c r="HW56" s="148"/>
      <c r="HX56" s="156"/>
      <c r="HY56" s="147"/>
      <c r="HZ56" s="147"/>
      <c r="IA56" s="147"/>
      <c r="IB56" s="147"/>
      <c r="IC56" s="147"/>
      <c r="ID56" s="148"/>
      <c r="IE56" s="156"/>
      <c r="IF56" s="147"/>
      <c r="IG56" s="147"/>
      <c r="IH56" s="147"/>
      <c r="II56" s="147"/>
      <c r="IJ56" s="147"/>
      <c r="IK56" s="148"/>
      <c r="IL56" s="156"/>
      <c r="IM56" s="147"/>
      <c r="IN56" s="147"/>
      <c r="IO56" s="147"/>
      <c r="IP56" s="147"/>
      <c r="IQ56" s="147"/>
      <c r="IR56" s="148"/>
      <c r="IS56" s="156"/>
      <c r="IT56" s="147"/>
      <c r="IU56" s="147"/>
      <c r="IV56" s="147"/>
    </row>
    <row r="57" spans="1:256" ht="12.75">
      <c r="A57" s="209" t="s">
        <v>480</v>
      </c>
      <c r="B57" s="147"/>
      <c r="C57" s="147"/>
      <c r="D57" s="147"/>
      <c r="E57" s="147"/>
      <c r="F57" s="147"/>
      <c r="G57" s="148"/>
      <c r="H57" s="157"/>
      <c r="I57" s="147"/>
      <c r="J57" s="147"/>
      <c r="K57" s="147"/>
      <c r="L57" s="147"/>
      <c r="M57" s="147"/>
      <c r="N57" s="148"/>
      <c r="O57" s="157"/>
      <c r="P57" s="147"/>
      <c r="Q57" s="147"/>
      <c r="R57" s="147"/>
      <c r="S57" s="147"/>
      <c r="T57" s="147"/>
      <c r="U57" s="148"/>
      <c r="V57" s="157"/>
      <c r="W57" s="147"/>
      <c r="X57" s="147"/>
      <c r="Y57" s="147"/>
      <c r="Z57" s="147"/>
      <c r="AA57" s="147"/>
      <c r="AB57" s="148"/>
      <c r="AC57" s="157"/>
      <c r="AD57" s="147"/>
      <c r="AE57" s="147"/>
      <c r="AF57" s="147"/>
      <c r="AG57" s="147"/>
      <c r="AH57" s="147"/>
      <c r="AI57" s="148"/>
      <c r="AJ57" s="157"/>
      <c r="AK57" s="147"/>
      <c r="AL57" s="147"/>
      <c r="AM57" s="147"/>
      <c r="AN57" s="147"/>
      <c r="AO57" s="147"/>
      <c r="AP57" s="148"/>
      <c r="AQ57" s="157"/>
      <c r="AR57" s="147"/>
      <c r="AS57" s="147"/>
      <c r="AT57" s="147"/>
      <c r="AU57" s="147"/>
      <c r="AV57" s="147"/>
      <c r="AW57" s="148"/>
      <c r="AX57" s="157"/>
      <c r="AY57" s="147"/>
      <c r="AZ57" s="147"/>
      <c r="BA57" s="147"/>
      <c r="BB57" s="147"/>
      <c r="BC57" s="147"/>
      <c r="BD57" s="148"/>
      <c r="BE57" s="157"/>
      <c r="BF57" s="147"/>
      <c r="BG57" s="147"/>
      <c r="BH57" s="147"/>
      <c r="BI57" s="147"/>
      <c r="BJ57" s="147"/>
      <c r="BK57" s="148"/>
      <c r="BL57" s="157"/>
      <c r="BM57" s="147"/>
      <c r="BN57" s="147"/>
      <c r="BO57" s="147"/>
      <c r="BP57" s="147"/>
      <c r="BQ57" s="147"/>
      <c r="BR57" s="148"/>
      <c r="BS57" s="157"/>
      <c r="BT57" s="147"/>
      <c r="BU57" s="147"/>
      <c r="BV57" s="147"/>
      <c r="BW57" s="147"/>
      <c r="BX57" s="147"/>
      <c r="BY57" s="148"/>
      <c r="BZ57" s="157"/>
      <c r="CA57" s="147"/>
      <c r="CB57" s="147"/>
      <c r="CC57" s="147"/>
      <c r="CD57" s="147"/>
      <c r="CE57" s="147"/>
      <c r="CF57" s="148"/>
      <c r="CG57" s="157"/>
      <c r="CH57" s="147"/>
      <c r="CI57" s="147"/>
      <c r="CJ57" s="147"/>
      <c r="CK57" s="147"/>
      <c r="CL57" s="147"/>
      <c r="CM57" s="148"/>
      <c r="CN57" s="157"/>
      <c r="CO57" s="147"/>
      <c r="CP57" s="147"/>
      <c r="CQ57" s="147"/>
      <c r="CR57" s="147"/>
      <c r="CS57" s="147"/>
      <c r="CT57" s="148"/>
      <c r="CU57" s="157"/>
      <c r="CV57" s="147"/>
      <c r="CW57" s="147"/>
      <c r="CX57" s="147"/>
      <c r="CY57" s="147"/>
      <c r="CZ57" s="147"/>
      <c r="DA57" s="148"/>
      <c r="DB57" s="157"/>
      <c r="DC57" s="147"/>
      <c r="DD57" s="147"/>
      <c r="DE57" s="147"/>
      <c r="DF57" s="147"/>
      <c r="DG57" s="147"/>
      <c r="DH57" s="148"/>
      <c r="DI57" s="157"/>
      <c r="DJ57" s="147"/>
      <c r="DK57" s="147"/>
      <c r="DL57" s="147"/>
      <c r="DM57" s="147"/>
      <c r="DN57" s="147"/>
      <c r="DO57" s="148"/>
      <c r="DP57" s="157"/>
      <c r="DQ57" s="147"/>
      <c r="DR57" s="147"/>
      <c r="DS57" s="147"/>
      <c r="DT57" s="147"/>
      <c r="DU57" s="147"/>
      <c r="DV57" s="148"/>
      <c r="DW57" s="157"/>
      <c r="DX57" s="147"/>
      <c r="DY57" s="147"/>
      <c r="DZ57" s="147"/>
      <c r="EA57" s="147"/>
      <c r="EB57" s="147"/>
      <c r="EC57" s="148"/>
      <c r="ED57" s="157"/>
      <c r="EE57" s="147"/>
      <c r="EF57" s="147"/>
      <c r="EG57" s="147"/>
      <c r="EH57" s="147"/>
      <c r="EI57" s="147"/>
      <c r="EJ57" s="148"/>
      <c r="EK57" s="157"/>
      <c r="EL57" s="147"/>
      <c r="EM57" s="147"/>
      <c r="EN57" s="147"/>
      <c r="EO57" s="147"/>
      <c r="EP57" s="147"/>
      <c r="EQ57" s="148"/>
      <c r="ER57" s="157"/>
      <c r="ES57" s="147"/>
      <c r="ET57" s="147"/>
      <c r="EU57" s="147"/>
      <c r="EV57" s="147"/>
      <c r="EW57" s="147"/>
      <c r="EX57" s="148"/>
      <c r="EY57" s="157"/>
      <c r="EZ57" s="147"/>
      <c r="FA57" s="147"/>
      <c r="FB57" s="147"/>
      <c r="FC57" s="147"/>
      <c r="FD57" s="147"/>
      <c r="FE57" s="148"/>
      <c r="FF57" s="157"/>
      <c r="FG57" s="147"/>
      <c r="FH57" s="147"/>
      <c r="FI57" s="147"/>
      <c r="FJ57" s="147"/>
      <c r="FK57" s="147"/>
      <c r="FL57" s="148"/>
      <c r="FM57" s="157"/>
      <c r="FN57" s="147"/>
      <c r="FO57" s="147"/>
      <c r="FP57" s="147"/>
      <c r="FQ57" s="147"/>
      <c r="FR57" s="147"/>
      <c r="FS57" s="148"/>
      <c r="FT57" s="157"/>
      <c r="FU57" s="147"/>
      <c r="FV57" s="147"/>
      <c r="FW57" s="147"/>
      <c r="FX57" s="147"/>
      <c r="FY57" s="147"/>
      <c r="FZ57" s="148"/>
      <c r="GA57" s="157"/>
      <c r="GB57" s="147"/>
      <c r="GC57" s="147"/>
      <c r="GD57" s="147"/>
      <c r="GE57" s="147"/>
      <c r="GF57" s="147"/>
      <c r="GG57" s="148"/>
      <c r="GH57" s="157"/>
      <c r="GI57" s="147"/>
      <c r="GJ57" s="147"/>
      <c r="GK57" s="147"/>
      <c r="GL57" s="147"/>
      <c r="GM57" s="147"/>
      <c r="GN57" s="148"/>
      <c r="GO57" s="157"/>
      <c r="GP57" s="147"/>
      <c r="GQ57" s="147"/>
      <c r="GR57" s="147"/>
      <c r="GS57" s="147"/>
      <c r="GT57" s="147"/>
      <c r="GU57" s="148"/>
      <c r="GV57" s="157"/>
      <c r="GW57" s="147"/>
      <c r="GX57" s="147"/>
      <c r="GY57" s="147"/>
      <c r="GZ57" s="147"/>
      <c r="HA57" s="147"/>
      <c r="HB57" s="148"/>
      <c r="HC57" s="157"/>
      <c r="HD57" s="147"/>
      <c r="HE57" s="147"/>
      <c r="HF57" s="147"/>
      <c r="HG57" s="147"/>
      <c r="HH57" s="147"/>
      <c r="HI57" s="148"/>
      <c r="HJ57" s="157"/>
      <c r="HK57" s="147"/>
      <c r="HL57" s="147"/>
      <c r="HM57" s="147"/>
      <c r="HN57" s="147"/>
      <c r="HO57" s="147"/>
      <c r="HP57" s="148"/>
      <c r="HQ57" s="157"/>
      <c r="HR57" s="147"/>
      <c r="HS57" s="147"/>
      <c r="HT57" s="147"/>
      <c r="HU57" s="147"/>
      <c r="HV57" s="147"/>
      <c r="HW57" s="148"/>
      <c r="HX57" s="157"/>
      <c r="HY57" s="147"/>
      <c r="HZ57" s="147"/>
      <c r="IA57" s="147"/>
      <c r="IB57" s="147"/>
      <c r="IC57" s="147"/>
      <c r="ID57" s="148"/>
      <c r="IE57" s="157"/>
      <c r="IF57" s="147"/>
      <c r="IG57" s="147"/>
      <c r="IH57" s="147"/>
      <c r="II57" s="147"/>
      <c r="IJ57" s="147"/>
      <c r="IK57" s="148"/>
      <c r="IL57" s="157"/>
      <c r="IM57" s="147"/>
      <c r="IN57" s="147"/>
      <c r="IO57" s="147"/>
      <c r="IP57" s="147"/>
      <c r="IQ57" s="147"/>
      <c r="IR57" s="148"/>
      <c r="IS57" s="157"/>
      <c r="IT57" s="147"/>
      <c r="IU57" s="147"/>
      <c r="IV57" s="147"/>
    </row>
    <row r="58" spans="1:256" ht="12.75">
      <c r="A58" s="208" t="s">
        <v>481</v>
      </c>
      <c r="B58" s="147"/>
      <c r="C58" s="147"/>
      <c r="D58" s="147"/>
      <c r="E58" s="147"/>
      <c r="F58" s="147"/>
      <c r="G58" s="148"/>
      <c r="H58" s="149"/>
      <c r="I58" s="147"/>
      <c r="J58" s="147"/>
      <c r="K58" s="147"/>
      <c r="L58" s="147"/>
      <c r="M58" s="147"/>
      <c r="N58" s="148"/>
      <c r="O58" s="149"/>
      <c r="P58" s="147"/>
      <c r="Q58" s="147"/>
      <c r="R58" s="147"/>
      <c r="S58" s="147"/>
      <c r="T58" s="147"/>
      <c r="U58" s="148"/>
      <c r="V58" s="149"/>
      <c r="W58" s="147"/>
      <c r="X58" s="147"/>
      <c r="Y58" s="147"/>
      <c r="Z58" s="147"/>
      <c r="AA58" s="147"/>
      <c r="AB58" s="148"/>
      <c r="AC58" s="149"/>
      <c r="AD58" s="147"/>
      <c r="AE58" s="147"/>
      <c r="AF58" s="147"/>
      <c r="AG58" s="147"/>
      <c r="AH58" s="147"/>
      <c r="AI58" s="148"/>
      <c r="AJ58" s="149"/>
      <c r="AK58" s="147"/>
      <c r="AL58" s="147"/>
      <c r="AM58" s="147"/>
      <c r="AN58" s="147"/>
      <c r="AO58" s="147"/>
      <c r="AP58" s="148"/>
      <c r="AQ58" s="149"/>
      <c r="AR58" s="147"/>
      <c r="AS58" s="147"/>
      <c r="AT58" s="147"/>
      <c r="AU58" s="147"/>
      <c r="AV58" s="147"/>
      <c r="AW58" s="148"/>
      <c r="AX58" s="149"/>
      <c r="AY58" s="147"/>
      <c r="AZ58" s="147"/>
      <c r="BA58" s="147"/>
      <c r="BB58" s="147"/>
      <c r="BC58" s="147"/>
      <c r="BD58" s="148"/>
      <c r="BE58" s="149"/>
      <c r="BF58" s="147"/>
      <c r="BG58" s="147"/>
      <c r="BH58" s="147"/>
      <c r="BI58" s="147"/>
      <c r="BJ58" s="147"/>
      <c r="BK58" s="148"/>
      <c r="BL58" s="149"/>
      <c r="BM58" s="147"/>
      <c r="BN58" s="147"/>
      <c r="BO58" s="147"/>
      <c r="BP58" s="147"/>
      <c r="BQ58" s="147"/>
      <c r="BR58" s="148"/>
      <c r="BS58" s="149"/>
      <c r="BT58" s="147"/>
      <c r="BU58" s="147"/>
      <c r="BV58" s="147"/>
      <c r="BW58" s="147"/>
      <c r="BX58" s="147"/>
      <c r="BY58" s="148"/>
      <c r="BZ58" s="149"/>
      <c r="CA58" s="147"/>
      <c r="CB58" s="147"/>
      <c r="CC58" s="147"/>
      <c r="CD58" s="147"/>
      <c r="CE58" s="147"/>
      <c r="CF58" s="148"/>
      <c r="CG58" s="149"/>
      <c r="CH58" s="147"/>
      <c r="CI58" s="147"/>
      <c r="CJ58" s="147"/>
      <c r="CK58" s="147"/>
      <c r="CL58" s="147"/>
      <c r="CM58" s="148"/>
      <c r="CN58" s="149"/>
      <c r="CO58" s="147"/>
      <c r="CP58" s="147"/>
      <c r="CQ58" s="147"/>
      <c r="CR58" s="147"/>
      <c r="CS58" s="147"/>
      <c r="CT58" s="148"/>
      <c r="CU58" s="149"/>
      <c r="CV58" s="147"/>
      <c r="CW58" s="147"/>
      <c r="CX58" s="147"/>
      <c r="CY58" s="147"/>
      <c r="CZ58" s="147"/>
      <c r="DA58" s="148"/>
      <c r="DB58" s="149"/>
      <c r="DC58" s="147"/>
      <c r="DD58" s="147"/>
      <c r="DE58" s="147"/>
      <c r="DF58" s="147"/>
      <c r="DG58" s="147"/>
      <c r="DH58" s="148"/>
      <c r="DI58" s="149"/>
      <c r="DJ58" s="147"/>
      <c r="DK58" s="147"/>
      <c r="DL58" s="147"/>
      <c r="DM58" s="147"/>
      <c r="DN58" s="147"/>
      <c r="DO58" s="148"/>
      <c r="DP58" s="149"/>
      <c r="DQ58" s="147"/>
      <c r="DR58" s="147"/>
      <c r="DS58" s="147"/>
      <c r="DT58" s="147"/>
      <c r="DU58" s="147"/>
      <c r="DV58" s="148"/>
      <c r="DW58" s="149"/>
      <c r="DX58" s="147"/>
      <c r="DY58" s="147"/>
      <c r="DZ58" s="147"/>
      <c r="EA58" s="147"/>
      <c r="EB58" s="147"/>
      <c r="EC58" s="148"/>
      <c r="ED58" s="149"/>
      <c r="EE58" s="147"/>
      <c r="EF58" s="147"/>
      <c r="EG58" s="147"/>
      <c r="EH58" s="147"/>
      <c r="EI58" s="147"/>
      <c r="EJ58" s="148"/>
      <c r="EK58" s="149"/>
      <c r="EL58" s="147"/>
      <c r="EM58" s="147"/>
      <c r="EN58" s="147"/>
      <c r="EO58" s="147"/>
      <c r="EP58" s="147"/>
      <c r="EQ58" s="148"/>
      <c r="ER58" s="149"/>
      <c r="ES58" s="147"/>
      <c r="ET58" s="147"/>
      <c r="EU58" s="147"/>
      <c r="EV58" s="147"/>
      <c r="EW58" s="147"/>
      <c r="EX58" s="148"/>
      <c r="EY58" s="149"/>
      <c r="EZ58" s="147"/>
      <c r="FA58" s="147"/>
      <c r="FB58" s="147"/>
      <c r="FC58" s="147"/>
      <c r="FD58" s="147"/>
      <c r="FE58" s="148"/>
      <c r="FF58" s="149"/>
      <c r="FG58" s="147"/>
      <c r="FH58" s="147"/>
      <c r="FI58" s="147"/>
      <c r="FJ58" s="147"/>
      <c r="FK58" s="147"/>
      <c r="FL58" s="148"/>
      <c r="FM58" s="149"/>
      <c r="FN58" s="147"/>
      <c r="FO58" s="147"/>
      <c r="FP58" s="147"/>
      <c r="FQ58" s="147"/>
      <c r="FR58" s="147"/>
      <c r="FS58" s="148"/>
      <c r="FT58" s="149"/>
      <c r="FU58" s="147"/>
      <c r="FV58" s="147"/>
      <c r="FW58" s="147"/>
      <c r="FX58" s="147"/>
      <c r="FY58" s="147"/>
      <c r="FZ58" s="148"/>
      <c r="GA58" s="149"/>
      <c r="GB58" s="147"/>
      <c r="GC58" s="147"/>
      <c r="GD58" s="147"/>
      <c r="GE58" s="147"/>
      <c r="GF58" s="147"/>
      <c r="GG58" s="148"/>
      <c r="GH58" s="149"/>
      <c r="GI58" s="147"/>
      <c r="GJ58" s="147"/>
      <c r="GK58" s="147"/>
      <c r="GL58" s="147"/>
      <c r="GM58" s="147"/>
      <c r="GN58" s="148"/>
      <c r="GO58" s="149"/>
      <c r="GP58" s="147"/>
      <c r="GQ58" s="147"/>
      <c r="GR58" s="147"/>
      <c r="GS58" s="147"/>
      <c r="GT58" s="147"/>
      <c r="GU58" s="148"/>
      <c r="GV58" s="149"/>
      <c r="GW58" s="147"/>
      <c r="GX58" s="147"/>
      <c r="GY58" s="147"/>
      <c r="GZ58" s="147"/>
      <c r="HA58" s="147"/>
      <c r="HB58" s="148"/>
      <c r="HC58" s="149"/>
      <c r="HD58" s="147"/>
      <c r="HE58" s="147"/>
      <c r="HF58" s="147"/>
      <c r="HG58" s="147"/>
      <c r="HH58" s="147"/>
      <c r="HI58" s="148"/>
      <c r="HJ58" s="149"/>
      <c r="HK58" s="147"/>
      <c r="HL58" s="147"/>
      <c r="HM58" s="147"/>
      <c r="HN58" s="147"/>
      <c r="HO58" s="147"/>
      <c r="HP58" s="148"/>
      <c r="HQ58" s="149"/>
      <c r="HR58" s="147"/>
      <c r="HS58" s="147"/>
      <c r="HT58" s="147"/>
      <c r="HU58" s="147"/>
      <c r="HV58" s="147"/>
      <c r="HW58" s="148"/>
      <c r="HX58" s="149"/>
      <c r="HY58" s="147"/>
      <c r="HZ58" s="147"/>
      <c r="IA58" s="147"/>
      <c r="IB58" s="147"/>
      <c r="IC58" s="147"/>
      <c r="ID58" s="148"/>
      <c r="IE58" s="149"/>
      <c r="IF58" s="147"/>
      <c r="IG58" s="147"/>
      <c r="IH58" s="147"/>
      <c r="II58" s="147"/>
      <c r="IJ58" s="147"/>
      <c r="IK58" s="148"/>
      <c r="IL58" s="149"/>
      <c r="IM58" s="147"/>
      <c r="IN58" s="147"/>
      <c r="IO58" s="147"/>
      <c r="IP58" s="147"/>
      <c r="IQ58" s="147"/>
      <c r="IR58" s="148"/>
      <c r="IS58" s="149"/>
      <c r="IT58" s="147"/>
      <c r="IU58" s="147"/>
      <c r="IV58" s="147"/>
    </row>
    <row r="59" spans="1:256">
      <c r="A59" s="149"/>
      <c r="B59" s="147"/>
      <c r="C59" s="147"/>
      <c r="D59" s="147"/>
      <c r="E59" s="147"/>
      <c r="F59" s="147"/>
      <c r="G59" s="148"/>
      <c r="H59" s="149"/>
      <c r="I59" s="147"/>
      <c r="J59" s="147"/>
      <c r="K59" s="147"/>
      <c r="L59" s="147"/>
      <c r="M59" s="147"/>
      <c r="N59" s="148"/>
      <c r="O59" s="149"/>
      <c r="P59" s="147"/>
      <c r="Q59" s="147"/>
      <c r="R59" s="147"/>
      <c r="S59" s="147"/>
      <c r="T59" s="147"/>
      <c r="U59" s="148"/>
      <c r="V59" s="149"/>
      <c r="W59" s="147"/>
      <c r="X59" s="147"/>
      <c r="Y59" s="147"/>
      <c r="Z59" s="147"/>
      <c r="AA59" s="147"/>
      <c r="AB59" s="148"/>
      <c r="AC59" s="149"/>
      <c r="AD59" s="147"/>
      <c r="AE59" s="147"/>
      <c r="AF59" s="147"/>
      <c r="AG59" s="147"/>
      <c r="AH59" s="147"/>
      <c r="AI59" s="148"/>
      <c r="AJ59" s="149"/>
      <c r="AK59" s="147"/>
      <c r="AL59" s="147"/>
      <c r="AM59" s="147"/>
      <c r="AN59" s="147"/>
      <c r="AO59" s="147"/>
      <c r="AP59" s="148"/>
      <c r="AQ59" s="149"/>
      <c r="AR59" s="147"/>
      <c r="AS59" s="147"/>
      <c r="AT59" s="147"/>
      <c r="AU59" s="147"/>
      <c r="AV59" s="147"/>
      <c r="AW59" s="148"/>
      <c r="AX59" s="149"/>
      <c r="AY59" s="147"/>
      <c r="AZ59" s="147"/>
      <c r="BA59" s="147"/>
      <c r="BB59" s="147"/>
      <c r="BC59" s="147"/>
      <c r="BD59" s="148"/>
      <c r="BE59" s="149"/>
      <c r="BF59" s="147"/>
      <c r="BG59" s="147"/>
      <c r="BH59" s="147"/>
      <c r="BI59" s="147"/>
      <c r="BJ59" s="147"/>
      <c r="BK59" s="148"/>
      <c r="BL59" s="149"/>
      <c r="BM59" s="147"/>
      <c r="BN59" s="147"/>
      <c r="BO59" s="147"/>
      <c r="BP59" s="147"/>
      <c r="BQ59" s="147"/>
      <c r="BR59" s="148"/>
      <c r="BS59" s="149"/>
      <c r="BT59" s="147"/>
      <c r="BU59" s="147"/>
      <c r="BV59" s="147"/>
      <c r="BW59" s="147"/>
      <c r="BX59" s="147"/>
      <c r="BY59" s="148"/>
      <c r="BZ59" s="149"/>
      <c r="CA59" s="147"/>
      <c r="CB59" s="147"/>
      <c r="CC59" s="147"/>
      <c r="CD59" s="147"/>
      <c r="CE59" s="147"/>
      <c r="CF59" s="148"/>
      <c r="CG59" s="149"/>
      <c r="CH59" s="147"/>
      <c r="CI59" s="147"/>
      <c r="CJ59" s="147"/>
      <c r="CK59" s="147"/>
      <c r="CL59" s="147"/>
      <c r="CM59" s="148"/>
      <c r="CN59" s="149"/>
      <c r="CO59" s="147"/>
      <c r="CP59" s="147"/>
      <c r="CQ59" s="147"/>
      <c r="CR59" s="147"/>
      <c r="CS59" s="147"/>
      <c r="CT59" s="148"/>
      <c r="CU59" s="149"/>
      <c r="CV59" s="147"/>
      <c r="CW59" s="147"/>
      <c r="CX59" s="147"/>
      <c r="CY59" s="147"/>
      <c r="CZ59" s="147"/>
      <c r="DA59" s="148"/>
      <c r="DB59" s="149"/>
      <c r="DC59" s="147"/>
      <c r="DD59" s="147"/>
      <c r="DE59" s="147"/>
      <c r="DF59" s="147"/>
      <c r="DG59" s="147"/>
      <c r="DH59" s="148"/>
      <c r="DI59" s="149"/>
      <c r="DJ59" s="147"/>
      <c r="DK59" s="147"/>
      <c r="DL59" s="147"/>
      <c r="DM59" s="147"/>
      <c r="DN59" s="147"/>
      <c r="DO59" s="148"/>
      <c r="DP59" s="149"/>
      <c r="DQ59" s="147"/>
      <c r="DR59" s="147"/>
      <c r="DS59" s="147"/>
      <c r="DT59" s="147"/>
      <c r="DU59" s="147"/>
      <c r="DV59" s="148"/>
      <c r="DW59" s="149"/>
      <c r="DX59" s="147"/>
      <c r="DY59" s="147"/>
      <c r="DZ59" s="147"/>
      <c r="EA59" s="147"/>
      <c r="EB59" s="147"/>
      <c r="EC59" s="148"/>
      <c r="ED59" s="149"/>
      <c r="EE59" s="147"/>
      <c r="EF59" s="147"/>
      <c r="EG59" s="147"/>
      <c r="EH59" s="147"/>
      <c r="EI59" s="147"/>
      <c r="EJ59" s="148"/>
      <c r="EK59" s="149"/>
      <c r="EL59" s="147"/>
      <c r="EM59" s="147"/>
      <c r="EN59" s="147"/>
      <c r="EO59" s="147"/>
      <c r="EP59" s="147"/>
      <c r="EQ59" s="148"/>
      <c r="ER59" s="149"/>
      <c r="ES59" s="147"/>
      <c r="ET59" s="147"/>
      <c r="EU59" s="147"/>
      <c r="EV59" s="147"/>
      <c r="EW59" s="147"/>
      <c r="EX59" s="148"/>
      <c r="EY59" s="149"/>
      <c r="EZ59" s="147"/>
      <c r="FA59" s="147"/>
      <c r="FB59" s="147"/>
      <c r="FC59" s="147"/>
      <c r="FD59" s="147"/>
      <c r="FE59" s="148"/>
      <c r="FF59" s="149"/>
      <c r="FG59" s="147"/>
      <c r="FH59" s="147"/>
      <c r="FI59" s="147"/>
      <c r="FJ59" s="147"/>
      <c r="FK59" s="147"/>
      <c r="FL59" s="148"/>
      <c r="FM59" s="149"/>
      <c r="FN59" s="147"/>
      <c r="FO59" s="147"/>
      <c r="FP59" s="147"/>
      <c r="FQ59" s="147"/>
      <c r="FR59" s="147"/>
      <c r="FS59" s="148"/>
      <c r="FT59" s="149"/>
      <c r="FU59" s="147"/>
      <c r="FV59" s="147"/>
      <c r="FW59" s="147"/>
      <c r="FX59" s="147"/>
      <c r="FY59" s="147"/>
      <c r="FZ59" s="148"/>
      <c r="GA59" s="149"/>
      <c r="GB59" s="147"/>
      <c r="GC59" s="147"/>
      <c r="GD59" s="147"/>
      <c r="GE59" s="147"/>
      <c r="GF59" s="147"/>
      <c r="GG59" s="148"/>
      <c r="GH59" s="149"/>
      <c r="GI59" s="147"/>
      <c r="GJ59" s="147"/>
      <c r="GK59" s="147"/>
      <c r="GL59" s="147"/>
      <c r="GM59" s="147"/>
      <c r="GN59" s="148"/>
      <c r="GO59" s="149"/>
      <c r="GP59" s="147"/>
      <c r="GQ59" s="147"/>
      <c r="GR59" s="147"/>
      <c r="GS59" s="147"/>
      <c r="GT59" s="147"/>
      <c r="GU59" s="148"/>
      <c r="GV59" s="149"/>
      <c r="GW59" s="147"/>
      <c r="GX59" s="147"/>
      <c r="GY59" s="147"/>
      <c r="GZ59" s="147"/>
      <c r="HA59" s="147"/>
      <c r="HB59" s="148"/>
      <c r="HC59" s="149"/>
      <c r="HD59" s="147"/>
      <c r="HE59" s="147"/>
      <c r="HF59" s="147"/>
      <c r="HG59" s="147"/>
      <c r="HH59" s="147"/>
      <c r="HI59" s="148"/>
      <c r="HJ59" s="149"/>
      <c r="HK59" s="147"/>
      <c r="HL59" s="147"/>
      <c r="HM59" s="147"/>
      <c r="HN59" s="147"/>
      <c r="HO59" s="147"/>
      <c r="HP59" s="148"/>
      <c r="HQ59" s="149"/>
      <c r="HR59" s="147"/>
      <c r="HS59" s="147"/>
      <c r="HT59" s="147"/>
      <c r="HU59" s="147"/>
      <c r="HV59" s="147"/>
      <c r="HW59" s="148"/>
      <c r="HX59" s="149"/>
      <c r="HY59" s="147"/>
      <c r="HZ59" s="147"/>
      <c r="IA59" s="147"/>
      <c r="IB59" s="147"/>
      <c r="IC59" s="147"/>
      <c r="ID59" s="148"/>
      <c r="IE59" s="149"/>
      <c r="IF59" s="147"/>
      <c r="IG59" s="147"/>
      <c r="IH59" s="147"/>
      <c r="II59" s="147"/>
      <c r="IJ59" s="147"/>
      <c r="IK59" s="148"/>
      <c r="IL59" s="149"/>
      <c r="IM59" s="147"/>
      <c r="IN59" s="147"/>
      <c r="IO59" s="147"/>
      <c r="IP59" s="147"/>
      <c r="IQ59" s="147"/>
      <c r="IR59" s="148"/>
      <c r="IS59" s="149"/>
      <c r="IT59" s="147"/>
      <c r="IU59" s="147"/>
      <c r="IV59" s="147"/>
    </row>
    <row r="60" spans="1:256" ht="15.75">
      <c r="A60" s="179" t="s">
        <v>43</v>
      </c>
      <c r="B60" s="147"/>
      <c r="C60" s="147"/>
      <c r="D60" s="147"/>
      <c r="E60" s="147"/>
      <c r="F60" s="147"/>
      <c r="G60" s="148"/>
      <c r="H60" s="149"/>
      <c r="I60" s="147"/>
      <c r="J60" s="147"/>
      <c r="K60" s="147"/>
      <c r="L60" s="147"/>
      <c r="M60" s="147"/>
      <c r="N60" s="148"/>
      <c r="O60" s="149"/>
      <c r="P60" s="147"/>
      <c r="Q60" s="147"/>
      <c r="R60" s="147"/>
      <c r="S60" s="147"/>
      <c r="T60" s="147"/>
      <c r="U60" s="148"/>
      <c r="V60" s="149"/>
      <c r="W60" s="147"/>
      <c r="X60" s="147"/>
      <c r="Y60" s="147"/>
      <c r="Z60" s="147"/>
      <c r="AA60" s="147"/>
      <c r="AB60" s="148"/>
      <c r="AC60" s="149"/>
      <c r="AD60" s="147"/>
      <c r="AE60" s="147"/>
      <c r="AF60" s="147"/>
      <c r="AG60" s="147"/>
      <c r="AH60" s="147"/>
      <c r="AI60" s="148"/>
      <c r="AJ60" s="149"/>
      <c r="AK60" s="147"/>
      <c r="AL60" s="147"/>
      <c r="AM60" s="147"/>
      <c r="AN60" s="147"/>
      <c r="AO60" s="147"/>
      <c r="AP60" s="148"/>
      <c r="AQ60" s="149"/>
      <c r="AR60" s="147"/>
      <c r="AS60" s="147"/>
      <c r="AT60" s="147"/>
      <c r="AU60" s="147"/>
      <c r="AV60" s="147"/>
      <c r="AW60" s="148"/>
      <c r="AX60" s="149"/>
      <c r="AY60" s="147"/>
      <c r="AZ60" s="147"/>
      <c r="BA60" s="147"/>
      <c r="BB60" s="147"/>
      <c r="BC60" s="147"/>
      <c r="BD60" s="148"/>
      <c r="BE60" s="149"/>
      <c r="BF60" s="147"/>
      <c r="BG60" s="147"/>
      <c r="BH60" s="147"/>
      <c r="BI60" s="147"/>
      <c r="BJ60" s="147"/>
      <c r="BK60" s="148"/>
      <c r="BL60" s="149"/>
      <c r="BM60" s="147"/>
      <c r="BN60" s="147"/>
      <c r="BO60" s="147"/>
      <c r="BP60" s="147"/>
      <c r="BQ60" s="147"/>
      <c r="BR60" s="148"/>
      <c r="BS60" s="149"/>
      <c r="BT60" s="147"/>
      <c r="BU60" s="147"/>
      <c r="BV60" s="147"/>
      <c r="BW60" s="147"/>
      <c r="BX60" s="147"/>
      <c r="BY60" s="148"/>
      <c r="BZ60" s="149"/>
      <c r="CA60" s="147"/>
      <c r="CB60" s="147"/>
      <c r="CC60" s="147"/>
      <c r="CD60" s="147"/>
      <c r="CE60" s="147"/>
      <c r="CF60" s="148"/>
      <c r="CG60" s="149"/>
      <c r="CH60" s="147"/>
      <c r="CI60" s="147"/>
      <c r="CJ60" s="147"/>
      <c r="CK60" s="147"/>
      <c r="CL60" s="147"/>
      <c r="CM60" s="148"/>
      <c r="CN60" s="149"/>
      <c r="CO60" s="147"/>
      <c r="CP60" s="147"/>
      <c r="CQ60" s="147"/>
      <c r="CR60" s="147"/>
      <c r="CS60" s="147"/>
      <c r="CT60" s="148"/>
      <c r="CU60" s="149"/>
      <c r="CV60" s="147"/>
      <c r="CW60" s="147"/>
      <c r="CX60" s="147"/>
      <c r="CY60" s="147"/>
      <c r="CZ60" s="147"/>
      <c r="DA60" s="148"/>
      <c r="DB60" s="149"/>
      <c r="DC60" s="147"/>
      <c r="DD60" s="147"/>
      <c r="DE60" s="147"/>
      <c r="DF60" s="147"/>
      <c r="DG60" s="147"/>
      <c r="DH60" s="148"/>
      <c r="DI60" s="149"/>
      <c r="DJ60" s="147"/>
      <c r="DK60" s="147"/>
      <c r="DL60" s="147"/>
      <c r="DM60" s="147"/>
      <c r="DN60" s="147"/>
      <c r="DO60" s="148"/>
      <c r="DP60" s="149"/>
      <c r="DQ60" s="147"/>
      <c r="DR60" s="147"/>
      <c r="DS60" s="147"/>
      <c r="DT60" s="147"/>
      <c r="DU60" s="147"/>
      <c r="DV60" s="148"/>
      <c r="DW60" s="149"/>
      <c r="DX60" s="147"/>
      <c r="DY60" s="147"/>
      <c r="DZ60" s="147"/>
      <c r="EA60" s="147"/>
      <c r="EB60" s="147"/>
      <c r="EC60" s="148"/>
      <c r="ED60" s="149"/>
      <c r="EE60" s="147"/>
      <c r="EF60" s="147"/>
      <c r="EG60" s="147"/>
      <c r="EH60" s="147"/>
      <c r="EI60" s="147"/>
      <c r="EJ60" s="148"/>
      <c r="EK60" s="149"/>
      <c r="EL60" s="147"/>
      <c r="EM60" s="147"/>
      <c r="EN60" s="147"/>
      <c r="EO60" s="147"/>
      <c r="EP60" s="147"/>
      <c r="EQ60" s="148"/>
      <c r="ER60" s="149"/>
      <c r="ES60" s="147"/>
      <c r="ET60" s="147"/>
      <c r="EU60" s="147"/>
      <c r="EV60" s="147"/>
      <c r="EW60" s="147"/>
      <c r="EX60" s="148"/>
      <c r="EY60" s="149"/>
      <c r="EZ60" s="147"/>
      <c r="FA60" s="147"/>
      <c r="FB60" s="147"/>
      <c r="FC60" s="147"/>
      <c r="FD60" s="147"/>
      <c r="FE60" s="148"/>
      <c r="FF60" s="149"/>
      <c r="FG60" s="147"/>
      <c r="FH60" s="147"/>
      <c r="FI60" s="147"/>
      <c r="FJ60" s="147"/>
      <c r="FK60" s="147"/>
      <c r="FL60" s="148"/>
      <c r="FM60" s="149"/>
      <c r="FN60" s="147"/>
      <c r="FO60" s="147"/>
      <c r="FP60" s="147"/>
      <c r="FQ60" s="147"/>
      <c r="FR60" s="147"/>
      <c r="FS60" s="148"/>
      <c r="FT60" s="149"/>
      <c r="FU60" s="147"/>
      <c r="FV60" s="147"/>
      <c r="FW60" s="147"/>
      <c r="FX60" s="147"/>
      <c r="FY60" s="147"/>
      <c r="FZ60" s="148"/>
      <c r="GA60" s="149"/>
      <c r="GB60" s="147"/>
      <c r="GC60" s="147"/>
      <c r="GD60" s="147"/>
      <c r="GE60" s="147"/>
      <c r="GF60" s="147"/>
      <c r="GG60" s="148"/>
      <c r="GH60" s="149"/>
      <c r="GI60" s="147"/>
      <c r="GJ60" s="147"/>
      <c r="GK60" s="147"/>
      <c r="GL60" s="147"/>
      <c r="GM60" s="147"/>
      <c r="GN60" s="148"/>
      <c r="GO60" s="149"/>
      <c r="GP60" s="147"/>
      <c r="GQ60" s="147"/>
      <c r="GR60" s="147"/>
      <c r="GS60" s="147"/>
      <c r="GT60" s="147"/>
      <c r="GU60" s="148"/>
      <c r="GV60" s="149"/>
      <c r="GW60" s="147"/>
      <c r="GX60" s="147"/>
      <c r="GY60" s="147"/>
      <c r="GZ60" s="147"/>
      <c r="HA60" s="147"/>
      <c r="HB60" s="148"/>
      <c r="HC60" s="149"/>
      <c r="HD60" s="147"/>
      <c r="HE60" s="147"/>
      <c r="HF60" s="147"/>
      <c r="HG60" s="147"/>
      <c r="HH60" s="147"/>
      <c r="HI60" s="148"/>
      <c r="HJ60" s="149"/>
      <c r="HK60" s="147"/>
      <c r="HL60" s="147"/>
      <c r="HM60" s="147"/>
      <c r="HN60" s="147"/>
      <c r="HO60" s="147"/>
      <c r="HP60" s="148"/>
      <c r="HQ60" s="149"/>
      <c r="HR60" s="147"/>
      <c r="HS60" s="147"/>
      <c r="HT60" s="147"/>
      <c r="HU60" s="147"/>
      <c r="HV60" s="147"/>
      <c r="HW60" s="148"/>
      <c r="HX60" s="149"/>
      <c r="HY60" s="147"/>
      <c r="HZ60" s="147"/>
      <c r="IA60" s="147"/>
      <c r="IB60" s="147"/>
      <c r="IC60" s="147"/>
      <c r="ID60" s="148"/>
      <c r="IE60" s="149"/>
      <c r="IF60" s="147"/>
      <c r="IG60" s="147"/>
      <c r="IH60" s="147"/>
      <c r="II60" s="147"/>
      <c r="IJ60" s="147"/>
      <c r="IK60" s="148"/>
      <c r="IL60" s="149"/>
      <c r="IM60" s="147"/>
      <c r="IN60" s="147"/>
      <c r="IO60" s="147"/>
      <c r="IP60" s="147"/>
      <c r="IQ60" s="147"/>
      <c r="IR60" s="148"/>
      <c r="IS60" s="149"/>
      <c r="IT60" s="147"/>
      <c r="IU60" s="147"/>
      <c r="IV60" s="147"/>
    </row>
    <row r="61" spans="1:256">
      <c r="A61" s="149"/>
      <c r="B61" s="147"/>
      <c r="C61" s="147"/>
      <c r="D61" s="147"/>
      <c r="E61" s="147"/>
      <c r="F61" s="147"/>
      <c r="G61" s="148"/>
      <c r="H61" s="149"/>
      <c r="I61" s="147"/>
      <c r="J61" s="147"/>
      <c r="K61" s="147"/>
      <c r="L61" s="147"/>
      <c r="M61" s="147"/>
      <c r="N61" s="148"/>
      <c r="O61" s="149"/>
      <c r="P61" s="147"/>
      <c r="Q61" s="147"/>
      <c r="R61" s="147"/>
      <c r="S61" s="147"/>
      <c r="T61" s="147"/>
      <c r="U61" s="148"/>
      <c r="V61" s="149"/>
      <c r="W61" s="147"/>
      <c r="X61" s="147"/>
      <c r="Y61" s="147"/>
      <c r="Z61" s="147"/>
      <c r="AA61" s="147"/>
      <c r="AB61" s="148"/>
      <c r="AC61" s="149"/>
      <c r="AD61" s="147"/>
      <c r="AE61" s="147"/>
      <c r="AF61" s="147"/>
      <c r="AG61" s="147"/>
      <c r="AH61" s="147"/>
      <c r="AI61" s="148"/>
      <c r="AJ61" s="149"/>
      <c r="AK61" s="147"/>
      <c r="AL61" s="147"/>
      <c r="AM61" s="147"/>
      <c r="AN61" s="147"/>
      <c r="AO61" s="147"/>
      <c r="AP61" s="148"/>
      <c r="AQ61" s="149"/>
      <c r="AR61" s="147"/>
      <c r="AS61" s="147"/>
      <c r="AT61" s="147"/>
      <c r="AU61" s="147"/>
      <c r="AV61" s="147"/>
      <c r="AW61" s="148"/>
      <c r="AX61" s="149"/>
      <c r="AY61" s="147"/>
      <c r="AZ61" s="147"/>
      <c r="BA61" s="147"/>
      <c r="BB61" s="147"/>
      <c r="BC61" s="147"/>
      <c r="BD61" s="148"/>
      <c r="BE61" s="149"/>
      <c r="BF61" s="147"/>
      <c r="BG61" s="147"/>
      <c r="BH61" s="147"/>
      <c r="BI61" s="147"/>
      <c r="BJ61" s="147"/>
      <c r="BK61" s="148"/>
      <c r="BL61" s="149"/>
      <c r="BM61" s="147"/>
      <c r="BN61" s="147"/>
      <c r="BO61" s="147"/>
      <c r="BP61" s="147"/>
      <c r="BQ61" s="147"/>
      <c r="BR61" s="148"/>
      <c r="BS61" s="149"/>
      <c r="BT61" s="147"/>
      <c r="BU61" s="147"/>
      <c r="BV61" s="147"/>
      <c r="BW61" s="147"/>
      <c r="BX61" s="147"/>
      <c r="BY61" s="148"/>
      <c r="BZ61" s="149"/>
      <c r="CA61" s="147"/>
      <c r="CB61" s="147"/>
      <c r="CC61" s="147"/>
      <c r="CD61" s="147"/>
      <c r="CE61" s="147"/>
      <c r="CF61" s="148"/>
      <c r="CG61" s="149"/>
      <c r="CH61" s="147"/>
      <c r="CI61" s="147"/>
      <c r="CJ61" s="147"/>
      <c r="CK61" s="147"/>
      <c r="CL61" s="147"/>
      <c r="CM61" s="148"/>
      <c r="CN61" s="149"/>
      <c r="CO61" s="147"/>
      <c r="CP61" s="147"/>
      <c r="CQ61" s="147"/>
      <c r="CR61" s="147"/>
      <c r="CS61" s="147"/>
      <c r="CT61" s="148"/>
      <c r="CU61" s="149"/>
      <c r="CV61" s="147"/>
      <c r="CW61" s="147"/>
      <c r="CX61" s="147"/>
      <c r="CY61" s="147"/>
      <c r="CZ61" s="147"/>
      <c r="DA61" s="148"/>
      <c r="DB61" s="149"/>
      <c r="DC61" s="147"/>
      <c r="DD61" s="147"/>
      <c r="DE61" s="147"/>
      <c r="DF61" s="147"/>
      <c r="DG61" s="147"/>
      <c r="DH61" s="148"/>
      <c r="DI61" s="149"/>
      <c r="DJ61" s="147"/>
      <c r="DK61" s="147"/>
      <c r="DL61" s="147"/>
      <c r="DM61" s="147"/>
      <c r="DN61" s="147"/>
      <c r="DO61" s="148"/>
      <c r="DP61" s="149"/>
      <c r="DQ61" s="147"/>
      <c r="DR61" s="147"/>
      <c r="DS61" s="147"/>
      <c r="DT61" s="147"/>
      <c r="DU61" s="147"/>
      <c r="DV61" s="148"/>
      <c r="DW61" s="149"/>
      <c r="DX61" s="147"/>
      <c r="DY61" s="147"/>
      <c r="DZ61" s="147"/>
      <c r="EA61" s="147"/>
      <c r="EB61" s="147"/>
      <c r="EC61" s="148"/>
      <c r="ED61" s="149"/>
      <c r="EE61" s="147"/>
      <c r="EF61" s="147"/>
      <c r="EG61" s="147"/>
      <c r="EH61" s="147"/>
      <c r="EI61" s="147"/>
      <c r="EJ61" s="148"/>
      <c r="EK61" s="149"/>
      <c r="EL61" s="147"/>
      <c r="EM61" s="147"/>
      <c r="EN61" s="147"/>
      <c r="EO61" s="147"/>
      <c r="EP61" s="147"/>
      <c r="EQ61" s="148"/>
      <c r="ER61" s="149"/>
      <c r="ES61" s="147"/>
      <c r="ET61" s="147"/>
      <c r="EU61" s="147"/>
      <c r="EV61" s="147"/>
      <c r="EW61" s="147"/>
      <c r="EX61" s="148"/>
      <c r="EY61" s="149"/>
      <c r="EZ61" s="147"/>
      <c r="FA61" s="147"/>
      <c r="FB61" s="147"/>
      <c r="FC61" s="147"/>
      <c r="FD61" s="147"/>
      <c r="FE61" s="148"/>
      <c r="FF61" s="149"/>
      <c r="FG61" s="147"/>
      <c r="FH61" s="147"/>
      <c r="FI61" s="147"/>
      <c r="FJ61" s="147"/>
      <c r="FK61" s="147"/>
      <c r="FL61" s="148"/>
      <c r="FM61" s="149"/>
      <c r="FN61" s="147"/>
      <c r="FO61" s="147"/>
      <c r="FP61" s="147"/>
      <c r="FQ61" s="147"/>
      <c r="FR61" s="147"/>
      <c r="FS61" s="148"/>
      <c r="FT61" s="149"/>
      <c r="FU61" s="147"/>
      <c r="FV61" s="147"/>
      <c r="FW61" s="147"/>
      <c r="FX61" s="147"/>
      <c r="FY61" s="147"/>
      <c r="FZ61" s="148"/>
      <c r="GA61" s="149"/>
      <c r="GB61" s="147"/>
      <c r="GC61" s="147"/>
      <c r="GD61" s="147"/>
      <c r="GE61" s="147"/>
      <c r="GF61" s="147"/>
      <c r="GG61" s="148"/>
      <c r="GH61" s="149"/>
      <c r="GI61" s="147"/>
      <c r="GJ61" s="147"/>
      <c r="GK61" s="147"/>
      <c r="GL61" s="147"/>
      <c r="GM61" s="147"/>
      <c r="GN61" s="148"/>
      <c r="GO61" s="149"/>
      <c r="GP61" s="147"/>
      <c r="GQ61" s="147"/>
      <c r="GR61" s="147"/>
      <c r="GS61" s="147"/>
      <c r="GT61" s="147"/>
      <c r="GU61" s="148"/>
      <c r="GV61" s="149"/>
      <c r="GW61" s="147"/>
      <c r="GX61" s="147"/>
      <c r="GY61" s="147"/>
      <c r="GZ61" s="147"/>
      <c r="HA61" s="147"/>
      <c r="HB61" s="148"/>
      <c r="HC61" s="149"/>
      <c r="HD61" s="147"/>
      <c r="HE61" s="147"/>
      <c r="HF61" s="147"/>
      <c r="HG61" s="147"/>
      <c r="HH61" s="147"/>
      <c r="HI61" s="148"/>
      <c r="HJ61" s="149"/>
      <c r="HK61" s="147"/>
      <c r="HL61" s="147"/>
      <c r="HM61" s="147"/>
      <c r="HN61" s="147"/>
      <c r="HO61" s="147"/>
      <c r="HP61" s="148"/>
      <c r="HQ61" s="149"/>
      <c r="HR61" s="147"/>
      <c r="HS61" s="147"/>
      <c r="HT61" s="147"/>
      <c r="HU61" s="147"/>
      <c r="HV61" s="147"/>
      <c r="HW61" s="148"/>
      <c r="HX61" s="149"/>
      <c r="HY61" s="147"/>
      <c r="HZ61" s="147"/>
      <c r="IA61" s="147"/>
      <c r="IB61" s="147"/>
      <c r="IC61" s="147"/>
      <c r="ID61" s="148"/>
      <c r="IE61" s="149"/>
      <c r="IF61" s="147"/>
      <c r="IG61" s="147"/>
      <c r="IH61" s="147"/>
      <c r="II61" s="147"/>
      <c r="IJ61" s="147"/>
      <c r="IK61" s="148"/>
      <c r="IL61" s="149"/>
      <c r="IM61" s="147"/>
      <c r="IN61" s="147"/>
      <c r="IO61" s="147"/>
      <c r="IP61" s="147"/>
      <c r="IQ61" s="147"/>
      <c r="IR61" s="148"/>
      <c r="IS61" s="149"/>
      <c r="IT61" s="147"/>
      <c r="IU61" s="147"/>
      <c r="IV61" s="147"/>
    </row>
    <row r="62" spans="1:256">
      <c r="A62" s="868" t="s">
        <v>483</v>
      </c>
      <c r="B62" s="869"/>
      <c r="C62" s="869"/>
      <c r="D62" s="869"/>
      <c r="E62" s="869"/>
      <c r="F62" s="869"/>
      <c r="G62" s="870"/>
      <c r="H62" s="149"/>
      <c r="I62" s="147"/>
      <c r="J62" s="147"/>
      <c r="K62" s="147"/>
      <c r="L62" s="147"/>
      <c r="M62" s="147"/>
      <c r="N62" s="148"/>
      <c r="O62" s="149"/>
      <c r="P62" s="147"/>
      <c r="Q62" s="147"/>
      <c r="R62" s="147"/>
      <c r="S62" s="147"/>
      <c r="T62" s="147"/>
      <c r="U62" s="148"/>
      <c r="V62" s="149"/>
      <c r="W62" s="147"/>
      <c r="X62" s="147"/>
      <c r="Y62" s="147"/>
      <c r="Z62" s="147"/>
      <c r="AA62" s="147"/>
      <c r="AB62" s="148"/>
      <c r="AC62" s="149"/>
      <c r="AD62" s="147"/>
      <c r="AE62" s="147"/>
      <c r="AF62" s="147"/>
      <c r="AG62" s="147"/>
      <c r="AH62" s="147"/>
      <c r="AI62" s="148"/>
      <c r="AJ62" s="149"/>
      <c r="AK62" s="147"/>
      <c r="AL62" s="147"/>
      <c r="AM62" s="147"/>
      <c r="AN62" s="147"/>
      <c r="AO62" s="147"/>
      <c r="AP62" s="148"/>
      <c r="AQ62" s="149"/>
      <c r="AR62" s="147"/>
      <c r="AS62" s="147"/>
      <c r="AT62" s="147"/>
      <c r="AU62" s="147"/>
      <c r="AV62" s="147"/>
      <c r="AW62" s="148"/>
      <c r="AX62" s="149"/>
      <c r="AY62" s="147"/>
      <c r="AZ62" s="147"/>
      <c r="BA62" s="147"/>
      <c r="BB62" s="147"/>
      <c r="BC62" s="147"/>
      <c r="BD62" s="148"/>
      <c r="BE62" s="149"/>
      <c r="BF62" s="147"/>
      <c r="BG62" s="147"/>
      <c r="BH62" s="147"/>
      <c r="BI62" s="147"/>
      <c r="BJ62" s="147"/>
      <c r="BK62" s="148"/>
      <c r="BL62" s="149"/>
      <c r="BM62" s="147"/>
      <c r="BN62" s="147"/>
      <c r="BO62" s="147"/>
      <c r="BP62" s="147"/>
      <c r="BQ62" s="147"/>
      <c r="BR62" s="148"/>
      <c r="BS62" s="149"/>
      <c r="BT62" s="147"/>
      <c r="BU62" s="147"/>
      <c r="BV62" s="147"/>
      <c r="BW62" s="147"/>
      <c r="BX62" s="147"/>
      <c r="BY62" s="148"/>
      <c r="BZ62" s="149"/>
      <c r="CA62" s="147"/>
      <c r="CB62" s="147"/>
      <c r="CC62" s="147"/>
      <c r="CD62" s="147"/>
      <c r="CE62" s="147"/>
      <c r="CF62" s="148"/>
      <c r="CG62" s="149"/>
      <c r="CH62" s="147"/>
      <c r="CI62" s="147"/>
      <c r="CJ62" s="147"/>
      <c r="CK62" s="147"/>
      <c r="CL62" s="147"/>
      <c r="CM62" s="148"/>
      <c r="CN62" s="149"/>
      <c r="CO62" s="147"/>
      <c r="CP62" s="147"/>
      <c r="CQ62" s="147"/>
      <c r="CR62" s="147"/>
      <c r="CS62" s="147"/>
      <c r="CT62" s="148"/>
      <c r="CU62" s="149"/>
      <c r="CV62" s="147"/>
      <c r="CW62" s="147"/>
      <c r="CX62" s="147"/>
      <c r="CY62" s="147"/>
      <c r="CZ62" s="147"/>
      <c r="DA62" s="148"/>
      <c r="DB62" s="149"/>
      <c r="DC62" s="147"/>
      <c r="DD62" s="147"/>
      <c r="DE62" s="147"/>
      <c r="DF62" s="147"/>
      <c r="DG62" s="147"/>
      <c r="DH62" s="148"/>
      <c r="DI62" s="149"/>
      <c r="DJ62" s="147"/>
      <c r="DK62" s="147"/>
      <c r="DL62" s="147"/>
      <c r="DM62" s="147"/>
      <c r="DN62" s="147"/>
      <c r="DO62" s="148"/>
      <c r="DP62" s="149"/>
      <c r="DQ62" s="147"/>
      <c r="DR62" s="147"/>
      <c r="DS62" s="147"/>
      <c r="DT62" s="147"/>
      <c r="DU62" s="147"/>
      <c r="DV62" s="148"/>
      <c r="DW62" s="149"/>
      <c r="DX62" s="147"/>
      <c r="DY62" s="147"/>
      <c r="DZ62" s="147"/>
      <c r="EA62" s="147"/>
      <c r="EB62" s="147"/>
      <c r="EC62" s="148"/>
      <c r="ED62" s="149"/>
      <c r="EE62" s="147"/>
      <c r="EF62" s="147"/>
      <c r="EG62" s="147"/>
      <c r="EH62" s="147"/>
      <c r="EI62" s="147"/>
      <c r="EJ62" s="148"/>
      <c r="EK62" s="149"/>
      <c r="EL62" s="147"/>
      <c r="EM62" s="147"/>
      <c r="EN62" s="147"/>
      <c r="EO62" s="147"/>
      <c r="EP62" s="147"/>
      <c r="EQ62" s="148"/>
      <c r="ER62" s="149"/>
      <c r="ES62" s="147"/>
      <c r="ET62" s="147"/>
      <c r="EU62" s="147"/>
      <c r="EV62" s="147"/>
      <c r="EW62" s="147"/>
      <c r="EX62" s="148"/>
      <c r="EY62" s="149"/>
      <c r="EZ62" s="147"/>
      <c r="FA62" s="147"/>
      <c r="FB62" s="147"/>
      <c r="FC62" s="147"/>
      <c r="FD62" s="147"/>
      <c r="FE62" s="148"/>
      <c r="FF62" s="149"/>
      <c r="FG62" s="147"/>
      <c r="FH62" s="147"/>
      <c r="FI62" s="147"/>
      <c r="FJ62" s="147"/>
      <c r="FK62" s="147"/>
      <c r="FL62" s="148"/>
      <c r="FM62" s="149"/>
      <c r="FN62" s="147"/>
      <c r="FO62" s="147"/>
      <c r="FP62" s="147"/>
      <c r="FQ62" s="147"/>
      <c r="FR62" s="147"/>
      <c r="FS62" s="148"/>
      <c r="FT62" s="149"/>
      <c r="FU62" s="147"/>
      <c r="FV62" s="147"/>
      <c r="FW62" s="147"/>
      <c r="FX62" s="147"/>
      <c r="FY62" s="147"/>
      <c r="FZ62" s="148"/>
      <c r="GA62" s="149"/>
      <c r="GB62" s="147"/>
      <c r="GC62" s="147"/>
      <c r="GD62" s="147"/>
      <c r="GE62" s="147"/>
      <c r="GF62" s="147"/>
      <c r="GG62" s="148"/>
      <c r="GH62" s="149"/>
      <c r="GI62" s="147"/>
      <c r="GJ62" s="147"/>
      <c r="GK62" s="147"/>
      <c r="GL62" s="147"/>
      <c r="GM62" s="147"/>
      <c r="GN62" s="148"/>
      <c r="GO62" s="149"/>
      <c r="GP62" s="147"/>
      <c r="GQ62" s="147"/>
      <c r="GR62" s="147"/>
      <c r="GS62" s="147"/>
      <c r="GT62" s="147"/>
      <c r="GU62" s="148"/>
      <c r="GV62" s="149"/>
      <c r="GW62" s="147"/>
      <c r="GX62" s="147"/>
      <c r="GY62" s="147"/>
      <c r="GZ62" s="147"/>
      <c r="HA62" s="147"/>
      <c r="HB62" s="148"/>
      <c r="HC62" s="149"/>
      <c r="HD62" s="147"/>
      <c r="HE62" s="147"/>
      <c r="HF62" s="147"/>
      <c r="HG62" s="147"/>
      <c r="HH62" s="147"/>
      <c r="HI62" s="148"/>
      <c r="HJ62" s="149"/>
      <c r="HK62" s="147"/>
      <c r="HL62" s="147"/>
      <c r="HM62" s="147"/>
      <c r="HN62" s="147"/>
      <c r="HO62" s="147"/>
      <c r="HP62" s="148"/>
      <c r="HQ62" s="149"/>
      <c r="HR62" s="147"/>
      <c r="HS62" s="147"/>
      <c r="HT62" s="147"/>
      <c r="HU62" s="147"/>
      <c r="HV62" s="147"/>
      <c r="HW62" s="148"/>
      <c r="HX62" s="149"/>
      <c r="HY62" s="147"/>
      <c r="HZ62" s="147"/>
      <c r="IA62" s="147"/>
      <c r="IB62" s="147"/>
      <c r="IC62" s="147"/>
      <c r="ID62" s="148"/>
      <c r="IE62" s="149"/>
      <c r="IF62" s="147"/>
      <c r="IG62" s="147"/>
      <c r="IH62" s="147"/>
      <c r="II62" s="147"/>
      <c r="IJ62" s="147"/>
      <c r="IK62" s="148"/>
      <c r="IL62" s="149"/>
      <c r="IM62" s="147"/>
      <c r="IN62" s="147"/>
      <c r="IO62" s="147"/>
      <c r="IP62" s="147"/>
      <c r="IQ62" s="147"/>
      <c r="IR62" s="148"/>
      <c r="IS62" s="149"/>
      <c r="IT62" s="147"/>
      <c r="IU62" s="147"/>
      <c r="IV62" s="147"/>
    </row>
    <row r="63" spans="1:256">
      <c r="A63" s="868"/>
      <c r="B63" s="869"/>
      <c r="C63" s="869"/>
      <c r="D63" s="869"/>
      <c r="E63" s="869"/>
      <c r="F63" s="869"/>
      <c r="G63" s="870"/>
      <c r="H63" s="149"/>
      <c r="I63" s="147"/>
      <c r="J63" s="147"/>
      <c r="K63" s="147"/>
      <c r="L63" s="147"/>
      <c r="M63" s="147"/>
      <c r="N63" s="148"/>
      <c r="O63" s="149"/>
      <c r="P63" s="147"/>
      <c r="Q63" s="147"/>
      <c r="R63" s="147"/>
      <c r="S63" s="147"/>
      <c r="T63" s="147"/>
      <c r="U63" s="148"/>
      <c r="V63" s="149"/>
      <c r="W63" s="147"/>
      <c r="X63" s="147"/>
      <c r="Y63" s="147"/>
      <c r="Z63" s="147"/>
      <c r="AA63" s="147"/>
      <c r="AB63" s="148"/>
      <c r="AC63" s="149"/>
      <c r="AD63" s="147"/>
      <c r="AE63" s="147"/>
      <c r="AF63" s="147"/>
      <c r="AG63" s="147"/>
      <c r="AH63" s="147"/>
      <c r="AI63" s="148"/>
      <c r="AJ63" s="149"/>
      <c r="AK63" s="147"/>
      <c r="AL63" s="147"/>
      <c r="AM63" s="147"/>
      <c r="AN63" s="147"/>
      <c r="AO63" s="147"/>
      <c r="AP63" s="148"/>
      <c r="AQ63" s="149"/>
      <c r="AR63" s="147"/>
      <c r="AS63" s="147"/>
      <c r="AT63" s="147"/>
      <c r="AU63" s="147"/>
      <c r="AV63" s="147"/>
      <c r="AW63" s="148"/>
      <c r="AX63" s="149"/>
      <c r="AY63" s="147"/>
      <c r="AZ63" s="147"/>
      <c r="BA63" s="147"/>
      <c r="BB63" s="147"/>
      <c r="BC63" s="147"/>
      <c r="BD63" s="148"/>
      <c r="BE63" s="149"/>
      <c r="BF63" s="147"/>
      <c r="BG63" s="147"/>
      <c r="BH63" s="147"/>
      <c r="BI63" s="147"/>
      <c r="BJ63" s="147"/>
      <c r="BK63" s="148"/>
      <c r="BL63" s="149"/>
      <c r="BM63" s="147"/>
      <c r="BN63" s="147"/>
      <c r="BO63" s="147"/>
      <c r="BP63" s="147"/>
      <c r="BQ63" s="147"/>
      <c r="BR63" s="148"/>
      <c r="BS63" s="149"/>
      <c r="BT63" s="147"/>
      <c r="BU63" s="147"/>
      <c r="BV63" s="147"/>
      <c r="BW63" s="147"/>
      <c r="BX63" s="147"/>
      <c r="BY63" s="148"/>
      <c r="BZ63" s="149"/>
      <c r="CA63" s="147"/>
      <c r="CB63" s="147"/>
      <c r="CC63" s="147"/>
      <c r="CD63" s="147"/>
      <c r="CE63" s="147"/>
      <c r="CF63" s="148"/>
      <c r="CG63" s="149"/>
      <c r="CH63" s="147"/>
      <c r="CI63" s="147"/>
      <c r="CJ63" s="147"/>
      <c r="CK63" s="147"/>
      <c r="CL63" s="147"/>
      <c r="CM63" s="148"/>
      <c r="CN63" s="149"/>
      <c r="CO63" s="147"/>
      <c r="CP63" s="147"/>
      <c r="CQ63" s="147"/>
      <c r="CR63" s="147"/>
      <c r="CS63" s="147"/>
      <c r="CT63" s="148"/>
      <c r="CU63" s="149"/>
      <c r="CV63" s="147"/>
      <c r="CW63" s="147"/>
      <c r="CX63" s="147"/>
      <c r="CY63" s="147"/>
      <c r="CZ63" s="147"/>
      <c r="DA63" s="148"/>
      <c r="DB63" s="149"/>
      <c r="DC63" s="147"/>
      <c r="DD63" s="147"/>
      <c r="DE63" s="147"/>
      <c r="DF63" s="147"/>
      <c r="DG63" s="147"/>
      <c r="DH63" s="148"/>
      <c r="DI63" s="149"/>
      <c r="DJ63" s="147"/>
      <c r="DK63" s="147"/>
      <c r="DL63" s="147"/>
      <c r="DM63" s="147"/>
      <c r="DN63" s="147"/>
      <c r="DO63" s="148"/>
      <c r="DP63" s="149"/>
      <c r="DQ63" s="147"/>
      <c r="DR63" s="147"/>
      <c r="DS63" s="147"/>
      <c r="DT63" s="147"/>
      <c r="DU63" s="147"/>
      <c r="DV63" s="148"/>
      <c r="DW63" s="149"/>
      <c r="DX63" s="147"/>
      <c r="DY63" s="147"/>
      <c r="DZ63" s="147"/>
      <c r="EA63" s="147"/>
      <c r="EB63" s="147"/>
      <c r="EC63" s="148"/>
      <c r="ED63" s="149"/>
      <c r="EE63" s="147"/>
      <c r="EF63" s="147"/>
      <c r="EG63" s="147"/>
      <c r="EH63" s="147"/>
      <c r="EI63" s="147"/>
      <c r="EJ63" s="148"/>
      <c r="EK63" s="149"/>
      <c r="EL63" s="147"/>
      <c r="EM63" s="147"/>
      <c r="EN63" s="147"/>
      <c r="EO63" s="147"/>
      <c r="EP63" s="147"/>
      <c r="EQ63" s="148"/>
      <c r="ER63" s="149"/>
      <c r="ES63" s="147"/>
      <c r="ET63" s="147"/>
      <c r="EU63" s="147"/>
      <c r="EV63" s="147"/>
      <c r="EW63" s="147"/>
      <c r="EX63" s="148"/>
      <c r="EY63" s="149"/>
      <c r="EZ63" s="147"/>
      <c r="FA63" s="147"/>
      <c r="FB63" s="147"/>
      <c r="FC63" s="147"/>
      <c r="FD63" s="147"/>
      <c r="FE63" s="148"/>
      <c r="FF63" s="149"/>
      <c r="FG63" s="147"/>
      <c r="FH63" s="147"/>
      <c r="FI63" s="147"/>
      <c r="FJ63" s="147"/>
      <c r="FK63" s="147"/>
      <c r="FL63" s="148"/>
      <c r="FM63" s="149"/>
      <c r="FN63" s="147"/>
      <c r="FO63" s="147"/>
      <c r="FP63" s="147"/>
      <c r="FQ63" s="147"/>
      <c r="FR63" s="147"/>
      <c r="FS63" s="148"/>
      <c r="FT63" s="149"/>
      <c r="FU63" s="147"/>
      <c r="FV63" s="147"/>
      <c r="FW63" s="147"/>
      <c r="FX63" s="147"/>
      <c r="FY63" s="147"/>
      <c r="FZ63" s="148"/>
      <c r="GA63" s="149"/>
      <c r="GB63" s="147"/>
      <c r="GC63" s="147"/>
      <c r="GD63" s="147"/>
      <c r="GE63" s="147"/>
      <c r="GF63" s="147"/>
      <c r="GG63" s="148"/>
      <c r="GH63" s="149"/>
      <c r="GI63" s="147"/>
      <c r="GJ63" s="147"/>
      <c r="GK63" s="147"/>
      <c r="GL63" s="147"/>
      <c r="GM63" s="147"/>
      <c r="GN63" s="148"/>
      <c r="GO63" s="149"/>
      <c r="GP63" s="147"/>
      <c r="GQ63" s="147"/>
      <c r="GR63" s="147"/>
      <c r="GS63" s="147"/>
      <c r="GT63" s="147"/>
      <c r="GU63" s="148"/>
      <c r="GV63" s="149"/>
      <c r="GW63" s="147"/>
      <c r="GX63" s="147"/>
      <c r="GY63" s="147"/>
      <c r="GZ63" s="147"/>
      <c r="HA63" s="147"/>
      <c r="HB63" s="148"/>
      <c r="HC63" s="149"/>
      <c r="HD63" s="147"/>
      <c r="HE63" s="147"/>
      <c r="HF63" s="147"/>
      <c r="HG63" s="147"/>
      <c r="HH63" s="147"/>
      <c r="HI63" s="148"/>
      <c r="HJ63" s="149"/>
      <c r="HK63" s="147"/>
      <c r="HL63" s="147"/>
      <c r="HM63" s="147"/>
      <c r="HN63" s="147"/>
      <c r="HO63" s="147"/>
      <c r="HP63" s="148"/>
      <c r="HQ63" s="149"/>
      <c r="HR63" s="147"/>
      <c r="HS63" s="147"/>
      <c r="HT63" s="147"/>
      <c r="HU63" s="147"/>
      <c r="HV63" s="147"/>
      <c r="HW63" s="148"/>
      <c r="HX63" s="149"/>
      <c r="HY63" s="147"/>
      <c r="HZ63" s="147"/>
      <c r="IA63" s="147"/>
      <c r="IB63" s="147"/>
      <c r="IC63" s="147"/>
      <c r="ID63" s="148"/>
      <c r="IE63" s="149"/>
      <c r="IF63" s="147"/>
      <c r="IG63" s="147"/>
      <c r="IH63" s="147"/>
      <c r="II63" s="147"/>
      <c r="IJ63" s="147"/>
      <c r="IK63" s="148"/>
      <c r="IL63" s="149"/>
      <c r="IM63" s="147"/>
      <c r="IN63" s="147"/>
      <c r="IO63" s="147"/>
      <c r="IP63" s="147"/>
      <c r="IQ63" s="147"/>
      <c r="IR63" s="148"/>
      <c r="IS63" s="149"/>
      <c r="IT63" s="147"/>
      <c r="IU63" s="147"/>
      <c r="IV63" s="147"/>
    </row>
    <row r="64" spans="1:256">
      <c r="A64" s="868"/>
      <c r="B64" s="869"/>
      <c r="C64" s="869"/>
      <c r="D64" s="869"/>
      <c r="E64" s="869"/>
      <c r="F64" s="869"/>
      <c r="G64" s="870"/>
      <c r="H64" s="149"/>
      <c r="I64" s="147"/>
      <c r="J64" s="147"/>
      <c r="K64" s="147"/>
      <c r="L64" s="147"/>
      <c r="M64" s="147"/>
      <c r="N64" s="148"/>
      <c r="O64" s="149"/>
      <c r="P64" s="147"/>
      <c r="Q64" s="147"/>
      <c r="R64" s="147"/>
      <c r="S64" s="147"/>
      <c r="T64" s="147"/>
      <c r="U64" s="148"/>
      <c r="V64" s="149"/>
      <c r="W64" s="147"/>
      <c r="X64" s="147"/>
      <c r="Y64" s="147"/>
      <c r="Z64" s="147"/>
      <c r="AA64" s="147"/>
      <c r="AB64" s="148"/>
      <c r="AC64" s="149"/>
      <c r="AD64" s="147"/>
      <c r="AE64" s="147"/>
      <c r="AF64" s="147"/>
      <c r="AG64" s="147"/>
      <c r="AH64" s="147"/>
      <c r="AI64" s="148"/>
      <c r="AJ64" s="149"/>
      <c r="AK64" s="147"/>
      <c r="AL64" s="147"/>
      <c r="AM64" s="147"/>
      <c r="AN64" s="147"/>
      <c r="AO64" s="147"/>
      <c r="AP64" s="148"/>
      <c r="AQ64" s="149"/>
      <c r="AR64" s="147"/>
      <c r="AS64" s="147"/>
      <c r="AT64" s="147"/>
      <c r="AU64" s="147"/>
      <c r="AV64" s="147"/>
      <c r="AW64" s="148"/>
      <c r="AX64" s="149"/>
      <c r="AY64" s="147"/>
      <c r="AZ64" s="147"/>
      <c r="BA64" s="147"/>
      <c r="BB64" s="147"/>
      <c r="BC64" s="147"/>
      <c r="BD64" s="148"/>
      <c r="BE64" s="149"/>
      <c r="BF64" s="147"/>
      <c r="BG64" s="147"/>
      <c r="BH64" s="147"/>
      <c r="BI64" s="147"/>
      <c r="BJ64" s="147"/>
      <c r="BK64" s="148"/>
      <c r="BL64" s="149"/>
      <c r="BM64" s="147"/>
      <c r="BN64" s="147"/>
      <c r="BO64" s="147"/>
      <c r="BP64" s="147"/>
      <c r="BQ64" s="147"/>
      <c r="BR64" s="148"/>
      <c r="BS64" s="149"/>
      <c r="BT64" s="147"/>
      <c r="BU64" s="147"/>
      <c r="BV64" s="147"/>
      <c r="BW64" s="147"/>
      <c r="BX64" s="147"/>
      <c r="BY64" s="148"/>
      <c r="BZ64" s="149"/>
      <c r="CA64" s="147"/>
      <c r="CB64" s="147"/>
      <c r="CC64" s="147"/>
      <c r="CD64" s="147"/>
      <c r="CE64" s="147"/>
      <c r="CF64" s="148"/>
      <c r="CG64" s="149"/>
      <c r="CH64" s="147"/>
      <c r="CI64" s="147"/>
      <c r="CJ64" s="147"/>
      <c r="CK64" s="147"/>
      <c r="CL64" s="147"/>
      <c r="CM64" s="148"/>
      <c r="CN64" s="149"/>
      <c r="CO64" s="147"/>
      <c r="CP64" s="147"/>
      <c r="CQ64" s="147"/>
      <c r="CR64" s="147"/>
      <c r="CS64" s="147"/>
      <c r="CT64" s="148"/>
      <c r="CU64" s="149"/>
      <c r="CV64" s="147"/>
      <c r="CW64" s="147"/>
      <c r="CX64" s="147"/>
      <c r="CY64" s="147"/>
      <c r="CZ64" s="147"/>
      <c r="DA64" s="148"/>
      <c r="DB64" s="149"/>
      <c r="DC64" s="147"/>
      <c r="DD64" s="147"/>
      <c r="DE64" s="147"/>
      <c r="DF64" s="147"/>
      <c r="DG64" s="147"/>
      <c r="DH64" s="148"/>
      <c r="DI64" s="149"/>
      <c r="DJ64" s="147"/>
      <c r="DK64" s="147"/>
      <c r="DL64" s="147"/>
      <c r="DM64" s="147"/>
      <c r="DN64" s="147"/>
      <c r="DO64" s="148"/>
      <c r="DP64" s="149"/>
      <c r="DQ64" s="147"/>
      <c r="DR64" s="147"/>
      <c r="DS64" s="147"/>
      <c r="DT64" s="147"/>
      <c r="DU64" s="147"/>
      <c r="DV64" s="148"/>
      <c r="DW64" s="149"/>
      <c r="DX64" s="147"/>
      <c r="DY64" s="147"/>
      <c r="DZ64" s="147"/>
      <c r="EA64" s="147"/>
      <c r="EB64" s="147"/>
      <c r="EC64" s="148"/>
      <c r="ED64" s="149"/>
      <c r="EE64" s="147"/>
      <c r="EF64" s="147"/>
      <c r="EG64" s="147"/>
      <c r="EH64" s="147"/>
      <c r="EI64" s="147"/>
      <c r="EJ64" s="148"/>
      <c r="EK64" s="149"/>
      <c r="EL64" s="147"/>
      <c r="EM64" s="147"/>
      <c r="EN64" s="147"/>
      <c r="EO64" s="147"/>
      <c r="EP64" s="147"/>
      <c r="EQ64" s="148"/>
      <c r="ER64" s="149"/>
      <c r="ES64" s="147"/>
      <c r="ET64" s="147"/>
      <c r="EU64" s="147"/>
      <c r="EV64" s="147"/>
      <c r="EW64" s="147"/>
      <c r="EX64" s="148"/>
      <c r="EY64" s="149"/>
      <c r="EZ64" s="147"/>
      <c r="FA64" s="147"/>
      <c r="FB64" s="147"/>
      <c r="FC64" s="147"/>
      <c r="FD64" s="147"/>
      <c r="FE64" s="148"/>
      <c r="FF64" s="149"/>
      <c r="FG64" s="147"/>
      <c r="FH64" s="147"/>
      <c r="FI64" s="147"/>
      <c r="FJ64" s="147"/>
      <c r="FK64" s="147"/>
      <c r="FL64" s="148"/>
      <c r="FM64" s="149"/>
      <c r="FN64" s="147"/>
      <c r="FO64" s="147"/>
      <c r="FP64" s="147"/>
      <c r="FQ64" s="147"/>
      <c r="FR64" s="147"/>
      <c r="FS64" s="148"/>
      <c r="FT64" s="149"/>
      <c r="FU64" s="147"/>
      <c r="FV64" s="147"/>
      <c r="FW64" s="147"/>
      <c r="FX64" s="147"/>
      <c r="FY64" s="147"/>
      <c r="FZ64" s="148"/>
      <c r="GA64" s="149"/>
      <c r="GB64" s="147"/>
      <c r="GC64" s="147"/>
      <c r="GD64" s="147"/>
      <c r="GE64" s="147"/>
      <c r="GF64" s="147"/>
      <c r="GG64" s="148"/>
      <c r="GH64" s="149"/>
      <c r="GI64" s="147"/>
      <c r="GJ64" s="147"/>
      <c r="GK64" s="147"/>
      <c r="GL64" s="147"/>
      <c r="GM64" s="147"/>
      <c r="GN64" s="148"/>
      <c r="GO64" s="149"/>
      <c r="GP64" s="147"/>
      <c r="GQ64" s="147"/>
      <c r="GR64" s="147"/>
      <c r="GS64" s="147"/>
      <c r="GT64" s="147"/>
      <c r="GU64" s="148"/>
      <c r="GV64" s="149"/>
      <c r="GW64" s="147"/>
      <c r="GX64" s="147"/>
      <c r="GY64" s="147"/>
      <c r="GZ64" s="147"/>
      <c r="HA64" s="147"/>
      <c r="HB64" s="148"/>
      <c r="HC64" s="149"/>
      <c r="HD64" s="147"/>
      <c r="HE64" s="147"/>
      <c r="HF64" s="147"/>
      <c r="HG64" s="147"/>
      <c r="HH64" s="147"/>
      <c r="HI64" s="148"/>
      <c r="HJ64" s="149"/>
      <c r="HK64" s="147"/>
      <c r="HL64" s="147"/>
      <c r="HM64" s="147"/>
      <c r="HN64" s="147"/>
      <c r="HO64" s="147"/>
      <c r="HP64" s="148"/>
      <c r="HQ64" s="149"/>
      <c r="HR64" s="147"/>
      <c r="HS64" s="147"/>
      <c r="HT64" s="147"/>
      <c r="HU64" s="147"/>
      <c r="HV64" s="147"/>
      <c r="HW64" s="148"/>
      <c r="HX64" s="149"/>
      <c r="HY64" s="147"/>
      <c r="HZ64" s="147"/>
      <c r="IA64" s="147"/>
      <c r="IB64" s="147"/>
      <c r="IC64" s="147"/>
      <c r="ID64" s="148"/>
      <c r="IE64" s="149"/>
      <c r="IF64" s="147"/>
      <c r="IG64" s="147"/>
      <c r="IH64" s="147"/>
      <c r="II64" s="147"/>
      <c r="IJ64" s="147"/>
      <c r="IK64" s="148"/>
      <c r="IL64" s="149"/>
      <c r="IM64" s="147"/>
      <c r="IN64" s="147"/>
      <c r="IO64" s="147"/>
      <c r="IP64" s="147"/>
      <c r="IQ64" s="147"/>
      <c r="IR64" s="148"/>
      <c r="IS64" s="149"/>
      <c r="IT64" s="147"/>
      <c r="IU64" s="147"/>
      <c r="IV64" s="147"/>
    </row>
    <row r="65" spans="1:256" ht="15.75">
      <c r="A65" s="179" t="s">
        <v>44</v>
      </c>
      <c r="B65" s="147"/>
      <c r="C65" s="147"/>
      <c r="D65" s="147"/>
      <c r="E65" s="147"/>
      <c r="F65" s="147"/>
      <c r="G65" s="148"/>
      <c r="H65" s="149"/>
      <c r="I65" s="147"/>
      <c r="J65" s="147"/>
      <c r="K65" s="147"/>
      <c r="L65" s="147"/>
      <c r="M65" s="147"/>
      <c r="N65" s="148"/>
      <c r="O65" s="149"/>
      <c r="P65" s="147"/>
      <c r="Q65" s="147"/>
      <c r="R65" s="147"/>
      <c r="S65" s="147"/>
      <c r="T65" s="147"/>
      <c r="U65" s="148"/>
      <c r="V65" s="149"/>
      <c r="W65" s="147"/>
      <c r="X65" s="147"/>
      <c r="Y65" s="147"/>
      <c r="Z65" s="147"/>
      <c r="AA65" s="147"/>
      <c r="AB65" s="148"/>
      <c r="AC65" s="149"/>
      <c r="AD65" s="147"/>
      <c r="AE65" s="147"/>
      <c r="AF65" s="147"/>
      <c r="AG65" s="147"/>
      <c r="AH65" s="147"/>
      <c r="AI65" s="148"/>
      <c r="AJ65" s="149"/>
      <c r="AK65" s="147"/>
      <c r="AL65" s="147"/>
      <c r="AM65" s="147"/>
      <c r="AN65" s="147"/>
      <c r="AO65" s="147"/>
      <c r="AP65" s="148"/>
      <c r="AQ65" s="149"/>
      <c r="AR65" s="147"/>
      <c r="AS65" s="147"/>
      <c r="AT65" s="147"/>
      <c r="AU65" s="147"/>
      <c r="AV65" s="147"/>
      <c r="AW65" s="148"/>
      <c r="AX65" s="149"/>
      <c r="AY65" s="147"/>
      <c r="AZ65" s="147"/>
      <c r="BA65" s="147"/>
      <c r="BB65" s="147"/>
      <c r="BC65" s="147"/>
      <c r="BD65" s="148"/>
      <c r="BE65" s="149"/>
      <c r="BF65" s="147"/>
      <c r="BG65" s="147"/>
      <c r="BH65" s="147"/>
      <c r="BI65" s="147"/>
      <c r="BJ65" s="147"/>
      <c r="BK65" s="148"/>
      <c r="BL65" s="149"/>
      <c r="BM65" s="147"/>
      <c r="BN65" s="147"/>
      <c r="BO65" s="147"/>
      <c r="BP65" s="147"/>
      <c r="BQ65" s="147"/>
      <c r="BR65" s="148"/>
      <c r="BS65" s="149"/>
      <c r="BT65" s="147"/>
      <c r="BU65" s="147"/>
      <c r="BV65" s="147"/>
      <c r="BW65" s="147"/>
      <c r="BX65" s="147"/>
      <c r="BY65" s="148"/>
      <c r="BZ65" s="149"/>
      <c r="CA65" s="147"/>
      <c r="CB65" s="147"/>
      <c r="CC65" s="147"/>
      <c r="CD65" s="147"/>
      <c r="CE65" s="147"/>
      <c r="CF65" s="148"/>
      <c r="CG65" s="149"/>
      <c r="CH65" s="147"/>
      <c r="CI65" s="147"/>
      <c r="CJ65" s="147"/>
      <c r="CK65" s="147"/>
      <c r="CL65" s="147"/>
      <c r="CM65" s="148"/>
      <c r="CN65" s="149"/>
      <c r="CO65" s="147"/>
      <c r="CP65" s="147"/>
      <c r="CQ65" s="147"/>
      <c r="CR65" s="147"/>
      <c r="CS65" s="147"/>
      <c r="CT65" s="148"/>
      <c r="CU65" s="149"/>
      <c r="CV65" s="147"/>
      <c r="CW65" s="147"/>
      <c r="CX65" s="147"/>
      <c r="CY65" s="147"/>
      <c r="CZ65" s="147"/>
      <c r="DA65" s="148"/>
      <c r="DB65" s="149"/>
      <c r="DC65" s="147"/>
      <c r="DD65" s="147"/>
      <c r="DE65" s="147"/>
      <c r="DF65" s="147"/>
      <c r="DG65" s="147"/>
      <c r="DH65" s="148"/>
      <c r="DI65" s="149"/>
      <c r="DJ65" s="147"/>
      <c r="DK65" s="147"/>
      <c r="DL65" s="147"/>
      <c r="DM65" s="147"/>
      <c r="DN65" s="147"/>
      <c r="DO65" s="148"/>
      <c r="DP65" s="149"/>
      <c r="DQ65" s="147"/>
      <c r="DR65" s="147"/>
      <c r="DS65" s="147"/>
      <c r="DT65" s="147"/>
      <c r="DU65" s="147"/>
      <c r="DV65" s="148"/>
      <c r="DW65" s="149"/>
      <c r="DX65" s="147"/>
      <c r="DY65" s="147"/>
      <c r="DZ65" s="147"/>
      <c r="EA65" s="147"/>
      <c r="EB65" s="147"/>
      <c r="EC65" s="148"/>
      <c r="ED65" s="149"/>
      <c r="EE65" s="147"/>
      <c r="EF65" s="147"/>
      <c r="EG65" s="147"/>
      <c r="EH65" s="147"/>
      <c r="EI65" s="147"/>
      <c r="EJ65" s="148"/>
      <c r="EK65" s="149"/>
      <c r="EL65" s="147"/>
      <c r="EM65" s="147"/>
      <c r="EN65" s="147"/>
      <c r="EO65" s="147"/>
      <c r="EP65" s="147"/>
      <c r="EQ65" s="148"/>
      <c r="ER65" s="149"/>
      <c r="ES65" s="147"/>
      <c r="ET65" s="147"/>
      <c r="EU65" s="147"/>
      <c r="EV65" s="147"/>
      <c r="EW65" s="147"/>
      <c r="EX65" s="148"/>
      <c r="EY65" s="149"/>
      <c r="EZ65" s="147"/>
      <c r="FA65" s="147"/>
      <c r="FB65" s="147"/>
      <c r="FC65" s="147"/>
      <c r="FD65" s="147"/>
      <c r="FE65" s="148"/>
      <c r="FF65" s="149"/>
      <c r="FG65" s="147"/>
      <c r="FH65" s="147"/>
      <c r="FI65" s="147"/>
      <c r="FJ65" s="147"/>
      <c r="FK65" s="147"/>
      <c r="FL65" s="148"/>
      <c r="FM65" s="149"/>
      <c r="FN65" s="147"/>
      <c r="FO65" s="147"/>
      <c r="FP65" s="147"/>
      <c r="FQ65" s="147"/>
      <c r="FR65" s="147"/>
      <c r="FS65" s="148"/>
      <c r="FT65" s="149"/>
      <c r="FU65" s="147"/>
      <c r="FV65" s="147"/>
      <c r="FW65" s="147"/>
      <c r="FX65" s="147"/>
      <c r="FY65" s="147"/>
      <c r="FZ65" s="148"/>
      <c r="GA65" s="149"/>
      <c r="GB65" s="147"/>
      <c r="GC65" s="147"/>
      <c r="GD65" s="147"/>
      <c r="GE65" s="147"/>
      <c r="GF65" s="147"/>
      <c r="GG65" s="148"/>
      <c r="GH65" s="149"/>
      <c r="GI65" s="147"/>
      <c r="GJ65" s="147"/>
      <c r="GK65" s="147"/>
      <c r="GL65" s="147"/>
      <c r="GM65" s="147"/>
      <c r="GN65" s="148"/>
      <c r="GO65" s="149"/>
      <c r="GP65" s="147"/>
      <c r="GQ65" s="147"/>
      <c r="GR65" s="147"/>
      <c r="GS65" s="147"/>
      <c r="GT65" s="147"/>
      <c r="GU65" s="148"/>
      <c r="GV65" s="149"/>
      <c r="GW65" s="147"/>
      <c r="GX65" s="147"/>
      <c r="GY65" s="147"/>
      <c r="GZ65" s="147"/>
      <c r="HA65" s="147"/>
      <c r="HB65" s="148"/>
      <c r="HC65" s="149"/>
      <c r="HD65" s="147"/>
      <c r="HE65" s="147"/>
      <c r="HF65" s="147"/>
      <c r="HG65" s="147"/>
      <c r="HH65" s="147"/>
      <c r="HI65" s="148"/>
      <c r="HJ65" s="149"/>
      <c r="HK65" s="147"/>
      <c r="HL65" s="147"/>
      <c r="HM65" s="147"/>
      <c r="HN65" s="147"/>
      <c r="HO65" s="147"/>
      <c r="HP65" s="148"/>
      <c r="HQ65" s="149"/>
      <c r="HR65" s="147"/>
      <c r="HS65" s="147"/>
      <c r="HT65" s="147"/>
      <c r="HU65" s="147"/>
      <c r="HV65" s="147"/>
      <c r="HW65" s="148"/>
      <c r="HX65" s="149"/>
      <c r="HY65" s="147"/>
      <c r="HZ65" s="147"/>
      <c r="IA65" s="147"/>
      <c r="IB65" s="147"/>
      <c r="IC65" s="147"/>
      <c r="ID65" s="148"/>
      <c r="IE65" s="149"/>
      <c r="IF65" s="147"/>
      <c r="IG65" s="147"/>
      <c r="IH65" s="147"/>
      <c r="II65" s="147"/>
      <c r="IJ65" s="147"/>
      <c r="IK65" s="148"/>
      <c r="IL65" s="149"/>
      <c r="IM65" s="147"/>
      <c r="IN65" s="147"/>
      <c r="IO65" s="147"/>
      <c r="IP65" s="147"/>
      <c r="IQ65" s="147"/>
      <c r="IR65" s="148"/>
      <c r="IS65" s="149"/>
      <c r="IT65" s="147"/>
      <c r="IU65" s="147"/>
      <c r="IV65" s="147"/>
    </row>
    <row r="66" spans="1:256">
      <c r="A66" s="149"/>
      <c r="B66" s="147"/>
      <c r="C66" s="147"/>
      <c r="D66" s="147"/>
      <c r="E66" s="147"/>
      <c r="F66" s="147"/>
      <c r="G66" s="148"/>
      <c r="H66" s="149"/>
      <c r="I66" s="147"/>
      <c r="J66" s="147"/>
      <c r="K66" s="147"/>
      <c r="L66" s="147"/>
      <c r="M66" s="147"/>
      <c r="N66" s="148"/>
      <c r="O66" s="149"/>
      <c r="P66" s="147"/>
      <c r="Q66" s="147"/>
      <c r="R66" s="147"/>
      <c r="S66" s="147"/>
      <c r="T66" s="147"/>
      <c r="U66" s="148"/>
      <c r="V66" s="149"/>
      <c r="W66" s="147"/>
      <c r="X66" s="147"/>
      <c r="Y66" s="147"/>
      <c r="Z66" s="147"/>
      <c r="AA66" s="147"/>
      <c r="AB66" s="148"/>
      <c r="AC66" s="149"/>
      <c r="AD66" s="147"/>
      <c r="AE66" s="147"/>
      <c r="AF66" s="147"/>
      <c r="AG66" s="147"/>
      <c r="AH66" s="147"/>
      <c r="AI66" s="148"/>
      <c r="AJ66" s="149"/>
      <c r="AK66" s="147"/>
      <c r="AL66" s="147"/>
      <c r="AM66" s="147"/>
      <c r="AN66" s="147"/>
      <c r="AO66" s="147"/>
      <c r="AP66" s="148"/>
      <c r="AQ66" s="149"/>
      <c r="AR66" s="147"/>
      <c r="AS66" s="147"/>
      <c r="AT66" s="147"/>
      <c r="AU66" s="147"/>
      <c r="AV66" s="147"/>
      <c r="AW66" s="148"/>
      <c r="AX66" s="149"/>
      <c r="AY66" s="147"/>
      <c r="AZ66" s="147"/>
      <c r="BA66" s="147"/>
      <c r="BB66" s="147"/>
      <c r="BC66" s="147"/>
      <c r="BD66" s="148"/>
      <c r="BE66" s="149"/>
      <c r="BF66" s="147"/>
      <c r="BG66" s="147"/>
      <c r="BH66" s="147"/>
      <c r="BI66" s="147"/>
      <c r="BJ66" s="147"/>
      <c r="BK66" s="148"/>
      <c r="BL66" s="149"/>
      <c r="BM66" s="147"/>
      <c r="BN66" s="147"/>
      <c r="BO66" s="147"/>
      <c r="BP66" s="147"/>
      <c r="BQ66" s="147"/>
      <c r="BR66" s="148"/>
      <c r="BS66" s="149"/>
      <c r="BT66" s="147"/>
      <c r="BU66" s="147"/>
      <c r="BV66" s="147"/>
      <c r="BW66" s="147"/>
      <c r="BX66" s="147"/>
      <c r="BY66" s="148"/>
      <c r="BZ66" s="149"/>
      <c r="CA66" s="147"/>
      <c r="CB66" s="147"/>
      <c r="CC66" s="147"/>
      <c r="CD66" s="147"/>
      <c r="CE66" s="147"/>
      <c r="CF66" s="148"/>
      <c r="CG66" s="149"/>
      <c r="CH66" s="147"/>
      <c r="CI66" s="147"/>
      <c r="CJ66" s="147"/>
      <c r="CK66" s="147"/>
      <c r="CL66" s="147"/>
      <c r="CM66" s="148"/>
      <c r="CN66" s="149"/>
      <c r="CO66" s="147"/>
      <c r="CP66" s="147"/>
      <c r="CQ66" s="147"/>
      <c r="CR66" s="147"/>
      <c r="CS66" s="147"/>
      <c r="CT66" s="148"/>
      <c r="CU66" s="149"/>
      <c r="CV66" s="147"/>
      <c r="CW66" s="147"/>
      <c r="CX66" s="147"/>
      <c r="CY66" s="147"/>
      <c r="CZ66" s="147"/>
      <c r="DA66" s="148"/>
      <c r="DB66" s="149"/>
      <c r="DC66" s="147"/>
      <c r="DD66" s="147"/>
      <c r="DE66" s="147"/>
      <c r="DF66" s="147"/>
      <c r="DG66" s="147"/>
      <c r="DH66" s="148"/>
      <c r="DI66" s="149"/>
      <c r="DJ66" s="147"/>
      <c r="DK66" s="147"/>
      <c r="DL66" s="147"/>
      <c r="DM66" s="147"/>
      <c r="DN66" s="147"/>
      <c r="DO66" s="148"/>
      <c r="DP66" s="149"/>
      <c r="DQ66" s="147"/>
      <c r="DR66" s="147"/>
      <c r="DS66" s="147"/>
      <c r="DT66" s="147"/>
      <c r="DU66" s="147"/>
      <c r="DV66" s="148"/>
      <c r="DW66" s="149"/>
      <c r="DX66" s="147"/>
      <c r="DY66" s="147"/>
      <c r="DZ66" s="147"/>
      <c r="EA66" s="147"/>
      <c r="EB66" s="147"/>
      <c r="EC66" s="148"/>
      <c r="ED66" s="149"/>
      <c r="EE66" s="147"/>
      <c r="EF66" s="147"/>
      <c r="EG66" s="147"/>
      <c r="EH66" s="147"/>
      <c r="EI66" s="147"/>
      <c r="EJ66" s="148"/>
      <c r="EK66" s="149"/>
      <c r="EL66" s="147"/>
      <c r="EM66" s="147"/>
      <c r="EN66" s="147"/>
      <c r="EO66" s="147"/>
      <c r="EP66" s="147"/>
      <c r="EQ66" s="148"/>
      <c r="ER66" s="149"/>
      <c r="ES66" s="147"/>
      <c r="ET66" s="147"/>
      <c r="EU66" s="147"/>
      <c r="EV66" s="147"/>
      <c r="EW66" s="147"/>
      <c r="EX66" s="148"/>
      <c r="EY66" s="149"/>
      <c r="EZ66" s="147"/>
      <c r="FA66" s="147"/>
      <c r="FB66" s="147"/>
      <c r="FC66" s="147"/>
      <c r="FD66" s="147"/>
      <c r="FE66" s="148"/>
      <c r="FF66" s="149"/>
      <c r="FG66" s="147"/>
      <c r="FH66" s="147"/>
      <c r="FI66" s="147"/>
      <c r="FJ66" s="147"/>
      <c r="FK66" s="147"/>
      <c r="FL66" s="148"/>
      <c r="FM66" s="149"/>
      <c r="FN66" s="147"/>
      <c r="FO66" s="147"/>
      <c r="FP66" s="147"/>
      <c r="FQ66" s="147"/>
      <c r="FR66" s="147"/>
      <c r="FS66" s="148"/>
      <c r="FT66" s="149"/>
      <c r="FU66" s="147"/>
      <c r="FV66" s="147"/>
      <c r="FW66" s="147"/>
      <c r="FX66" s="147"/>
      <c r="FY66" s="147"/>
      <c r="FZ66" s="148"/>
      <c r="GA66" s="149"/>
      <c r="GB66" s="147"/>
      <c r="GC66" s="147"/>
      <c r="GD66" s="147"/>
      <c r="GE66" s="147"/>
      <c r="GF66" s="147"/>
      <c r="GG66" s="148"/>
      <c r="GH66" s="149"/>
      <c r="GI66" s="147"/>
      <c r="GJ66" s="147"/>
      <c r="GK66" s="147"/>
      <c r="GL66" s="147"/>
      <c r="GM66" s="147"/>
      <c r="GN66" s="148"/>
      <c r="GO66" s="149"/>
      <c r="GP66" s="147"/>
      <c r="GQ66" s="147"/>
      <c r="GR66" s="147"/>
      <c r="GS66" s="147"/>
      <c r="GT66" s="147"/>
      <c r="GU66" s="148"/>
      <c r="GV66" s="149"/>
      <c r="GW66" s="147"/>
      <c r="GX66" s="147"/>
      <c r="GY66" s="147"/>
      <c r="GZ66" s="147"/>
      <c r="HA66" s="147"/>
      <c r="HB66" s="148"/>
      <c r="HC66" s="149"/>
      <c r="HD66" s="147"/>
      <c r="HE66" s="147"/>
      <c r="HF66" s="147"/>
      <c r="HG66" s="147"/>
      <c r="HH66" s="147"/>
      <c r="HI66" s="148"/>
      <c r="HJ66" s="149"/>
      <c r="HK66" s="147"/>
      <c r="HL66" s="147"/>
      <c r="HM66" s="147"/>
      <c r="HN66" s="147"/>
      <c r="HO66" s="147"/>
      <c r="HP66" s="148"/>
      <c r="HQ66" s="149"/>
      <c r="HR66" s="147"/>
      <c r="HS66" s="147"/>
      <c r="HT66" s="147"/>
      <c r="HU66" s="147"/>
      <c r="HV66" s="147"/>
      <c r="HW66" s="148"/>
      <c r="HX66" s="149"/>
      <c r="HY66" s="147"/>
      <c r="HZ66" s="147"/>
      <c r="IA66" s="147"/>
      <c r="IB66" s="147"/>
      <c r="IC66" s="147"/>
      <c r="ID66" s="148"/>
      <c r="IE66" s="149"/>
      <c r="IF66" s="147"/>
      <c r="IG66" s="147"/>
      <c r="IH66" s="147"/>
      <c r="II66" s="147"/>
      <c r="IJ66" s="147"/>
      <c r="IK66" s="148"/>
      <c r="IL66" s="149"/>
      <c r="IM66" s="147"/>
      <c r="IN66" s="147"/>
      <c r="IO66" s="147"/>
      <c r="IP66" s="147"/>
      <c r="IQ66" s="147"/>
      <c r="IR66" s="148"/>
      <c r="IS66" s="149"/>
      <c r="IT66" s="147"/>
      <c r="IU66" s="147"/>
      <c r="IV66" s="147"/>
    </row>
    <row r="67" spans="1:256">
      <c r="A67" s="868" t="s">
        <v>1</v>
      </c>
      <c r="B67" s="869"/>
      <c r="C67" s="869"/>
      <c r="D67" s="869"/>
      <c r="E67" s="869"/>
      <c r="F67" s="869"/>
      <c r="G67" s="870"/>
      <c r="H67" s="149"/>
      <c r="I67" s="147"/>
      <c r="J67" s="147"/>
      <c r="K67" s="147"/>
      <c r="L67" s="147"/>
      <c r="M67" s="147"/>
      <c r="N67" s="148"/>
      <c r="O67" s="149"/>
      <c r="P67" s="147"/>
      <c r="Q67" s="147"/>
      <c r="R67" s="147"/>
      <c r="S67" s="147"/>
      <c r="T67" s="147"/>
      <c r="U67" s="148"/>
      <c r="V67" s="149"/>
      <c r="W67" s="147"/>
      <c r="X67" s="147"/>
      <c r="Y67" s="147"/>
      <c r="Z67" s="147"/>
      <c r="AA67" s="147"/>
      <c r="AB67" s="148"/>
      <c r="AC67" s="149"/>
      <c r="AD67" s="147"/>
      <c r="AE67" s="147"/>
      <c r="AF67" s="147"/>
      <c r="AG67" s="147"/>
      <c r="AH67" s="147"/>
      <c r="AI67" s="148"/>
      <c r="AJ67" s="149"/>
      <c r="AK67" s="147"/>
      <c r="AL67" s="147"/>
      <c r="AM67" s="147"/>
      <c r="AN67" s="147"/>
      <c r="AO67" s="147"/>
      <c r="AP67" s="148"/>
      <c r="AQ67" s="149"/>
      <c r="AR67" s="147"/>
      <c r="AS67" s="147"/>
      <c r="AT67" s="147"/>
      <c r="AU67" s="147"/>
      <c r="AV67" s="147"/>
      <c r="AW67" s="148"/>
      <c r="AX67" s="149"/>
      <c r="AY67" s="147"/>
      <c r="AZ67" s="147"/>
      <c r="BA67" s="147"/>
      <c r="BB67" s="147"/>
      <c r="BC67" s="147"/>
      <c r="BD67" s="148"/>
      <c r="BE67" s="149"/>
      <c r="BF67" s="147"/>
      <c r="BG67" s="147"/>
      <c r="BH67" s="147"/>
      <c r="BI67" s="147"/>
      <c r="BJ67" s="147"/>
      <c r="BK67" s="148"/>
      <c r="BL67" s="149"/>
      <c r="BM67" s="147"/>
      <c r="BN67" s="147"/>
      <c r="BO67" s="147"/>
      <c r="BP67" s="147"/>
      <c r="BQ67" s="147"/>
      <c r="BR67" s="148"/>
      <c r="BS67" s="149"/>
      <c r="BT67" s="147"/>
      <c r="BU67" s="147"/>
      <c r="BV67" s="147"/>
      <c r="BW67" s="147"/>
      <c r="BX67" s="147"/>
      <c r="BY67" s="148"/>
      <c r="BZ67" s="149"/>
      <c r="CA67" s="147"/>
      <c r="CB67" s="147"/>
      <c r="CC67" s="147"/>
      <c r="CD67" s="147"/>
      <c r="CE67" s="147"/>
      <c r="CF67" s="148"/>
      <c r="CG67" s="149"/>
      <c r="CH67" s="147"/>
      <c r="CI67" s="147"/>
      <c r="CJ67" s="147"/>
      <c r="CK67" s="147"/>
      <c r="CL67" s="147"/>
      <c r="CM67" s="148"/>
      <c r="CN67" s="149"/>
      <c r="CO67" s="147"/>
      <c r="CP67" s="147"/>
      <c r="CQ67" s="147"/>
      <c r="CR67" s="147"/>
      <c r="CS67" s="147"/>
      <c r="CT67" s="148"/>
      <c r="CU67" s="149"/>
      <c r="CV67" s="147"/>
      <c r="CW67" s="147"/>
      <c r="CX67" s="147"/>
      <c r="CY67" s="147"/>
      <c r="CZ67" s="147"/>
      <c r="DA67" s="148"/>
      <c r="DB67" s="149"/>
      <c r="DC67" s="147"/>
      <c r="DD67" s="147"/>
      <c r="DE67" s="147"/>
      <c r="DF67" s="147"/>
      <c r="DG67" s="147"/>
      <c r="DH67" s="148"/>
      <c r="DI67" s="149"/>
      <c r="DJ67" s="147"/>
      <c r="DK67" s="147"/>
      <c r="DL67" s="147"/>
      <c r="DM67" s="147"/>
      <c r="DN67" s="147"/>
      <c r="DO67" s="148"/>
      <c r="DP67" s="149"/>
      <c r="DQ67" s="147"/>
      <c r="DR67" s="147"/>
      <c r="DS67" s="147"/>
      <c r="DT67" s="147"/>
      <c r="DU67" s="147"/>
      <c r="DV67" s="148"/>
      <c r="DW67" s="149"/>
      <c r="DX67" s="147"/>
      <c r="DY67" s="147"/>
      <c r="DZ67" s="147"/>
      <c r="EA67" s="147"/>
      <c r="EB67" s="147"/>
      <c r="EC67" s="148"/>
      <c r="ED67" s="149"/>
      <c r="EE67" s="147"/>
      <c r="EF67" s="147"/>
      <c r="EG67" s="147"/>
      <c r="EH67" s="147"/>
      <c r="EI67" s="147"/>
      <c r="EJ67" s="148"/>
      <c r="EK67" s="149"/>
      <c r="EL67" s="147"/>
      <c r="EM67" s="147"/>
      <c r="EN67" s="147"/>
      <c r="EO67" s="147"/>
      <c r="EP67" s="147"/>
      <c r="EQ67" s="148"/>
      <c r="ER67" s="149"/>
      <c r="ES67" s="147"/>
      <c r="ET67" s="147"/>
      <c r="EU67" s="147"/>
      <c r="EV67" s="147"/>
      <c r="EW67" s="147"/>
      <c r="EX67" s="148"/>
      <c r="EY67" s="149"/>
      <c r="EZ67" s="147"/>
      <c r="FA67" s="147"/>
      <c r="FB67" s="147"/>
      <c r="FC67" s="147"/>
      <c r="FD67" s="147"/>
      <c r="FE67" s="148"/>
      <c r="FF67" s="149"/>
      <c r="FG67" s="147"/>
      <c r="FH67" s="147"/>
      <c r="FI67" s="147"/>
      <c r="FJ67" s="147"/>
      <c r="FK67" s="147"/>
      <c r="FL67" s="148"/>
      <c r="FM67" s="149"/>
      <c r="FN67" s="147"/>
      <c r="FO67" s="147"/>
      <c r="FP67" s="147"/>
      <c r="FQ67" s="147"/>
      <c r="FR67" s="147"/>
      <c r="FS67" s="148"/>
      <c r="FT67" s="149"/>
      <c r="FU67" s="147"/>
      <c r="FV67" s="147"/>
      <c r="FW67" s="147"/>
      <c r="FX67" s="147"/>
      <c r="FY67" s="147"/>
      <c r="FZ67" s="148"/>
      <c r="GA67" s="149"/>
      <c r="GB67" s="147"/>
      <c r="GC67" s="147"/>
      <c r="GD67" s="147"/>
      <c r="GE67" s="147"/>
      <c r="GF67" s="147"/>
      <c r="GG67" s="148"/>
      <c r="GH67" s="149"/>
      <c r="GI67" s="147"/>
      <c r="GJ67" s="147"/>
      <c r="GK67" s="147"/>
      <c r="GL67" s="147"/>
      <c r="GM67" s="147"/>
      <c r="GN67" s="148"/>
      <c r="GO67" s="149"/>
      <c r="GP67" s="147"/>
      <c r="GQ67" s="147"/>
      <c r="GR67" s="147"/>
      <c r="GS67" s="147"/>
      <c r="GT67" s="147"/>
      <c r="GU67" s="148"/>
      <c r="GV67" s="149"/>
      <c r="GW67" s="147"/>
      <c r="GX67" s="147"/>
      <c r="GY67" s="147"/>
      <c r="GZ67" s="147"/>
      <c r="HA67" s="147"/>
      <c r="HB67" s="148"/>
      <c r="HC67" s="149"/>
      <c r="HD67" s="147"/>
      <c r="HE67" s="147"/>
      <c r="HF67" s="147"/>
      <c r="HG67" s="147"/>
      <c r="HH67" s="147"/>
      <c r="HI67" s="148"/>
      <c r="HJ67" s="149"/>
      <c r="HK67" s="147"/>
      <c r="HL67" s="147"/>
      <c r="HM67" s="147"/>
      <c r="HN67" s="147"/>
      <c r="HO67" s="147"/>
      <c r="HP67" s="148"/>
      <c r="HQ67" s="149"/>
      <c r="HR67" s="147"/>
      <c r="HS67" s="147"/>
      <c r="HT67" s="147"/>
      <c r="HU67" s="147"/>
      <c r="HV67" s="147"/>
      <c r="HW67" s="148"/>
      <c r="HX67" s="149"/>
      <c r="HY67" s="147"/>
      <c r="HZ67" s="147"/>
      <c r="IA67" s="147"/>
      <c r="IB67" s="147"/>
      <c r="IC67" s="147"/>
      <c r="ID67" s="148"/>
      <c r="IE67" s="149"/>
      <c r="IF67" s="147"/>
      <c r="IG67" s="147"/>
      <c r="IH67" s="147"/>
      <c r="II67" s="147"/>
      <c r="IJ67" s="147"/>
      <c r="IK67" s="148"/>
      <c r="IL67" s="149"/>
      <c r="IM67" s="147"/>
      <c r="IN67" s="147"/>
      <c r="IO67" s="147"/>
      <c r="IP67" s="147"/>
      <c r="IQ67" s="147"/>
      <c r="IR67" s="148"/>
      <c r="IS67" s="149"/>
      <c r="IT67" s="147"/>
      <c r="IU67" s="147"/>
      <c r="IV67" s="147"/>
    </row>
    <row r="68" spans="1:256">
      <c r="A68" s="868"/>
      <c r="B68" s="869"/>
      <c r="C68" s="869"/>
      <c r="D68" s="869"/>
      <c r="E68" s="869"/>
      <c r="F68" s="869"/>
      <c r="G68" s="870"/>
      <c r="H68" s="149"/>
      <c r="I68" s="147"/>
      <c r="J68" s="147"/>
      <c r="K68" s="147"/>
      <c r="L68" s="147"/>
      <c r="M68" s="147"/>
      <c r="N68" s="148"/>
      <c r="O68" s="149"/>
      <c r="P68" s="147"/>
      <c r="Q68" s="147"/>
      <c r="R68" s="147"/>
      <c r="S68" s="147"/>
      <c r="T68" s="147"/>
      <c r="U68" s="148"/>
      <c r="V68" s="149"/>
      <c r="W68" s="147"/>
      <c r="X68" s="147"/>
      <c r="Y68" s="147"/>
      <c r="Z68" s="147"/>
      <c r="AA68" s="147"/>
      <c r="AB68" s="148"/>
      <c r="AC68" s="149"/>
      <c r="AD68" s="147"/>
      <c r="AE68" s="147"/>
      <c r="AF68" s="147"/>
      <c r="AG68" s="147"/>
      <c r="AH68" s="147"/>
      <c r="AI68" s="148"/>
      <c r="AJ68" s="149"/>
      <c r="AK68" s="147"/>
      <c r="AL68" s="147"/>
      <c r="AM68" s="147"/>
      <c r="AN68" s="147"/>
      <c r="AO68" s="147"/>
      <c r="AP68" s="148"/>
      <c r="AQ68" s="149"/>
      <c r="AR68" s="147"/>
      <c r="AS68" s="147"/>
      <c r="AT68" s="147"/>
      <c r="AU68" s="147"/>
      <c r="AV68" s="147"/>
      <c r="AW68" s="148"/>
      <c r="AX68" s="149"/>
      <c r="AY68" s="147"/>
      <c r="AZ68" s="147"/>
      <c r="BA68" s="147"/>
      <c r="BB68" s="147"/>
      <c r="BC68" s="147"/>
      <c r="BD68" s="148"/>
      <c r="BE68" s="149"/>
      <c r="BF68" s="147"/>
      <c r="BG68" s="147"/>
      <c r="BH68" s="147"/>
      <c r="BI68" s="147"/>
      <c r="BJ68" s="147"/>
      <c r="BK68" s="148"/>
      <c r="BL68" s="149"/>
      <c r="BM68" s="147"/>
      <c r="BN68" s="147"/>
      <c r="BO68" s="147"/>
      <c r="BP68" s="147"/>
      <c r="BQ68" s="147"/>
      <c r="BR68" s="148"/>
      <c r="BS68" s="149"/>
      <c r="BT68" s="147"/>
      <c r="BU68" s="147"/>
      <c r="BV68" s="147"/>
      <c r="BW68" s="147"/>
      <c r="BX68" s="147"/>
      <c r="BY68" s="148"/>
      <c r="BZ68" s="149"/>
      <c r="CA68" s="147"/>
      <c r="CB68" s="147"/>
      <c r="CC68" s="147"/>
      <c r="CD68" s="147"/>
      <c r="CE68" s="147"/>
      <c r="CF68" s="148"/>
      <c r="CG68" s="149"/>
      <c r="CH68" s="147"/>
      <c r="CI68" s="147"/>
      <c r="CJ68" s="147"/>
      <c r="CK68" s="147"/>
      <c r="CL68" s="147"/>
      <c r="CM68" s="148"/>
      <c r="CN68" s="149"/>
      <c r="CO68" s="147"/>
      <c r="CP68" s="147"/>
      <c r="CQ68" s="147"/>
      <c r="CR68" s="147"/>
      <c r="CS68" s="147"/>
      <c r="CT68" s="148"/>
      <c r="CU68" s="149"/>
      <c r="CV68" s="147"/>
      <c r="CW68" s="147"/>
      <c r="CX68" s="147"/>
      <c r="CY68" s="147"/>
      <c r="CZ68" s="147"/>
      <c r="DA68" s="148"/>
      <c r="DB68" s="149"/>
      <c r="DC68" s="147"/>
      <c r="DD68" s="147"/>
      <c r="DE68" s="147"/>
      <c r="DF68" s="147"/>
      <c r="DG68" s="147"/>
      <c r="DH68" s="148"/>
      <c r="DI68" s="149"/>
      <c r="DJ68" s="147"/>
      <c r="DK68" s="147"/>
      <c r="DL68" s="147"/>
      <c r="DM68" s="147"/>
      <c r="DN68" s="147"/>
      <c r="DO68" s="148"/>
      <c r="DP68" s="149"/>
      <c r="DQ68" s="147"/>
      <c r="DR68" s="147"/>
      <c r="DS68" s="147"/>
      <c r="DT68" s="147"/>
      <c r="DU68" s="147"/>
      <c r="DV68" s="148"/>
      <c r="DW68" s="149"/>
      <c r="DX68" s="147"/>
      <c r="DY68" s="147"/>
      <c r="DZ68" s="147"/>
      <c r="EA68" s="147"/>
      <c r="EB68" s="147"/>
      <c r="EC68" s="148"/>
      <c r="ED68" s="149"/>
      <c r="EE68" s="147"/>
      <c r="EF68" s="147"/>
      <c r="EG68" s="147"/>
      <c r="EH68" s="147"/>
      <c r="EI68" s="147"/>
      <c r="EJ68" s="148"/>
      <c r="EK68" s="149"/>
      <c r="EL68" s="147"/>
      <c r="EM68" s="147"/>
      <c r="EN68" s="147"/>
      <c r="EO68" s="147"/>
      <c r="EP68" s="147"/>
      <c r="EQ68" s="148"/>
      <c r="ER68" s="149"/>
      <c r="ES68" s="147"/>
      <c r="ET68" s="147"/>
      <c r="EU68" s="147"/>
      <c r="EV68" s="147"/>
      <c r="EW68" s="147"/>
      <c r="EX68" s="148"/>
      <c r="EY68" s="149"/>
      <c r="EZ68" s="147"/>
      <c r="FA68" s="147"/>
      <c r="FB68" s="147"/>
      <c r="FC68" s="147"/>
      <c r="FD68" s="147"/>
      <c r="FE68" s="148"/>
      <c r="FF68" s="149"/>
      <c r="FG68" s="147"/>
      <c r="FH68" s="147"/>
      <c r="FI68" s="147"/>
      <c r="FJ68" s="147"/>
      <c r="FK68" s="147"/>
      <c r="FL68" s="148"/>
      <c r="FM68" s="149"/>
      <c r="FN68" s="147"/>
      <c r="FO68" s="147"/>
      <c r="FP68" s="147"/>
      <c r="FQ68" s="147"/>
      <c r="FR68" s="147"/>
      <c r="FS68" s="148"/>
      <c r="FT68" s="149"/>
      <c r="FU68" s="147"/>
      <c r="FV68" s="147"/>
      <c r="FW68" s="147"/>
      <c r="FX68" s="147"/>
      <c r="FY68" s="147"/>
      <c r="FZ68" s="148"/>
      <c r="GA68" s="149"/>
      <c r="GB68" s="147"/>
      <c r="GC68" s="147"/>
      <c r="GD68" s="147"/>
      <c r="GE68" s="147"/>
      <c r="GF68" s="147"/>
      <c r="GG68" s="148"/>
      <c r="GH68" s="149"/>
      <c r="GI68" s="147"/>
      <c r="GJ68" s="147"/>
      <c r="GK68" s="147"/>
      <c r="GL68" s="147"/>
      <c r="GM68" s="147"/>
      <c r="GN68" s="148"/>
      <c r="GO68" s="149"/>
      <c r="GP68" s="147"/>
      <c r="GQ68" s="147"/>
      <c r="GR68" s="147"/>
      <c r="GS68" s="147"/>
      <c r="GT68" s="147"/>
      <c r="GU68" s="148"/>
      <c r="GV68" s="149"/>
      <c r="GW68" s="147"/>
      <c r="GX68" s="147"/>
      <c r="GY68" s="147"/>
      <c r="GZ68" s="147"/>
      <c r="HA68" s="147"/>
      <c r="HB68" s="148"/>
      <c r="HC68" s="149"/>
      <c r="HD68" s="147"/>
      <c r="HE68" s="147"/>
      <c r="HF68" s="147"/>
      <c r="HG68" s="147"/>
      <c r="HH68" s="147"/>
      <c r="HI68" s="148"/>
      <c r="HJ68" s="149"/>
      <c r="HK68" s="147"/>
      <c r="HL68" s="147"/>
      <c r="HM68" s="147"/>
      <c r="HN68" s="147"/>
      <c r="HO68" s="147"/>
      <c r="HP68" s="148"/>
      <c r="HQ68" s="149"/>
      <c r="HR68" s="147"/>
      <c r="HS68" s="147"/>
      <c r="HT68" s="147"/>
      <c r="HU68" s="147"/>
      <c r="HV68" s="147"/>
      <c r="HW68" s="148"/>
      <c r="HX68" s="149"/>
      <c r="HY68" s="147"/>
      <c r="HZ68" s="147"/>
      <c r="IA68" s="147"/>
      <c r="IB68" s="147"/>
      <c r="IC68" s="147"/>
      <c r="ID68" s="148"/>
      <c r="IE68" s="149"/>
      <c r="IF68" s="147"/>
      <c r="IG68" s="147"/>
      <c r="IH68" s="147"/>
      <c r="II68" s="147"/>
      <c r="IJ68" s="147"/>
      <c r="IK68" s="148"/>
      <c r="IL68" s="149"/>
      <c r="IM68" s="147"/>
      <c r="IN68" s="147"/>
      <c r="IO68" s="147"/>
      <c r="IP68" s="147"/>
      <c r="IQ68" s="147"/>
      <c r="IR68" s="148"/>
      <c r="IS68" s="149"/>
      <c r="IT68" s="147"/>
      <c r="IU68" s="147"/>
      <c r="IV68" s="147"/>
    </row>
    <row r="69" spans="1:256">
      <c r="A69" s="861" t="s">
        <v>482</v>
      </c>
      <c r="B69" s="862"/>
      <c r="C69" s="862"/>
      <c r="D69" s="862"/>
      <c r="E69" s="862"/>
      <c r="F69" s="862"/>
      <c r="G69" s="863"/>
      <c r="H69" s="149"/>
      <c r="I69" s="147"/>
      <c r="J69" s="147"/>
      <c r="K69" s="147"/>
      <c r="L69" s="147"/>
      <c r="M69" s="147"/>
      <c r="N69" s="148"/>
      <c r="O69" s="149"/>
      <c r="P69" s="147"/>
      <c r="Q69" s="147"/>
      <c r="R69" s="147"/>
      <c r="S69" s="147"/>
      <c r="T69" s="147"/>
      <c r="U69" s="148"/>
      <c r="V69" s="149"/>
      <c r="W69" s="147"/>
      <c r="X69" s="147"/>
      <c r="Y69" s="147"/>
      <c r="Z69" s="147"/>
      <c r="AA69" s="147"/>
      <c r="AB69" s="148"/>
      <c r="AC69" s="149"/>
      <c r="AD69" s="147"/>
      <c r="AE69" s="147"/>
      <c r="AF69" s="147"/>
      <c r="AG69" s="147"/>
      <c r="AH69" s="147"/>
      <c r="AI69" s="148"/>
      <c r="AJ69" s="149"/>
      <c r="AK69" s="147"/>
      <c r="AL69" s="147"/>
      <c r="AM69" s="147"/>
      <c r="AN69" s="147"/>
      <c r="AO69" s="147"/>
      <c r="AP69" s="148"/>
      <c r="AQ69" s="149"/>
      <c r="AR69" s="147"/>
      <c r="AS69" s="147"/>
      <c r="AT69" s="147"/>
      <c r="AU69" s="147"/>
      <c r="AV69" s="147"/>
      <c r="AW69" s="148"/>
      <c r="AX69" s="149"/>
      <c r="AY69" s="147"/>
      <c r="AZ69" s="147"/>
      <c r="BA69" s="147"/>
      <c r="BB69" s="147"/>
      <c r="BC69" s="147"/>
      <c r="BD69" s="148"/>
      <c r="BE69" s="149"/>
      <c r="BF69" s="147"/>
      <c r="BG69" s="147"/>
      <c r="BH69" s="147"/>
      <c r="BI69" s="147"/>
      <c r="BJ69" s="147"/>
      <c r="BK69" s="148"/>
      <c r="BL69" s="149"/>
      <c r="BM69" s="147"/>
      <c r="BN69" s="147"/>
      <c r="BO69" s="147"/>
      <c r="BP69" s="147"/>
      <c r="BQ69" s="147"/>
      <c r="BR69" s="148"/>
      <c r="BS69" s="149"/>
      <c r="BT69" s="147"/>
      <c r="BU69" s="147"/>
      <c r="BV69" s="147"/>
      <c r="BW69" s="147"/>
      <c r="BX69" s="147"/>
      <c r="BY69" s="148"/>
      <c r="BZ69" s="149"/>
      <c r="CA69" s="147"/>
      <c r="CB69" s="147"/>
      <c r="CC69" s="147"/>
      <c r="CD69" s="147"/>
      <c r="CE69" s="147"/>
      <c r="CF69" s="148"/>
      <c r="CG69" s="149"/>
      <c r="CH69" s="147"/>
      <c r="CI69" s="147"/>
      <c r="CJ69" s="147"/>
      <c r="CK69" s="147"/>
      <c r="CL69" s="147"/>
      <c r="CM69" s="148"/>
      <c r="CN69" s="149"/>
      <c r="CO69" s="147"/>
      <c r="CP69" s="147"/>
      <c r="CQ69" s="147"/>
      <c r="CR69" s="147"/>
      <c r="CS69" s="147"/>
      <c r="CT69" s="148"/>
      <c r="CU69" s="149"/>
      <c r="CV69" s="147"/>
      <c r="CW69" s="147"/>
      <c r="CX69" s="147"/>
      <c r="CY69" s="147"/>
      <c r="CZ69" s="147"/>
      <c r="DA69" s="148"/>
      <c r="DB69" s="149"/>
      <c r="DC69" s="147"/>
      <c r="DD69" s="147"/>
      <c r="DE69" s="147"/>
      <c r="DF69" s="147"/>
      <c r="DG69" s="147"/>
      <c r="DH69" s="148"/>
      <c r="DI69" s="149"/>
      <c r="DJ69" s="147"/>
      <c r="DK69" s="147"/>
      <c r="DL69" s="147"/>
      <c r="DM69" s="147"/>
      <c r="DN69" s="147"/>
      <c r="DO69" s="148"/>
      <c r="DP69" s="149"/>
      <c r="DQ69" s="147"/>
      <c r="DR69" s="147"/>
      <c r="DS69" s="147"/>
      <c r="DT69" s="147"/>
      <c r="DU69" s="147"/>
      <c r="DV69" s="148"/>
      <c r="DW69" s="149"/>
      <c r="DX69" s="147"/>
      <c r="DY69" s="147"/>
      <c r="DZ69" s="147"/>
      <c r="EA69" s="147"/>
      <c r="EB69" s="147"/>
      <c r="EC69" s="148"/>
      <c r="ED69" s="149"/>
      <c r="EE69" s="147"/>
      <c r="EF69" s="147"/>
      <c r="EG69" s="147"/>
      <c r="EH69" s="147"/>
      <c r="EI69" s="147"/>
      <c r="EJ69" s="148"/>
      <c r="EK69" s="149"/>
      <c r="EL69" s="147"/>
      <c r="EM69" s="147"/>
      <c r="EN69" s="147"/>
      <c r="EO69" s="147"/>
      <c r="EP69" s="147"/>
      <c r="EQ69" s="148"/>
      <c r="ER69" s="149"/>
      <c r="ES69" s="147"/>
      <c r="ET69" s="147"/>
      <c r="EU69" s="147"/>
      <c r="EV69" s="147"/>
      <c r="EW69" s="147"/>
      <c r="EX69" s="148"/>
      <c r="EY69" s="149"/>
      <c r="EZ69" s="147"/>
      <c r="FA69" s="147"/>
      <c r="FB69" s="147"/>
      <c r="FC69" s="147"/>
      <c r="FD69" s="147"/>
      <c r="FE69" s="148"/>
      <c r="FF69" s="149"/>
      <c r="FG69" s="147"/>
      <c r="FH69" s="147"/>
      <c r="FI69" s="147"/>
      <c r="FJ69" s="147"/>
      <c r="FK69" s="147"/>
      <c r="FL69" s="148"/>
      <c r="FM69" s="149"/>
      <c r="FN69" s="147"/>
      <c r="FO69" s="147"/>
      <c r="FP69" s="147"/>
      <c r="FQ69" s="147"/>
      <c r="FR69" s="147"/>
      <c r="FS69" s="148"/>
      <c r="FT69" s="149"/>
      <c r="FU69" s="147"/>
      <c r="FV69" s="147"/>
      <c r="FW69" s="147"/>
      <c r="FX69" s="147"/>
      <c r="FY69" s="147"/>
      <c r="FZ69" s="148"/>
      <c r="GA69" s="149"/>
      <c r="GB69" s="147"/>
      <c r="GC69" s="147"/>
      <c r="GD69" s="147"/>
      <c r="GE69" s="147"/>
      <c r="GF69" s="147"/>
      <c r="GG69" s="148"/>
      <c r="GH69" s="149"/>
      <c r="GI69" s="147"/>
      <c r="GJ69" s="147"/>
      <c r="GK69" s="147"/>
      <c r="GL69" s="147"/>
      <c r="GM69" s="147"/>
      <c r="GN69" s="148"/>
      <c r="GO69" s="149"/>
      <c r="GP69" s="147"/>
      <c r="GQ69" s="147"/>
      <c r="GR69" s="147"/>
      <c r="GS69" s="147"/>
      <c r="GT69" s="147"/>
      <c r="GU69" s="148"/>
      <c r="GV69" s="149"/>
      <c r="GW69" s="147"/>
      <c r="GX69" s="147"/>
      <c r="GY69" s="147"/>
      <c r="GZ69" s="147"/>
      <c r="HA69" s="147"/>
      <c r="HB69" s="148"/>
      <c r="HC69" s="149"/>
      <c r="HD69" s="147"/>
      <c r="HE69" s="147"/>
      <c r="HF69" s="147"/>
      <c r="HG69" s="147"/>
      <c r="HH69" s="147"/>
      <c r="HI69" s="148"/>
      <c r="HJ69" s="149"/>
      <c r="HK69" s="147"/>
      <c r="HL69" s="147"/>
      <c r="HM69" s="147"/>
      <c r="HN69" s="147"/>
      <c r="HO69" s="147"/>
      <c r="HP69" s="148"/>
      <c r="HQ69" s="149"/>
      <c r="HR69" s="147"/>
      <c r="HS69" s="147"/>
      <c r="HT69" s="147"/>
      <c r="HU69" s="147"/>
      <c r="HV69" s="147"/>
      <c r="HW69" s="148"/>
      <c r="HX69" s="149"/>
      <c r="HY69" s="147"/>
      <c r="HZ69" s="147"/>
      <c r="IA69" s="147"/>
      <c r="IB69" s="147"/>
      <c r="IC69" s="147"/>
      <c r="ID69" s="148"/>
      <c r="IE69" s="149"/>
      <c r="IF69" s="147"/>
      <c r="IG69" s="147"/>
      <c r="IH69" s="147"/>
      <c r="II69" s="147"/>
      <c r="IJ69" s="147"/>
      <c r="IK69" s="148"/>
      <c r="IL69" s="149"/>
      <c r="IM69" s="147"/>
      <c r="IN69" s="147"/>
      <c r="IO69" s="147"/>
      <c r="IP69" s="147"/>
      <c r="IQ69" s="147"/>
      <c r="IR69" s="148"/>
      <c r="IS69" s="149"/>
      <c r="IT69" s="147"/>
      <c r="IU69" s="147"/>
      <c r="IV69" s="147"/>
    </row>
    <row r="70" spans="1:256" ht="27" customHeight="1">
      <c r="A70" s="861"/>
      <c r="B70" s="862"/>
      <c r="C70" s="862"/>
      <c r="D70" s="862"/>
      <c r="E70" s="862"/>
      <c r="F70" s="862"/>
      <c r="G70" s="863"/>
      <c r="H70" s="149"/>
      <c r="I70" s="147"/>
      <c r="J70" s="147"/>
      <c r="K70" s="147"/>
      <c r="L70" s="147"/>
      <c r="M70" s="147"/>
      <c r="N70" s="148"/>
      <c r="O70" s="149"/>
      <c r="P70" s="147"/>
      <c r="Q70" s="147"/>
      <c r="R70" s="147"/>
      <c r="S70" s="147"/>
      <c r="T70" s="147"/>
      <c r="U70" s="148"/>
      <c r="V70" s="149"/>
      <c r="W70" s="147"/>
      <c r="X70" s="147"/>
      <c r="Y70" s="147"/>
      <c r="Z70" s="147"/>
      <c r="AA70" s="147"/>
      <c r="AB70" s="148"/>
      <c r="AC70" s="149"/>
      <c r="AD70" s="147"/>
      <c r="AE70" s="147"/>
      <c r="AF70" s="147"/>
      <c r="AG70" s="147"/>
      <c r="AH70" s="147"/>
      <c r="AI70" s="148"/>
      <c r="AJ70" s="149"/>
      <c r="AK70" s="147"/>
      <c r="AL70" s="147"/>
      <c r="AM70" s="147"/>
      <c r="AN70" s="147"/>
      <c r="AO70" s="147"/>
      <c r="AP70" s="148"/>
      <c r="AQ70" s="149"/>
      <c r="AR70" s="147"/>
      <c r="AS70" s="147"/>
      <c r="AT70" s="147"/>
      <c r="AU70" s="147"/>
      <c r="AV70" s="147"/>
      <c r="AW70" s="148"/>
      <c r="AX70" s="149"/>
      <c r="AY70" s="147"/>
      <c r="AZ70" s="147"/>
      <c r="BA70" s="147"/>
      <c r="BB70" s="147"/>
      <c r="BC70" s="147"/>
      <c r="BD70" s="148"/>
      <c r="BE70" s="149"/>
      <c r="BF70" s="147"/>
      <c r="BG70" s="147"/>
      <c r="BH70" s="147"/>
      <c r="BI70" s="147"/>
      <c r="BJ70" s="147"/>
      <c r="BK70" s="148"/>
      <c r="BL70" s="149"/>
      <c r="BM70" s="147"/>
      <c r="BN70" s="147"/>
      <c r="BO70" s="147"/>
      <c r="BP70" s="147"/>
      <c r="BQ70" s="147"/>
      <c r="BR70" s="148"/>
      <c r="BS70" s="149"/>
      <c r="BT70" s="147"/>
      <c r="BU70" s="147"/>
      <c r="BV70" s="147"/>
      <c r="BW70" s="147"/>
      <c r="BX70" s="147"/>
      <c r="BY70" s="148"/>
      <c r="BZ70" s="149"/>
      <c r="CA70" s="147"/>
      <c r="CB70" s="147"/>
      <c r="CC70" s="147"/>
      <c r="CD70" s="147"/>
      <c r="CE70" s="147"/>
      <c r="CF70" s="148"/>
      <c r="CG70" s="149"/>
      <c r="CH70" s="147"/>
      <c r="CI70" s="147"/>
      <c r="CJ70" s="147"/>
      <c r="CK70" s="147"/>
      <c r="CL70" s="147"/>
      <c r="CM70" s="148"/>
      <c r="CN70" s="149"/>
      <c r="CO70" s="147"/>
      <c r="CP70" s="147"/>
      <c r="CQ70" s="147"/>
      <c r="CR70" s="147"/>
      <c r="CS70" s="147"/>
      <c r="CT70" s="148"/>
      <c r="CU70" s="149"/>
      <c r="CV70" s="147"/>
      <c r="CW70" s="147"/>
      <c r="CX70" s="147"/>
      <c r="CY70" s="147"/>
      <c r="CZ70" s="147"/>
      <c r="DA70" s="148"/>
      <c r="DB70" s="149"/>
      <c r="DC70" s="147"/>
      <c r="DD70" s="147"/>
      <c r="DE70" s="147"/>
      <c r="DF70" s="147"/>
      <c r="DG70" s="147"/>
      <c r="DH70" s="148"/>
      <c r="DI70" s="149"/>
      <c r="DJ70" s="147"/>
      <c r="DK70" s="147"/>
      <c r="DL70" s="147"/>
      <c r="DM70" s="147"/>
      <c r="DN70" s="147"/>
      <c r="DO70" s="148"/>
      <c r="DP70" s="149"/>
      <c r="DQ70" s="147"/>
      <c r="DR70" s="147"/>
      <c r="DS70" s="147"/>
      <c r="DT70" s="147"/>
      <c r="DU70" s="147"/>
      <c r="DV70" s="148"/>
      <c r="DW70" s="149"/>
      <c r="DX70" s="147"/>
      <c r="DY70" s="147"/>
      <c r="DZ70" s="147"/>
      <c r="EA70" s="147"/>
      <c r="EB70" s="147"/>
      <c r="EC70" s="148"/>
      <c r="ED70" s="149"/>
      <c r="EE70" s="147"/>
      <c r="EF70" s="147"/>
      <c r="EG70" s="147"/>
      <c r="EH70" s="147"/>
      <c r="EI70" s="147"/>
      <c r="EJ70" s="148"/>
      <c r="EK70" s="149"/>
      <c r="EL70" s="147"/>
      <c r="EM70" s="147"/>
      <c r="EN70" s="147"/>
      <c r="EO70" s="147"/>
      <c r="EP70" s="147"/>
      <c r="EQ70" s="148"/>
      <c r="ER70" s="149"/>
      <c r="ES70" s="147"/>
      <c r="ET70" s="147"/>
      <c r="EU70" s="147"/>
      <c r="EV70" s="147"/>
      <c r="EW70" s="147"/>
      <c r="EX70" s="148"/>
      <c r="EY70" s="149"/>
      <c r="EZ70" s="147"/>
      <c r="FA70" s="147"/>
      <c r="FB70" s="147"/>
      <c r="FC70" s="147"/>
      <c r="FD70" s="147"/>
      <c r="FE70" s="148"/>
      <c r="FF70" s="149"/>
      <c r="FG70" s="147"/>
      <c r="FH70" s="147"/>
      <c r="FI70" s="147"/>
      <c r="FJ70" s="147"/>
      <c r="FK70" s="147"/>
      <c r="FL70" s="148"/>
      <c r="FM70" s="149"/>
      <c r="FN70" s="147"/>
      <c r="FO70" s="147"/>
      <c r="FP70" s="147"/>
      <c r="FQ70" s="147"/>
      <c r="FR70" s="147"/>
      <c r="FS70" s="148"/>
      <c r="FT70" s="149"/>
      <c r="FU70" s="147"/>
      <c r="FV70" s="147"/>
      <c r="FW70" s="147"/>
      <c r="FX70" s="147"/>
      <c r="FY70" s="147"/>
      <c r="FZ70" s="148"/>
      <c r="GA70" s="149"/>
      <c r="GB70" s="147"/>
      <c r="GC70" s="147"/>
      <c r="GD70" s="147"/>
      <c r="GE70" s="147"/>
      <c r="GF70" s="147"/>
      <c r="GG70" s="148"/>
      <c r="GH70" s="149"/>
      <c r="GI70" s="147"/>
      <c r="GJ70" s="147"/>
      <c r="GK70" s="147"/>
      <c r="GL70" s="147"/>
      <c r="GM70" s="147"/>
      <c r="GN70" s="148"/>
      <c r="GO70" s="149"/>
      <c r="GP70" s="147"/>
      <c r="GQ70" s="147"/>
      <c r="GR70" s="147"/>
      <c r="GS70" s="147"/>
      <c r="GT70" s="147"/>
      <c r="GU70" s="148"/>
      <c r="GV70" s="149"/>
      <c r="GW70" s="147"/>
      <c r="GX70" s="147"/>
      <c r="GY70" s="147"/>
      <c r="GZ70" s="147"/>
      <c r="HA70" s="147"/>
      <c r="HB70" s="148"/>
      <c r="HC70" s="149"/>
      <c r="HD70" s="147"/>
      <c r="HE70" s="147"/>
      <c r="HF70" s="147"/>
      <c r="HG70" s="147"/>
      <c r="HH70" s="147"/>
      <c r="HI70" s="148"/>
      <c r="HJ70" s="149"/>
      <c r="HK70" s="147"/>
      <c r="HL70" s="147"/>
      <c r="HM70" s="147"/>
      <c r="HN70" s="147"/>
      <c r="HO70" s="147"/>
      <c r="HP70" s="148"/>
      <c r="HQ70" s="149"/>
      <c r="HR70" s="147"/>
      <c r="HS70" s="147"/>
      <c r="HT70" s="147"/>
      <c r="HU70" s="147"/>
      <c r="HV70" s="147"/>
      <c r="HW70" s="148"/>
      <c r="HX70" s="149"/>
      <c r="HY70" s="147"/>
      <c r="HZ70" s="147"/>
      <c r="IA70" s="147"/>
      <c r="IB70" s="147"/>
      <c r="IC70" s="147"/>
      <c r="ID70" s="148"/>
      <c r="IE70" s="149"/>
      <c r="IF70" s="147"/>
      <c r="IG70" s="147"/>
      <c r="IH70" s="147"/>
      <c r="II70" s="147"/>
      <c r="IJ70" s="147"/>
      <c r="IK70" s="148"/>
      <c r="IL70" s="149"/>
      <c r="IM70" s="147"/>
      <c r="IN70" s="147"/>
      <c r="IO70" s="147"/>
      <c r="IP70" s="147"/>
      <c r="IQ70" s="147"/>
      <c r="IR70" s="148"/>
      <c r="IS70" s="149"/>
      <c r="IT70" s="147"/>
      <c r="IU70" s="147"/>
      <c r="IV70" s="147"/>
    </row>
    <row r="71" spans="1:256">
      <c r="A71" s="861" t="s">
        <v>447</v>
      </c>
      <c r="B71" s="862"/>
      <c r="C71" s="862"/>
      <c r="D71" s="862"/>
      <c r="E71" s="862"/>
      <c r="F71" s="862"/>
      <c r="G71" s="863"/>
      <c r="H71" s="149"/>
      <c r="I71" s="147"/>
      <c r="J71" s="147"/>
      <c r="K71" s="147"/>
      <c r="L71" s="147"/>
      <c r="M71" s="147"/>
      <c r="N71" s="148"/>
      <c r="O71" s="149"/>
      <c r="P71" s="147"/>
      <c r="Q71" s="147"/>
      <c r="R71" s="147"/>
      <c r="S71" s="147"/>
      <c r="T71" s="147"/>
      <c r="U71" s="148"/>
      <c r="V71" s="149"/>
      <c r="W71" s="147"/>
      <c r="X71" s="147"/>
      <c r="Y71" s="147"/>
      <c r="Z71" s="147"/>
      <c r="AA71" s="147"/>
      <c r="AB71" s="148"/>
      <c r="AC71" s="149"/>
      <c r="AD71" s="147"/>
      <c r="AE71" s="147"/>
      <c r="AF71" s="147"/>
      <c r="AG71" s="147"/>
      <c r="AH71" s="147"/>
      <c r="AI71" s="148"/>
      <c r="AJ71" s="149"/>
      <c r="AK71" s="147"/>
      <c r="AL71" s="147"/>
      <c r="AM71" s="147"/>
      <c r="AN71" s="147"/>
      <c r="AO71" s="147"/>
      <c r="AP71" s="148"/>
      <c r="AQ71" s="149"/>
      <c r="AR71" s="147"/>
      <c r="AS71" s="147"/>
      <c r="AT71" s="147"/>
      <c r="AU71" s="147"/>
      <c r="AV71" s="147"/>
      <c r="AW71" s="148"/>
      <c r="AX71" s="149"/>
      <c r="AY71" s="147"/>
      <c r="AZ71" s="147"/>
      <c r="BA71" s="147"/>
      <c r="BB71" s="147"/>
      <c r="BC71" s="147"/>
      <c r="BD71" s="148"/>
      <c r="BE71" s="149"/>
      <c r="BF71" s="147"/>
      <c r="BG71" s="147"/>
      <c r="BH71" s="147"/>
      <c r="BI71" s="147"/>
      <c r="BJ71" s="147"/>
      <c r="BK71" s="148"/>
      <c r="BL71" s="149"/>
      <c r="BM71" s="147"/>
      <c r="BN71" s="147"/>
      <c r="BO71" s="147"/>
      <c r="BP71" s="147"/>
      <c r="BQ71" s="147"/>
      <c r="BR71" s="148"/>
      <c r="BS71" s="149"/>
      <c r="BT71" s="147"/>
      <c r="BU71" s="147"/>
      <c r="BV71" s="147"/>
      <c r="BW71" s="147"/>
      <c r="BX71" s="147"/>
      <c r="BY71" s="148"/>
      <c r="BZ71" s="149"/>
      <c r="CA71" s="147"/>
      <c r="CB71" s="147"/>
      <c r="CC71" s="147"/>
      <c r="CD71" s="147"/>
      <c r="CE71" s="147"/>
      <c r="CF71" s="148"/>
      <c r="CG71" s="149"/>
      <c r="CH71" s="147"/>
      <c r="CI71" s="147"/>
      <c r="CJ71" s="147"/>
      <c r="CK71" s="147"/>
      <c r="CL71" s="147"/>
      <c r="CM71" s="148"/>
      <c r="CN71" s="149"/>
      <c r="CO71" s="147"/>
      <c r="CP71" s="147"/>
      <c r="CQ71" s="147"/>
      <c r="CR71" s="147"/>
      <c r="CS71" s="147"/>
      <c r="CT71" s="148"/>
      <c r="CU71" s="149"/>
      <c r="CV71" s="147"/>
      <c r="CW71" s="147"/>
      <c r="CX71" s="147"/>
      <c r="CY71" s="147"/>
      <c r="CZ71" s="147"/>
      <c r="DA71" s="148"/>
      <c r="DB71" s="149"/>
      <c r="DC71" s="147"/>
      <c r="DD71" s="147"/>
      <c r="DE71" s="147"/>
      <c r="DF71" s="147"/>
      <c r="DG71" s="147"/>
      <c r="DH71" s="148"/>
      <c r="DI71" s="149"/>
      <c r="DJ71" s="147"/>
      <c r="DK71" s="147"/>
      <c r="DL71" s="147"/>
      <c r="DM71" s="147"/>
      <c r="DN71" s="147"/>
      <c r="DO71" s="148"/>
      <c r="DP71" s="149"/>
      <c r="DQ71" s="147"/>
      <c r="DR71" s="147"/>
      <c r="DS71" s="147"/>
      <c r="DT71" s="147"/>
      <c r="DU71" s="147"/>
      <c r="DV71" s="148"/>
      <c r="DW71" s="149"/>
      <c r="DX71" s="147"/>
      <c r="DY71" s="147"/>
      <c r="DZ71" s="147"/>
      <c r="EA71" s="147"/>
      <c r="EB71" s="147"/>
      <c r="EC71" s="148"/>
      <c r="ED71" s="149"/>
      <c r="EE71" s="147"/>
      <c r="EF71" s="147"/>
      <c r="EG71" s="147"/>
      <c r="EH71" s="147"/>
      <c r="EI71" s="147"/>
      <c r="EJ71" s="148"/>
      <c r="EK71" s="149"/>
      <c r="EL71" s="147"/>
      <c r="EM71" s="147"/>
      <c r="EN71" s="147"/>
      <c r="EO71" s="147"/>
      <c r="EP71" s="147"/>
      <c r="EQ71" s="148"/>
      <c r="ER71" s="149"/>
      <c r="ES71" s="147"/>
      <c r="ET71" s="147"/>
      <c r="EU71" s="147"/>
      <c r="EV71" s="147"/>
      <c r="EW71" s="147"/>
      <c r="EX71" s="148"/>
      <c r="EY71" s="149"/>
      <c r="EZ71" s="147"/>
      <c r="FA71" s="147"/>
      <c r="FB71" s="147"/>
      <c r="FC71" s="147"/>
      <c r="FD71" s="147"/>
      <c r="FE71" s="148"/>
      <c r="FF71" s="149"/>
      <c r="FG71" s="147"/>
      <c r="FH71" s="147"/>
      <c r="FI71" s="147"/>
      <c r="FJ71" s="147"/>
      <c r="FK71" s="147"/>
      <c r="FL71" s="148"/>
      <c r="FM71" s="149"/>
      <c r="FN71" s="147"/>
      <c r="FO71" s="147"/>
      <c r="FP71" s="147"/>
      <c r="FQ71" s="147"/>
      <c r="FR71" s="147"/>
      <c r="FS71" s="148"/>
      <c r="FT71" s="149"/>
      <c r="FU71" s="147"/>
      <c r="FV71" s="147"/>
      <c r="FW71" s="147"/>
      <c r="FX71" s="147"/>
      <c r="FY71" s="147"/>
      <c r="FZ71" s="148"/>
      <c r="GA71" s="149"/>
      <c r="GB71" s="147"/>
      <c r="GC71" s="147"/>
      <c r="GD71" s="147"/>
      <c r="GE71" s="147"/>
      <c r="GF71" s="147"/>
      <c r="GG71" s="148"/>
      <c r="GH71" s="149"/>
      <c r="GI71" s="147"/>
      <c r="GJ71" s="147"/>
      <c r="GK71" s="147"/>
      <c r="GL71" s="147"/>
      <c r="GM71" s="147"/>
      <c r="GN71" s="148"/>
      <c r="GO71" s="149"/>
      <c r="GP71" s="147"/>
      <c r="GQ71" s="147"/>
      <c r="GR71" s="147"/>
      <c r="GS71" s="147"/>
      <c r="GT71" s="147"/>
      <c r="GU71" s="148"/>
      <c r="GV71" s="149"/>
      <c r="GW71" s="147"/>
      <c r="GX71" s="147"/>
      <c r="GY71" s="147"/>
      <c r="GZ71" s="147"/>
      <c r="HA71" s="147"/>
      <c r="HB71" s="148"/>
      <c r="HC71" s="149"/>
      <c r="HD71" s="147"/>
      <c r="HE71" s="147"/>
      <c r="HF71" s="147"/>
      <c r="HG71" s="147"/>
      <c r="HH71" s="147"/>
      <c r="HI71" s="148"/>
      <c r="HJ71" s="149"/>
      <c r="HK71" s="147"/>
      <c r="HL71" s="147"/>
      <c r="HM71" s="147"/>
      <c r="HN71" s="147"/>
      <c r="HO71" s="147"/>
      <c r="HP71" s="148"/>
      <c r="HQ71" s="149"/>
      <c r="HR71" s="147"/>
      <c r="HS71" s="147"/>
      <c r="HT71" s="147"/>
      <c r="HU71" s="147"/>
      <c r="HV71" s="147"/>
      <c r="HW71" s="148"/>
      <c r="HX71" s="149"/>
      <c r="HY71" s="147"/>
      <c r="HZ71" s="147"/>
      <c r="IA71" s="147"/>
      <c r="IB71" s="147"/>
      <c r="IC71" s="147"/>
      <c r="ID71" s="148"/>
      <c r="IE71" s="149"/>
      <c r="IF71" s="147"/>
      <c r="IG71" s="147"/>
      <c r="IH71" s="147"/>
      <c r="II71" s="147"/>
      <c r="IJ71" s="147"/>
      <c r="IK71" s="148"/>
      <c r="IL71" s="149"/>
      <c r="IM71" s="147"/>
      <c r="IN71" s="147"/>
      <c r="IO71" s="147"/>
      <c r="IP71" s="147"/>
      <c r="IQ71" s="147"/>
      <c r="IR71" s="148"/>
      <c r="IS71" s="149"/>
      <c r="IT71" s="147"/>
      <c r="IU71" s="147"/>
      <c r="IV71" s="147"/>
    </row>
    <row r="72" spans="1:256">
      <c r="A72" s="861"/>
      <c r="B72" s="862"/>
      <c r="C72" s="862"/>
      <c r="D72" s="862"/>
      <c r="E72" s="862"/>
      <c r="F72" s="862"/>
      <c r="G72" s="863"/>
      <c r="H72" s="149"/>
      <c r="I72" s="147"/>
      <c r="J72" s="147"/>
      <c r="K72" s="147"/>
      <c r="L72" s="147"/>
      <c r="M72" s="147"/>
      <c r="N72" s="148"/>
      <c r="O72" s="149"/>
      <c r="P72" s="147"/>
      <c r="Q72" s="147"/>
      <c r="R72" s="147"/>
      <c r="S72" s="147"/>
      <c r="T72" s="147"/>
      <c r="U72" s="148"/>
      <c r="V72" s="149"/>
      <c r="W72" s="147"/>
      <c r="X72" s="147"/>
      <c r="Y72" s="147"/>
      <c r="Z72" s="147"/>
      <c r="AA72" s="147"/>
      <c r="AB72" s="148"/>
      <c r="AC72" s="149"/>
      <c r="AD72" s="147"/>
      <c r="AE72" s="147"/>
      <c r="AF72" s="147"/>
      <c r="AG72" s="147"/>
      <c r="AH72" s="147"/>
      <c r="AI72" s="148"/>
      <c r="AJ72" s="149"/>
      <c r="AK72" s="147"/>
      <c r="AL72" s="147"/>
      <c r="AM72" s="147"/>
      <c r="AN72" s="147"/>
      <c r="AO72" s="147"/>
      <c r="AP72" s="148"/>
      <c r="AQ72" s="149"/>
      <c r="AR72" s="147"/>
      <c r="AS72" s="147"/>
      <c r="AT72" s="147"/>
      <c r="AU72" s="147"/>
      <c r="AV72" s="147"/>
      <c r="AW72" s="148"/>
      <c r="AX72" s="149"/>
      <c r="AY72" s="147"/>
      <c r="AZ72" s="147"/>
      <c r="BA72" s="147"/>
      <c r="BB72" s="147"/>
      <c r="BC72" s="147"/>
      <c r="BD72" s="148"/>
      <c r="BE72" s="149"/>
      <c r="BF72" s="147"/>
      <c r="BG72" s="147"/>
      <c r="BH72" s="147"/>
      <c r="BI72" s="147"/>
      <c r="BJ72" s="147"/>
      <c r="BK72" s="148"/>
      <c r="BL72" s="149"/>
      <c r="BM72" s="147"/>
      <c r="BN72" s="147"/>
      <c r="BO72" s="147"/>
      <c r="BP72" s="147"/>
      <c r="BQ72" s="147"/>
      <c r="BR72" s="148"/>
      <c r="BS72" s="149"/>
      <c r="BT72" s="147"/>
      <c r="BU72" s="147"/>
      <c r="BV72" s="147"/>
      <c r="BW72" s="147"/>
      <c r="BX72" s="147"/>
      <c r="BY72" s="148"/>
      <c r="BZ72" s="149"/>
      <c r="CA72" s="147"/>
      <c r="CB72" s="147"/>
      <c r="CC72" s="147"/>
      <c r="CD72" s="147"/>
      <c r="CE72" s="147"/>
      <c r="CF72" s="148"/>
      <c r="CG72" s="149"/>
      <c r="CH72" s="147"/>
      <c r="CI72" s="147"/>
      <c r="CJ72" s="147"/>
      <c r="CK72" s="147"/>
      <c r="CL72" s="147"/>
      <c r="CM72" s="148"/>
      <c r="CN72" s="149"/>
      <c r="CO72" s="147"/>
      <c r="CP72" s="147"/>
      <c r="CQ72" s="147"/>
      <c r="CR72" s="147"/>
      <c r="CS72" s="147"/>
      <c r="CT72" s="148"/>
      <c r="CU72" s="149"/>
      <c r="CV72" s="147"/>
      <c r="CW72" s="147"/>
      <c r="CX72" s="147"/>
      <c r="CY72" s="147"/>
      <c r="CZ72" s="147"/>
      <c r="DA72" s="148"/>
      <c r="DB72" s="149"/>
      <c r="DC72" s="147"/>
      <c r="DD72" s="147"/>
      <c r="DE72" s="147"/>
      <c r="DF72" s="147"/>
      <c r="DG72" s="147"/>
      <c r="DH72" s="148"/>
      <c r="DI72" s="149"/>
      <c r="DJ72" s="147"/>
      <c r="DK72" s="147"/>
      <c r="DL72" s="147"/>
      <c r="DM72" s="147"/>
      <c r="DN72" s="147"/>
      <c r="DO72" s="148"/>
      <c r="DP72" s="149"/>
      <c r="DQ72" s="147"/>
      <c r="DR72" s="147"/>
      <c r="DS72" s="147"/>
      <c r="DT72" s="147"/>
      <c r="DU72" s="147"/>
      <c r="DV72" s="148"/>
      <c r="DW72" s="149"/>
      <c r="DX72" s="147"/>
      <c r="DY72" s="147"/>
      <c r="DZ72" s="147"/>
      <c r="EA72" s="147"/>
      <c r="EB72" s="147"/>
      <c r="EC72" s="148"/>
      <c r="ED72" s="149"/>
      <c r="EE72" s="147"/>
      <c r="EF72" s="147"/>
      <c r="EG72" s="147"/>
      <c r="EH72" s="147"/>
      <c r="EI72" s="147"/>
      <c r="EJ72" s="148"/>
      <c r="EK72" s="149"/>
      <c r="EL72" s="147"/>
      <c r="EM72" s="147"/>
      <c r="EN72" s="147"/>
      <c r="EO72" s="147"/>
      <c r="EP72" s="147"/>
      <c r="EQ72" s="148"/>
      <c r="ER72" s="149"/>
      <c r="ES72" s="147"/>
      <c r="ET72" s="147"/>
      <c r="EU72" s="147"/>
      <c r="EV72" s="147"/>
      <c r="EW72" s="147"/>
      <c r="EX72" s="148"/>
      <c r="EY72" s="149"/>
      <c r="EZ72" s="147"/>
      <c r="FA72" s="147"/>
      <c r="FB72" s="147"/>
      <c r="FC72" s="147"/>
      <c r="FD72" s="147"/>
      <c r="FE72" s="148"/>
      <c r="FF72" s="149"/>
      <c r="FG72" s="147"/>
      <c r="FH72" s="147"/>
      <c r="FI72" s="147"/>
      <c r="FJ72" s="147"/>
      <c r="FK72" s="147"/>
      <c r="FL72" s="148"/>
      <c r="FM72" s="149"/>
      <c r="FN72" s="147"/>
      <c r="FO72" s="147"/>
      <c r="FP72" s="147"/>
      <c r="FQ72" s="147"/>
      <c r="FR72" s="147"/>
      <c r="FS72" s="148"/>
      <c r="FT72" s="149"/>
      <c r="FU72" s="147"/>
      <c r="FV72" s="147"/>
      <c r="FW72" s="147"/>
      <c r="FX72" s="147"/>
      <c r="FY72" s="147"/>
      <c r="FZ72" s="148"/>
      <c r="GA72" s="149"/>
      <c r="GB72" s="147"/>
      <c r="GC72" s="147"/>
      <c r="GD72" s="147"/>
      <c r="GE72" s="147"/>
      <c r="GF72" s="147"/>
      <c r="GG72" s="148"/>
      <c r="GH72" s="149"/>
      <c r="GI72" s="147"/>
      <c r="GJ72" s="147"/>
      <c r="GK72" s="147"/>
      <c r="GL72" s="147"/>
      <c r="GM72" s="147"/>
      <c r="GN72" s="148"/>
      <c r="GO72" s="149"/>
      <c r="GP72" s="147"/>
      <c r="GQ72" s="147"/>
      <c r="GR72" s="147"/>
      <c r="GS72" s="147"/>
      <c r="GT72" s="147"/>
      <c r="GU72" s="148"/>
      <c r="GV72" s="149"/>
      <c r="GW72" s="147"/>
      <c r="GX72" s="147"/>
      <c r="GY72" s="147"/>
      <c r="GZ72" s="147"/>
      <c r="HA72" s="147"/>
      <c r="HB72" s="148"/>
      <c r="HC72" s="149"/>
      <c r="HD72" s="147"/>
      <c r="HE72" s="147"/>
      <c r="HF72" s="147"/>
      <c r="HG72" s="147"/>
      <c r="HH72" s="147"/>
      <c r="HI72" s="148"/>
      <c r="HJ72" s="149"/>
      <c r="HK72" s="147"/>
      <c r="HL72" s="147"/>
      <c r="HM72" s="147"/>
      <c r="HN72" s="147"/>
      <c r="HO72" s="147"/>
      <c r="HP72" s="148"/>
      <c r="HQ72" s="149"/>
      <c r="HR72" s="147"/>
      <c r="HS72" s="147"/>
      <c r="HT72" s="147"/>
      <c r="HU72" s="147"/>
      <c r="HV72" s="147"/>
      <c r="HW72" s="148"/>
      <c r="HX72" s="149"/>
      <c r="HY72" s="147"/>
      <c r="HZ72" s="147"/>
      <c r="IA72" s="147"/>
      <c r="IB72" s="147"/>
      <c r="IC72" s="147"/>
      <c r="ID72" s="148"/>
      <c r="IE72" s="149"/>
      <c r="IF72" s="147"/>
      <c r="IG72" s="147"/>
      <c r="IH72" s="147"/>
      <c r="II72" s="147"/>
      <c r="IJ72" s="147"/>
      <c r="IK72" s="148"/>
      <c r="IL72" s="149"/>
      <c r="IM72" s="147"/>
      <c r="IN72" s="147"/>
      <c r="IO72" s="147"/>
      <c r="IP72" s="147"/>
      <c r="IQ72" s="147"/>
      <c r="IR72" s="148"/>
      <c r="IS72" s="149"/>
      <c r="IT72" s="147"/>
      <c r="IU72" s="147"/>
      <c r="IV72" s="147"/>
    </row>
    <row r="73" spans="1:256" ht="12.75">
      <c r="A73" s="803"/>
      <c r="B73" s="804"/>
      <c r="C73" s="804"/>
      <c r="D73" s="804"/>
      <c r="E73" s="804"/>
      <c r="F73" s="804"/>
      <c r="G73" s="805"/>
      <c r="H73" s="149"/>
      <c r="I73" s="147"/>
      <c r="J73" s="147"/>
      <c r="K73" s="147"/>
      <c r="L73" s="147"/>
      <c r="M73" s="147"/>
      <c r="N73" s="148"/>
      <c r="O73" s="149"/>
      <c r="P73" s="147"/>
      <c r="Q73" s="147"/>
      <c r="R73" s="147"/>
      <c r="S73" s="147"/>
      <c r="T73" s="147"/>
      <c r="U73" s="148"/>
      <c r="V73" s="149"/>
      <c r="W73" s="147"/>
      <c r="X73" s="147"/>
      <c r="Y73" s="147"/>
      <c r="Z73" s="147"/>
      <c r="AA73" s="147"/>
      <c r="AB73" s="148"/>
      <c r="AC73" s="149"/>
      <c r="AD73" s="147"/>
      <c r="AE73" s="147"/>
      <c r="AF73" s="147"/>
      <c r="AG73" s="147"/>
      <c r="AH73" s="147"/>
      <c r="AI73" s="148"/>
      <c r="AJ73" s="149"/>
      <c r="AK73" s="147"/>
      <c r="AL73" s="147"/>
      <c r="AM73" s="147"/>
      <c r="AN73" s="147"/>
      <c r="AO73" s="147"/>
      <c r="AP73" s="148"/>
      <c r="AQ73" s="149"/>
      <c r="AR73" s="147"/>
      <c r="AS73" s="147"/>
      <c r="AT73" s="147"/>
      <c r="AU73" s="147"/>
      <c r="AV73" s="147"/>
      <c r="AW73" s="148"/>
      <c r="AX73" s="149"/>
      <c r="AY73" s="147"/>
      <c r="AZ73" s="147"/>
      <c r="BA73" s="147"/>
      <c r="BB73" s="147"/>
      <c r="BC73" s="147"/>
      <c r="BD73" s="148"/>
      <c r="BE73" s="149"/>
      <c r="BF73" s="147"/>
      <c r="BG73" s="147"/>
      <c r="BH73" s="147"/>
      <c r="BI73" s="147"/>
      <c r="BJ73" s="147"/>
      <c r="BK73" s="148"/>
      <c r="BL73" s="149"/>
      <c r="BM73" s="147"/>
      <c r="BN73" s="147"/>
      <c r="BO73" s="147"/>
      <c r="BP73" s="147"/>
      <c r="BQ73" s="147"/>
      <c r="BR73" s="148"/>
      <c r="BS73" s="149"/>
      <c r="BT73" s="147"/>
      <c r="BU73" s="147"/>
      <c r="BV73" s="147"/>
      <c r="BW73" s="147"/>
      <c r="BX73" s="147"/>
      <c r="BY73" s="148"/>
      <c r="BZ73" s="149"/>
      <c r="CA73" s="147"/>
      <c r="CB73" s="147"/>
      <c r="CC73" s="147"/>
      <c r="CD73" s="147"/>
      <c r="CE73" s="147"/>
      <c r="CF73" s="148"/>
      <c r="CG73" s="149"/>
      <c r="CH73" s="147"/>
      <c r="CI73" s="147"/>
      <c r="CJ73" s="147"/>
      <c r="CK73" s="147"/>
      <c r="CL73" s="147"/>
      <c r="CM73" s="148"/>
      <c r="CN73" s="149"/>
      <c r="CO73" s="147"/>
      <c r="CP73" s="147"/>
      <c r="CQ73" s="147"/>
      <c r="CR73" s="147"/>
      <c r="CS73" s="147"/>
      <c r="CT73" s="148"/>
      <c r="CU73" s="149"/>
      <c r="CV73" s="147"/>
      <c r="CW73" s="147"/>
      <c r="CX73" s="147"/>
      <c r="CY73" s="147"/>
      <c r="CZ73" s="147"/>
      <c r="DA73" s="148"/>
      <c r="DB73" s="149"/>
      <c r="DC73" s="147"/>
      <c r="DD73" s="147"/>
      <c r="DE73" s="147"/>
      <c r="DF73" s="147"/>
      <c r="DG73" s="147"/>
      <c r="DH73" s="148"/>
      <c r="DI73" s="149"/>
      <c r="DJ73" s="147"/>
      <c r="DK73" s="147"/>
      <c r="DL73" s="147"/>
      <c r="DM73" s="147"/>
      <c r="DN73" s="147"/>
      <c r="DO73" s="148"/>
      <c r="DP73" s="149"/>
      <c r="DQ73" s="147"/>
      <c r="DR73" s="147"/>
      <c r="DS73" s="147"/>
      <c r="DT73" s="147"/>
      <c r="DU73" s="147"/>
      <c r="DV73" s="148"/>
      <c r="DW73" s="149"/>
      <c r="DX73" s="147"/>
      <c r="DY73" s="147"/>
      <c r="DZ73" s="147"/>
      <c r="EA73" s="147"/>
      <c r="EB73" s="147"/>
      <c r="EC73" s="148"/>
      <c r="ED73" s="149"/>
      <c r="EE73" s="147"/>
      <c r="EF73" s="147"/>
      <c r="EG73" s="147"/>
      <c r="EH73" s="147"/>
      <c r="EI73" s="147"/>
      <c r="EJ73" s="148"/>
      <c r="EK73" s="149"/>
      <c r="EL73" s="147"/>
      <c r="EM73" s="147"/>
      <c r="EN73" s="147"/>
      <c r="EO73" s="147"/>
      <c r="EP73" s="147"/>
      <c r="EQ73" s="148"/>
      <c r="ER73" s="149"/>
      <c r="ES73" s="147"/>
      <c r="ET73" s="147"/>
      <c r="EU73" s="147"/>
      <c r="EV73" s="147"/>
      <c r="EW73" s="147"/>
      <c r="EX73" s="148"/>
      <c r="EY73" s="149"/>
      <c r="EZ73" s="147"/>
      <c r="FA73" s="147"/>
      <c r="FB73" s="147"/>
      <c r="FC73" s="147"/>
      <c r="FD73" s="147"/>
      <c r="FE73" s="148"/>
      <c r="FF73" s="149"/>
      <c r="FG73" s="147"/>
      <c r="FH73" s="147"/>
      <c r="FI73" s="147"/>
      <c r="FJ73" s="147"/>
      <c r="FK73" s="147"/>
      <c r="FL73" s="148"/>
      <c r="FM73" s="149"/>
      <c r="FN73" s="147"/>
      <c r="FO73" s="147"/>
      <c r="FP73" s="147"/>
      <c r="FQ73" s="147"/>
      <c r="FR73" s="147"/>
      <c r="FS73" s="148"/>
      <c r="FT73" s="149"/>
      <c r="FU73" s="147"/>
      <c r="FV73" s="147"/>
      <c r="FW73" s="147"/>
      <c r="FX73" s="147"/>
      <c r="FY73" s="147"/>
      <c r="FZ73" s="148"/>
      <c r="GA73" s="149"/>
      <c r="GB73" s="147"/>
      <c r="GC73" s="147"/>
      <c r="GD73" s="147"/>
      <c r="GE73" s="147"/>
      <c r="GF73" s="147"/>
      <c r="GG73" s="148"/>
      <c r="GH73" s="149"/>
      <c r="GI73" s="147"/>
      <c r="GJ73" s="147"/>
      <c r="GK73" s="147"/>
      <c r="GL73" s="147"/>
      <c r="GM73" s="147"/>
      <c r="GN73" s="148"/>
      <c r="GO73" s="149"/>
      <c r="GP73" s="147"/>
      <c r="GQ73" s="147"/>
      <c r="GR73" s="147"/>
      <c r="GS73" s="147"/>
      <c r="GT73" s="147"/>
      <c r="GU73" s="148"/>
      <c r="GV73" s="149"/>
      <c r="GW73" s="147"/>
      <c r="GX73" s="147"/>
      <c r="GY73" s="147"/>
      <c r="GZ73" s="147"/>
      <c r="HA73" s="147"/>
      <c r="HB73" s="148"/>
      <c r="HC73" s="149"/>
      <c r="HD73" s="147"/>
      <c r="HE73" s="147"/>
      <c r="HF73" s="147"/>
      <c r="HG73" s="147"/>
      <c r="HH73" s="147"/>
      <c r="HI73" s="148"/>
      <c r="HJ73" s="149"/>
      <c r="HK73" s="147"/>
      <c r="HL73" s="147"/>
      <c r="HM73" s="147"/>
      <c r="HN73" s="147"/>
      <c r="HO73" s="147"/>
      <c r="HP73" s="148"/>
      <c r="HQ73" s="149"/>
      <c r="HR73" s="147"/>
      <c r="HS73" s="147"/>
      <c r="HT73" s="147"/>
      <c r="HU73" s="147"/>
      <c r="HV73" s="147"/>
      <c r="HW73" s="148"/>
      <c r="HX73" s="149"/>
      <c r="HY73" s="147"/>
      <c r="HZ73" s="147"/>
      <c r="IA73" s="147"/>
      <c r="IB73" s="147"/>
      <c r="IC73" s="147"/>
      <c r="ID73" s="148"/>
      <c r="IE73" s="149"/>
      <c r="IF73" s="147"/>
      <c r="IG73" s="147"/>
      <c r="IH73" s="147"/>
      <c r="II73" s="147"/>
      <c r="IJ73" s="147"/>
      <c r="IK73" s="148"/>
      <c r="IL73" s="149"/>
      <c r="IM73" s="147"/>
      <c r="IN73" s="147"/>
      <c r="IO73" s="147"/>
      <c r="IP73" s="147"/>
      <c r="IQ73" s="147"/>
      <c r="IR73" s="148"/>
      <c r="IS73" s="149"/>
      <c r="IT73" s="147"/>
      <c r="IU73" s="147"/>
      <c r="IV73" s="147"/>
    </row>
    <row r="74" spans="1:256" ht="15.75">
      <c r="A74" s="179" t="s">
        <v>22</v>
      </c>
      <c r="B74" s="147"/>
      <c r="C74" s="147"/>
      <c r="D74" s="147"/>
      <c r="E74" s="147"/>
      <c r="F74" s="147"/>
      <c r="G74" s="148"/>
      <c r="H74" s="149"/>
      <c r="I74" s="147"/>
      <c r="J74" s="147"/>
      <c r="K74" s="147"/>
      <c r="L74" s="147"/>
      <c r="M74" s="147"/>
      <c r="N74" s="148"/>
      <c r="O74" s="149"/>
      <c r="P74" s="147"/>
      <c r="Q74" s="147"/>
      <c r="R74" s="147"/>
      <c r="S74" s="147"/>
      <c r="T74" s="147"/>
      <c r="U74" s="148"/>
      <c r="V74" s="149"/>
      <c r="W74" s="147"/>
      <c r="X74" s="147"/>
      <c r="Y74" s="147"/>
      <c r="Z74" s="147"/>
      <c r="AA74" s="147"/>
      <c r="AB74" s="148"/>
      <c r="AC74" s="149"/>
      <c r="AD74" s="147"/>
      <c r="AE74" s="147"/>
      <c r="AF74" s="147"/>
      <c r="AG74" s="147"/>
      <c r="AH74" s="147"/>
      <c r="AI74" s="148"/>
      <c r="AJ74" s="149"/>
      <c r="AK74" s="147"/>
      <c r="AL74" s="147"/>
      <c r="AM74" s="147"/>
      <c r="AN74" s="147"/>
      <c r="AO74" s="147"/>
      <c r="AP74" s="148"/>
      <c r="AQ74" s="149"/>
      <c r="AR74" s="147"/>
      <c r="AS74" s="147"/>
      <c r="AT74" s="147"/>
      <c r="AU74" s="147"/>
      <c r="AV74" s="147"/>
      <c r="AW74" s="148"/>
      <c r="AX74" s="149"/>
      <c r="AY74" s="147"/>
      <c r="AZ74" s="147"/>
      <c r="BA74" s="147"/>
      <c r="BB74" s="147"/>
      <c r="BC74" s="147"/>
      <c r="BD74" s="148"/>
      <c r="BE74" s="149"/>
      <c r="BF74" s="147"/>
      <c r="BG74" s="147"/>
      <c r="BH74" s="147"/>
      <c r="BI74" s="147"/>
      <c r="BJ74" s="147"/>
      <c r="BK74" s="148"/>
      <c r="BL74" s="149"/>
      <c r="BM74" s="147"/>
      <c r="BN74" s="147"/>
      <c r="BO74" s="147"/>
      <c r="BP74" s="147"/>
      <c r="BQ74" s="147"/>
      <c r="BR74" s="148"/>
      <c r="BS74" s="149"/>
      <c r="BT74" s="147"/>
      <c r="BU74" s="147"/>
      <c r="BV74" s="147"/>
      <c r="BW74" s="147"/>
      <c r="BX74" s="147"/>
      <c r="BY74" s="148"/>
      <c r="BZ74" s="149"/>
      <c r="CA74" s="147"/>
      <c r="CB74" s="147"/>
      <c r="CC74" s="147"/>
      <c r="CD74" s="147"/>
      <c r="CE74" s="147"/>
      <c r="CF74" s="148"/>
      <c r="CG74" s="149"/>
      <c r="CH74" s="147"/>
      <c r="CI74" s="147"/>
      <c r="CJ74" s="147"/>
      <c r="CK74" s="147"/>
      <c r="CL74" s="147"/>
      <c r="CM74" s="148"/>
      <c r="CN74" s="149"/>
      <c r="CO74" s="147"/>
      <c r="CP74" s="147"/>
      <c r="CQ74" s="147"/>
      <c r="CR74" s="147"/>
      <c r="CS74" s="147"/>
      <c r="CT74" s="148"/>
      <c r="CU74" s="149"/>
      <c r="CV74" s="147"/>
      <c r="CW74" s="147"/>
      <c r="CX74" s="147"/>
      <c r="CY74" s="147"/>
      <c r="CZ74" s="147"/>
      <c r="DA74" s="148"/>
      <c r="DB74" s="149"/>
      <c r="DC74" s="147"/>
      <c r="DD74" s="147"/>
      <c r="DE74" s="147"/>
      <c r="DF74" s="147"/>
      <c r="DG74" s="147"/>
      <c r="DH74" s="148"/>
      <c r="DI74" s="149"/>
      <c r="DJ74" s="147"/>
      <c r="DK74" s="147"/>
      <c r="DL74" s="147"/>
      <c r="DM74" s="147"/>
      <c r="DN74" s="147"/>
      <c r="DO74" s="148"/>
      <c r="DP74" s="149"/>
      <c r="DQ74" s="147"/>
      <c r="DR74" s="147"/>
      <c r="DS74" s="147"/>
      <c r="DT74" s="147"/>
      <c r="DU74" s="147"/>
      <c r="DV74" s="148"/>
      <c r="DW74" s="149"/>
      <c r="DX74" s="147"/>
      <c r="DY74" s="147"/>
      <c r="DZ74" s="147"/>
      <c r="EA74" s="147"/>
      <c r="EB74" s="147"/>
      <c r="EC74" s="148"/>
      <c r="ED74" s="149"/>
      <c r="EE74" s="147"/>
      <c r="EF74" s="147"/>
      <c r="EG74" s="147"/>
      <c r="EH74" s="147"/>
      <c r="EI74" s="147"/>
      <c r="EJ74" s="148"/>
      <c r="EK74" s="149"/>
      <c r="EL74" s="147"/>
      <c r="EM74" s="147"/>
      <c r="EN74" s="147"/>
      <c r="EO74" s="147"/>
      <c r="EP74" s="147"/>
      <c r="EQ74" s="148"/>
      <c r="ER74" s="149"/>
      <c r="ES74" s="147"/>
      <c r="ET74" s="147"/>
      <c r="EU74" s="147"/>
      <c r="EV74" s="147"/>
      <c r="EW74" s="147"/>
      <c r="EX74" s="148"/>
      <c r="EY74" s="149"/>
      <c r="EZ74" s="147"/>
      <c r="FA74" s="147"/>
      <c r="FB74" s="147"/>
      <c r="FC74" s="147"/>
      <c r="FD74" s="147"/>
      <c r="FE74" s="148"/>
      <c r="FF74" s="149"/>
      <c r="FG74" s="147"/>
      <c r="FH74" s="147"/>
      <c r="FI74" s="147"/>
      <c r="FJ74" s="147"/>
      <c r="FK74" s="147"/>
      <c r="FL74" s="148"/>
      <c r="FM74" s="149"/>
      <c r="FN74" s="147"/>
      <c r="FO74" s="147"/>
      <c r="FP74" s="147"/>
      <c r="FQ74" s="147"/>
      <c r="FR74" s="147"/>
      <c r="FS74" s="148"/>
      <c r="FT74" s="149"/>
      <c r="FU74" s="147"/>
      <c r="FV74" s="147"/>
      <c r="FW74" s="147"/>
      <c r="FX74" s="147"/>
      <c r="FY74" s="147"/>
      <c r="FZ74" s="148"/>
      <c r="GA74" s="149"/>
      <c r="GB74" s="147"/>
      <c r="GC74" s="147"/>
      <c r="GD74" s="147"/>
      <c r="GE74" s="147"/>
      <c r="GF74" s="147"/>
      <c r="GG74" s="148"/>
      <c r="GH74" s="149"/>
      <c r="GI74" s="147"/>
      <c r="GJ74" s="147"/>
      <c r="GK74" s="147"/>
      <c r="GL74" s="147"/>
      <c r="GM74" s="147"/>
      <c r="GN74" s="148"/>
      <c r="GO74" s="149"/>
      <c r="GP74" s="147"/>
      <c r="GQ74" s="147"/>
      <c r="GR74" s="147"/>
      <c r="GS74" s="147"/>
      <c r="GT74" s="147"/>
      <c r="GU74" s="148"/>
      <c r="GV74" s="149"/>
      <c r="GW74" s="147"/>
      <c r="GX74" s="147"/>
      <c r="GY74" s="147"/>
      <c r="GZ74" s="147"/>
      <c r="HA74" s="147"/>
      <c r="HB74" s="148"/>
      <c r="HC74" s="149"/>
      <c r="HD74" s="147"/>
      <c r="HE74" s="147"/>
      <c r="HF74" s="147"/>
      <c r="HG74" s="147"/>
      <c r="HH74" s="147"/>
      <c r="HI74" s="148"/>
      <c r="HJ74" s="149"/>
      <c r="HK74" s="147"/>
      <c r="HL74" s="147"/>
      <c r="HM74" s="147"/>
      <c r="HN74" s="147"/>
      <c r="HO74" s="147"/>
      <c r="HP74" s="148"/>
      <c r="HQ74" s="149"/>
      <c r="HR74" s="147"/>
      <c r="HS74" s="147"/>
      <c r="HT74" s="147"/>
      <c r="HU74" s="147"/>
      <c r="HV74" s="147"/>
      <c r="HW74" s="148"/>
      <c r="HX74" s="149"/>
      <c r="HY74" s="147"/>
      <c r="HZ74" s="147"/>
      <c r="IA74" s="147"/>
      <c r="IB74" s="147"/>
      <c r="IC74" s="147"/>
      <c r="ID74" s="148"/>
      <c r="IE74" s="149"/>
      <c r="IF74" s="147"/>
      <c r="IG74" s="147"/>
      <c r="IH74" s="147"/>
      <c r="II74" s="147"/>
      <c r="IJ74" s="147"/>
      <c r="IK74" s="148"/>
      <c r="IL74" s="149"/>
      <c r="IM74" s="147"/>
      <c r="IN74" s="147"/>
      <c r="IO74" s="147"/>
      <c r="IP74" s="147"/>
      <c r="IQ74" s="147"/>
      <c r="IR74" s="148"/>
      <c r="IS74" s="149"/>
      <c r="IT74" s="147"/>
      <c r="IU74" s="147"/>
      <c r="IV74" s="147"/>
    </row>
    <row r="75" spans="1:256">
      <c r="A75" s="149"/>
      <c r="B75" s="147"/>
      <c r="C75" s="147"/>
      <c r="D75" s="147"/>
      <c r="E75" s="147"/>
      <c r="F75" s="147"/>
      <c r="G75" s="148"/>
      <c r="H75" s="149"/>
      <c r="I75" s="147"/>
      <c r="J75" s="147"/>
      <c r="K75" s="147"/>
      <c r="L75" s="147"/>
      <c r="M75" s="147"/>
      <c r="N75" s="148"/>
      <c r="O75" s="149"/>
      <c r="P75" s="147"/>
      <c r="Q75" s="147"/>
      <c r="R75" s="147"/>
      <c r="S75" s="147"/>
      <c r="T75" s="147"/>
      <c r="U75" s="148"/>
      <c r="V75" s="149"/>
      <c r="W75" s="147"/>
      <c r="X75" s="147"/>
      <c r="Y75" s="147"/>
      <c r="Z75" s="147"/>
      <c r="AA75" s="147"/>
      <c r="AB75" s="148"/>
      <c r="AC75" s="149"/>
      <c r="AD75" s="147"/>
      <c r="AE75" s="147"/>
      <c r="AF75" s="147"/>
      <c r="AG75" s="147"/>
      <c r="AH75" s="147"/>
      <c r="AI75" s="148"/>
      <c r="AJ75" s="149"/>
      <c r="AK75" s="147"/>
      <c r="AL75" s="147"/>
      <c r="AM75" s="147"/>
      <c r="AN75" s="147"/>
      <c r="AO75" s="147"/>
      <c r="AP75" s="148"/>
      <c r="AQ75" s="149"/>
      <c r="AR75" s="147"/>
      <c r="AS75" s="147"/>
      <c r="AT75" s="147"/>
      <c r="AU75" s="147"/>
      <c r="AV75" s="147"/>
      <c r="AW75" s="148"/>
      <c r="AX75" s="149"/>
      <c r="AY75" s="147"/>
      <c r="AZ75" s="147"/>
      <c r="BA75" s="147"/>
      <c r="BB75" s="147"/>
      <c r="BC75" s="147"/>
      <c r="BD75" s="148"/>
      <c r="BE75" s="149"/>
      <c r="BF75" s="147"/>
      <c r="BG75" s="147"/>
      <c r="BH75" s="147"/>
      <c r="BI75" s="147"/>
      <c r="BJ75" s="147"/>
      <c r="BK75" s="148"/>
      <c r="BL75" s="149"/>
      <c r="BM75" s="147"/>
      <c r="BN75" s="147"/>
      <c r="BO75" s="147"/>
      <c r="BP75" s="147"/>
      <c r="BQ75" s="147"/>
      <c r="BR75" s="148"/>
      <c r="BS75" s="149"/>
      <c r="BT75" s="147"/>
      <c r="BU75" s="147"/>
      <c r="BV75" s="147"/>
      <c r="BW75" s="147"/>
      <c r="BX75" s="147"/>
      <c r="BY75" s="148"/>
      <c r="BZ75" s="149"/>
      <c r="CA75" s="147"/>
      <c r="CB75" s="147"/>
      <c r="CC75" s="147"/>
      <c r="CD75" s="147"/>
      <c r="CE75" s="147"/>
      <c r="CF75" s="148"/>
      <c r="CG75" s="149"/>
      <c r="CH75" s="147"/>
      <c r="CI75" s="147"/>
      <c r="CJ75" s="147"/>
      <c r="CK75" s="147"/>
      <c r="CL75" s="147"/>
      <c r="CM75" s="148"/>
      <c r="CN75" s="149"/>
      <c r="CO75" s="147"/>
      <c r="CP75" s="147"/>
      <c r="CQ75" s="147"/>
      <c r="CR75" s="147"/>
      <c r="CS75" s="147"/>
      <c r="CT75" s="148"/>
      <c r="CU75" s="149"/>
      <c r="CV75" s="147"/>
      <c r="CW75" s="147"/>
      <c r="CX75" s="147"/>
      <c r="CY75" s="147"/>
      <c r="CZ75" s="147"/>
      <c r="DA75" s="148"/>
      <c r="DB75" s="149"/>
      <c r="DC75" s="147"/>
      <c r="DD75" s="147"/>
      <c r="DE75" s="147"/>
      <c r="DF75" s="147"/>
      <c r="DG75" s="147"/>
      <c r="DH75" s="148"/>
      <c r="DI75" s="149"/>
      <c r="DJ75" s="147"/>
      <c r="DK75" s="147"/>
      <c r="DL75" s="147"/>
      <c r="DM75" s="147"/>
      <c r="DN75" s="147"/>
      <c r="DO75" s="148"/>
      <c r="DP75" s="149"/>
      <c r="DQ75" s="147"/>
      <c r="DR75" s="147"/>
      <c r="DS75" s="147"/>
      <c r="DT75" s="147"/>
      <c r="DU75" s="147"/>
      <c r="DV75" s="148"/>
      <c r="DW75" s="149"/>
      <c r="DX75" s="147"/>
      <c r="DY75" s="147"/>
      <c r="DZ75" s="147"/>
      <c r="EA75" s="147"/>
      <c r="EB75" s="147"/>
      <c r="EC75" s="148"/>
      <c r="ED75" s="149"/>
      <c r="EE75" s="147"/>
      <c r="EF75" s="147"/>
      <c r="EG75" s="147"/>
      <c r="EH75" s="147"/>
      <c r="EI75" s="147"/>
      <c r="EJ75" s="148"/>
      <c r="EK75" s="149"/>
      <c r="EL75" s="147"/>
      <c r="EM75" s="147"/>
      <c r="EN75" s="147"/>
      <c r="EO75" s="147"/>
      <c r="EP75" s="147"/>
      <c r="EQ75" s="148"/>
      <c r="ER75" s="149"/>
      <c r="ES75" s="147"/>
      <c r="ET75" s="147"/>
      <c r="EU75" s="147"/>
      <c r="EV75" s="147"/>
      <c r="EW75" s="147"/>
      <c r="EX75" s="148"/>
      <c r="EY75" s="149"/>
      <c r="EZ75" s="147"/>
      <c r="FA75" s="147"/>
      <c r="FB75" s="147"/>
      <c r="FC75" s="147"/>
      <c r="FD75" s="147"/>
      <c r="FE75" s="148"/>
      <c r="FF75" s="149"/>
      <c r="FG75" s="147"/>
      <c r="FH75" s="147"/>
      <c r="FI75" s="147"/>
      <c r="FJ75" s="147"/>
      <c r="FK75" s="147"/>
      <c r="FL75" s="148"/>
      <c r="FM75" s="149"/>
      <c r="FN75" s="147"/>
      <c r="FO75" s="147"/>
      <c r="FP75" s="147"/>
      <c r="FQ75" s="147"/>
      <c r="FR75" s="147"/>
      <c r="FS75" s="148"/>
      <c r="FT75" s="149"/>
      <c r="FU75" s="147"/>
      <c r="FV75" s="147"/>
      <c r="FW75" s="147"/>
      <c r="FX75" s="147"/>
      <c r="FY75" s="147"/>
      <c r="FZ75" s="148"/>
      <c r="GA75" s="149"/>
      <c r="GB75" s="147"/>
      <c r="GC75" s="147"/>
      <c r="GD75" s="147"/>
      <c r="GE75" s="147"/>
      <c r="GF75" s="147"/>
      <c r="GG75" s="148"/>
      <c r="GH75" s="149"/>
      <c r="GI75" s="147"/>
      <c r="GJ75" s="147"/>
      <c r="GK75" s="147"/>
      <c r="GL75" s="147"/>
      <c r="GM75" s="147"/>
      <c r="GN75" s="148"/>
      <c r="GO75" s="149"/>
      <c r="GP75" s="147"/>
      <c r="GQ75" s="147"/>
      <c r="GR75" s="147"/>
      <c r="GS75" s="147"/>
      <c r="GT75" s="147"/>
      <c r="GU75" s="148"/>
      <c r="GV75" s="149"/>
      <c r="GW75" s="147"/>
      <c r="GX75" s="147"/>
      <c r="GY75" s="147"/>
      <c r="GZ75" s="147"/>
      <c r="HA75" s="147"/>
      <c r="HB75" s="148"/>
      <c r="HC75" s="149"/>
      <c r="HD75" s="147"/>
      <c r="HE75" s="147"/>
      <c r="HF75" s="147"/>
      <c r="HG75" s="147"/>
      <c r="HH75" s="147"/>
      <c r="HI75" s="148"/>
      <c r="HJ75" s="149"/>
      <c r="HK75" s="147"/>
      <c r="HL75" s="147"/>
      <c r="HM75" s="147"/>
      <c r="HN75" s="147"/>
      <c r="HO75" s="147"/>
      <c r="HP75" s="148"/>
      <c r="HQ75" s="149"/>
      <c r="HR75" s="147"/>
      <c r="HS75" s="147"/>
      <c r="HT75" s="147"/>
      <c r="HU75" s="147"/>
      <c r="HV75" s="147"/>
      <c r="HW75" s="148"/>
      <c r="HX75" s="149"/>
      <c r="HY75" s="147"/>
      <c r="HZ75" s="147"/>
      <c r="IA75" s="147"/>
      <c r="IB75" s="147"/>
      <c r="IC75" s="147"/>
      <c r="ID75" s="148"/>
      <c r="IE75" s="149"/>
      <c r="IF75" s="147"/>
      <c r="IG75" s="147"/>
      <c r="IH75" s="147"/>
      <c r="II75" s="147"/>
      <c r="IJ75" s="147"/>
      <c r="IK75" s="148"/>
      <c r="IL75" s="149"/>
      <c r="IM75" s="147"/>
      <c r="IN75" s="147"/>
      <c r="IO75" s="147"/>
      <c r="IP75" s="147"/>
      <c r="IQ75" s="147"/>
      <c r="IR75" s="148"/>
      <c r="IS75" s="149"/>
      <c r="IT75" s="147"/>
      <c r="IU75" s="147"/>
      <c r="IV75" s="147"/>
    </row>
    <row r="76" spans="1:256" ht="12.75">
      <c r="A76" s="208" t="s">
        <v>448</v>
      </c>
      <c r="B76" s="147"/>
      <c r="C76" s="147"/>
      <c r="D76" s="147"/>
      <c r="E76" s="147"/>
      <c r="F76" s="147"/>
      <c r="G76" s="148"/>
      <c r="H76" s="149"/>
      <c r="I76" s="147"/>
      <c r="J76" s="147"/>
      <c r="K76" s="147"/>
      <c r="L76" s="147"/>
      <c r="M76" s="147"/>
      <c r="N76" s="148"/>
      <c r="O76" s="149"/>
      <c r="P76" s="147"/>
      <c r="Q76" s="147"/>
      <c r="R76" s="147"/>
      <c r="S76" s="147"/>
      <c r="T76" s="147"/>
      <c r="U76" s="148"/>
      <c r="V76" s="149"/>
      <c r="W76" s="147"/>
      <c r="X76" s="147"/>
      <c r="Y76" s="147"/>
      <c r="Z76" s="147"/>
      <c r="AA76" s="147"/>
      <c r="AB76" s="148"/>
      <c r="AC76" s="149"/>
      <c r="AD76" s="147"/>
      <c r="AE76" s="147"/>
      <c r="AF76" s="147"/>
      <c r="AG76" s="147"/>
      <c r="AH76" s="147"/>
      <c r="AI76" s="148"/>
      <c r="AJ76" s="149"/>
      <c r="AK76" s="147"/>
      <c r="AL76" s="147"/>
      <c r="AM76" s="147"/>
      <c r="AN76" s="147"/>
      <c r="AO76" s="147"/>
      <c r="AP76" s="148"/>
      <c r="AQ76" s="149"/>
      <c r="AR76" s="147"/>
      <c r="AS76" s="147"/>
      <c r="AT76" s="147"/>
      <c r="AU76" s="147"/>
      <c r="AV76" s="147"/>
      <c r="AW76" s="148"/>
      <c r="AX76" s="149"/>
      <c r="AY76" s="147"/>
      <c r="AZ76" s="147"/>
      <c r="BA76" s="147"/>
      <c r="BB76" s="147"/>
      <c r="BC76" s="147"/>
      <c r="BD76" s="148"/>
      <c r="BE76" s="149"/>
      <c r="BF76" s="147"/>
      <c r="BG76" s="147"/>
      <c r="BH76" s="147"/>
      <c r="BI76" s="147"/>
      <c r="BJ76" s="147"/>
      <c r="BK76" s="148"/>
      <c r="BL76" s="149"/>
      <c r="BM76" s="147"/>
      <c r="BN76" s="147"/>
      <c r="BO76" s="147"/>
      <c r="BP76" s="147"/>
      <c r="BQ76" s="147"/>
      <c r="BR76" s="148"/>
      <c r="BS76" s="149"/>
      <c r="BT76" s="147"/>
      <c r="BU76" s="147"/>
      <c r="BV76" s="147"/>
      <c r="BW76" s="147"/>
      <c r="BX76" s="147"/>
      <c r="BY76" s="148"/>
      <c r="BZ76" s="149"/>
      <c r="CA76" s="147"/>
      <c r="CB76" s="147"/>
      <c r="CC76" s="147"/>
      <c r="CD76" s="147"/>
      <c r="CE76" s="147"/>
      <c r="CF76" s="148"/>
      <c r="CG76" s="149"/>
      <c r="CH76" s="147"/>
      <c r="CI76" s="147"/>
      <c r="CJ76" s="147"/>
      <c r="CK76" s="147"/>
      <c r="CL76" s="147"/>
      <c r="CM76" s="148"/>
      <c r="CN76" s="149"/>
      <c r="CO76" s="147"/>
      <c r="CP76" s="147"/>
      <c r="CQ76" s="147"/>
      <c r="CR76" s="147"/>
      <c r="CS76" s="147"/>
      <c r="CT76" s="148"/>
      <c r="CU76" s="149"/>
      <c r="CV76" s="147"/>
      <c r="CW76" s="147"/>
      <c r="CX76" s="147"/>
      <c r="CY76" s="147"/>
      <c r="CZ76" s="147"/>
      <c r="DA76" s="148"/>
      <c r="DB76" s="149"/>
      <c r="DC76" s="147"/>
      <c r="DD76" s="147"/>
      <c r="DE76" s="147"/>
      <c r="DF76" s="147"/>
      <c r="DG76" s="147"/>
      <c r="DH76" s="148"/>
      <c r="DI76" s="149"/>
      <c r="DJ76" s="147"/>
      <c r="DK76" s="147"/>
      <c r="DL76" s="147"/>
      <c r="DM76" s="147"/>
      <c r="DN76" s="147"/>
      <c r="DO76" s="148"/>
      <c r="DP76" s="149"/>
      <c r="DQ76" s="147"/>
      <c r="DR76" s="147"/>
      <c r="DS76" s="147"/>
      <c r="DT76" s="147"/>
      <c r="DU76" s="147"/>
      <c r="DV76" s="148"/>
      <c r="DW76" s="149"/>
      <c r="DX76" s="147"/>
      <c r="DY76" s="147"/>
      <c r="DZ76" s="147"/>
      <c r="EA76" s="147"/>
      <c r="EB76" s="147"/>
      <c r="EC76" s="148"/>
      <c r="ED76" s="149"/>
      <c r="EE76" s="147"/>
      <c r="EF76" s="147"/>
      <c r="EG76" s="147"/>
      <c r="EH76" s="147"/>
      <c r="EI76" s="147"/>
      <c r="EJ76" s="148"/>
      <c r="EK76" s="149"/>
      <c r="EL76" s="147"/>
      <c r="EM76" s="147"/>
      <c r="EN76" s="147"/>
      <c r="EO76" s="147"/>
      <c r="EP76" s="147"/>
      <c r="EQ76" s="148"/>
      <c r="ER76" s="149"/>
      <c r="ES76" s="147"/>
      <c r="ET76" s="147"/>
      <c r="EU76" s="147"/>
      <c r="EV76" s="147"/>
      <c r="EW76" s="147"/>
      <c r="EX76" s="148"/>
      <c r="EY76" s="149"/>
      <c r="EZ76" s="147"/>
      <c r="FA76" s="147"/>
      <c r="FB76" s="147"/>
      <c r="FC76" s="147"/>
      <c r="FD76" s="147"/>
      <c r="FE76" s="148"/>
      <c r="FF76" s="149"/>
      <c r="FG76" s="147"/>
      <c r="FH76" s="147"/>
      <c r="FI76" s="147"/>
      <c r="FJ76" s="147"/>
      <c r="FK76" s="147"/>
      <c r="FL76" s="148"/>
      <c r="FM76" s="149"/>
      <c r="FN76" s="147"/>
      <c r="FO76" s="147"/>
      <c r="FP76" s="147"/>
      <c r="FQ76" s="147"/>
      <c r="FR76" s="147"/>
      <c r="FS76" s="148"/>
      <c r="FT76" s="149"/>
      <c r="FU76" s="147"/>
      <c r="FV76" s="147"/>
      <c r="FW76" s="147"/>
      <c r="FX76" s="147"/>
      <c r="FY76" s="147"/>
      <c r="FZ76" s="148"/>
      <c r="GA76" s="149"/>
      <c r="GB76" s="147"/>
      <c r="GC76" s="147"/>
      <c r="GD76" s="147"/>
      <c r="GE76" s="147"/>
      <c r="GF76" s="147"/>
      <c r="GG76" s="148"/>
      <c r="GH76" s="149"/>
      <c r="GI76" s="147"/>
      <c r="GJ76" s="147"/>
      <c r="GK76" s="147"/>
      <c r="GL76" s="147"/>
      <c r="GM76" s="147"/>
      <c r="GN76" s="148"/>
      <c r="GO76" s="149"/>
      <c r="GP76" s="147"/>
      <c r="GQ76" s="147"/>
      <c r="GR76" s="147"/>
      <c r="GS76" s="147"/>
      <c r="GT76" s="147"/>
      <c r="GU76" s="148"/>
      <c r="GV76" s="149"/>
      <c r="GW76" s="147"/>
      <c r="GX76" s="147"/>
      <c r="GY76" s="147"/>
      <c r="GZ76" s="147"/>
      <c r="HA76" s="147"/>
      <c r="HB76" s="148"/>
      <c r="HC76" s="149"/>
      <c r="HD76" s="147"/>
      <c r="HE76" s="147"/>
      <c r="HF76" s="147"/>
      <c r="HG76" s="147"/>
      <c r="HH76" s="147"/>
      <c r="HI76" s="148"/>
      <c r="HJ76" s="149"/>
      <c r="HK76" s="147"/>
      <c r="HL76" s="147"/>
      <c r="HM76" s="147"/>
      <c r="HN76" s="147"/>
      <c r="HO76" s="147"/>
      <c r="HP76" s="148"/>
      <c r="HQ76" s="149"/>
      <c r="HR76" s="147"/>
      <c r="HS76" s="147"/>
      <c r="HT76" s="147"/>
      <c r="HU76" s="147"/>
      <c r="HV76" s="147"/>
      <c r="HW76" s="148"/>
      <c r="HX76" s="149"/>
      <c r="HY76" s="147"/>
      <c r="HZ76" s="147"/>
      <c r="IA76" s="147"/>
      <c r="IB76" s="147"/>
      <c r="IC76" s="147"/>
      <c r="ID76" s="148"/>
      <c r="IE76" s="149"/>
      <c r="IF76" s="147"/>
      <c r="IG76" s="147"/>
      <c r="IH76" s="147"/>
      <c r="II76" s="147"/>
      <c r="IJ76" s="147"/>
      <c r="IK76" s="148"/>
      <c r="IL76" s="149"/>
      <c r="IM76" s="147"/>
      <c r="IN76" s="147"/>
      <c r="IO76" s="147"/>
      <c r="IP76" s="147"/>
      <c r="IQ76" s="147"/>
      <c r="IR76" s="148"/>
      <c r="IS76" s="149"/>
      <c r="IT76" s="147"/>
      <c r="IU76" s="147"/>
      <c r="IV76" s="147"/>
    </row>
    <row r="77" spans="1:256">
      <c r="A77" s="861" t="s">
        <v>462</v>
      </c>
      <c r="B77" s="862"/>
      <c r="C77" s="862"/>
      <c r="D77" s="862"/>
      <c r="E77" s="862"/>
      <c r="F77" s="862"/>
      <c r="G77" s="863"/>
      <c r="H77" s="149"/>
      <c r="I77" s="147"/>
      <c r="J77" s="147"/>
      <c r="K77" s="147"/>
      <c r="L77" s="147"/>
      <c r="M77" s="147"/>
      <c r="N77" s="148"/>
      <c r="O77" s="149"/>
      <c r="P77" s="147"/>
      <c r="Q77" s="147"/>
      <c r="R77" s="147"/>
      <c r="S77" s="147"/>
      <c r="T77" s="147"/>
      <c r="U77" s="148"/>
      <c r="V77" s="149"/>
      <c r="W77" s="147"/>
      <c r="X77" s="147"/>
      <c r="Y77" s="147"/>
      <c r="Z77" s="147"/>
      <c r="AA77" s="147"/>
      <c r="AB77" s="148"/>
      <c r="AC77" s="149"/>
      <c r="AD77" s="147"/>
      <c r="AE77" s="147"/>
      <c r="AF77" s="147"/>
      <c r="AG77" s="147"/>
      <c r="AH77" s="147"/>
      <c r="AI77" s="148"/>
      <c r="AJ77" s="149"/>
      <c r="AK77" s="147"/>
      <c r="AL77" s="147"/>
      <c r="AM77" s="147"/>
      <c r="AN77" s="147"/>
      <c r="AO77" s="147"/>
      <c r="AP77" s="148"/>
      <c r="AQ77" s="149"/>
      <c r="AR77" s="147"/>
      <c r="AS77" s="147"/>
      <c r="AT77" s="147"/>
      <c r="AU77" s="147"/>
      <c r="AV77" s="147"/>
      <c r="AW77" s="148"/>
      <c r="AX77" s="149"/>
      <c r="AY77" s="147"/>
      <c r="AZ77" s="147"/>
      <c r="BA77" s="147"/>
      <c r="BB77" s="147"/>
      <c r="BC77" s="147"/>
      <c r="BD77" s="148"/>
      <c r="BE77" s="149"/>
      <c r="BF77" s="147"/>
      <c r="BG77" s="147"/>
      <c r="BH77" s="147"/>
      <c r="BI77" s="147"/>
      <c r="BJ77" s="147"/>
      <c r="BK77" s="148"/>
      <c r="BL77" s="149"/>
      <c r="BM77" s="147"/>
      <c r="BN77" s="147"/>
      <c r="BO77" s="147"/>
      <c r="BP77" s="147"/>
      <c r="BQ77" s="147"/>
      <c r="BR77" s="148"/>
      <c r="BS77" s="149"/>
      <c r="BT77" s="147"/>
      <c r="BU77" s="147"/>
      <c r="BV77" s="147"/>
      <c r="BW77" s="147"/>
      <c r="BX77" s="147"/>
      <c r="BY77" s="148"/>
      <c r="BZ77" s="149"/>
      <c r="CA77" s="147"/>
      <c r="CB77" s="147"/>
      <c r="CC77" s="147"/>
      <c r="CD77" s="147"/>
      <c r="CE77" s="147"/>
      <c r="CF77" s="148"/>
      <c r="CG77" s="149"/>
      <c r="CH77" s="147"/>
      <c r="CI77" s="147"/>
      <c r="CJ77" s="147"/>
      <c r="CK77" s="147"/>
      <c r="CL77" s="147"/>
      <c r="CM77" s="148"/>
      <c r="CN77" s="149"/>
      <c r="CO77" s="147"/>
      <c r="CP77" s="147"/>
      <c r="CQ77" s="147"/>
      <c r="CR77" s="147"/>
      <c r="CS77" s="147"/>
      <c r="CT77" s="148"/>
      <c r="CU77" s="149"/>
      <c r="CV77" s="147"/>
      <c r="CW77" s="147"/>
      <c r="CX77" s="147"/>
      <c r="CY77" s="147"/>
      <c r="CZ77" s="147"/>
      <c r="DA77" s="148"/>
      <c r="DB77" s="149"/>
      <c r="DC77" s="147"/>
      <c r="DD77" s="147"/>
      <c r="DE77" s="147"/>
      <c r="DF77" s="147"/>
      <c r="DG77" s="147"/>
      <c r="DH77" s="148"/>
      <c r="DI77" s="149"/>
      <c r="DJ77" s="147"/>
      <c r="DK77" s="147"/>
      <c r="DL77" s="147"/>
      <c r="DM77" s="147"/>
      <c r="DN77" s="147"/>
      <c r="DO77" s="148"/>
      <c r="DP77" s="149"/>
      <c r="DQ77" s="147"/>
      <c r="DR77" s="147"/>
      <c r="DS77" s="147"/>
      <c r="DT77" s="147"/>
      <c r="DU77" s="147"/>
      <c r="DV77" s="148"/>
      <c r="DW77" s="149"/>
      <c r="DX77" s="147"/>
      <c r="DY77" s="147"/>
      <c r="DZ77" s="147"/>
      <c r="EA77" s="147"/>
      <c r="EB77" s="147"/>
      <c r="EC77" s="148"/>
      <c r="ED77" s="149"/>
      <c r="EE77" s="147"/>
      <c r="EF77" s="147"/>
      <c r="EG77" s="147"/>
      <c r="EH77" s="147"/>
      <c r="EI77" s="147"/>
      <c r="EJ77" s="148"/>
      <c r="EK77" s="149"/>
      <c r="EL77" s="147"/>
      <c r="EM77" s="147"/>
      <c r="EN77" s="147"/>
      <c r="EO77" s="147"/>
      <c r="EP77" s="147"/>
      <c r="EQ77" s="148"/>
      <c r="ER77" s="149"/>
      <c r="ES77" s="147"/>
      <c r="ET77" s="147"/>
      <c r="EU77" s="147"/>
      <c r="EV77" s="147"/>
      <c r="EW77" s="147"/>
      <c r="EX77" s="148"/>
      <c r="EY77" s="149"/>
      <c r="EZ77" s="147"/>
      <c r="FA77" s="147"/>
      <c r="FB77" s="147"/>
      <c r="FC77" s="147"/>
      <c r="FD77" s="147"/>
      <c r="FE77" s="148"/>
      <c r="FF77" s="149"/>
      <c r="FG77" s="147"/>
      <c r="FH77" s="147"/>
      <c r="FI77" s="147"/>
      <c r="FJ77" s="147"/>
      <c r="FK77" s="147"/>
      <c r="FL77" s="148"/>
      <c r="FM77" s="149"/>
      <c r="FN77" s="147"/>
      <c r="FO77" s="147"/>
      <c r="FP77" s="147"/>
      <c r="FQ77" s="147"/>
      <c r="FR77" s="147"/>
      <c r="FS77" s="148"/>
      <c r="FT77" s="149"/>
      <c r="FU77" s="147"/>
      <c r="FV77" s="147"/>
      <c r="FW77" s="147"/>
      <c r="FX77" s="147"/>
      <c r="FY77" s="147"/>
      <c r="FZ77" s="148"/>
      <c r="GA77" s="149"/>
      <c r="GB77" s="147"/>
      <c r="GC77" s="147"/>
      <c r="GD77" s="147"/>
      <c r="GE77" s="147"/>
      <c r="GF77" s="147"/>
      <c r="GG77" s="148"/>
      <c r="GH77" s="149"/>
      <c r="GI77" s="147"/>
      <c r="GJ77" s="147"/>
      <c r="GK77" s="147"/>
      <c r="GL77" s="147"/>
      <c r="GM77" s="147"/>
      <c r="GN77" s="148"/>
      <c r="GO77" s="149"/>
      <c r="GP77" s="147"/>
      <c r="GQ77" s="147"/>
      <c r="GR77" s="147"/>
      <c r="GS77" s="147"/>
      <c r="GT77" s="147"/>
      <c r="GU77" s="148"/>
      <c r="GV77" s="149"/>
      <c r="GW77" s="147"/>
      <c r="GX77" s="147"/>
      <c r="GY77" s="147"/>
      <c r="GZ77" s="147"/>
      <c r="HA77" s="147"/>
      <c r="HB77" s="148"/>
      <c r="HC77" s="149"/>
      <c r="HD77" s="147"/>
      <c r="HE77" s="147"/>
      <c r="HF77" s="147"/>
      <c r="HG77" s="147"/>
      <c r="HH77" s="147"/>
      <c r="HI77" s="148"/>
      <c r="HJ77" s="149"/>
      <c r="HK77" s="147"/>
      <c r="HL77" s="147"/>
      <c r="HM77" s="147"/>
      <c r="HN77" s="147"/>
      <c r="HO77" s="147"/>
      <c r="HP77" s="148"/>
      <c r="HQ77" s="149"/>
      <c r="HR77" s="147"/>
      <c r="HS77" s="147"/>
      <c r="HT77" s="147"/>
      <c r="HU77" s="147"/>
      <c r="HV77" s="147"/>
      <c r="HW77" s="148"/>
      <c r="HX77" s="149"/>
      <c r="HY77" s="147"/>
      <c r="HZ77" s="147"/>
      <c r="IA77" s="147"/>
      <c r="IB77" s="147"/>
      <c r="IC77" s="147"/>
      <c r="ID77" s="148"/>
      <c r="IE77" s="149"/>
      <c r="IF77" s="147"/>
      <c r="IG77" s="147"/>
      <c r="IH77" s="147"/>
      <c r="II77" s="147"/>
      <c r="IJ77" s="147"/>
      <c r="IK77" s="148"/>
      <c r="IL77" s="149"/>
      <c r="IM77" s="147"/>
      <c r="IN77" s="147"/>
      <c r="IO77" s="147"/>
      <c r="IP77" s="147"/>
      <c r="IQ77" s="147"/>
      <c r="IR77" s="148"/>
      <c r="IS77" s="149"/>
      <c r="IT77" s="147"/>
      <c r="IU77" s="147"/>
      <c r="IV77" s="147"/>
    </row>
    <row r="78" spans="1:256">
      <c r="A78" s="861"/>
      <c r="B78" s="862"/>
      <c r="C78" s="862"/>
      <c r="D78" s="862"/>
      <c r="E78" s="862"/>
      <c r="F78" s="862"/>
      <c r="G78" s="863"/>
      <c r="H78" s="149"/>
      <c r="I78" s="147"/>
      <c r="J78" s="147"/>
      <c r="K78" s="147"/>
      <c r="L78" s="147"/>
      <c r="M78" s="147"/>
      <c r="N78" s="148"/>
      <c r="O78" s="149"/>
      <c r="P78" s="147"/>
      <c r="Q78" s="147"/>
      <c r="R78" s="147"/>
      <c r="S78" s="147"/>
      <c r="T78" s="147"/>
      <c r="U78" s="148"/>
      <c r="V78" s="149"/>
      <c r="W78" s="147"/>
      <c r="X78" s="147"/>
      <c r="Y78" s="147"/>
      <c r="Z78" s="147"/>
      <c r="AA78" s="147"/>
      <c r="AB78" s="148"/>
      <c r="AC78" s="149"/>
      <c r="AD78" s="147"/>
      <c r="AE78" s="147"/>
      <c r="AF78" s="147"/>
      <c r="AG78" s="147"/>
      <c r="AH78" s="147"/>
      <c r="AI78" s="148"/>
      <c r="AJ78" s="149"/>
      <c r="AK78" s="147"/>
      <c r="AL78" s="147"/>
      <c r="AM78" s="147"/>
      <c r="AN78" s="147"/>
      <c r="AO78" s="147"/>
      <c r="AP78" s="148"/>
      <c r="AQ78" s="149"/>
      <c r="AR78" s="147"/>
      <c r="AS78" s="147"/>
      <c r="AT78" s="147"/>
      <c r="AU78" s="147"/>
      <c r="AV78" s="147"/>
      <c r="AW78" s="148"/>
      <c r="AX78" s="149"/>
      <c r="AY78" s="147"/>
      <c r="AZ78" s="147"/>
      <c r="BA78" s="147"/>
      <c r="BB78" s="147"/>
      <c r="BC78" s="147"/>
      <c r="BD78" s="148"/>
      <c r="BE78" s="149"/>
      <c r="BF78" s="147"/>
      <c r="BG78" s="147"/>
      <c r="BH78" s="147"/>
      <c r="BI78" s="147"/>
      <c r="BJ78" s="147"/>
      <c r="BK78" s="148"/>
      <c r="BL78" s="149"/>
      <c r="BM78" s="147"/>
      <c r="BN78" s="147"/>
      <c r="BO78" s="147"/>
      <c r="BP78" s="147"/>
      <c r="BQ78" s="147"/>
      <c r="BR78" s="148"/>
      <c r="BS78" s="149"/>
      <c r="BT78" s="147"/>
      <c r="BU78" s="147"/>
      <c r="BV78" s="147"/>
      <c r="BW78" s="147"/>
      <c r="BX78" s="147"/>
      <c r="BY78" s="148"/>
      <c r="BZ78" s="149"/>
      <c r="CA78" s="147"/>
      <c r="CB78" s="147"/>
      <c r="CC78" s="147"/>
      <c r="CD78" s="147"/>
      <c r="CE78" s="147"/>
      <c r="CF78" s="148"/>
      <c r="CG78" s="149"/>
      <c r="CH78" s="147"/>
      <c r="CI78" s="147"/>
      <c r="CJ78" s="147"/>
      <c r="CK78" s="147"/>
      <c r="CL78" s="147"/>
      <c r="CM78" s="148"/>
      <c r="CN78" s="149"/>
      <c r="CO78" s="147"/>
      <c r="CP78" s="147"/>
      <c r="CQ78" s="147"/>
      <c r="CR78" s="147"/>
      <c r="CS78" s="147"/>
      <c r="CT78" s="148"/>
      <c r="CU78" s="149"/>
      <c r="CV78" s="147"/>
      <c r="CW78" s="147"/>
      <c r="CX78" s="147"/>
      <c r="CY78" s="147"/>
      <c r="CZ78" s="147"/>
      <c r="DA78" s="148"/>
      <c r="DB78" s="149"/>
      <c r="DC78" s="147"/>
      <c r="DD78" s="147"/>
      <c r="DE78" s="147"/>
      <c r="DF78" s="147"/>
      <c r="DG78" s="147"/>
      <c r="DH78" s="148"/>
      <c r="DI78" s="149"/>
      <c r="DJ78" s="147"/>
      <c r="DK78" s="147"/>
      <c r="DL78" s="147"/>
      <c r="DM78" s="147"/>
      <c r="DN78" s="147"/>
      <c r="DO78" s="148"/>
      <c r="DP78" s="149"/>
      <c r="DQ78" s="147"/>
      <c r="DR78" s="147"/>
      <c r="DS78" s="147"/>
      <c r="DT78" s="147"/>
      <c r="DU78" s="147"/>
      <c r="DV78" s="148"/>
      <c r="DW78" s="149"/>
      <c r="DX78" s="147"/>
      <c r="DY78" s="147"/>
      <c r="DZ78" s="147"/>
      <c r="EA78" s="147"/>
      <c r="EB78" s="147"/>
      <c r="EC78" s="148"/>
      <c r="ED78" s="149"/>
      <c r="EE78" s="147"/>
      <c r="EF78" s="147"/>
      <c r="EG78" s="147"/>
      <c r="EH78" s="147"/>
      <c r="EI78" s="147"/>
      <c r="EJ78" s="148"/>
      <c r="EK78" s="149"/>
      <c r="EL78" s="147"/>
      <c r="EM78" s="147"/>
      <c r="EN78" s="147"/>
      <c r="EO78" s="147"/>
      <c r="EP78" s="147"/>
      <c r="EQ78" s="148"/>
      <c r="ER78" s="149"/>
      <c r="ES78" s="147"/>
      <c r="ET78" s="147"/>
      <c r="EU78" s="147"/>
      <c r="EV78" s="147"/>
      <c r="EW78" s="147"/>
      <c r="EX78" s="148"/>
      <c r="EY78" s="149"/>
      <c r="EZ78" s="147"/>
      <c r="FA78" s="147"/>
      <c r="FB78" s="147"/>
      <c r="FC78" s="147"/>
      <c r="FD78" s="147"/>
      <c r="FE78" s="148"/>
      <c r="FF78" s="149"/>
      <c r="FG78" s="147"/>
      <c r="FH78" s="147"/>
      <c r="FI78" s="147"/>
      <c r="FJ78" s="147"/>
      <c r="FK78" s="147"/>
      <c r="FL78" s="148"/>
      <c r="FM78" s="149"/>
      <c r="FN78" s="147"/>
      <c r="FO78" s="147"/>
      <c r="FP78" s="147"/>
      <c r="FQ78" s="147"/>
      <c r="FR78" s="147"/>
      <c r="FS78" s="148"/>
      <c r="FT78" s="149"/>
      <c r="FU78" s="147"/>
      <c r="FV78" s="147"/>
      <c r="FW78" s="147"/>
      <c r="FX78" s="147"/>
      <c r="FY78" s="147"/>
      <c r="FZ78" s="148"/>
      <c r="GA78" s="149"/>
      <c r="GB78" s="147"/>
      <c r="GC78" s="147"/>
      <c r="GD78" s="147"/>
      <c r="GE78" s="147"/>
      <c r="GF78" s="147"/>
      <c r="GG78" s="148"/>
      <c r="GH78" s="149"/>
      <c r="GI78" s="147"/>
      <c r="GJ78" s="147"/>
      <c r="GK78" s="147"/>
      <c r="GL78" s="147"/>
      <c r="GM78" s="147"/>
      <c r="GN78" s="148"/>
      <c r="GO78" s="149"/>
      <c r="GP78" s="147"/>
      <c r="GQ78" s="147"/>
      <c r="GR78" s="147"/>
      <c r="GS78" s="147"/>
      <c r="GT78" s="147"/>
      <c r="GU78" s="148"/>
      <c r="GV78" s="149"/>
      <c r="GW78" s="147"/>
      <c r="GX78" s="147"/>
      <c r="GY78" s="147"/>
      <c r="GZ78" s="147"/>
      <c r="HA78" s="147"/>
      <c r="HB78" s="148"/>
      <c r="HC78" s="149"/>
      <c r="HD78" s="147"/>
      <c r="HE78" s="147"/>
      <c r="HF78" s="147"/>
      <c r="HG78" s="147"/>
      <c r="HH78" s="147"/>
      <c r="HI78" s="148"/>
      <c r="HJ78" s="149"/>
      <c r="HK78" s="147"/>
      <c r="HL78" s="147"/>
      <c r="HM78" s="147"/>
      <c r="HN78" s="147"/>
      <c r="HO78" s="147"/>
      <c r="HP78" s="148"/>
      <c r="HQ78" s="149"/>
      <c r="HR78" s="147"/>
      <c r="HS78" s="147"/>
      <c r="HT78" s="147"/>
      <c r="HU78" s="147"/>
      <c r="HV78" s="147"/>
      <c r="HW78" s="148"/>
      <c r="HX78" s="149"/>
      <c r="HY78" s="147"/>
      <c r="HZ78" s="147"/>
      <c r="IA78" s="147"/>
      <c r="IB78" s="147"/>
      <c r="IC78" s="147"/>
      <c r="ID78" s="148"/>
      <c r="IE78" s="149"/>
      <c r="IF78" s="147"/>
      <c r="IG78" s="147"/>
      <c r="IH78" s="147"/>
      <c r="II78" s="147"/>
      <c r="IJ78" s="147"/>
      <c r="IK78" s="148"/>
      <c r="IL78" s="149"/>
      <c r="IM78" s="147"/>
      <c r="IN78" s="147"/>
      <c r="IO78" s="147"/>
      <c r="IP78" s="147"/>
      <c r="IQ78" s="147"/>
      <c r="IR78" s="148"/>
      <c r="IS78" s="149"/>
      <c r="IT78" s="147"/>
      <c r="IU78" s="147"/>
      <c r="IV78" s="147"/>
    </row>
    <row r="79" spans="1:256" ht="12.75">
      <c r="A79" s="208" t="s">
        <v>449</v>
      </c>
      <c r="B79" s="147"/>
      <c r="C79" s="147"/>
      <c r="D79" s="147"/>
      <c r="E79" s="147"/>
      <c r="F79" s="147"/>
      <c r="G79" s="148"/>
      <c r="H79" s="149"/>
      <c r="I79" s="147"/>
      <c r="J79" s="147"/>
      <c r="K79" s="147"/>
      <c r="L79" s="147"/>
      <c r="M79" s="147"/>
      <c r="N79" s="148"/>
      <c r="O79" s="149"/>
      <c r="P79" s="147"/>
      <c r="Q79" s="147"/>
      <c r="R79" s="147"/>
      <c r="S79" s="147"/>
      <c r="T79" s="147"/>
      <c r="U79" s="148"/>
      <c r="V79" s="149"/>
      <c r="W79" s="147"/>
      <c r="X79" s="147"/>
      <c r="Y79" s="147"/>
      <c r="Z79" s="147"/>
      <c r="AA79" s="147"/>
      <c r="AB79" s="148"/>
      <c r="AC79" s="149"/>
      <c r="AD79" s="147"/>
      <c r="AE79" s="147"/>
      <c r="AF79" s="147"/>
      <c r="AG79" s="147"/>
      <c r="AH79" s="147"/>
      <c r="AI79" s="148"/>
      <c r="AJ79" s="149"/>
      <c r="AK79" s="147"/>
      <c r="AL79" s="147"/>
      <c r="AM79" s="147"/>
      <c r="AN79" s="147"/>
      <c r="AO79" s="147"/>
      <c r="AP79" s="148"/>
      <c r="AQ79" s="149"/>
      <c r="AR79" s="147"/>
      <c r="AS79" s="147"/>
      <c r="AT79" s="147"/>
      <c r="AU79" s="147"/>
      <c r="AV79" s="147"/>
      <c r="AW79" s="148"/>
      <c r="AX79" s="149"/>
      <c r="AY79" s="147"/>
      <c r="AZ79" s="147"/>
      <c r="BA79" s="147"/>
      <c r="BB79" s="147"/>
      <c r="BC79" s="147"/>
      <c r="BD79" s="148"/>
      <c r="BE79" s="149"/>
      <c r="BF79" s="147"/>
      <c r="BG79" s="147"/>
      <c r="BH79" s="147"/>
      <c r="BI79" s="147"/>
      <c r="BJ79" s="147"/>
      <c r="BK79" s="148"/>
      <c r="BL79" s="149"/>
      <c r="BM79" s="147"/>
      <c r="BN79" s="147"/>
      <c r="BO79" s="147"/>
      <c r="BP79" s="147"/>
      <c r="BQ79" s="147"/>
      <c r="BR79" s="148"/>
      <c r="BS79" s="149"/>
      <c r="BT79" s="147"/>
      <c r="BU79" s="147"/>
      <c r="BV79" s="147"/>
      <c r="BW79" s="147"/>
      <c r="BX79" s="147"/>
      <c r="BY79" s="148"/>
      <c r="BZ79" s="149"/>
      <c r="CA79" s="147"/>
      <c r="CB79" s="147"/>
      <c r="CC79" s="147"/>
      <c r="CD79" s="147"/>
      <c r="CE79" s="147"/>
      <c r="CF79" s="148"/>
      <c r="CG79" s="149"/>
      <c r="CH79" s="147"/>
      <c r="CI79" s="147"/>
      <c r="CJ79" s="147"/>
      <c r="CK79" s="147"/>
      <c r="CL79" s="147"/>
      <c r="CM79" s="148"/>
      <c r="CN79" s="149"/>
      <c r="CO79" s="147"/>
      <c r="CP79" s="147"/>
      <c r="CQ79" s="147"/>
      <c r="CR79" s="147"/>
      <c r="CS79" s="147"/>
      <c r="CT79" s="148"/>
      <c r="CU79" s="149"/>
      <c r="CV79" s="147"/>
      <c r="CW79" s="147"/>
      <c r="CX79" s="147"/>
      <c r="CY79" s="147"/>
      <c r="CZ79" s="147"/>
      <c r="DA79" s="148"/>
      <c r="DB79" s="149"/>
      <c r="DC79" s="147"/>
      <c r="DD79" s="147"/>
      <c r="DE79" s="147"/>
      <c r="DF79" s="147"/>
      <c r="DG79" s="147"/>
      <c r="DH79" s="148"/>
      <c r="DI79" s="149"/>
      <c r="DJ79" s="147"/>
      <c r="DK79" s="147"/>
      <c r="DL79" s="147"/>
      <c r="DM79" s="147"/>
      <c r="DN79" s="147"/>
      <c r="DO79" s="148"/>
      <c r="DP79" s="149"/>
      <c r="DQ79" s="147"/>
      <c r="DR79" s="147"/>
      <c r="DS79" s="147"/>
      <c r="DT79" s="147"/>
      <c r="DU79" s="147"/>
      <c r="DV79" s="148"/>
      <c r="DW79" s="149"/>
      <c r="DX79" s="147"/>
      <c r="DY79" s="147"/>
      <c r="DZ79" s="147"/>
      <c r="EA79" s="147"/>
      <c r="EB79" s="147"/>
      <c r="EC79" s="148"/>
      <c r="ED79" s="149"/>
      <c r="EE79" s="147"/>
      <c r="EF79" s="147"/>
      <c r="EG79" s="147"/>
      <c r="EH79" s="147"/>
      <c r="EI79" s="147"/>
      <c r="EJ79" s="148"/>
      <c r="EK79" s="149"/>
      <c r="EL79" s="147"/>
      <c r="EM79" s="147"/>
      <c r="EN79" s="147"/>
      <c r="EO79" s="147"/>
      <c r="EP79" s="147"/>
      <c r="EQ79" s="148"/>
      <c r="ER79" s="149"/>
      <c r="ES79" s="147"/>
      <c r="ET79" s="147"/>
      <c r="EU79" s="147"/>
      <c r="EV79" s="147"/>
      <c r="EW79" s="147"/>
      <c r="EX79" s="148"/>
      <c r="EY79" s="149"/>
      <c r="EZ79" s="147"/>
      <c r="FA79" s="147"/>
      <c r="FB79" s="147"/>
      <c r="FC79" s="147"/>
      <c r="FD79" s="147"/>
      <c r="FE79" s="148"/>
      <c r="FF79" s="149"/>
      <c r="FG79" s="147"/>
      <c r="FH79" s="147"/>
      <c r="FI79" s="147"/>
      <c r="FJ79" s="147"/>
      <c r="FK79" s="147"/>
      <c r="FL79" s="148"/>
      <c r="FM79" s="149"/>
      <c r="FN79" s="147"/>
      <c r="FO79" s="147"/>
      <c r="FP79" s="147"/>
      <c r="FQ79" s="147"/>
      <c r="FR79" s="147"/>
      <c r="FS79" s="148"/>
      <c r="FT79" s="149"/>
      <c r="FU79" s="147"/>
      <c r="FV79" s="147"/>
      <c r="FW79" s="147"/>
      <c r="FX79" s="147"/>
      <c r="FY79" s="147"/>
      <c r="FZ79" s="148"/>
      <c r="GA79" s="149"/>
      <c r="GB79" s="147"/>
      <c r="GC79" s="147"/>
      <c r="GD79" s="147"/>
      <c r="GE79" s="147"/>
      <c r="GF79" s="147"/>
      <c r="GG79" s="148"/>
      <c r="GH79" s="149"/>
      <c r="GI79" s="147"/>
      <c r="GJ79" s="147"/>
      <c r="GK79" s="147"/>
      <c r="GL79" s="147"/>
      <c r="GM79" s="147"/>
      <c r="GN79" s="148"/>
      <c r="GO79" s="149"/>
      <c r="GP79" s="147"/>
      <c r="GQ79" s="147"/>
      <c r="GR79" s="147"/>
      <c r="GS79" s="147"/>
      <c r="GT79" s="147"/>
      <c r="GU79" s="148"/>
      <c r="GV79" s="149"/>
      <c r="GW79" s="147"/>
      <c r="GX79" s="147"/>
      <c r="GY79" s="147"/>
      <c r="GZ79" s="147"/>
      <c r="HA79" s="147"/>
      <c r="HB79" s="148"/>
      <c r="HC79" s="149"/>
      <c r="HD79" s="147"/>
      <c r="HE79" s="147"/>
      <c r="HF79" s="147"/>
      <c r="HG79" s="147"/>
      <c r="HH79" s="147"/>
      <c r="HI79" s="148"/>
      <c r="HJ79" s="149"/>
      <c r="HK79" s="147"/>
      <c r="HL79" s="147"/>
      <c r="HM79" s="147"/>
      <c r="HN79" s="147"/>
      <c r="HO79" s="147"/>
      <c r="HP79" s="148"/>
      <c r="HQ79" s="149"/>
      <c r="HR79" s="147"/>
      <c r="HS79" s="147"/>
      <c r="HT79" s="147"/>
      <c r="HU79" s="147"/>
      <c r="HV79" s="147"/>
      <c r="HW79" s="148"/>
      <c r="HX79" s="149"/>
      <c r="HY79" s="147"/>
      <c r="HZ79" s="147"/>
      <c r="IA79" s="147"/>
      <c r="IB79" s="147"/>
      <c r="IC79" s="147"/>
      <c r="ID79" s="148"/>
      <c r="IE79" s="149"/>
      <c r="IF79" s="147"/>
      <c r="IG79" s="147"/>
      <c r="IH79" s="147"/>
      <c r="II79" s="147"/>
      <c r="IJ79" s="147"/>
      <c r="IK79" s="148"/>
      <c r="IL79" s="149"/>
      <c r="IM79" s="147"/>
      <c r="IN79" s="147"/>
      <c r="IO79" s="147"/>
      <c r="IP79" s="147"/>
      <c r="IQ79" s="147"/>
      <c r="IR79" s="148"/>
      <c r="IS79" s="149"/>
      <c r="IT79" s="147"/>
      <c r="IU79" s="147"/>
      <c r="IV79" s="147"/>
    </row>
    <row r="80" spans="1:256" ht="12.75" thickBot="1">
      <c r="A80" s="210"/>
      <c r="B80" s="151"/>
      <c r="C80" s="151"/>
      <c r="D80" s="151"/>
      <c r="E80" s="151"/>
      <c r="F80" s="151"/>
      <c r="G80" s="152"/>
      <c r="H80" s="149"/>
      <c r="I80" s="147"/>
      <c r="J80" s="147"/>
      <c r="K80" s="147"/>
      <c r="L80" s="147"/>
      <c r="M80" s="147"/>
      <c r="N80" s="148"/>
      <c r="O80" s="149"/>
      <c r="P80" s="147"/>
      <c r="Q80" s="147"/>
      <c r="R80" s="147"/>
      <c r="S80" s="147"/>
      <c r="T80" s="147"/>
      <c r="U80" s="148"/>
      <c r="V80" s="149"/>
      <c r="W80" s="147"/>
      <c r="X80" s="147"/>
      <c r="Y80" s="147"/>
      <c r="Z80" s="147"/>
      <c r="AA80" s="147"/>
      <c r="AB80" s="148"/>
      <c r="AC80" s="149"/>
      <c r="AD80" s="147"/>
      <c r="AE80" s="147"/>
      <c r="AF80" s="147"/>
      <c r="AG80" s="147"/>
      <c r="AH80" s="147"/>
      <c r="AI80" s="148"/>
      <c r="AJ80" s="149"/>
      <c r="AK80" s="147"/>
      <c r="AL80" s="147"/>
      <c r="AM80" s="147"/>
      <c r="AN80" s="147"/>
      <c r="AO80" s="147"/>
      <c r="AP80" s="148"/>
      <c r="AQ80" s="149"/>
      <c r="AR80" s="147"/>
      <c r="AS80" s="147"/>
      <c r="AT80" s="147"/>
      <c r="AU80" s="147"/>
      <c r="AV80" s="147"/>
      <c r="AW80" s="148"/>
      <c r="AX80" s="149"/>
      <c r="AY80" s="147"/>
      <c r="AZ80" s="147"/>
      <c r="BA80" s="147"/>
      <c r="BB80" s="147"/>
      <c r="BC80" s="147"/>
      <c r="BD80" s="148"/>
      <c r="BE80" s="149"/>
      <c r="BF80" s="147"/>
      <c r="BG80" s="147"/>
      <c r="BH80" s="147"/>
      <c r="BI80" s="147"/>
      <c r="BJ80" s="147"/>
      <c r="BK80" s="148"/>
      <c r="BL80" s="149"/>
      <c r="BM80" s="147"/>
      <c r="BN80" s="147"/>
      <c r="BO80" s="147"/>
      <c r="BP80" s="147"/>
      <c r="BQ80" s="147"/>
      <c r="BR80" s="148"/>
      <c r="BS80" s="149"/>
      <c r="BT80" s="147"/>
      <c r="BU80" s="147"/>
      <c r="BV80" s="147"/>
      <c r="BW80" s="147"/>
      <c r="BX80" s="147"/>
      <c r="BY80" s="148"/>
      <c r="BZ80" s="149"/>
      <c r="CA80" s="147"/>
      <c r="CB80" s="147"/>
      <c r="CC80" s="147"/>
      <c r="CD80" s="147"/>
      <c r="CE80" s="147"/>
      <c r="CF80" s="148"/>
      <c r="CG80" s="149"/>
      <c r="CH80" s="147"/>
      <c r="CI80" s="147"/>
      <c r="CJ80" s="147"/>
      <c r="CK80" s="147"/>
      <c r="CL80" s="147"/>
      <c r="CM80" s="148"/>
      <c r="CN80" s="149"/>
      <c r="CO80" s="147"/>
      <c r="CP80" s="147"/>
      <c r="CQ80" s="147"/>
      <c r="CR80" s="147"/>
      <c r="CS80" s="147"/>
      <c r="CT80" s="148"/>
      <c r="CU80" s="149"/>
      <c r="CV80" s="147"/>
      <c r="CW80" s="147"/>
      <c r="CX80" s="147"/>
      <c r="CY80" s="147"/>
      <c r="CZ80" s="147"/>
      <c r="DA80" s="148"/>
      <c r="DB80" s="149"/>
      <c r="DC80" s="147"/>
      <c r="DD80" s="147"/>
      <c r="DE80" s="147"/>
      <c r="DF80" s="147"/>
      <c r="DG80" s="147"/>
      <c r="DH80" s="148"/>
      <c r="DI80" s="149"/>
      <c r="DJ80" s="147"/>
      <c r="DK80" s="147"/>
      <c r="DL80" s="147"/>
      <c r="DM80" s="147"/>
      <c r="DN80" s="147"/>
      <c r="DO80" s="148"/>
      <c r="DP80" s="149"/>
      <c r="DQ80" s="147"/>
      <c r="DR80" s="147"/>
      <c r="DS80" s="147"/>
      <c r="DT80" s="147"/>
      <c r="DU80" s="147"/>
      <c r="DV80" s="148"/>
      <c r="DW80" s="149"/>
      <c r="DX80" s="147"/>
      <c r="DY80" s="147"/>
      <c r="DZ80" s="147"/>
      <c r="EA80" s="147"/>
      <c r="EB80" s="147"/>
      <c r="EC80" s="148"/>
      <c r="ED80" s="149"/>
      <c r="EE80" s="147"/>
      <c r="EF80" s="147"/>
      <c r="EG80" s="147"/>
      <c r="EH80" s="147"/>
      <c r="EI80" s="147"/>
      <c r="EJ80" s="148"/>
      <c r="EK80" s="149"/>
      <c r="EL80" s="147"/>
      <c r="EM80" s="147"/>
      <c r="EN80" s="147"/>
      <c r="EO80" s="147"/>
      <c r="EP80" s="147"/>
      <c r="EQ80" s="148"/>
      <c r="ER80" s="149"/>
      <c r="ES80" s="147"/>
      <c r="ET80" s="147"/>
      <c r="EU80" s="147"/>
      <c r="EV80" s="147"/>
      <c r="EW80" s="147"/>
      <c r="EX80" s="148"/>
      <c r="EY80" s="149"/>
      <c r="EZ80" s="147"/>
      <c r="FA80" s="147"/>
      <c r="FB80" s="147"/>
      <c r="FC80" s="147"/>
      <c r="FD80" s="147"/>
      <c r="FE80" s="148"/>
      <c r="FF80" s="149"/>
      <c r="FG80" s="147"/>
      <c r="FH80" s="147"/>
      <c r="FI80" s="147"/>
      <c r="FJ80" s="147"/>
      <c r="FK80" s="147"/>
      <c r="FL80" s="148"/>
      <c r="FM80" s="149"/>
      <c r="FN80" s="147"/>
      <c r="FO80" s="147"/>
      <c r="FP80" s="147"/>
      <c r="FQ80" s="147"/>
      <c r="FR80" s="147"/>
      <c r="FS80" s="148"/>
      <c r="FT80" s="149"/>
      <c r="FU80" s="147"/>
      <c r="FV80" s="147"/>
      <c r="FW80" s="147"/>
      <c r="FX80" s="147"/>
      <c r="FY80" s="147"/>
      <c r="FZ80" s="148"/>
      <c r="GA80" s="149"/>
      <c r="GB80" s="147"/>
      <c r="GC80" s="147"/>
      <c r="GD80" s="147"/>
      <c r="GE80" s="147"/>
      <c r="GF80" s="147"/>
      <c r="GG80" s="148"/>
      <c r="GH80" s="149"/>
      <c r="GI80" s="147"/>
      <c r="GJ80" s="147"/>
      <c r="GK80" s="147"/>
      <c r="GL80" s="147"/>
      <c r="GM80" s="147"/>
      <c r="GN80" s="148"/>
      <c r="GO80" s="149"/>
      <c r="GP80" s="147"/>
      <c r="GQ80" s="147"/>
      <c r="GR80" s="147"/>
      <c r="GS80" s="147"/>
      <c r="GT80" s="147"/>
      <c r="GU80" s="148"/>
      <c r="GV80" s="149"/>
      <c r="GW80" s="147"/>
      <c r="GX80" s="147"/>
      <c r="GY80" s="147"/>
      <c r="GZ80" s="147"/>
      <c r="HA80" s="147"/>
      <c r="HB80" s="148"/>
      <c r="HC80" s="149"/>
      <c r="HD80" s="147"/>
      <c r="HE80" s="147"/>
      <c r="HF80" s="147"/>
      <c r="HG80" s="147"/>
      <c r="HH80" s="147"/>
      <c r="HI80" s="148"/>
      <c r="HJ80" s="149"/>
      <c r="HK80" s="147"/>
      <c r="HL80" s="147"/>
      <c r="HM80" s="147"/>
      <c r="HN80" s="147"/>
      <c r="HO80" s="147"/>
      <c r="HP80" s="148"/>
      <c r="HQ80" s="149"/>
      <c r="HR80" s="147"/>
      <c r="HS80" s="147"/>
      <c r="HT80" s="147"/>
      <c r="HU80" s="147"/>
      <c r="HV80" s="147"/>
      <c r="HW80" s="148"/>
      <c r="HX80" s="149"/>
      <c r="HY80" s="147"/>
      <c r="HZ80" s="147"/>
      <c r="IA80" s="147"/>
      <c r="IB80" s="147"/>
      <c r="IC80" s="147"/>
      <c r="ID80" s="148"/>
      <c r="IE80" s="149"/>
      <c r="IF80" s="147"/>
      <c r="IG80" s="147"/>
      <c r="IH80" s="147"/>
      <c r="II80" s="147"/>
      <c r="IJ80" s="147"/>
      <c r="IK80" s="148"/>
      <c r="IL80" s="149"/>
      <c r="IM80" s="147"/>
      <c r="IN80" s="147"/>
      <c r="IO80" s="147"/>
      <c r="IP80" s="147"/>
      <c r="IQ80" s="147"/>
      <c r="IR80" s="148"/>
      <c r="IS80" s="149"/>
      <c r="IT80" s="147"/>
      <c r="IU80" s="147"/>
      <c r="IV80" s="147"/>
    </row>
    <row r="124" spans="2:2">
      <c r="B124" s="617"/>
    </row>
  </sheetData>
  <sheetProtection password="C577" sheet="1" objects="1" scenarios="1" formatCells="0" formatColumns="0"/>
  <mergeCells count="21">
    <mergeCell ref="A1:G1"/>
    <mergeCell ref="B3:D3"/>
    <mergeCell ref="B5:F5"/>
    <mergeCell ref="G2:G4"/>
    <mergeCell ref="A30:G30"/>
    <mergeCell ref="A9:G11"/>
    <mergeCell ref="A12:G14"/>
    <mergeCell ref="A8:G8"/>
    <mergeCell ref="A19:G21"/>
    <mergeCell ref="A15:G15"/>
    <mergeCell ref="A51:G52"/>
    <mergeCell ref="A23:G23"/>
    <mergeCell ref="A77:G78"/>
    <mergeCell ref="A33:G34"/>
    <mergeCell ref="A47:G47"/>
    <mergeCell ref="A62:G64"/>
    <mergeCell ref="A67:G68"/>
    <mergeCell ref="A25:G25"/>
    <mergeCell ref="A69:G70"/>
    <mergeCell ref="A27:G27"/>
    <mergeCell ref="A71:G72"/>
  </mergeCells>
  <phoneticPr fontId="1" type="noConversion"/>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S264"/>
  <sheetViews>
    <sheetView showGridLines="0" topLeftCell="A64" zoomScaleNormal="100" workbookViewId="0">
      <selection activeCell="K29" sqref="K29"/>
    </sheetView>
  </sheetViews>
  <sheetFormatPr baseColWidth="10" defaultColWidth="0" defaultRowHeight="24.95" customHeight="1"/>
  <cols>
    <col min="1" max="1" width="14.7109375" style="730" customWidth="1"/>
    <col min="2" max="2" width="51.7109375" style="645" customWidth="1"/>
    <col min="3" max="3" width="18" style="262" customWidth="1"/>
    <col min="4" max="4" width="16.140625" style="262" customWidth="1"/>
    <col min="5" max="5" width="12.28515625" style="262" customWidth="1"/>
    <col min="6" max="6" width="20.140625" style="262" customWidth="1"/>
    <col min="7" max="7" width="16.5703125" style="262" customWidth="1"/>
    <col min="8" max="8" width="15.7109375" style="262" customWidth="1"/>
    <col min="9" max="9" width="13.5703125" style="262" customWidth="1"/>
    <col min="10" max="10" width="16.5703125" style="262" customWidth="1"/>
    <col min="11" max="11" width="15.85546875" style="262" bestFit="1"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7109375" style="681" customWidth="1"/>
    <col min="20" max="20" width="43.140625" style="657" customWidth="1"/>
    <col min="21" max="21" width="17.42578125" style="262" customWidth="1"/>
    <col min="22" max="22" width="14.7109375" style="262" customWidth="1"/>
    <col min="23" max="23" width="19" style="262" customWidth="1"/>
    <col min="24" max="24" width="17.28515625" style="262" customWidth="1"/>
    <col min="25" max="25" width="14.7109375" style="262" customWidth="1"/>
    <col min="26" max="26" width="19.28515625" style="262" customWidth="1"/>
    <col min="27" max="27" width="18" style="262" customWidth="1"/>
    <col min="28" max="28" width="14.7109375" style="262" customWidth="1"/>
    <col min="29" max="32" width="17.140625" style="262" customWidth="1"/>
    <col min="33" max="33" width="16.5703125" style="262" customWidth="1"/>
    <col min="34" max="35" width="19.42578125" style="262" customWidth="1"/>
    <col min="36" max="36" width="16.7109375" style="262" customWidth="1"/>
    <col min="37" max="37" width="8.85546875" style="1" customWidth="1"/>
    <col min="38" max="39" width="23.7109375" style="262" customWidth="1"/>
    <col min="40" max="40" width="4.85546875" style="262" customWidth="1"/>
    <col min="41" max="41" width="12.28515625" style="262" customWidth="1"/>
    <col min="42" max="42" width="43.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3" style="262" customWidth="1"/>
    <col min="60" max="63" width="17.5703125" style="262" customWidth="1"/>
    <col min="64" max="64" width="11" style="262" customWidth="1"/>
    <col min="65" max="65" width="76" style="262" customWidth="1"/>
    <col min="66" max="66" width="19.7109375" style="262" customWidth="1"/>
    <col min="67" max="67" width="15.71093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261" t="str">
        <f>IF(SUM(C12:C15)=0,"",IF(SUM(H12:H15)=SUM(C12:C15),"OJO - EN LA DISPONIBILIDAD INICIAL, NI EL RECONOCIMIENTO NI EL RECAUDO PUEDEN SER IGUALES AL PRESUPUESTO INICIAL, haga click en la celda B8 para mas información",""))</f>
        <v/>
      </c>
      <c r="D1" s="261"/>
      <c r="E1" s="261"/>
      <c r="F1" s="261"/>
      <c r="G1" s="261"/>
      <c r="H1" s="261"/>
      <c r="I1" s="261"/>
      <c r="J1" s="261"/>
      <c r="K1" s="947" t="str">
        <f>+IF(L8&gt;I8,"OJO - SUS RECAUDOS SON SUPERIORES A SUS RECONOCIMIENTOS, VERIFIQUE","")</f>
        <v/>
      </c>
      <c r="L1" s="947"/>
      <c r="M1" s="947"/>
      <c r="N1" s="947"/>
      <c r="U1" s="914" t="str">
        <f>+IF(AA8&gt;X8,"OJO - HA COMPROMETIDO MUCHO MAS DE LO QUE TIENE PRESUPUESTADO","")</f>
        <v/>
      </c>
      <c r="V1" s="914"/>
      <c r="W1" s="914"/>
      <c r="X1" s="914"/>
      <c r="Y1" s="263" t="str">
        <f>+IF(AD8&gt;AA8,"OJO - SUS OBLIGACIONES SUPERAN SUS COMPROMISOS, VERIFIQUE","")</f>
        <v/>
      </c>
      <c r="AC1" s="263" t="str">
        <f>+IF(AG8&gt;AD8,"OJO - SUS PAGOS NO PUEDEN SUPERAR SUS OBLIGACIONES, VERIFIQUE","")</f>
        <v/>
      </c>
    </row>
    <row r="2" spans="1:69" ht="53.25" customHeight="1" thickBot="1">
      <c r="A2" s="709"/>
      <c r="B2" s="656" t="s">
        <v>590</v>
      </c>
      <c r="C2" s="264"/>
      <c r="D2" s="956" t="str">
        <f>+IF(F2="","","MUNICIPIO:")</f>
        <v>MUNICIPIO:</v>
      </c>
      <c r="E2" s="956"/>
      <c r="F2" s="265" t="str">
        <f>IF(INSTRUCCIONES!B3=0,"",INSTRUCCIONES!B3)</f>
        <v>MEDELLIN</v>
      </c>
      <c r="G2" s="266"/>
      <c r="H2" s="266"/>
      <c r="I2" s="266"/>
      <c r="J2" s="266"/>
      <c r="K2" s="267"/>
      <c r="L2" s="957" t="s">
        <v>380</v>
      </c>
      <c r="M2" s="930"/>
      <c r="N2" s="591" t="s">
        <v>381</v>
      </c>
      <c r="P2" s="941" t="s">
        <v>41</v>
      </c>
      <c r="Q2" s="942"/>
      <c r="R2" s="269"/>
      <c r="S2" s="682"/>
      <c r="T2" s="699" t="s">
        <v>590</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41</v>
      </c>
      <c r="AM2" s="942"/>
      <c r="AO2" s="2">
        <v>1</v>
      </c>
      <c r="AP2" s="270" t="s">
        <v>7</v>
      </c>
      <c r="AQ2" s="271"/>
      <c r="AR2" s="3"/>
      <c r="AS2" s="3"/>
      <c r="AT2" s="3"/>
      <c r="AU2" s="3"/>
      <c r="AV2" s="3"/>
      <c r="AW2" s="3"/>
      <c r="AX2" s="3"/>
      <c r="AY2" s="3"/>
      <c r="AZ2" s="4"/>
      <c r="BB2" s="941" t="s">
        <v>588</v>
      </c>
      <c r="BC2" s="958"/>
      <c r="BD2" s="51" t="s">
        <v>380</v>
      </c>
      <c r="BE2" s="268" t="str">
        <f>+L3</f>
        <v>ENERO</v>
      </c>
      <c r="BF2" s="263"/>
      <c r="BG2" s="941" t="s">
        <v>589</v>
      </c>
      <c r="BH2" s="958"/>
      <c r="BI2" s="958"/>
      <c r="BJ2" s="51" t="s">
        <v>380</v>
      </c>
      <c r="BK2" s="268" t="str">
        <f>+BE2</f>
        <v>ENERO</v>
      </c>
      <c r="BM2" s="941" t="s">
        <v>589</v>
      </c>
      <c r="BN2" s="958"/>
      <c r="BO2" s="958"/>
      <c r="BP2" s="51" t="s">
        <v>380</v>
      </c>
      <c r="BQ2" s="268" t="str">
        <f>+BK2</f>
        <v>ENERO</v>
      </c>
    </row>
    <row r="3" spans="1:69" ht="24.95" customHeight="1" thickBot="1">
      <c r="A3" s="710"/>
      <c r="B3" s="952" t="s">
        <v>8</v>
      </c>
      <c r="C3" s="272"/>
      <c r="D3" s="989" t="str">
        <f>+IF(F3="","","INSTITUCION:")</f>
        <v>INSTITUCION:</v>
      </c>
      <c r="E3" s="989"/>
      <c r="F3" s="948" t="str">
        <f>IF(INSTRUCCIONES!B5=0,"",INSTRUCCIONES!B5)</f>
        <v>ESE HOSPITAL LA MARIA</v>
      </c>
      <c r="G3" s="948"/>
      <c r="H3" s="948"/>
      <c r="I3" s="948"/>
      <c r="J3" s="948"/>
      <c r="K3" s="949"/>
      <c r="L3" s="974" t="s">
        <v>9</v>
      </c>
      <c r="M3" s="975"/>
      <c r="N3" s="954">
        <f>+INSTRUCCIONES!F3</f>
        <v>2019</v>
      </c>
      <c r="P3" s="943" t="s">
        <v>510</v>
      </c>
      <c r="Q3" s="961" t="s">
        <v>511</v>
      </c>
      <c r="R3" s="269"/>
      <c r="S3" s="683"/>
      <c r="T3" s="973" t="s">
        <v>10</v>
      </c>
      <c r="U3" s="273"/>
      <c r="V3" s="920" t="str">
        <f>+IF(F3="","","E.S.E. HOSPITAL:")</f>
        <v>E.S.E. HOSPITAL:</v>
      </c>
      <c r="W3" s="920"/>
      <c r="X3" s="920"/>
      <c r="Y3" s="922" t="str">
        <f>IF(INSTRUCCIONES!B5=0,"",INSTRUCCIONES!B5)</f>
        <v>ESE HOSPITAL LA MARIA</v>
      </c>
      <c r="Z3" s="922"/>
      <c r="AA3" s="922"/>
      <c r="AB3" s="922"/>
      <c r="AC3" s="922"/>
      <c r="AD3" s="922"/>
      <c r="AE3" s="922"/>
      <c r="AF3" s="922"/>
      <c r="AG3" s="923"/>
      <c r="AH3" s="926" t="str">
        <f>+L3</f>
        <v>ENERO</v>
      </c>
      <c r="AI3" s="927"/>
      <c r="AJ3" s="918">
        <f>+N3</f>
        <v>2019</v>
      </c>
      <c r="AL3" s="943" t="s">
        <v>512</v>
      </c>
      <c r="AM3" s="961" t="s">
        <v>513</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10"/>
      <c r="B4" s="953"/>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48"/>
      <c r="BE4" s="47"/>
      <c r="BF4" s="7"/>
      <c r="BG4" s="281"/>
      <c r="BH4" s="282"/>
      <c r="BI4" s="48"/>
      <c r="BJ4" s="48"/>
      <c r="BK4" s="283"/>
      <c r="BL4" s="8"/>
      <c r="BM4" s="281"/>
      <c r="BN4" s="284"/>
      <c r="BO4" s="49"/>
      <c r="BP4" s="49"/>
      <c r="BQ4" s="285"/>
    </row>
    <row r="5" spans="1:69" ht="42" customHeight="1" thickBot="1">
      <c r="A5" s="934" t="s">
        <v>17</v>
      </c>
      <c r="B5" s="936" t="str">
        <f>IF(SUM(C8:N125)=0,"DESCRIPCIÓN",IF(I10&gt;0,"DESCRIPCIÓN",IF(MARZO!I10=0,"OJO - RECUERDE RECAUDAR LA DISPONIBLIDAD INICIAL EN ESTE TRIMESTRE, haga clik en H9 para ampliar la información","")))</f>
        <v>DESCRIPCIÓN</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294" t="str">
        <f>+CONCATENATE("ACUMULADO ",N3)</f>
        <v>ACUMULADO 2019</v>
      </c>
      <c r="BD5" s="295"/>
      <c r="BE5" s="296"/>
      <c r="BF5" s="297" t="s">
        <v>12</v>
      </c>
      <c r="BG5" s="969" t="s">
        <v>32</v>
      </c>
      <c r="BH5" s="966" t="str">
        <f>+CONCATENATE("ACUMULADO ",N3)</f>
        <v>ACUMULADO 2019</v>
      </c>
      <c r="BI5" s="967"/>
      <c r="BJ5" s="967"/>
      <c r="BK5" s="968"/>
      <c r="BM5" s="964" t="s">
        <v>32</v>
      </c>
      <c r="BN5" s="298" t="str">
        <f>+CONCATENATE("ACUMULADO ",BQ3)</f>
        <v>ACUMULADO 2019</v>
      </c>
      <c r="BO5" s="299"/>
      <c r="BP5" s="300"/>
      <c r="BQ5" s="301"/>
    </row>
    <row r="6" spans="1:69" ht="24.95" customHeight="1" thickBot="1">
      <c r="A6" s="935"/>
      <c r="B6" s="937"/>
      <c r="C6" s="127" t="s">
        <v>33</v>
      </c>
      <c r="D6" s="119" t="s">
        <v>34</v>
      </c>
      <c r="E6" s="119" t="s">
        <v>35</v>
      </c>
      <c r="F6" s="120" t="s">
        <v>36</v>
      </c>
      <c r="G6" s="127" t="s">
        <v>37</v>
      </c>
      <c r="H6" s="119" t="s">
        <v>38</v>
      </c>
      <c r="I6" s="120" t="s">
        <v>39</v>
      </c>
      <c r="J6" s="127" t="s">
        <v>37</v>
      </c>
      <c r="K6" s="119" t="s">
        <v>38</v>
      </c>
      <c r="L6" s="120" t="s">
        <v>39</v>
      </c>
      <c r="M6" s="127" t="s">
        <v>40</v>
      </c>
      <c r="N6" s="120" t="s">
        <v>20</v>
      </c>
      <c r="P6" s="159" t="s">
        <v>467</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467</v>
      </c>
      <c r="AM6" s="120" t="s">
        <v>452</v>
      </c>
      <c r="AO6" s="304"/>
      <c r="AP6" s="305"/>
      <c r="AQ6" s="306" t="s">
        <v>36</v>
      </c>
      <c r="AR6" s="306" t="str">
        <f>+L3</f>
        <v>ENERO</v>
      </c>
      <c r="AS6" s="306" t="str">
        <f>AR6</f>
        <v>ENERO</v>
      </c>
      <c r="AT6" s="306" t="str">
        <f>AR6</f>
        <v>ENERO</v>
      </c>
      <c r="AU6" s="306" t="s">
        <v>14</v>
      </c>
      <c r="AV6" s="306" t="s">
        <v>29</v>
      </c>
      <c r="AW6" s="306"/>
      <c r="AX6" s="306"/>
      <c r="AY6" s="306" t="s">
        <v>14</v>
      </c>
      <c r="AZ6" s="307" t="s">
        <v>29</v>
      </c>
      <c r="BB6" s="308"/>
      <c r="BC6" s="309" t="s">
        <v>45</v>
      </c>
      <c r="BD6" s="310" t="s">
        <v>46</v>
      </c>
      <c r="BE6" s="311" t="s">
        <v>47</v>
      </c>
      <c r="BF6" s="312"/>
      <c r="BG6" s="970"/>
      <c r="BH6" s="313" t="s">
        <v>45</v>
      </c>
      <c r="BI6" s="313" t="s">
        <v>48</v>
      </c>
      <c r="BJ6" s="313" t="s">
        <v>49</v>
      </c>
      <c r="BK6" s="314" t="s">
        <v>50</v>
      </c>
      <c r="BM6" s="965"/>
      <c r="BN6" s="315" t="s">
        <v>45</v>
      </c>
      <c r="BO6" s="313" t="s">
        <v>48</v>
      </c>
      <c r="BP6" s="313" t="s">
        <v>49</v>
      </c>
      <c r="BQ6" s="314" t="s">
        <v>50</v>
      </c>
    </row>
    <row r="7" spans="1:69" s="9" customFormat="1" ht="24.95" customHeight="1" thickBot="1">
      <c r="A7" s="651"/>
      <c r="B7" s="595"/>
      <c r="C7" s="182"/>
      <c r="D7" s="182"/>
      <c r="E7" s="182"/>
      <c r="F7" s="182"/>
      <c r="G7" s="182"/>
      <c r="H7" s="182"/>
      <c r="I7" s="182"/>
      <c r="J7" s="182"/>
      <c r="K7" s="182"/>
      <c r="L7" s="182"/>
      <c r="M7" s="182"/>
      <c r="N7" s="183"/>
      <c r="O7" s="269"/>
      <c r="P7" s="184"/>
      <c r="Q7" s="18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3258766532</v>
      </c>
      <c r="AR7" s="317">
        <f>I22</f>
        <v>483563014</v>
      </c>
      <c r="AS7" s="317">
        <f>L22</f>
        <v>183201768</v>
      </c>
      <c r="AT7" s="13"/>
      <c r="AU7" s="318">
        <f t="shared" ref="AU7:AU17" si="0">IF(AQ7=0," ",AR7/AQ7)</f>
        <v>0.14838835775793466</v>
      </c>
      <c r="AV7" s="318">
        <f t="shared" ref="AV7:AV17" si="1">IF(AQ7=0," ",AS7/AQ7)</f>
        <v>5.6218132290552197E-2</v>
      </c>
      <c r="AW7" s="317">
        <f>I23/AO$2*12+I24</f>
        <v>3787536720</v>
      </c>
      <c r="AX7" s="317">
        <f>L23/AO$2*12+L24</f>
        <v>183201768</v>
      </c>
      <c r="AY7" s="317">
        <f t="shared" ref="AY7:AY16" si="2">AW7-AQ7</f>
        <v>528770188</v>
      </c>
      <c r="AZ7" s="319">
        <f t="shared" ref="AZ7:AZ16" si="3">AX7-AQ7</f>
        <v>-3075564764</v>
      </c>
      <c r="BB7" s="320" t="s">
        <v>53</v>
      </c>
      <c r="BC7" s="54">
        <f>F10</f>
        <v>10163682964</v>
      </c>
      <c r="BD7" s="55">
        <f>I10</f>
        <v>9883682964</v>
      </c>
      <c r="BE7" s="56">
        <f>K10</f>
        <v>9883682964</v>
      </c>
      <c r="BF7" s="57"/>
      <c r="BG7" s="58" t="s">
        <v>54</v>
      </c>
      <c r="BH7" s="59">
        <f>+SUM(BH8:BH11)</f>
        <v>47318642562</v>
      </c>
      <c r="BI7" s="59">
        <f>+SUM(BI8:BI11)</f>
        <v>25835803391</v>
      </c>
      <c r="BJ7" s="59">
        <f>+SUM(BJ8:BJ11)</f>
        <v>2815248872</v>
      </c>
      <c r="BK7" s="60">
        <f>+SUM(BK8:BK11)</f>
        <v>598898298</v>
      </c>
      <c r="BM7" s="61" t="s">
        <v>54</v>
      </c>
      <c r="BN7" s="62">
        <f>BN8+BN15+BN22</f>
        <v>47318642562</v>
      </c>
      <c r="BO7" s="63">
        <f>BO8+BO15+BO22</f>
        <v>25835803391</v>
      </c>
      <c r="BP7" s="63">
        <f>BP8+BP15+BP22</f>
        <v>2815248872</v>
      </c>
      <c r="BQ7" s="64">
        <f>BQ8+BQ15+BQ22</f>
        <v>598898298</v>
      </c>
    </row>
    <row r="8" spans="1:69" s="9" customFormat="1" ht="24.95" customHeight="1" thickBot="1">
      <c r="A8" s="711">
        <v>1</v>
      </c>
      <c r="B8" s="618" t="s">
        <v>11</v>
      </c>
      <c r="C8" s="321">
        <f>C10+C17+C113</f>
        <v>66420360605</v>
      </c>
      <c r="D8" s="321">
        <f t="shared" ref="D8:N8" si="4">D10+D17+D113</f>
        <v>0</v>
      </c>
      <c r="E8" s="321">
        <f t="shared" si="4"/>
        <v>10198771304</v>
      </c>
      <c r="F8" s="321">
        <f t="shared" si="4"/>
        <v>76619131909</v>
      </c>
      <c r="G8" s="321">
        <f t="shared" si="4"/>
        <v>0</v>
      </c>
      <c r="H8" s="321">
        <f t="shared" si="4"/>
        <v>18499760929</v>
      </c>
      <c r="I8" s="321">
        <f t="shared" si="4"/>
        <v>18499760929</v>
      </c>
      <c r="J8" s="321">
        <f t="shared" si="4"/>
        <v>0</v>
      </c>
      <c r="K8" s="321">
        <f t="shared" si="4"/>
        <v>14083869871</v>
      </c>
      <c r="L8" s="321">
        <f t="shared" si="4"/>
        <v>14083869871</v>
      </c>
      <c r="M8" s="321">
        <f t="shared" si="4"/>
        <v>58119370980</v>
      </c>
      <c r="N8" s="321">
        <f t="shared" si="4"/>
        <v>62535262038</v>
      </c>
      <c r="O8" s="323"/>
      <c r="P8" s="324">
        <f>P10+P17+P113</f>
        <v>0</v>
      </c>
      <c r="Q8" s="322">
        <f>Q10+Q17+Q113</f>
        <v>10198771304</v>
      </c>
      <c r="S8" s="684"/>
      <c r="T8" s="658" t="s">
        <v>51</v>
      </c>
      <c r="U8" s="325">
        <f>U10+U193+U220+U232</f>
        <v>66420360605</v>
      </c>
      <c r="V8" s="326">
        <f t="shared" ref="V8:AJ8" si="5">V10+V193+V220+V232</f>
        <v>0</v>
      </c>
      <c r="W8" s="326">
        <f t="shared" si="5"/>
        <v>10198771304</v>
      </c>
      <c r="X8" s="327">
        <f t="shared" si="5"/>
        <v>76619131909</v>
      </c>
      <c r="Y8" s="328">
        <f t="shared" si="5"/>
        <v>0</v>
      </c>
      <c r="Z8" s="326">
        <f t="shared" si="5"/>
        <v>39003160179</v>
      </c>
      <c r="AA8" s="327">
        <f t="shared" si="5"/>
        <v>39003160179</v>
      </c>
      <c r="AB8" s="328">
        <f t="shared" si="5"/>
        <v>0</v>
      </c>
      <c r="AC8" s="326">
        <f t="shared" si="5"/>
        <v>7568678377</v>
      </c>
      <c r="AD8" s="327">
        <f t="shared" si="5"/>
        <v>7568678377</v>
      </c>
      <c r="AE8" s="328">
        <f t="shared" si="5"/>
        <v>0</v>
      </c>
      <c r="AF8" s="326">
        <f t="shared" si="5"/>
        <v>3169470614</v>
      </c>
      <c r="AG8" s="327">
        <f t="shared" si="5"/>
        <v>3169470614</v>
      </c>
      <c r="AH8" s="328">
        <f t="shared" si="5"/>
        <v>37615971730</v>
      </c>
      <c r="AI8" s="326">
        <f t="shared" si="5"/>
        <v>69050453532</v>
      </c>
      <c r="AJ8" s="329">
        <f t="shared" si="5"/>
        <v>73449661295</v>
      </c>
      <c r="AL8" s="330">
        <f>AL10+AL193+AL220+AL232</f>
        <v>0</v>
      </c>
      <c r="AM8" s="331">
        <f>AM10+AM193+AM220+AM232</f>
        <v>10198771304</v>
      </c>
      <c r="AO8" s="21"/>
      <c r="AP8" s="11" t="s">
        <v>56</v>
      </c>
      <c r="AQ8" s="12">
        <f>F25</f>
        <v>34406036899</v>
      </c>
      <c r="AR8" s="12">
        <f>I25</f>
        <v>6105022238</v>
      </c>
      <c r="AS8" s="12">
        <f>L25</f>
        <v>3419819194</v>
      </c>
      <c r="AT8" s="13"/>
      <c r="AU8" s="332">
        <f t="shared" si="0"/>
        <v>0.17744043744187929</v>
      </c>
      <c r="AV8" s="332">
        <f t="shared" si="1"/>
        <v>9.939590555108066E-2</v>
      </c>
      <c r="AW8" s="12">
        <f>I26/AO$2*12+I27</f>
        <v>35642255722</v>
      </c>
      <c r="AX8" s="12">
        <f>L26/AO$2*12+L27</f>
        <v>3419819194</v>
      </c>
      <c r="AY8" s="12">
        <f t="shared" si="2"/>
        <v>1236218823</v>
      </c>
      <c r="AZ8" s="333">
        <f t="shared" si="3"/>
        <v>-30986217705</v>
      </c>
      <c r="BB8" s="140" t="s">
        <v>57</v>
      </c>
      <c r="BC8" s="65">
        <f>BC9+BC19</f>
        <v>63468091852</v>
      </c>
      <c r="BD8" s="66">
        <f>BD9+BD19</f>
        <v>4509432277</v>
      </c>
      <c r="BE8" s="67">
        <f>BE9+BE19</f>
        <v>93541219</v>
      </c>
      <c r="BF8" s="57"/>
      <c r="BG8" s="68" t="s">
        <v>58</v>
      </c>
      <c r="BH8" s="69">
        <f>BN9+BN13</f>
        <v>11066915508</v>
      </c>
      <c r="BI8" s="69">
        <f>BO9+BO13</f>
        <v>309150015</v>
      </c>
      <c r="BJ8" s="69">
        <f>BP9+BP13</f>
        <v>309130015</v>
      </c>
      <c r="BK8" s="70">
        <f>BQ9+BQ13</f>
        <v>284278135</v>
      </c>
      <c r="BM8" s="71" t="s">
        <v>59</v>
      </c>
      <c r="BN8" s="72">
        <f>BN9+BN14+BN13</f>
        <v>34464468891</v>
      </c>
      <c r="BO8" s="69">
        <f>BO9+BO14+BO13</f>
        <v>21088248162</v>
      </c>
      <c r="BP8" s="69">
        <f>BP9+BP14+BP13</f>
        <v>2069589470</v>
      </c>
      <c r="BQ8" s="70">
        <f>BQ9+BQ14+BQ13</f>
        <v>378473908</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9303750107</v>
      </c>
      <c r="AR9" s="12">
        <f>I28+I75</f>
        <v>719355528</v>
      </c>
      <c r="AS9" s="12">
        <f>L28+L75</f>
        <v>48226784</v>
      </c>
      <c r="AT9" s="13"/>
      <c r="AU9" s="340">
        <f t="shared" si="0"/>
        <v>7.7318878917305378E-2</v>
      </c>
      <c r="AV9" s="340">
        <f t="shared" si="1"/>
        <v>5.1835854838485932E-3</v>
      </c>
      <c r="AW9" s="341">
        <f>(I30+I33+I36+I76)/AO$2*12+I31+I34+I37+I38+I39+I40+I77</f>
        <v>8299350093</v>
      </c>
      <c r="AX9" s="341">
        <f>(L30+L33+L36+L76)/AO$2*12+L31+L34+L37+L38+L39+L40+L77</f>
        <v>245805165</v>
      </c>
      <c r="AY9" s="341">
        <f t="shared" si="2"/>
        <v>-1004400014</v>
      </c>
      <c r="AZ9" s="342">
        <f t="shared" si="3"/>
        <v>-9057944942</v>
      </c>
      <c r="BB9" s="343" t="s">
        <v>412</v>
      </c>
      <c r="BC9" s="73">
        <f>BC10+BC18</f>
        <v>63369919729</v>
      </c>
      <c r="BD9" s="74">
        <f>BD10+BD18</f>
        <v>4505141791</v>
      </c>
      <c r="BE9" s="75">
        <f>BE10+BE18</f>
        <v>89250733</v>
      </c>
      <c r="BF9" s="76"/>
      <c r="BG9" s="77" t="s">
        <v>62</v>
      </c>
      <c r="BH9" s="78">
        <f t="shared" ref="BH9:BK10" si="6">BN14</f>
        <v>23397553383</v>
      </c>
      <c r="BI9" s="78">
        <f t="shared" si="6"/>
        <v>20779098147</v>
      </c>
      <c r="BJ9" s="78">
        <f t="shared" si="6"/>
        <v>1760459455</v>
      </c>
      <c r="BK9" s="79">
        <f t="shared" si="6"/>
        <v>94195773</v>
      </c>
      <c r="BM9" s="137" t="s">
        <v>63</v>
      </c>
      <c r="BN9" s="80">
        <f>SUM(BN10:BN12)</f>
        <v>7152685503</v>
      </c>
      <c r="BO9" s="78">
        <f>SUM(BO10:BO12)</f>
        <v>284298135</v>
      </c>
      <c r="BP9" s="78">
        <f>SUM(BP10:BP12)</f>
        <v>284278135</v>
      </c>
      <c r="BQ9" s="79">
        <f>SUM(BQ10:BQ12)</f>
        <v>284278135</v>
      </c>
    </row>
    <row r="10" spans="1:69" s="9" customFormat="1" ht="24.95" customHeight="1">
      <c r="A10" s="712">
        <v>10</v>
      </c>
      <c r="B10" s="620" t="s">
        <v>55</v>
      </c>
      <c r="C10" s="174">
        <f t="shared" ref="C10:N10" si="7">SUM(C12:C15)</f>
        <v>4845434734</v>
      </c>
      <c r="D10" s="344">
        <f t="shared" si="7"/>
        <v>0</v>
      </c>
      <c r="E10" s="344">
        <f t="shared" si="7"/>
        <v>5318248230</v>
      </c>
      <c r="F10" s="175">
        <f t="shared" si="7"/>
        <v>10163682964</v>
      </c>
      <c r="G10" s="345">
        <f t="shared" si="7"/>
        <v>0</v>
      </c>
      <c r="H10" s="344">
        <f t="shared" si="7"/>
        <v>9883682964</v>
      </c>
      <c r="I10" s="346">
        <f t="shared" si="7"/>
        <v>9883682964</v>
      </c>
      <c r="J10" s="174">
        <f t="shared" si="7"/>
        <v>0</v>
      </c>
      <c r="K10" s="344">
        <f t="shared" si="7"/>
        <v>9883682964</v>
      </c>
      <c r="L10" s="175">
        <f t="shared" si="7"/>
        <v>9883682964</v>
      </c>
      <c r="M10" s="174">
        <f t="shared" si="7"/>
        <v>280000000</v>
      </c>
      <c r="N10" s="175">
        <f t="shared" si="7"/>
        <v>280000000</v>
      </c>
      <c r="O10" s="13"/>
      <c r="P10" s="174">
        <f>SUM(P12:P15)</f>
        <v>0</v>
      </c>
      <c r="Q10" s="175">
        <f>SUM(Q12:Q15)</f>
        <v>5318248230</v>
      </c>
      <c r="S10" s="347" t="s">
        <v>25</v>
      </c>
      <c r="T10" s="659" t="s">
        <v>54</v>
      </c>
      <c r="U10" s="348">
        <f>U12+U110+U170</f>
        <v>50109343517</v>
      </c>
      <c r="V10" s="349">
        <f t="shared" ref="V10:AJ10" si="8">V12+V110+V170</f>
        <v>0</v>
      </c>
      <c r="W10" s="349">
        <f t="shared" si="8"/>
        <v>1160000000</v>
      </c>
      <c r="X10" s="350">
        <f t="shared" si="8"/>
        <v>51269343517</v>
      </c>
      <c r="Y10" s="351">
        <f t="shared" si="8"/>
        <v>0</v>
      </c>
      <c r="Z10" s="349">
        <f t="shared" si="8"/>
        <v>26982000507</v>
      </c>
      <c r="AA10" s="350">
        <f t="shared" si="8"/>
        <v>26982000507</v>
      </c>
      <c r="AB10" s="351">
        <f t="shared" si="8"/>
        <v>0</v>
      </c>
      <c r="AC10" s="349">
        <f t="shared" si="8"/>
        <v>3961445988</v>
      </c>
      <c r="AD10" s="352">
        <f t="shared" si="8"/>
        <v>3961445988</v>
      </c>
      <c r="AE10" s="351">
        <f t="shared" si="8"/>
        <v>0</v>
      </c>
      <c r="AF10" s="349">
        <f t="shared" si="8"/>
        <v>1745095414</v>
      </c>
      <c r="AG10" s="350">
        <f t="shared" si="8"/>
        <v>1745095414</v>
      </c>
      <c r="AH10" s="351">
        <f t="shared" si="8"/>
        <v>24287343010</v>
      </c>
      <c r="AI10" s="349">
        <f t="shared" si="8"/>
        <v>47307897529</v>
      </c>
      <c r="AJ10" s="350">
        <f t="shared" si="8"/>
        <v>49524248103</v>
      </c>
      <c r="AL10" s="353">
        <f>AL12+AL110+AL170</f>
        <v>0</v>
      </c>
      <c r="AM10" s="354">
        <f>AM12+AM110+AM170</f>
        <v>1160000000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55387020656</v>
      </c>
      <c r="BD10" s="74">
        <f>BD11+BD12+BD13+BD14+BD16+BD17+BD15</f>
        <v>4505141791</v>
      </c>
      <c r="BE10" s="75">
        <f>BE11+BE12+BE13+BE14+BE16+BE17+BE15</f>
        <v>89250733</v>
      </c>
      <c r="BF10" s="76"/>
      <c r="BG10" s="68" t="s">
        <v>66</v>
      </c>
      <c r="BH10" s="81">
        <f t="shared" si="6"/>
        <v>11613819527</v>
      </c>
      <c r="BI10" s="81">
        <f t="shared" si="6"/>
        <v>4607704332</v>
      </c>
      <c r="BJ10" s="81">
        <f t="shared" si="6"/>
        <v>611379648</v>
      </c>
      <c r="BK10" s="82">
        <f t="shared" si="6"/>
        <v>108530146</v>
      </c>
      <c r="BM10" s="134" t="s">
        <v>425</v>
      </c>
      <c r="BN10" s="83">
        <f>X17+X66</f>
        <v>5293004812</v>
      </c>
      <c r="BO10" s="81">
        <f>AA17+AA66</f>
        <v>261303380</v>
      </c>
      <c r="BP10" s="81">
        <f>AD17+AD66</f>
        <v>261283380</v>
      </c>
      <c r="BQ10" s="82">
        <f>AF17+AF66</f>
        <v>261283380</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60"/>
      <c r="U11" s="161"/>
      <c r="V11" s="161"/>
      <c r="W11" s="161"/>
      <c r="X11" s="166"/>
      <c r="Y11" s="357"/>
      <c r="Z11" s="161"/>
      <c r="AA11" s="166"/>
      <c r="AB11" s="357"/>
      <c r="AC11" s="161"/>
      <c r="AD11" s="161"/>
      <c r="AE11" s="357"/>
      <c r="AF11" s="161"/>
      <c r="AG11" s="166"/>
      <c r="AH11" s="357"/>
      <c r="AI11" s="161"/>
      <c r="AJ11" s="166"/>
      <c r="AL11" s="358"/>
      <c r="AM11" s="359"/>
      <c r="AO11" s="360" t="s">
        <v>11</v>
      </c>
      <c r="AP11" s="517" t="s">
        <v>522</v>
      </c>
      <c r="AQ11" s="12">
        <f>F88</f>
        <v>193911300</v>
      </c>
      <c r="AR11" s="12">
        <f>I88</f>
        <v>28474975</v>
      </c>
      <c r="AS11" s="12">
        <f>L88</f>
        <v>28474975</v>
      </c>
      <c r="AT11" s="361">
        <f>AO2/12</f>
        <v>8.3333333333333329E-2</v>
      </c>
      <c r="AU11" s="340">
        <f t="shared" si="0"/>
        <v>0.14684536177107782</v>
      </c>
      <c r="AV11" s="340">
        <f t="shared" si="1"/>
        <v>0.14684536177107782</v>
      </c>
      <c r="AW11" s="341">
        <f>I88</f>
        <v>28474975</v>
      </c>
      <c r="AX11" s="341">
        <f>L88</f>
        <v>28474975</v>
      </c>
      <c r="AY11" s="341">
        <f t="shared" si="2"/>
        <v>-165436325</v>
      </c>
      <c r="AZ11" s="342">
        <f t="shared" si="3"/>
        <v>-165436325</v>
      </c>
      <c r="BB11" s="355" t="s">
        <v>414</v>
      </c>
      <c r="BC11" s="73">
        <f>F26</f>
        <v>32167564656</v>
      </c>
      <c r="BD11" s="74">
        <f>I26</f>
        <v>2685203044</v>
      </c>
      <c r="BE11" s="75">
        <f>K26</f>
        <v>0</v>
      </c>
      <c r="BF11" s="76"/>
      <c r="BG11" s="68" t="s">
        <v>67</v>
      </c>
      <c r="BH11" s="84">
        <f>BN22</f>
        <v>1240354144</v>
      </c>
      <c r="BI11" s="84">
        <f>BO22</f>
        <v>139850897</v>
      </c>
      <c r="BJ11" s="84">
        <f>BP22</f>
        <v>134279754</v>
      </c>
      <c r="BK11" s="85">
        <f>BQ22</f>
        <v>111894244</v>
      </c>
      <c r="BM11" s="135" t="s">
        <v>426</v>
      </c>
      <c r="BN11" s="86">
        <f>X18+X67</f>
        <v>336902465</v>
      </c>
      <c r="BO11" s="84">
        <f>AA18+AA67</f>
        <v>0</v>
      </c>
      <c r="BP11" s="84">
        <f>AD18+AD67</f>
        <v>0</v>
      </c>
      <c r="BQ11" s="85">
        <f>AF18+AF67</f>
        <v>0</v>
      </c>
    </row>
    <row r="12" spans="1:69" s="9" customFormat="1" ht="24.95" customHeight="1">
      <c r="A12" s="593">
        <v>1001</v>
      </c>
      <c r="B12" s="621" t="str">
        <f>+CONCATENATE("Bienestar Social (Caja, Bancos, Inversiones Tempor.) a Dic-31-",INSTRUCCIONES!$F$3-1)</f>
        <v>Bienestar Social (Caja, Bancos, Inversiones Tempor.) a Dic-31-2018</v>
      </c>
      <c r="C12" s="362">
        <v>0</v>
      </c>
      <c r="D12" s="363">
        <f t="shared" ref="D12:E15" si="9">P12</f>
        <v>0</v>
      </c>
      <c r="E12" s="363">
        <f t="shared" si="9"/>
        <v>0</v>
      </c>
      <c r="F12" s="143">
        <f>SUM(C12:E12)</f>
        <v>0</v>
      </c>
      <c r="G12" s="216">
        <v>0</v>
      </c>
      <c r="H12" s="364">
        <v>0</v>
      </c>
      <c r="I12" s="143">
        <f>SUM(G12:H12)</f>
        <v>0</v>
      </c>
      <c r="J12" s="216">
        <v>0</v>
      </c>
      <c r="K12" s="131">
        <f>+H12</f>
        <v>0</v>
      </c>
      <c r="L12" s="143">
        <f>SUM(J12:K12)</f>
        <v>0</v>
      </c>
      <c r="M12" s="216">
        <f>F12-I12</f>
        <v>0</v>
      </c>
      <c r="N12" s="143">
        <f>F12-L12</f>
        <v>0</v>
      </c>
      <c r="O12" s="284"/>
      <c r="P12" s="362">
        <v>0</v>
      </c>
      <c r="Q12" s="365">
        <v>0</v>
      </c>
      <c r="S12" s="685">
        <v>1000000</v>
      </c>
      <c r="T12" s="661" t="s">
        <v>60</v>
      </c>
      <c r="U12" s="366">
        <f t="shared" ref="U12:AJ12" si="10">U14+U63</f>
        <v>36893269846</v>
      </c>
      <c r="V12" s="367">
        <f t="shared" si="10"/>
        <v>0</v>
      </c>
      <c r="W12" s="367">
        <f t="shared" si="10"/>
        <v>360000000</v>
      </c>
      <c r="X12" s="354">
        <f t="shared" si="10"/>
        <v>37253269846</v>
      </c>
      <c r="Y12" s="353">
        <f t="shared" si="10"/>
        <v>0</v>
      </c>
      <c r="Z12" s="367">
        <f t="shared" si="10"/>
        <v>21608055944</v>
      </c>
      <c r="AA12" s="354">
        <f t="shared" si="10"/>
        <v>21608055944</v>
      </c>
      <c r="AB12" s="353">
        <f t="shared" si="10"/>
        <v>0</v>
      </c>
      <c r="AC12" s="367">
        <f t="shared" si="10"/>
        <v>2589397252</v>
      </c>
      <c r="AD12" s="368">
        <f t="shared" si="10"/>
        <v>2589397252</v>
      </c>
      <c r="AE12" s="353">
        <f t="shared" si="10"/>
        <v>0</v>
      </c>
      <c r="AF12" s="367">
        <f t="shared" si="10"/>
        <v>898281690</v>
      </c>
      <c r="AG12" s="354">
        <f t="shared" si="10"/>
        <v>898281690</v>
      </c>
      <c r="AH12" s="353">
        <f t="shared" si="10"/>
        <v>15645213902</v>
      </c>
      <c r="AI12" s="367">
        <f t="shared" si="10"/>
        <v>34663872594</v>
      </c>
      <c r="AJ12" s="354">
        <f t="shared" si="10"/>
        <v>36354988156</v>
      </c>
      <c r="AK12" s="10"/>
      <c r="AL12" s="369">
        <f>AL14+AL63</f>
        <v>0</v>
      </c>
      <c r="AM12" s="370">
        <f>AM14+AM63</f>
        <v>360000000</v>
      </c>
      <c r="AO12" s="360"/>
      <c r="AP12" s="517"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3087894380</v>
      </c>
      <c r="BD12" s="74">
        <f>I23</f>
        <v>300361246</v>
      </c>
      <c r="BE12" s="75">
        <f>K23</f>
        <v>0</v>
      </c>
      <c r="BF12" s="76"/>
      <c r="BG12" s="371" t="s">
        <v>383</v>
      </c>
      <c r="BH12" s="84">
        <f>BN25</f>
        <v>9484311192</v>
      </c>
      <c r="BI12" s="15">
        <f>BO25</f>
        <v>5257203666</v>
      </c>
      <c r="BJ12" s="84">
        <f>BP25</f>
        <v>1931294176</v>
      </c>
      <c r="BK12" s="85">
        <f>BQ25</f>
        <v>23217658</v>
      </c>
      <c r="BM12" s="136" t="s">
        <v>427</v>
      </c>
      <c r="BN12" s="86">
        <f>X16+X65-X81-X33-BN10-BN11</f>
        <v>1522778226</v>
      </c>
      <c r="BO12" s="84">
        <f>AA16+AA65-AA81-AA33-BO10-BO11</f>
        <v>22994755</v>
      </c>
      <c r="BP12" s="84">
        <f>AD16+AD65-AD81-AD33-BP10-BP11</f>
        <v>22994755</v>
      </c>
      <c r="BQ12" s="85">
        <f>AF16+AF65-AF81-AF33-BQ10-BQ11</f>
        <v>22994755</v>
      </c>
    </row>
    <row r="13" spans="1:69" s="9" customFormat="1" ht="24.95" customHeight="1">
      <c r="A13" s="593">
        <v>1002</v>
      </c>
      <c r="B13" s="621" t="str">
        <f>+CONCATENATE("Fondo Vivienda (Caja, Bancos, Inversiones Tempor.) a Dic-31-",INSTRUCCIONES!$F$3-1)</f>
        <v>Fondo Vivienda (Caja, Bancos, Inversiones Tempor.) a Dic-31-2018</v>
      </c>
      <c r="C13" s="362">
        <v>0</v>
      </c>
      <c r="D13" s="363">
        <f t="shared" si="9"/>
        <v>0</v>
      </c>
      <c r="E13" s="363">
        <f t="shared" si="9"/>
        <v>0</v>
      </c>
      <c r="F13" s="143">
        <f>SUM(C13:E13)</f>
        <v>0</v>
      </c>
      <c r="G13" s="216">
        <v>0</v>
      </c>
      <c r="H13" s="364">
        <v>0</v>
      </c>
      <c r="I13" s="143">
        <f>SUM(G13:H13)</f>
        <v>0</v>
      </c>
      <c r="J13" s="216">
        <v>0</v>
      </c>
      <c r="K13" s="131">
        <f>+H13</f>
        <v>0</v>
      </c>
      <c r="L13" s="143">
        <f>SUM(J13:K13)</f>
        <v>0</v>
      </c>
      <c r="M13" s="216">
        <f>F13-I13</f>
        <v>0</v>
      </c>
      <c r="N13" s="143">
        <f>F13-L13</f>
        <v>0</v>
      </c>
      <c r="O13" s="372"/>
      <c r="P13" s="362">
        <v>0</v>
      </c>
      <c r="Q13" s="365">
        <v>0</v>
      </c>
      <c r="S13" s="356"/>
      <c r="T13" s="660"/>
      <c r="U13" s="161"/>
      <c r="V13" s="161"/>
      <c r="W13" s="161"/>
      <c r="X13" s="166"/>
      <c r="Y13" s="357"/>
      <c r="Z13" s="161"/>
      <c r="AA13" s="166"/>
      <c r="AB13" s="357"/>
      <c r="AC13" s="161"/>
      <c r="AD13" s="161"/>
      <c r="AE13" s="357"/>
      <c r="AF13" s="161"/>
      <c r="AG13" s="166"/>
      <c r="AH13" s="357"/>
      <c r="AI13" s="161"/>
      <c r="AJ13" s="166"/>
      <c r="AK13" s="10"/>
      <c r="AL13" s="358"/>
      <c r="AM13" s="359"/>
      <c r="AO13" s="20"/>
      <c r="AP13" s="517"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516" t="s">
        <v>416</v>
      </c>
      <c r="BC13" s="87">
        <f>+F30+F33+F36+F38+F39+F40</f>
        <v>8952361140</v>
      </c>
      <c r="BD13" s="88">
        <f>+I30+I33+I36+I38+I39+I40</f>
        <v>631288381</v>
      </c>
      <c r="BE13" s="89">
        <f>+K30+K33+K36+K38+K39+K40</f>
        <v>0</v>
      </c>
      <c r="BF13" s="90"/>
      <c r="BG13" s="91" t="s">
        <v>70</v>
      </c>
      <c r="BH13" s="84">
        <f t="shared" ref="BH13:BK15" si="11">BN29</f>
        <v>8730992396</v>
      </c>
      <c r="BI13" s="84">
        <f t="shared" si="11"/>
        <v>5454649462</v>
      </c>
      <c r="BJ13" s="84">
        <f t="shared" si="11"/>
        <v>366631669</v>
      </c>
      <c r="BK13" s="85">
        <f t="shared" si="11"/>
        <v>142068007</v>
      </c>
      <c r="BM13" s="139" t="s">
        <v>428</v>
      </c>
      <c r="BN13" s="83">
        <f>X43-X55+X57-X61+X90-X102+X104-X108</f>
        <v>3914230005</v>
      </c>
      <c r="BO13" s="81">
        <f>AA43-AA55+AA57-AA61+AA90-AA102+AA104-AA108</f>
        <v>24851880</v>
      </c>
      <c r="BP13" s="81">
        <f>AD43-AD55+AD57-AD61+AD90-AD102+AD104-AD108</f>
        <v>24851880</v>
      </c>
      <c r="BQ13" s="82">
        <f>AF43-AF55+AF57-AF61+AF90-AF102+AF104-AF108</f>
        <v>0</v>
      </c>
    </row>
    <row r="14" spans="1:69" s="9" customFormat="1" ht="24.95" customHeight="1">
      <c r="A14" s="593">
        <v>1003</v>
      </c>
      <c r="B14" s="621" t="str">
        <f>+CONCATENATE("Fondos Comunes y Especiales (Caja, Bancos, Invers. Tempor.) a Dic-31-",INSTRUCCIONES!$F$3-1)</f>
        <v>Fondos Comunes y Especiales (Caja, Bancos, Invers. Tempor.) a Dic-31-2018</v>
      </c>
      <c r="C14" s="362">
        <v>4565434734</v>
      </c>
      <c r="D14" s="363">
        <f t="shared" si="9"/>
        <v>0</v>
      </c>
      <c r="E14" s="363">
        <f t="shared" si="9"/>
        <v>5318248230</v>
      </c>
      <c r="F14" s="143">
        <f>SUM(C14:E14)</f>
        <v>9883682964</v>
      </c>
      <c r="G14" s="216">
        <v>0</v>
      </c>
      <c r="H14" s="364">
        <v>9883682964</v>
      </c>
      <c r="I14" s="143">
        <f>SUM(G14:H14)</f>
        <v>9883682964</v>
      </c>
      <c r="J14" s="216">
        <v>0</v>
      </c>
      <c r="K14" s="131">
        <f>+H14</f>
        <v>9883682964</v>
      </c>
      <c r="L14" s="143">
        <f>SUM(J14:K14)</f>
        <v>9883682964</v>
      </c>
      <c r="M14" s="216">
        <f>F14-I14</f>
        <v>0</v>
      </c>
      <c r="N14" s="143">
        <f>F14-L14</f>
        <v>0</v>
      </c>
      <c r="O14" s="372"/>
      <c r="P14" s="362">
        <v>0</v>
      </c>
      <c r="Q14" s="365">
        <v>5318248230</v>
      </c>
      <c r="S14" s="686">
        <v>1010000</v>
      </c>
      <c r="T14" s="662" t="s">
        <v>64</v>
      </c>
      <c r="U14" s="132">
        <f t="shared" ref="U14:AJ14" si="12">U16+U35+U43+U57</f>
        <v>6899222078</v>
      </c>
      <c r="V14" s="122">
        <f t="shared" si="12"/>
        <v>0</v>
      </c>
      <c r="W14" s="122">
        <f t="shared" si="12"/>
        <v>220000000</v>
      </c>
      <c r="X14" s="130">
        <f t="shared" si="12"/>
        <v>7119222078</v>
      </c>
      <c r="Y14" s="128">
        <f t="shared" si="12"/>
        <v>0</v>
      </c>
      <c r="Z14" s="122">
        <f t="shared" si="12"/>
        <v>4265019160</v>
      </c>
      <c r="AA14" s="130">
        <f t="shared" si="12"/>
        <v>4265019160</v>
      </c>
      <c r="AB14" s="128">
        <f t="shared" si="12"/>
        <v>0</v>
      </c>
      <c r="AC14" s="122">
        <f t="shared" si="12"/>
        <v>688520989</v>
      </c>
      <c r="AD14" s="129">
        <f t="shared" si="12"/>
        <v>688520989</v>
      </c>
      <c r="AE14" s="128">
        <f t="shared" si="12"/>
        <v>0</v>
      </c>
      <c r="AF14" s="122">
        <f t="shared" si="12"/>
        <v>432754179</v>
      </c>
      <c r="AG14" s="130">
        <f t="shared" si="12"/>
        <v>432754179</v>
      </c>
      <c r="AH14" s="128">
        <f t="shared" si="12"/>
        <v>2854202918</v>
      </c>
      <c r="AI14" s="122">
        <f t="shared" si="12"/>
        <v>6430701089</v>
      </c>
      <c r="AJ14" s="130">
        <f t="shared" si="12"/>
        <v>6686467899</v>
      </c>
      <c r="AK14" s="10"/>
      <c r="AL14" s="128">
        <f>AL16+AL35+AL43+AL57</f>
        <v>0</v>
      </c>
      <c r="AM14" s="130">
        <f>AM16+AM35+AM43+AM57</f>
        <v>220000000</v>
      </c>
      <c r="AO14" s="21"/>
      <c r="AP14" s="11" t="s">
        <v>73</v>
      </c>
      <c r="AQ14" s="12">
        <f>F19-AQ7-AQ8-AQ9-AQ10-AQ11-AQ12-AQ13</f>
        <v>11011617592</v>
      </c>
      <c r="AR14" s="12">
        <f>I19-AR7-AR8-AR9-AR10-AR11-AR12-AR13</f>
        <v>1272373737</v>
      </c>
      <c r="AS14" s="12">
        <f>L19-AS7-AS8-AS9-AS10-AS11-AS12-AS13</f>
        <v>513175713</v>
      </c>
      <c r="AT14" s="372"/>
      <c r="AU14" s="340">
        <f t="shared" si="0"/>
        <v>0.11554830399526282</v>
      </c>
      <c r="AV14" s="340">
        <f t="shared" si="1"/>
        <v>4.6603117908201326E-2</v>
      </c>
      <c r="AW14" s="653">
        <f>(I41+I46+I49+I52+I55+I58+I61+I64+I67+I70+I73+I78+I81+I82+I83+I85+I94+I104)/AO$2*12+I47+I50+I53+I56+I59+I62+I65+I68+I71+I74</f>
        <v>10632684304</v>
      </c>
      <c r="AX14" s="341">
        <f>(L41+L46+L49+L52+L55+L58+L61+L64+L67+L70+L73+L78+L81+L82+L83+L85+L94+L104)/AO$2*12+L47+L50+L53+L56+L59+L62+L65+L68+L71+L74</f>
        <v>1522308016</v>
      </c>
      <c r="AY14" s="341">
        <f t="shared" si="2"/>
        <v>-378933288</v>
      </c>
      <c r="AZ14" s="342">
        <f t="shared" si="3"/>
        <v>-9489309576</v>
      </c>
      <c r="BB14" s="373" t="s">
        <v>417</v>
      </c>
      <c r="BC14" s="92">
        <f>+F64</f>
        <v>8371510292</v>
      </c>
      <c r="BD14" s="93">
        <f>+I64</f>
        <v>617469018</v>
      </c>
      <c r="BE14" s="94">
        <f>K64</f>
        <v>0</v>
      </c>
      <c r="BF14" s="95"/>
      <c r="BG14" s="91" t="s">
        <v>74</v>
      </c>
      <c r="BH14" s="81">
        <f t="shared" si="11"/>
        <v>262344980</v>
      </c>
      <c r="BI14" s="81">
        <f t="shared" si="11"/>
        <v>25857009</v>
      </c>
      <c r="BJ14" s="81">
        <f t="shared" si="11"/>
        <v>25857009</v>
      </c>
      <c r="BK14" s="82">
        <f t="shared" si="11"/>
        <v>0</v>
      </c>
      <c r="BM14" s="138" t="s">
        <v>424</v>
      </c>
      <c r="BN14" s="86">
        <f>X35-X41+X83-X88</f>
        <v>23397553383</v>
      </c>
      <c r="BO14" s="84">
        <f>AA35-AA41+AA83-AA88</f>
        <v>20779098147</v>
      </c>
      <c r="BP14" s="84">
        <f>AD35-AD41+AD83-AD88</f>
        <v>1760459455</v>
      </c>
      <c r="BQ14" s="85">
        <f>AF35-AF41+AF83-AF88</f>
        <v>94195773</v>
      </c>
    </row>
    <row r="15" spans="1:69" s="9" customFormat="1" ht="24.95" customHeight="1" thickBot="1">
      <c r="A15" s="594">
        <v>1004</v>
      </c>
      <c r="B15" s="621" t="str">
        <f>+CONCATENATE("Cesantias Ley 50/1990 a Dic-31-",INSTRUCCIONES!$F$3-1)</f>
        <v>Cesantias Ley 50/1990 a Dic-31-2018</v>
      </c>
      <c r="C15" s="374">
        <v>280000000</v>
      </c>
      <c r="D15" s="375">
        <f t="shared" si="9"/>
        <v>0</v>
      </c>
      <c r="E15" s="375">
        <f t="shared" si="9"/>
        <v>0</v>
      </c>
      <c r="F15" s="376">
        <f>SUM(C15:E15)</f>
        <v>280000000</v>
      </c>
      <c r="G15" s="377">
        <v>0</v>
      </c>
      <c r="H15" s="378">
        <v>0</v>
      </c>
      <c r="I15" s="376">
        <f>SUM(G15:H15)</f>
        <v>0</v>
      </c>
      <c r="J15" s="377">
        <v>0</v>
      </c>
      <c r="K15" s="165">
        <f>+H15</f>
        <v>0</v>
      </c>
      <c r="L15" s="376">
        <f>SUM(J15:K15)</f>
        <v>0</v>
      </c>
      <c r="M15" s="377">
        <f>F15-I15</f>
        <v>280000000</v>
      </c>
      <c r="N15" s="376">
        <f>F15-L15</f>
        <v>280000000</v>
      </c>
      <c r="O15" s="372"/>
      <c r="P15" s="374">
        <v>0</v>
      </c>
      <c r="Q15" s="379">
        <v>0</v>
      </c>
      <c r="S15" s="356"/>
      <c r="T15" s="660" t="str">
        <f>IF($F$8-$X$8=0," ","OJO: PRESUPUESTO DESEQUILIBRADO")</f>
        <v xml:space="preserve"> </v>
      </c>
      <c r="U15" s="161"/>
      <c r="V15" s="161"/>
      <c r="W15" s="161"/>
      <c r="X15" s="166"/>
      <c r="Y15" s="357"/>
      <c r="Z15" s="161"/>
      <c r="AA15" s="166"/>
      <c r="AB15" s="357"/>
      <c r="AC15" s="161"/>
      <c r="AD15" s="161"/>
      <c r="AE15" s="357"/>
      <c r="AF15" s="161"/>
      <c r="AG15" s="166"/>
      <c r="AH15" s="357"/>
      <c r="AI15" s="161"/>
      <c r="AJ15" s="166"/>
      <c r="AK15" s="10"/>
      <c r="AL15" s="170"/>
      <c r="AM15" s="171"/>
      <c r="AO15" s="20"/>
      <c r="AP15" s="11" t="s">
        <v>76</v>
      </c>
      <c r="AQ15" s="12">
        <f>F113</f>
        <v>200295319</v>
      </c>
      <c r="AR15" s="12">
        <f>I113</f>
        <v>2997987</v>
      </c>
      <c r="AS15" s="12">
        <f>L113</f>
        <v>2997987</v>
      </c>
      <c r="AT15" s="13"/>
      <c r="AU15" s="340">
        <f t="shared" si="0"/>
        <v>1.4967833571787067E-2</v>
      </c>
      <c r="AV15" s="332">
        <f t="shared" si="1"/>
        <v>1.4967833571787067E-2</v>
      </c>
      <c r="AW15" s="12">
        <f t="shared" ref="AW15:AX17" si="13">+AR15</f>
        <v>2997987</v>
      </c>
      <c r="AX15" s="12">
        <f t="shared" si="13"/>
        <v>2997987</v>
      </c>
      <c r="AY15" s="12">
        <f t="shared" si="2"/>
        <v>-197297332</v>
      </c>
      <c r="AZ15" s="333">
        <f t="shared" si="3"/>
        <v>-197297332</v>
      </c>
      <c r="BA15" s="372"/>
      <c r="BB15" s="355" t="s">
        <v>77</v>
      </c>
      <c r="BC15" s="92">
        <f>F46+F49</f>
        <v>130489617</v>
      </c>
      <c r="BD15" s="93">
        <f>I46+I49</f>
        <v>107772614</v>
      </c>
      <c r="BE15" s="94">
        <f>K46+K49</f>
        <v>0</v>
      </c>
      <c r="BF15" s="95"/>
      <c r="BG15" s="91" t="s">
        <v>78</v>
      </c>
      <c r="BH15" s="81">
        <f t="shared" si="11"/>
        <v>10822840779</v>
      </c>
      <c r="BI15" s="81">
        <f t="shared" si="11"/>
        <v>2429646651</v>
      </c>
      <c r="BJ15" s="81">
        <f t="shared" si="11"/>
        <v>2429646651</v>
      </c>
      <c r="BK15" s="82">
        <f t="shared" si="11"/>
        <v>2405286651</v>
      </c>
      <c r="BM15" s="71" t="s">
        <v>66</v>
      </c>
      <c r="BN15" s="83">
        <f>SUM(BN16:BN21)</f>
        <v>11613819527</v>
      </c>
      <c r="BO15" s="81">
        <f>SUM(BO16:BO21)</f>
        <v>4607704332</v>
      </c>
      <c r="BP15" s="81">
        <f>SUM(BP16:BP21)</f>
        <v>611379648</v>
      </c>
      <c r="BQ15" s="82">
        <f>SUM(BQ16:BQ21)</f>
        <v>108530146</v>
      </c>
    </row>
    <row r="16" spans="1:69" s="9" customFormat="1" ht="24.95" customHeight="1" thickBot="1">
      <c r="A16" s="713"/>
      <c r="B16" s="622"/>
      <c r="C16" s="380"/>
      <c r="D16" s="380"/>
      <c r="E16" s="380"/>
      <c r="F16" s="380"/>
      <c r="G16" s="380"/>
      <c r="H16" s="380"/>
      <c r="I16" s="380"/>
      <c r="J16" s="380"/>
      <c r="K16" s="380"/>
      <c r="L16" s="380"/>
      <c r="M16" s="380"/>
      <c r="N16" s="381"/>
      <c r="O16" s="372"/>
      <c r="P16" s="382"/>
      <c r="Q16" s="383"/>
      <c r="S16" s="687">
        <v>1010100</v>
      </c>
      <c r="T16" s="663" t="s">
        <v>68</v>
      </c>
      <c r="U16" s="132">
        <f t="shared" ref="U16:AJ16" si="14">SUM(U17:U20)+U33</f>
        <v>1868719642</v>
      </c>
      <c r="V16" s="122">
        <f t="shared" si="14"/>
        <v>0</v>
      </c>
      <c r="W16" s="122">
        <f t="shared" si="14"/>
        <v>120000000</v>
      </c>
      <c r="X16" s="130">
        <f t="shared" si="14"/>
        <v>1988719642</v>
      </c>
      <c r="Y16" s="128">
        <f t="shared" si="14"/>
        <v>0</v>
      </c>
      <c r="Z16" s="122">
        <f t="shared" si="14"/>
        <v>106005776</v>
      </c>
      <c r="AA16" s="130">
        <f t="shared" si="14"/>
        <v>106005776</v>
      </c>
      <c r="AB16" s="128">
        <f t="shared" si="14"/>
        <v>0</v>
      </c>
      <c r="AC16" s="122">
        <f t="shared" si="14"/>
        <v>106005776</v>
      </c>
      <c r="AD16" s="129">
        <f t="shared" si="14"/>
        <v>106005776</v>
      </c>
      <c r="AE16" s="128">
        <f t="shared" si="14"/>
        <v>0</v>
      </c>
      <c r="AF16" s="122">
        <f t="shared" si="14"/>
        <v>106005776</v>
      </c>
      <c r="AG16" s="130">
        <f t="shared" si="14"/>
        <v>106005776</v>
      </c>
      <c r="AH16" s="128">
        <f t="shared" si="14"/>
        <v>1882713866</v>
      </c>
      <c r="AI16" s="122">
        <f t="shared" si="14"/>
        <v>1882713866</v>
      </c>
      <c r="AJ16" s="130">
        <f t="shared" si="14"/>
        <v>1882713866</v>
      </c>
      <c r="AK16" s="10"/>
      <c r="AL16" s="128">
        <f>SUM(AL17:AL20)+AL33</f>
        <v>0</v>
      </c>
      <c r="AM16" s="130">
        <f>SUM(AM17:AM20)+AM33</f>
        <v>120000000</v>
      </c>
      <c r="AO16" s="21"/>
      <c r="AP16" s="384" t="s">
        <v>81</v>
      </c>
      <c r="AQ16" s="385">
        <f>F10</f>
        <v>10163682964</v>
      </c>
      <c r="AR16" s="385">
        <f>I10</f>
        <v>9883682964</v>
      </c>
      <c r="AS16" s="385">
        <f>L10</f>
        <v>9883682964</v>
      </c>
      <c r="AT16" s="372"/>
      <c r="AU16" s="386">
        <f t="shared" si="0"/>
        <v>0.97245093132167082</v>
      </c>
      <c r="AV16" s="386">
        <f t="shared" si="1"/>
        <v>0.97245093132167082</v>
      </c>
      <c r="AW16" s="385">
        <f t="shared" si="13"/>
        <v>9883682964</v>
      </c>
      <c r="AX16" s="385">
        <f t="shared" si="13"/>
        <v>9883682964</v>
      </c>
      <c r="AY16" s="12">
        <f t="shared" si="2"/>
        <v>-280000000</v>
      </c>
      <c r="AZ16" s="387">
        <f t="shared" si="3"/>
        <v>-280000000</v>
      </c>
      <c r="BA16" s="372"/>
      <c r="BB16" s="373" t="s">
        <v>418</v>
      </c>
      <c r="BC16" s="92">
        <f>F43</f>
        <v>0</v>
      </c>
      <c r="BD16" s="93">
        <f>I43</f>
        <v>0</v>
      </c>
      <c r="BE16" s="94">
        <f>K43</f>
        <v>0</v>
      </c>
      <c r="BF16" s="76"/>
      <c r="BG16" s="91" t="s">
        <v>82</v>
      </c>
      <c r="BH16" s="96">
        <f>BH7+BH12+BH13+BH14+BH15</f>
        <v>76619131909</v>
      </c>
      <c r="BI16" s="96">
        <f>BI7+BI12+BI13+BI14+BI15</f>
        <v>39003160179</v>
      </c>
      <c r="BJ16" s="96">
        <f>BJ7+BJ12+BJ13+BJ14+BJ15</f>
        <v>7568678377</v>
      </c>
      <c r="BK16" s="97">
        <f>BK7+BK12+BK13+BK14+BK15</f>
        <v>3169470614</v>
      </c>
      <c r="BM16" s="199" t="s">
        <v>83</v>
      </c>
      <c r="BN16" s="83">
        <f>X114-X121+X147-X148-X153</f>
        <v>2800000000</v>
      </c>
      <c r="BO16" s="81">
        <f>AA114-AA121+AA147-AA148-AA153</f>
        <v>52494232</v>
      </c>
      <c r="BP16" s="81">
        <f>AD114-AD121+AD147-AD148-AD153</f>
        <v>34941250</v>
      </c>
      <c r="BQ16" s="82">
        <f>AF114-AF121+AF147-AF148-AF153</f>
        <v>2476536</v>
      </c>
    </row>
    <row r="17" spans="1:70" s="372" customFormat="1" ht="24.95" customHeight="1" thickBot="1">
      <c r="A17" s="712">
        <v>11</v>
      </c>
      <c r="B17" s="623" t="s">
        <v>71</v>
      </c>
      <c r="C17" s="324">
        <f>C19+C94+C104</f>
        <v>61374630552</v>
      </c>
      <c r="D17" s="321">
        <f t="shared" ref="D17:N17" si="15">D19+D94+D104</f>
        <v>0</v>
      </c>
      <c r="E17" s="321">
        <f t="shared" si="15"/>
        <v>4880523074</v>
      </c>
      <c r="F17" s="321">
        <f t="shared" si="15"/>
        <v>66255153626</v>
      </c>
      <c r="G17" s="321">
        <f t="shared" si="15"/>
        <v>0</v>
      </c>
      <c r="H17" s="321">
        <f t="shared" si="15"/>
        <v>8613079978</v>
      </c>
      <c r="I17" s="321">
        <f t="shared" si="15"/>
        <v>8613079978</v>
      </c>
      <c r="J17" s="321">
        <f t="shared" si="15"/>
        <v>0</v>
      </c>
      <c r="K17" s="321">
        <f t="shared" si="15"/>
        <v>4197188920</v>
      </c>
      <c r="L17" s="321">
        <f t="shared" si="15"/>
        <v>4197188920</v>
      </c>
      <c r="M17" s="321">
        <f t="shared" si="15"/>
        <v>57642073648</v>
      </c>
      <c r="N17" s="322">
        <f t="shared" si="15"/>
        <v>62057964706</v>
      </c>
      <c r="P17" s="174">
        <f>P19+P94+P104</f>
        <v>0</v>
      </c>
      <c r="Q17" s="175">
        <f>Q19+Q94+Q104</f>
        <v>4880523074</v>
      </c>
      <c r="R17" s="9"/>
      <c r="S17" s="688">
        <v>1010101</v>
      </c>
      <c r="T17" s="664" t="s">
        <v>69</v>
      </c>
      <c r="U17" s="388">
        <v>1519896974</v>
      </c>
      <c r="V17" s="15">
        <f t="shared" ref="V17:W19" si="16">AL17</f>
        <v>0</v>
      </c>
      <c r="W17" s="15">
        <f t="shared" si="16"/>
        <v>0</v>
      </c>
      <c r="X17" s="16">
        <f>SUM(U17:W17)</f>
        <v>1519896974</v>
      </c>
      <c r="Y17" s="19">
        <v>0</v>
      </c>
      <c r="Z17" s="364">
        <v>97283409</v>
      </c>
      <c r="AA17" s="16">
        <f>SUM(Y17:Z17)</f>
        <v>97283409</v>
      </c>
      <c r="AB17" s="19">
        <v>0</v>
      </c>
      <c r="AC17" s="364">
        <v>97283409</v>
      </c>
      <c r="AD17" s="18">
        <f>SUM(AB17:AC17)</f>
        <v>97283409</v>
      </c>
      <c r="AE17" s="19">
        <v>0</v>
      </c>
      <c r="AF17" s="364">
        <v>97283409</v>
      </c>
      <c r="AG17" s="16">
        <f>SUM(AE17:AF17)</f>
        <v>97283409</v>
      </c>
      <c r="AH17" s="19">
        <f>X17-AA17</f>
        <v>1422613565</v>
      </c>
      <c r="AI17" s="15">
        <f>X17-AD17</f>
        <v>1422613565</v>
      </c>
      <c r="AJ17" s="16">
        <f>X17-AG17</f>
        <v>1422613565</v>
      </c>
      <c r="AK17" s="9"/>
      <c r="AL17" s="362">
        <v>0</v>
      </c>
      <c r="AM17" s="365">
        <v>0</v>
      </c>
      <c r="AN17" s="9"/>
      <c r="AO17" s="339"/>
      <c r="AP17" s="389" t="s">
        <v>85</v>
      </c>
      <c r="AQ17" s="390">
        <f>SUM(AQ7:AQ16)</f>
        <v>68538060713</v>
      </c>
      <c r="AR17" s="391">
        <f>SUM(AR7:AR16)</f>
        <v>18495470443</v>
      </c>
      <c r="AS17" s="392">
        <f>SUM(AS7:AS16)</f>
        <v>14079579385</v>
      </c>
      <c r="AT17" s="393"/>
      <c r="AU17" s="391">
        <f t="shared" si="0"/>
        <v>0.26985692694820967</v>
      </c>
      <c r="AV17" s="391">
        <f t="shared" si="1"/>
        <v>0.20542716322187166</v>
      </c>
      <c r="AW17" s="394">
        <f t="shared" si="13"/>
        <v>18495470443</v>
      </c>
      <c r="AX17" s="394">
        <f t="shared" si="13"/>
        <v>14079579385</v>
      </c>
      <c r="AY17" s="394">
        <f>SUM(AY7:AY16)</f>
        <v>-261077948</v>
      </c>
      <c r="AZ17" s="395">
        <f>SUM(AZ7:AZ16)</f>
        <v>-53251770644</v>
      </c>
      <c r="BA17" s="9"/>
      <c r="BB17" s="355" t="s">
        <v>419</v>
      </c>
      <c r="BC17" s="73">
        <f>F41+F52+F55+F58+F61+F67+F70+F73+F76+F79+F82+F86+F87+F88+F89+F90+F91</f>
        <v>2677200571</v>
      </c>
      <c r="BD17" s="74">
        <f>I41+I52+I55+I58+I61+I67+I70+I73+I76+I79+I82+I86+I87+I88+I89+I90+I91</f>
        <v>163047488</v>
      </c>
      <c r="BE17" s="75">
        <f>K41+K52+K55+K58+K61+K67+K70+K73+K76+K79+K82+K86+K87+K88+K89+K90+K91</f>
        <v>89250733</v>
      </c>
      <c r="BF17" s="76"/>
      <c r="BG17" s="98" t="s">
        <v>86</v>
      </c>
      <c r="BH17" s="99">
        <f>BC22-BH16</f>
        <v>0</v>
      </c>
      <c r="BI17" s="99"/>
      <c r="BJ17" s="99"/>
      <c r="BK17" s="100"/>
      <c r="BM17" s="199" t="s">
        <v>434</v>
      </c>
      <c r="BN17" s="83">
        <f>X123-X126-X139+X155-X156-X167-X168</f>
        <v>4544712263</v>
      </c>
      <c r="BO17" s="81">
        <f>AA123-AA126-AA139+AA155-AA156-AA167-AA168</f>
        <v>2963654220</v>
      </c>
      <c r="BP17" s="81">
        <f>AD123-AD126-AD139+AD155-AD156-AD167-AD168</f>
        <v>265354144</v>
      </c>
      <c r="BQ17" s="82">
        <f>AF123-AF126-AF139+AF155-AF156-AF167-AF168</f>
        <v>5721753</v>
      </c>
      <c r="BR17" s="9"/>
    </row>
    <row r="18" spans="1:70" s="9" customFormat="1" ht="24.95" customHeight="1" thickBot="1">
      <c r="A18" s="593"/>
      <c r="B18" s="624"/>
      <c r="C18" s="284"/>
      <c r="D18" s="284"/>
      <c r="E18" s="284"/>
      <c r="F18" s="284"/>
      <c r="G18" s="284"/>
      <c r="H18" s="284"/>
      <c r="I18" s="284"/>
      <c r="J18" s="284"/>
      <c r="K18" s="284"/>
      <c r="L18" s="284"/>
      <c r="M18" s="284"/>
      <c r="N18" s="453"/>
      <c r="P18" s="397"/>
      <c r="Q18" s="396"/>
      <c r="S18" s="688">
        <v>1010102</v>
      </c>
      <c r="T18" s="664" t="s">
        <v>72</v>
      </c>
      <c r="U18" s="388">
        <v>7017105</v>
      </c>
      <c r="V18" s="15">
        <f t="shared" si="16"/>
        <v>0</v>
      </c>
      <c r="W18" s="15">
        <f t="shared" si="16"/>
        <v>0</v>
      </c>
      <c r="X18" s="16">
        <f>SUM(U18:W18)</f>
        <v>7017105</v>
      </c>
      <c r="Y18" s="19">
        <v>0</v>
      </c>
      <c r="Z18" s="364">
        <v>0</v>
      </c>
      <c r="AA18" s="16">
        <f>SUM(Y18:Z18)</f>
        <v>0</v>
      </c>
      <c r="AB18" s="19">
        <v>0</v>
      </c>
      <c r="AC18" s="364">
        <v>0</v>
      </c>
      <c r="AD18" s="18">
        <f>SUM(AB18:AC18)</f>
        <v>0</v>
      </c>
      <c r="AE18" s="19">
        <v>0</v>
      </c>
      <c r="AF18" s="364">
        <v>0</v>
      </c>
      <c r="AG18" s="16">
        <f>SUM(AE18:AF18)</f>
        <v>0</v>
      </c>
      <c r="AH18" s="19">
        <f>X18-AA18</f>
        <v>7017105</v>
      </c>
      <c r="AI18" s="15">
        <f>X18-AD18</f>
        <v>7017105</v>
      </c>
      <c r="AJ18" s="16">
        <f>X18-AG18</f>
        <v>7017105</v>
      </c>
      <c r="AL18" s="362">
        <v>0</v>
      </c>
      <c r="AM18" s="365">
        <v>0</v>
      </c>
      <c r="AO18" s="21"/>
      <c r="AP18" s="284" t="s">
        <v>51</v>
      </c>
      <c r="AQ18" s="284"/>
      <c r="AR18" s="284"/>
      <c r="AS18" s="284"/>
      <c r="AT18" s="284"/>
      <c r="AU18" s="284"/>
      <c r="AV18" s="284"/>
      <c r="AW18" s="284"/>
      <c r="AX18" s="284"/>
      <c r="AY18" s="284"/>
      <c r="AZ18" s="284"/>
      <c r="BA18" s="372"/>
      <c r="BB18" s="373" t="s">
        <v>420</v>
      </c>
      <c r="BC18" s="73">
        <f>+F95+F96+F97+F99</f>
        <v>7982899073</v>
      </c>
      <c r="BD18" s="74">
        <f>+I95+I96+I97+I99</f>
        <v>0</v>
      </c>
      <c r="BE18" s="75">
        <f>+K95+K96+K97+K99</f>
        <v>0</v>
      </c>
      <c r="BF18" s="95"/>
      <c r="BM18" s="199" t="s">
        <v>87</v>
      </c>
      <c r="BN18" s="83">
        <f>X148+X156</f>
        <v>3002025000</v>
      </c>
      <c r="BO18" s="81">
        <f>AA148+AA156</f>
        <v>1396387575</v>
      </c>
      <c r="BP18" s="81">
        <f>AD148+AD156</f>
        <v>134174367</v>
      </c>
      <c r="BQ18" s="82">
        <f>AF148+AF156</f>
        <v>17585000</v>
      </c>
      <c r="BR18" s="372"/>
    </row>
    <row r="19" spans="1:70" s="9" customFormat="1" ht="24.95" customHeight="1" thickBot="1">
      <c r="A19" s="714">
        <v>113</v>
      </c>
      <c r="B19" s="625" t="s">
        <v>79</v>
      </c>
      <c r="C19" s="324">
        <f t="shared" ref="C19:N19" si="17">C21+C85</f>
        <v>53293559356</v>
      </c>
      <c r="D19" s="321">
        <f t="shared" si="17"/>
        <v>0</v>
      </c>
      <c r="E19" s="321">
        <f t="shared" si="17"/>
        <v>4880523074</v>
      </c>
      <c r="F19" s="322">
        <f t="shared" si="17"/>
        <v>58174082430</v>
      </c>
      <c r="G19" s="324">
        <f t="shared" si="17"/>
        <v>0</v>
      </c>
      <c r="H19" s="321">
        <f t="shared" si="17"/>
        <v>8608789492</v>
      </c>
      <c r="I19" s="322">
        <f t="shared" si="17"/>
        <v>8608789492</v>
      </c>
      <c r="J19" s="324">
        <f t="shared" si="17"/>
        <v>0</v>
      </c>
      <c r="K19" s="321">
        <f t="shared" si="17"/>
        <v>4192898434</v>
      </c>
      <c r="L19" s="322">
        <f t="shared" si="17"/>
        <v>4192898434</v>
      </c>
      <c r="M19" s="324">
        <f t="shared" si="17"/>
        <v>49565292938</v>
      </c>
      <c r="N19" s="322">
        <f t="shared" si="17"/>
        <v>53981183996</v>
      </c>
      <c r="O19" s="372"/>
      <c r="P19" s="43">
        <f>P21+P85</f>
        <v>0</v>
      </c>
      <c r="Q19" s="45">
        <f>Q21+Q85</f>
        <v>4880523074</v>
      </c>
      <c r="S19" s="688">
        <v>1010103</v>
      </c>
      <c r="T19" s="664" t="s">
        <v>75</v>
      </c>
      <c r="U19" s="388">
        <v>0</v>
      </c>
      <c r="V19" s="15">
        <f t="shared" si="16"/>
        <v>0</v>
      </c>
      <c r="W19" s="15">
        <f t="shared" si="16"/>
        <v>0</v>
      </c>
      <c r="X19" s="16">
        <f>SUM(U19:W19)</f>
        <v>0</v>
      </c>
      <c r="Y19" s="19">
        <v>0</v>
      </c>
      <c r="Z19" s="364">
        <v>0</v>
      </c>
      <c r="AA19" s="16">
        <f>SUM(Y19:Z19)</f>
        <v>0</v>
      </c>
      <c r="AB19" s="19">
        <v>0</v>
      </c>
      <c r="AC19" s="364">
        <v>0</v>
      </c>
      <c r="AD19" s="18">
        <f>SUM(AB19:AC19)</f>
        <v>0</v>
      </c>
      <c r="AE19" s="19">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98172123</v>
      </c>
      <c r="BD19" s="93">
        <f>+I105+I106+I107+I108+I109+I110+I98+I100+I101</f>
        <v>4290486</v>
      </c>
      <c r="BE19" s="94">
        <f>+K105+K106+K107+K108+K109+K110+K98+K100+K101</f>
        <v>4290486</v>
      </c>
      <c r="BF19" s="57"/>
      <c r="BG19" s="372"/>
      <c r="BH19" s="372"/>
      <c r="BI19" s="372"/>
      <c r="BJ19" s="372"/>
      <c r="BK19" s="372"/>
      <c r="BM19" s="199" t="s">
        <v>94</v>
      </c>
      <c r="BN19" s="83">
        <f>X126+X167</f>
        <v>740000000</v>
      </c>
      <c r="BO19" s="81">
        <f>AA126+AA167</f>
        <v>101340760</v>
      </c>
      <c r="BP19" s="81">
        <f>AD126+AD167</f>
        <v>101340760</v>
      </c>
      <c r="BQ19" s="82">
        <f>AF126+AF167</f>
        <v>53459587</v>
      </c>
    </row>
    <row r="20" spans="1:70" s="412" customFormat="1" ht="24.95" customHeight="1" thickBot="1">
      <c r="A20" s="593"/>
      <c r="B20" s="626"/>
      <c r="C20" s="284"/>
      <c r="D20" s="284"/>
      <c r="E20" s="284"/>
      <c r="F20" s="284"/>
      <c r="G20" s="284"/>
      <c r="H20" s="284"/>
      <c r="I20" s="284"/>
      <c r="J20" s="284"/>
      <c r="K20" s="284"/>
      <c r="L20" s="284"/>
      <c r="M20" s="284"/>
      <c r="N20" s="453"/>
      <c r="O20" s="9"/>
      <c r="P20" s="397"/>
      <c r="Q20" s="396"/>
      <c r="R20" s="9"/>
      <c r="S20" s="688">
        <v>1010104</v>
      </c>
      <c r="T20" s="664" t="s">
        <v>80</v>
      </c>
      <c r="U20" s="17">
        <f t="shared" ref="U20:AJ20" si="18">SUM(U21:U32)</f>
        <v>341805563</v>
      </c>
      <c r="V20" s="15">
        <f t="shared" si="18"/>
        <v>0</v>
      </c>
      <c r="W20" s="15">
        <f t="shared" si="18"/>
        <v>0</v>
      </c>
      <c r="X20" s="16">
        <f t="shared" si="18"/>
        <v>341805563</v>
      </c>
      <c r="Y20" s="19">
        <f t="shared" si="18"/>
        <v>0</v>
      </c>
      <c r="Z20" s="142">
        <f t="shared" si="18"/>
        <v>8722367</v>
      </c>
      <c r="AA20" s="16">
        <f t="shared" si="18"/>
        <v>8722367</v>
      </c>
      <c r="AB20" s="19">
        <f t="shared" si="18"/>
        <v>0</v>
      </c>
      <c r="AC20" s="142">
        <f t="shared" si="18"/>
        <v>8722367</v>
      </c>
      <c r="AD20" s="18">
        <f t="shared" si="18"/>
        <v>8722367</v>
      </c>
      <c r="AE20" s="19">
        <f t="shared" si="18"/>
        <v>0</v>
      </c>
      <c r="AF20" s="142">
        <f t="shared" si="18"/>
        <v>8722367</v>
      </c>
      <c r="AG20" s="16">
        <f t="shared" si="18"/>
        <v>8722367</v>
      </c>
      <c r="AH20" s="19">
        <f t="shared" si="18"/>
        <v>333083196</v>
      </c>
      <c r="AI20" s="15">
        <f t="shared" si="18"/>
        <v>333083196</v>
      </c>
      <c r="AJ20" s="16">
        <f t="shared" si="18"/>
        <v>333083196</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200295319</v>
      </c>
      <c r="BD20" s="66">
        <f>+I115+I117+I119+I120+I121+I123+I124</f>
        <v>2997987</v>
      </c>
      <c r="BE20" s="67">
        <f>+K115+K117+K119+K120+K121+K123+K124</f>
        <v>2997987</v>
      </c>
      <c r="BF20" s="57"/>
      <c r="BG20" s="372"/>
      <c r="BH20" s="372"/>
      <c r="BI20" s="372"/>
      <c r="BJ20" s="372"/>
      <c r="BK20" s="372"/>
      <c r="BL20" s="372"/>
      <c r="BM20" s="139" t="s">
        <v>429</v>
      </c>
      <c r="BN20" s="83">
        <f>+X141-X143</f>
        <v>527082264</v>
      </c>
      <c r="BO20" s="81">
        <f>+AA141-AA143</f>
        <v>93827545</v>
      </c>
      <c r="BP20" s="81">
        <f>+AD141-AD143</f>
        <v>75569127</v>
      </c>
      <c r="BQ20" s="82">
        <f>+AF141-AF143</f>
        <v>29287270</v>
      </c>
      <c r="BR20" s="9"/>
    </row>
    <row r="21" spans="1:70" s="412" customFormat="1" ht="24.95" customHeight="1" thickBot="1">
      <c r="A21" s="715">
        <v>11301</v>
      </c>
      <c r="B21" s="627" t="s">
        <v>88</v>
      </c>
      <c r="C21" s="174">
        <f t="shared" ref="C21:N21" si="19">C22+C25+C28+C41+C42+C45+C48+C51+C54+C57+C60+C63+C66+C69+C72+C75+C78+C81</f>
        <v>53293559356</v>
      </c>
      <c r="D21" s="344">
        <f t="shared" si="19"/>
        <v>0</v>
      </c>
      <c r="E21" s="344">
        <f t="shared" si="19"/>
        <v>2787061774</v>
      </c>
      <c r="F21" s="344">
        <f t="shared" si="19"/>
        <v>56080621130</v>
      </c>
      <c r="G21" s="344">
        <f t="shared" si="19"/>
        <v>0</v>
      </c>
      <c r="H21" s="344">
        <f t="shared" si="19"/>
        <v>8580314517</v>
      </c>
      <c r="I21" s="344">
        <f t="shared" si="19"/>
        <v>8580314517</v>
      </c>
      <c r="J21" s="344">
        <f t="shared" si="19"/>
        <v>0</v>
      </c>
      <c r="K21" s="344">
        <f t="shared" si="19"/>
        <v>4164423459</v>
      </c>
      <c r="L21" s="344">
        <f t="shared" si="19"/>
        <v>4164423459</v>
      </c>
      <c r="M21" s="344">
        <f t="shared" si="19"/>
        <v>47500306613</v>
      </c>
      <c r="N21" s="175">
        <f t="shared" si="19"/>
        <v>51916197671</v>
      </c>
      <c r="O21" s="372"/>
      <c r="P21" s="43">
        <f>P22+P25+P28+P41+P42+P45+P48+P51+P54+P57+P60+P63+P66+P69+P72+P75+P78+P81</f>
        <v>0</v>
      </c>
      <c r="Q21" s="45">
        <f>Q22+Q25+Q28+Q41+Q42+Q45+Q48+Q51+Q54+Q57+Q60+Q63+Q66+Q69+Q72+Q75+Q78+Q81</f>
        <v>2787061774</v>
      </c>
      <c r="R21" s="9"/>
      <c r="S21" s="689" t="s">
        <v>84</v>
      </c>
      <c r="T21" s="666" t="s">
        <v>392</v>
      </c>
      <c r="U21" s="388">
        <v>142096948</v>
      </c>
      <c r="V21" s="15">
        <f t="shared" ref="V21:V33" si="20">AL21</f>
        <v>0</v>
      </c>
      <c r="W21" s="15">
        <f t="shared" ref="W21:W33" si="21">AM21</f>
        <v>0</v>
      </c>
      <c r="X21" s="16">
        <f t="shared" ref="X21:X33" si="22">SUM(U21:W21)</f>
        <v>142096948</v>
      </c>
      <c r="Y21" s="19">
        <v>0</v>
      </c>
      <c r="Z21" s="364">
        <v>105221</v>
      </c>
      <c r="AA21" s="16">
        <f t="shared" ref="AA21:AA33" si="23">SUM(Y21:Z21)</f>
        <v>105221</v>
      </c>
      <c r="AB21" s="19">
        <v>0</v>
      </c>
      <c r="AC21" s="364">
        <v>105221</v>
      </c>
      <c r="AD21" s="18">
        <f t="shared" ref="AD21:AD33" si="24">SUM(AB21:AC21)</f>
        <v>105221</v>
      </c>
      <c r="AE21" s="19">
        <v>0</v>
      </c>
      <c r="AF21" s="364">
        <v>105221</v>
      </c>
      <c r="AG21" s="16">
        <f t="shared" ref="AG21:AG33" si="25">SUM(AE21:AF21)</f>
        <v>105221</v>
      </c>
      <c r="AH21" s="19">
        <f t="shared" ref="AH21:AH33" si="26">X21-AA21</f>
        <v>141991727</v>
      </c>
      <c r="AI21" s="15">
        <f t="shared" ref="AI21:AI33" si="27">X21-AD21</f>
        <v>141991727</v>
      </c>
      <c r="AJ21" s="16">
        <f t="shared" ref="AJ21:AJ33" si="28">X21-AG21</f>
        <v>141991727</v>
      </c>
      <c r="AK21" s="9"/>
      <c r="AL21" s="362">
        <v>0</v>
      </c>
      <c r="AM21" s="365">
        <v>0</v>
      </c>
      <c r="AN21" s="9"/>
      <c r="AO21" s="339"/>
      <c r="AP21" s="413"/>
      <c r="AQ21" s="414"/>
      <c r="AR21" s="415" t="str">
        <f>AR6</f>
        <v>ENERO</v>
      </c>
      <c r="AS21" s="416" t="str">
        <f>AR6</f>
        <v>ENERO</v>
      </c>
      <c r="AT21" s="415" t="str">
        <f>AR6</f>
        <v>ENERO</v>
      </c>
      <c r="AU21" s="415" t="s">
        <v>44</v>
      </c>
      <c r="AV21" s="415" t="s">
        <v>22</v>
      </c>
      <c r="AW21" s="417"/>
      <c r="AX21" s="417"/>
      <c r="AY21" s="415" t="s">
        <v>44</v>
      </c>
      <c r="AZ21" s="418" t="s">
        <v>22</v>
      </c>
      <c r="BA21" s="9"/>
      <c r="BB21" s="101" t="s">
        <v>422</v>
      </c>
      <c r="BC21" s="65">
        <f>SUMIF($B8:B122,$B24,F8:F122)+F122</f>
        <v>2787061774</v>
      </c>
      <c r="BD21" s="66">
        <f>SUMIF($B8:B122,$B24,I8:I122)+I122</f>
        <v>4103647701</v>
      </c>
      <c r="BE21" s="67">
        <f>SUMIF($B8:B122,$B24,K8:K122)+K122</f>
        <v>4103647701</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v>1130101</v>
      </c>
      <c r="B22" s="628" t="s">
        <v>90</v>
      </c>
      <c r="C22" s="43">
        <f t="shared" ref="C22:N22" si="29">SUM(C23:C24)</f>
        <v>3087894380</v>
      </c>
      <c r="D22" s="44">
        <f t="shared" si="29"/>
        <v>0</v>
      </c>
      <c r="E22" s="44">
        <f t="shared" si="29"/>
        <v>170872152</v>
      </c>
      <c r="F22" s="44">
        <f t="shared" si="29"/>
        <v>3258766532</v>
      </c>
      <c r="G22" s="44">
        <f t="shared" si="29"/>
        <v>0</v>
      </c>
      <c r="H22" s="44">
        <f t="shared" si="29"/>
        <v>483563014</v>
      </c>
      <c r="I22" s="44">
        <f t="shared" si="29"/>
        <v>483563014</v>
      </c>
      <c r="J22" s="44">
        <f t="shared" si="29"/>
        <v>0</v>
      </c>
      <c r="K22" s="44">
        <f t="shared" si="29"/>
        <v>183201768</v>
      </c>
      <c r="L22" s="44">
        <f t="shared" si="29"/>
        <v>183201768</v>
      </c>
      <c r="M22" s="44">
        <f t="shared" si="29"/>
        <v>2775203518</v>
      </c>
      <c r="N22" s="45">
        <f t="shared" si="29"/>
        <v>3075564764</v>
      </c>
      <c r="P22" s="43">
        <f>SUM(P23:P24)</f>
        <v>0</v>
      </c>
      <c r="Q22" s="45">
        <f>SUM(Q23:Q24)</f>
        <v>170872152</v>
      </c>
      <c r="S22" s="689" t="s">
        <v>89</v>
      </c>
      <c r="T22" s="666" t="s">
        <v>393</v>
      </c>
      <c r="U22" s="388">
        <v>72708845</v>
      </c>
      <c r="V22" s="15">
        <f t="shared" si="20"/>
        <v>0</v>
      </c>
      <c r="W22" s="15">
        <f t="shared" si="21"/>
        <v>0</v>
      </c>
      <c r="X22" s="16">
        <f t="shared" si="22"/>
        <v>72708845</v>
      </c>
      <c r="Y22" s="19">
        <v>0</v>
      </c>
      <c r="Z22" s="364">
        <v>464441</v>
      </c>
      <c r="AA22" s="16">
        <f t="shared" si="23"/>
        <v>464441</v>
      </c>
      <c r="AB22" s="19">
        <v>0</v>
      </c>
      <c r="AC22" s="364">
        <v>464441</v>
      </c>
      <c r="AD22" s="18">
        <f t="shared" si="24"/>
        <v>464441</v>
      </c>
      <c r="AE22" s="19">
        <v>0</v>
      </c>
      <c r="AF22" s="364">
        <v>464441</v>
      </c>
      <c r="AG22" s="16">
        <f t="shared" si="25"/>
        <v>464441</v>
      </c>
      <c r="AH22" s="19">
        <f t="shared" si="26"/>
        <v>72244404</v>
      </c>
      <c r="AI22" s="15">
        <f t="shared" si="27"/>
        <v>72244404</v>
      </c>
      <c r="AJ22" s="16">
        <f t="shared" si="28"/>
        <v>72244404</v>
      </c>
      <c r="AL22" s="362">
        <v>0</v>
      </c>
      <c r="AM22" s="365">
        <v>0</v>
      </c>
      <c r="AO22" s="773"/>
      <c r="AP22" s="775" t="s">
        <v>104</v>
      </c>
      <c r="AQ22" s="423">
        <f>X17+X66</f>
        <v>5293004812</v>
      </c>
      <c r="AR22" s="423">
        <f>AD17+AD66</f>
        <v>261283380</v>
      </c>
      <c r="AS22" s="423">
        <f>AG17+AG66</f>
        <v>261283380</v>
      </c>
      <c r="AT22" s="776"/>
      <c r="AU22" s="422">
        <f t="shared" ref="AU22:AU32" si="30">IF(AQ22=0," ",AR22/AQ22)</f>
        <v>4.9363903733401708E-2</v>
      </c>
      <c r="AV22" s="422">
        <f t="shared" ref="AV22:AV32" si="31">IF(AQ22=0," ",AS22/AQ22)</f>
        <v>4.9363903733401708E-2</v>
      </c>
      <c r="AW22" s="423">
        <f>AR22/$AO$2*12</f>
        <v>3135400560</v>
      </c>
      <c r="AX22" s="423">
        <f>AS22/$AO$2*12</f>
        <v>3135400560</v>
      </c>
      <c r="AY22" s="423">
        <f t="shared" ref="AY22:AY28" si="32">AQ22-AW22</f>
        <v>2157604252</v>
      </c>
      <c r="AZ22" s="424">
        <f t="shared" ref="AZ22:AZ31" si="33">AQ22-AX22</f>
        <v>2157604252</v>
      </c>
      <c r="BA22" s="372"/>
      <c r="BB22" s="102" t="s">
        <v>109</v>
      </c>
      <c r="BC22" s="103">
        <f>BC7+BC8+BC20+BC21</f>
        <v>76619131909</v>
      </c>
      <c r="BD22" s="104">
        <f>BD7+BD8+BD20+BD21</f>
        <v>18499760929</v>
      </c>
      <c r="BE22" s="105">
        <f>BE7+BE8+BE20+BE21</f>
        <v>14083869871</v>
      </c>
      <c r="BF22" s="57"/>
      <c r="BG22" s="372"/>
      <c r="BH22" s="372"/>
      <c r="BI22" s="372"/>
      <c r="BJ22" s="372"/>
      <c r="BK22" s="372"/>
      <c r="BM22" s="71" t="s">
        <v>67</v>
      </c>
      <c r="BN22" s="83">
        <f>BN23+BN24</f>
        <v>1240354144</v>
      </c>
      <c r="BO22" s="81">
        <f>BO23+BO24</f>
        <v>139850897</v>
      </c>
      <c r="BP22" s="81">
        <f>BP23+BP24</f>
        <v>134279754</v>
      </c>
      <c r="BQ22" s="82">
        <f>BQ23+BQ24</f>
        <v>111894244</v>
      </c>
      <c r="BR22" s="372"/>
    </row>
    <row r="23" spans="1:70" s="412" customFormat="1" ht="24.95" customHeight="1">
      <c r="A23" s="593" t="s">
        <v>95</v>
      </c>
      <c r="B23" s="629" t="str">
        <f>+CONCATENATE("Vigencia ",INSTRUCCIONES!$F$3)</f>
        <v>Vigencia 2019</v>
      </c>
      <c r="C23" s="362">
        <v>3087894380</v>
      </c>
      <c r="D23" s="363">
        <f>P23</f>
        <v>0</v>
      </c>
      <c r="E23" s="363">
        <f>Q23</f>
        <v>0</v>
      </c>
      <c r="F23" s="363">
        <f>SUM(C23:E23)</f>
        <v>3087894380</v>
      </c>
      <c r="G23" s="363">
        <v>0</v>
      </c>
      <c r="H23" s="364">
        <v>300361246</v>
      </c>
      <c r="I23" s="363">
        <f>SUM(G23:H23)</f>
        <v>300361246</v>
      </c>
      <c r="J23" s="363">
        <v>0</v>
      </c>
      <c r="K23" s="364">
        <v>0</v>
      </c>
      <c r="L23" s="363">
        <f>SUM(J23:K23)</f>
        <v>0</v>
      </c>
      <c r="M23" s="363">
        <f>F23-I23</f>
        <v>2787533134</v>
      </c>
      <c r="N23" s="143">
        <f>F23-L23</f>
        <v>3087894380</v>
      </c>
      <c r="O23" s="9"/>
      <c r="P23" s="362">
        <v>0</v>
      </c>
      <c r="Q23" s="365">
        <v>0</v>
      </c>
      <c r="R23" s="9"/>
      <c r="S23" s="689" t="s">
        <v>91</v>
      </c>
      <c r="T23" s="666" t="s">
        <v>603</v>
      </c>
      <c r="U23" s="388">
        <v>44330324</v>
      </c>
      <c r="V23" s="15">
        <f t="shared" si="20"/>
        <v>0</v>
      </c>
      <c r="W23" s="15">
        <f t="shared" si="21"/>
        <v>0</v>
      </c>
      <c r="X23" s="16">
        <f t="shared" si="22"/>
        <v>44330324</v>
      </c>
      <c r="Y23" s="19">
        <v>0</v>
      </c>
      <c r="Z23" s="364">
        <v>7492502</v>
      </c>
      <c r="AA23" s="16">
        <f t="shared" si="23"/>
        <v>7492502</v>
      </c>
      <c r="AB23" s="19">
        <v>0</v>
      </c>
      <c r="AC23" s="364">
        <v>7492502</v>
      </c>
      <c r="AD23" s="18">
        <f t="shared" si="24"/>
        <v>7492502</v>
      </c>
      <c r="AE23" s="19">
        <v>0</v>
      </c>
      <c r="AF23" s="364">
        <v>7492502</v>
      </c>
      <c r="AG23" s="16">
        <f t="shared" si="25"/>
        <v>7492502</v>
      </c>
      <c r="AH23" s="19">
        <f t="shared" si="26"/>
        <v>36837822</v>
      </c>
      <c r="AI23" s="15">
        <f t="shared" si="27"/>
        <v>36837822</v>
      </c>
      <c r="AJ23" s="16">
        <f t="shared" si="28"/>
        <v>36837822</v>
      </c>
      <c r="AK23" s="9"/>
      <c r="AL23" s="362">
        <v>0</v>
      </c>
      <c r="AM23" s="365">
        <v>0</v>
      </c>
      <c r="AN23" s="9"/>
      <c r="AO23" s="774"/>
      <c r="AP23" s="777" t="s">
        <v>108</v>
      </c>
      <c r="AQ23" s="426">
        <f>X16+X65-AQ22</f>
        <v>1979680691</v>
      </c>
      <c r="AR23" s="426">
        <f>AD16+AD65-AR22</f>
        <v>22994755</v>
      </c>
      <c r="AS23" s="426">
        <f>AG16+AG65-AS22</f>
        <v>22994755</v>
      </c>
      <c r="AT23" s="317"/>
      <c r="AU23" s="332">
        <f t="shared" si="30"/>
        <v>1.1615385806680074E-2</v>
      </c>
      <c r="AV23" s="332">
        <f t="shared" si="31"/>
        <v>1.1615385806680074E-2</v>
      </c>
      <c r="AW23" s="426">
        <f>(AR23-AD21-AD22-AD23-AD25-AD30-AD33-AD70-AD71-AD72-AD74-AD78-AD81)/$AO$2*12+AX22/12*2.5+AD30+AD33+AD78+AD81</f>
        <v>674764584</v>
      </c>
      <c r="AX23" s="426">
        <f>(AS23-AG21-AG22-AG23-AG25-AG30-AG33-AG70-AG71-AG72-AG74-AG78-AG81)/$AO$2*12+AX22/12*2.5+AG30+AG33+AG78+AG81</f>
        <v>674764584</v>
      </c>
      <c r="AY23" s="426">
        <f t="shared" si="32"/>
        <v>1304916107</v>
      </c>
      <c r="AZ23" s="46">
        <f t="shared" si="33"/>
        <v>1304916107</v>
      </c>
      <c r="BA23" s="372"/>
      <c r="BF23" s="372"/>
      <c r="BG23" s="372"/>
      <c r="BH23" s="372"/>
      <c r="BI23" s="372"/>
      <c r="BJ23" s="372"/>
      <c r="BK23" s="372"/>
      <c r="BL23" s="372"/>
      <c r="BM23" s="137" t="s">
        <v>105</v>
      </c>
      <c r="BN23" s="83">
        <f>X177</f>
        <v>965336472</v>
      </c>
      <c r="BO23" s="81">
        <f>AA177</f>
        <v>62152617</v>
      </c>
      <c r="BP23" s="81">
        <f>AD177</f>
        <v>62152617</v>
      </c>
      <c r="BQ23" s="82">
        <f>AF177</f>
        <v>62152617</v>
      </c>
      <c r="BR23" s="9"/>
    </row>
    <row r="24" spans="1:70" s="412" customFormat="1" ht="24.95" customHeight="1">
      <c r="A24" s="593" t="s">
        <v>100</v>
      </c>
      <c r="B24" s="629" t="s">
        <v>547</v>
      </c>
      <c r="C24" s="362">
        <v>0</v>
      </c>
      <c r="D24" s="363">
        <f>P24</f>
        <v>0</v>
      </c>
      <c r="E24" s="363">
        <f>Q24</f>
        <v>170872152</v>
      </c>
      <c r="F24" s="363">
        <f>SUM(C24:E24)</f>
        <v>170872152</v>
      </c>
      <c r="G24" s="363">
        <v>0</v>
      </c>
      <c r="H24" s="364">
        <v>183201768</v>
      </c>
      <c r="I24" s="363">
        <f>SUM(G24:H24)</f>
        <v>183201768</v>
      </c>
      <c r="J24" s="363">
        <v>0</v>
      </c>
      <c r="K24" s="364">
        <v>183201768</v>
      </c>
      <c r="L24" s="363">
        <f>SUM(J24:K24)</f>
        <v>183201768</v>
      </c>
      <c r="M24" s="363">
        <f>F24-I24</f>
        <v>-12329616</v>
      </c>
      <c r="N24" s="143">
        <f>F24-L24</f>
        <v>-12329616</v>
      </c>
      <c r="O24" s="372"/>
      <c r="P24" s="362">
        <v>0</v>
      </c>
      <c r="Q24" s="365">
        <v>170872152</v>
      </c>
      <c r="R24" s="9"/>
      <c r="S24" s="689" t="s">
        <v>96</v>
      </c>
      <c r="T24" s="666" t="s">
        <v>394</v>
      </c>
      <c r="U24" s="388">
        <v>67115850</v>
      </c>
      <c r="V24" s="15">
        <f t="shared" si="20"/>
        <v>0</v>
      </c>
      <c r="W24" s="15">
        <f t="shared" si="21"/>
        <v>0</v>
      </c>
      <c r="X24" s="16">
        <f t="shared" si="22"/>
        <v>67115850</v>
      </c>
      <c r="Y24" s="19">
        <v>0</v>
      </c>
      <c r="Z24" s="364">
        <v>507152</v>
      </c>
      <c r="AA24" s="16">
        <f t="shared" si="23"/>
        <v>507152</v>
      </c>
      <c r="AB24" s="19">
        <v>0</v>
      </c>
      <c r="AC24" s="364">
        <v>507152</v>
      </c>
      <c r="AD24" s="18">
        <f t="shared" si="24"/>
        <v>507152</v>
      </c>
      <c r="AE24" s="19">
        <v>0</v>
      </c>
      <c r="AF24" s="364">
        <v>507152</v>
      </c>
      <c r="AG24" s="16">
        <f t="shared" si="25"/>
        <v>507152</v>
      </c>
      <c r="AH24" s="19">
        <f t="shared" si="26"/>
        <v>66608698</v>
      </c>
      <c r="AI24" s="15">
        <f t="shared" si="27"/>
        <v>66608698</v>
      </c>
      <c r="AJ24" s="16">
        <f t="shared" si="28"/>
        <v>66608698</v>
      </c>
      <c r="AK24" s="9"/>
      <c r="AL24" s="362">
        <v>0</v>
      </c>
      <c r="AM24" s="365">
        <v>0</v>
      </c>
      <c r="AN24" s="9"/>
      <c r="AO24" s="774"/>
      <c r="AP24" s="778" t="s">
        <v>113</v>
      </c>
      <c r="AQ24" s="421">
        <f>X35+X83</f>
        <v>25786354338</v>
      </c>
      <c r="AR24" s="421">
        <f>AD35+AD83</f>
        <v>2280267237</v>
      </c>
      <c r="AS24" s="421">
        <f>AG35+AG83</f>
        <v>614003555</v>
      </c>
      <c r="AT24" s="421"/>
      <c r="AU24" s="363">
        <f t="shared" si="30"/>
        <v>8.8429221405667627E-2</v>
      </c>
      <c r="AV24" s="363">
        <f t="shared" si="31"/>
        <v>2.3811181175586931E-2</v>
      </c>
      <c r="AW24" s="363">
        <f>(AR24-AD41-AD88)/$AO$2*12+AD41+AD88</f>
        <v>21645321242</v>
      </c>
      <c r="AX24" s="363">
        <f>(AS24-AG41-AG88)/$AO$2*12+AG41+AG88</f>
        <v>1650157058</v>
      </c>
      <c r="AY24" s="363">
        <f t="shared" si="32"/>
        <v>4141033096</v>
      </c>
      <c r="AZ24" s="143">
        <f t="shared" si="33"/>
        <v>24136197280</v>
      </c>
      <c r="BA24" s="9"/>
      <c r="BB24" s="427"/>
      <c r="BC24" s="372"/>
      <c r="BD24" s="372"/>
      <c r="BE24" s="372"/>
      <c r="BF24" s="372"/>
      <c r="BG24" s="372"/>
      <c r="BH24" s="372"/>
      <c r="BI24" s="372"/>
      <c r="BJ24" s="372"/>
      <c r="BK24" s="372"/>
      <c r="BL24" s="372"/>
      <c r="BM24" s="137" t="s">
        <v>110</v>
      </c>
      <c r="BN24" s="83">
        <f>X170-X177-X174-X183-X191</f>
        <v>275017672</v>
      </c>
      <c r="BO24" s="81">
        <f>AA170-AA177-AA174-AA183-AA191</f>
        <v>77698280</v>
      </c>
      <c r="BP24" s="81">
        <f>AD170-AD177-AD174-AD183-AD191</f>
        <v>72127137</v>
      </c>
      <c r="BQ24" s="82">
        <f>AF170-AF177-AF174-AF183-AF191</f>
        <v>49741627</v>
      </c>
      <c r="BR24" s="372"/>
    </row>
    <row r="25" spans="1:70" s="372" customFormat="1" ht="24.95" customHeight="1">
      <c r="A25" s="714">
        <v>1130102</v>
      </c>
      <c r="B25" s="628" t="s">
        <v>102</v>
      </c>
      <c r="C25" s="43">
        <f t="shared" ref="C25:N25" si="34">SUM(C26:C27)</f>
        <v>32167564656</v>
      </c>
      <c r="D25" s="44">
        <f t="shared" si="34"/>
        <v>0</v>
      </c>
      <c r="E25" s="44">
        <f t="shared" si="34"/>
        <v>2238472243</v>
      </c>
      <c r="F25" s="44">
        <f t="shared" si="34"/>
        <v>34406036899</v>
      </c>
      <c r="G25" s="44">
        <f t="shared" si="34"/>
        <v>0</v>
      </c>
      <c r="H25" s="44">
        <f t="shared" si="34"/>
        <v>6105022238</v>
      </c>
      <c r="I25" s="44">
        <f t="shared" si="34"/>
        <v>6105022238</v>
      </c>
      <c r="J25" s="44">
        <f t="shared" si="34"/>
        <v>0</v>
      </c>
      <c r="K25" s="44">
        <f t="shared" si="34"/>
        <v>3419819194</v>
      </c>
      <c r="L25" s="44">
        <f t="shared" si="34"/>
        <v>3419819194</v>
      </c>
      <c r="M25" s="44">
        <f t="shared" si="34"/>
        <v>28301014661</v>
      </c>
      <c r="N25" s="45">
        <f t="shared" si="34"/>
        <v>30986217705</v>
      </c>
      <c r="P25" s="43">
        <f>SUM(P26:P27)</f>
        <v>0</v>
      </c>
      <c r="Q25" s="45">
        <f>SUM(Q26:Q27)</f>
        <v>2238472243</v>
      </c>
      <c r="R25" s="9"/>
      <c r="S25" s="689" t="s">
        <v>101</v>
      </c>
      <c r="T25" s="666" t="s">
        <v>604</v>
      </c>
      <c r="U25" s="388">
        <v>0</v>
      </c>
      <c r="V25" s="15">
        <f t="shared" si="20"/>
        <v>0</v>
      </c>
      <c r="W25" s="15">
        <f t="shared" si="21"/>
        <v>0</v>
      </c>
      <c r="X25" s="16">
        <f t="shared" si="22"/>
        <v>0</v>
      </c>
      <c r="Y25" s="19">
        <v>0</v>
      </c>
      <c r="Z25" s="364">
        <v>0</v>
      </c>
      <c r="AA25" s="16">
        <f t="shared" si="23"/>
        <v>0</v>
      </c>
      <c r="AB25" s="19">
        <v>0</v>
      </c>
      <c r="AC25" s="364">
        <v>0</v>
      </c>
      <c r="AD25" s="18">
        <f t="shared" si="24"/>
        <v>0</v>
      </c>
      <c r="AE25" s="19">
        <v>0</v>
      </c>
      <c r="AF25" s="364">
        <v>0</v>
      </c>
      <c r="AG25" s="16">
        <f t="shared" si="25"/>
        <v>0</v>
      </c>
      <c r="AH25" s="19">
        <f t="shared" si="26"/>
        <v>0</v>
      </c>
      <c r="AI25" s="15">
        <f t="shared" si="27"/>
        <v>0</v>
      </c>
      <c r="AJ25" s="16">
        <f t="shared" si="28"/>
        <v>0</v>
      </c>
      <c r="AK25" s="9"/>
      <c r="AL25" s="362">
        <v>0</v>
      </c>
      <c r="AM25" s="365">
        <v>0</v>
      </c>
      <c r="AN25" s="9"/>
      <c r="AO25" s="773"/>
      <c r="AP25" s="216" t="s">
        <v>116</v>
      </c>
      <c r="AQ25" s="363">
        <f>X43+X57+X90+X104</f>
        <v>4194230005</v>
      </c>
      <c r="AR25" s="363">
        <f>AD43+AD57+AD90+AD104</f>
        <v>24851880</v>
      </c>
      <c r="AS25" s="363">
        <f>AG43+AG57+AG90+AG104</f>
        <v>0</v>
      </c>
      <c r="AT25" s="421"/>
      <c r="AU25" s="363">
        <f t="shared" si="30"/>
        <v>5.9252544496543411E-3</v>
      </c>
      <c r="AV25" s="363">
        <f t="shared" si="31"/>
        <v>0</v>
      </c>
      <c r="AW25" s="363">
        <f>(AR25-AD55-AD61-AD102-AD108)/$AO$2*12+AD55+AD61+AD102+AD108</f>
        <v>298222560</v>
      </c>
      <c r="AX25" s="363">
        <f>(AS25-AG55-AG61-AG102-AG108)/$AO$2*12+AG55+AG61+AG102+AG108</f>
        <v>0</v>
      </c>
      <c r="AY25" s="363">
        <f t="shared" si="32"/>
        <v>3896007445</v>
      </c>
      <c r="AZ25" s="143">
        <f t="shared" si="33"/>
        <v>4194230005</v>
      </c>
      <c r="BB25" s="427"/>
      <c r="BM25" s="140" t="s">
        <v>430</v>
      </c>
      <c r="BN25" s="106">
        <f>+SUM(BN26:BN28)</f>
        <v>9484311192</v>
      </c>
      <c r="BO25" s="107">
        <f>+SUM(BO26:BO28)</f>
        <v>5257203666</v>
      </c>
      <c r="BP25" s="107">
        <f>+SUM(BP26:BP28)</f>
        <v>1931294176</v>
      </c>
      <c r="BQ25" s="108">
        <f>+SUM(BQ26:BQ28)</f>
        <v>23217658</v>
      </c>
    </row>
    <row r="26" spans="1:70" s="9" customFormat="1" ht="24.95" customHeight="1">
      <c r="A26" s="593" t="s">
        <v>106</v>
      </c>
      <c r="B26" s="629" t="str">
        <f>+CONCATENATE("Vigencia ",INSTRUCCIONES!$F$3)</f>
        <v>Vigencia 2019</v>
      </c>
      <c r="C26" s="362">
        <v>32167564656</v>
      </c>
      <c r="D26" s="363">
        <f>P26</f>
        <v>0</v>
      </c>
      <c r="E26" s="363">
        <f>Q26</f>
        <v>0</v>
      </c>
      <c r="F26" s="363">
        <f>SUM(C26:E26)</f>
        <v>32167564656</v>
      </c>
      <c r="G26" s="363">
        <v>0</v>
      </c>
      <c r="H26" s="364">
        <v>2685203044</v>
      </c>
      <c r="I26" s="363">
        <f>SUM(G26:H26)</f>
        <v>2685203044</v>
      </c>
      <c r="J26" s="363">
        <v>0</v>
      </c>
      <c r="K26" s="364">
        <v>0</v>
      </c>
      <c r="L26" s="363">
        <f>SUM(J26:K26)</f>
        <v>0</v>
      </c>
      <c r="M26" s="363">
        <f>F26-I26</f>
        <v>29482361612</v>
      </c>
      <c r="N26" s="143">
        <f>F26-L26</f>
        <v>32167564656</v>
      </c>
      <c r="P26" s="362">
        <v>0</v>
      </c>
      <c r="Q26" s="365">
        <v>0</v>
      </c>
      <c r="S26" s="689" t="s">
        <v>606</v>
      </c>
      <c r="T26" s="666" t="s">
        <v>395</v>
      </c>
      <c r="U26" s="388">
        <v>7017105</v>
      </c>
      <c r="V26" s="15">
        <f t="shared" si="20"/>
        <v>0</v>
      </c>
      <c r="W26" s="15">
        <f t="shared" si="21"/>
        <v>0</v>
      </c>
      <c r="X26" s="16">
        <f t="shared" si="22"/>
        <v>7017105</v>
      </c>
      <c r="Y26" s="19">
        <v>0</v>
      </c>
      <c r="Z26" s="364">
        <v>97032</v>
      </c>
      <c r="AA26" s="16">
        <f t="shared" si="23"/>
        <v>97032</v>
      </c>
      <c r="AB26" s="19">
        <v>0</v>
      </c>
      <c r="AC26" s="364">
        <v>97032</v>
      </c>
      <c r="AD26" s="18">
        <f t="shared" si="24"/>
        <v>97032</v>
      </c>
      <c r="AE26" s="19">
        <v>0</v>
      </c>
      <c r="AF26" s="364">
        <v>97032</v>
      </c>
      <c r="AG26" s="16">
        <f t="shared" si="25"/>
        <v>97032</v>
      </c>
      <c r="AH26" s="19">
        <f t="shared" si="26"/>
        <v>6920073</v>
      </c>
      <c r="AI26" s="15">
        <f t="shared" si="27"/>
        <v>6920073</v>
      </c>
      <c r="AJ26" s="16">
        <f t="shared" si="28"/>
        <v>6920073</v>
      </c>
      <c r="AL26" s="362">
        <v>0</v>
      </c>
      <c r="AM26" s="365">
        <v>0</v>
      </c>
      <c r="AO26" s="773"/>
      <c r="AP26" s="779" t="s">
        <v>120</v>
      </c>
      <c r="AQ26" s="317">
        <f>X110</f>
        <v>12775719527</v>
      </c>
      <c r="AR26" s="317">
        <f>AD110</f>
        <v>1237768982</v>
      </c>
      <c r="AS26" s="317">
        <f>AG110</f>
        <v>734919480</v>
      </c>
      <c r="AT26" s="361">
        <f>AO2/12</f>
        <v>8.3333333333333329E-2</v>
      </c>
      <c r="AU26" s="332">
        <f t="shared" si="30"/>
        <v>9.6884483052725054E-2</v>
      </c>
      <c r="AV26" s="332">
        <f t="shared" si="31"/>
        <v>5.7524703672997279E-2</v>
      </c>
      <c r="AW26" s="426">
        <f>(AR26-AD121-AD139-AD143-AD153-AD168)/$AO$2*12+AD121+AD139+AD143+AD153+AD168</f>
        <v>7962945110</v>
      </c>
      <c r="AX26" s="426">
        <f>(AS26-AG121-AG139-AG143-AG153-AG168)/$AO$2*12+AG121+AG139+AG143+AG153+AG168</f>
        <v>1928751086</v>
      </c>
      <c r="AY26" s="426">
        <f t="shared" si="32"/>
        <v>4812774417</v>
      </c>
      <c r="AZ26" s="46">
        <f t="shared" si="33"/>
        <v>10846968441</v>
      </c>
      <c r="BA26" s="372"/>
      <c r="BB26" s="372"/>
      <c r="BC26" s="372"/>
      <c r="BD26" s="372"/>
      <c r="BE26" s="372"/>
      <c r="BF26" s="372"/>
      <c r="BG26" s="372"/>
      <c r="BH26" s="372"/>
      <c r="BI26" s="372"/>
      <c r="BJ26" s="372"/>
      <c r="BK26" s="372"/>
      <c r="BM26" s="109" t="s">
        <v>431</v>
      </c>
      <c r="BN26" s="86">
        <f>+X198+X212</f>
        <v>4000000000</v>
      </c>
      <c r="BO26" s="84">
        <f>+AA198+AA212</f>
        <v>1703146438</v>
      </c>
      <c r="BP26" s="84">
        <f>+AD198+AD212</f>
        <v>702598799</v>
      </c>
      <c r="BQ26" s="85">
        <f>+AF198+AF212</f>
        <v>22910258</v>
      </c>
      <c r="BR26" s="372"/>
    </row>
    <row r="27" spans="1:70" s="412" customFormat="1" ht="24.95" customHeight="1">
      <c r="A27" s="593" t="s">
        <v>111</v>
      </c>
      <c r="B27" s="629" t="s">
        <v>547</v>
      </c>
      <c r="C27" s="362">
        <v>0</v>
      </c>
      <c r="D27" s="363">
        <f>P27</f>
        <v>0</v>
      </c>
      <c r="E27" s="363">
        <f>Q27</f>
        <v>2238472243</v>
      </c>
      <c r="F27" s="363">
        <f>SUM(C27:E27)</f>
        <v>2238472243</v>
      </c>
      <c r="G27" s="363">
        <v>0</v>
      </c>
      <c r="H27" s="364">
        <v>3419819194</v>
      </c>
      <c r="I27" s="363">
        <f>SUM(G27:H27)</f>
        <v>3419819194</v>
      </c>
      <c r="J27" s="363">
        <v>0</v>
      </c>
      <c r="K27" s="364">
        <v>3419819194</v>
      </c>
      <c r="L27" s="363">
        <f>SUM(J27:K27)</f>
        <v>3419819194</v>
      </c>
      <c r="M27" s="363">
        <f>F27-I27</f>
        <v>-1181346951</v>
      </c>
      <c r="N27" s="143">
        <f>F27-L27</f>
        <v>-1181346951</v>
      </c>
      <c r="O27" s="372"/>
      <c r="P27" s="362">
        <v>0</v>
      </c>
      <c r="Q27" s="365">
        <f>1519189026+719283217</f>
        <v>2238472243</v>
      </c>
      <c r="R27" s="9"/>
      <c r="S27" s="689" t="s">
        <v>607</v>
      </c>
      <c r="T27" s="666" t="s">
        <v>605</v>
      </c>
      <c r="U27" s="388">
        <v>92622</v>
      </c>
      <c r="V27" s="15">
        <f t="shared" si="20"/>
        <v>0</v>
      </c>
      <c r="W27" s="15">
        <f t="shared" si="21"/>
        <v>0</v>
      </c>
      <c r="X27" s="16">
        <f t="shared" si="22"/>
        <v>92622</v>
      </c>
      <c r="Y27" s="19">
        <v>0</v>
      </c>
      <c r="Z27" s="364">
        <v>0</v>
      </c>
      <c r="AA27" s="16">
        <f t="shared" si="23"/>
        <v>0</v>
      </c>
      <c r="AB27" s="19">
        <v>0</v>
      </c>
      <c r="AC27" s="364">
        <v>0</v>
      </c>
      <c r="AD27" s="18">
        <f t="shared" si="24"/>
        <v>0</v>
      </c>
      <c r="AE27" s="19">
        <v>0</v>
      </c>
      <c r="AF27" s="364">
        <v>0</v>
      </c>
      <c r="AG27" s="16">
        <f t="shared" si="25"/>
        <v>0</v>
      </c>
      <c r="AH27" s="19">
        <f t="shared" si="26"/>
        <v>92622</v>
      </c>
      <c r="AI27" s="15">
        <f t="shared" si="27"/>
        <v>92622</v>
      </c>
      <c r="AJ27" s="16">
        <f t="shared" si="28"/>
        <v>92622</v>
      </c>
      <c r="AK27" s="9"/>
      <c r="AL27" s="362">
        <v>0</v>
      </c>
      <c r="AM27" s="365">
        <v>0</v>
      </c>
      <c r="AN27" s="9"/>
      <c r="AO27" s="772"/>
      <c r="AP27" s="216" t="s">
        <v>123</v>
      </c>
      <c r="AQ27" s="363">
        <f>X170</f>
        <v>1240354144</v>
      </c>
      <c r="AR27" s="363">
        <f>AD170</f>
        <v>134279754</v>
      </c>
      <c r="AS27" s="363">
        <f>AG170</f>
        <v>111894244</v>
      </c>
      <c r="AT27" s="421"/>
      <c r="AU27" s="363">
        <f t="shared" si="30"/>
        <v>0.10825920536449629</v>
      </c>
      <c r="AV27" s="363">
        <f t="shared" si="31"/>
        <v>9.0211529135665949E-2</v>
      </c>
      <c r="AW27" s="363">
        <f>(AR27-AD174-AD183-AD191)/$AO$2*12+AD174+AD183+AD191</f>
        <v>1611357048</v>
      </c>
      <c r="AX27" s="363">
        <f>(AS27-AG174-AG183-AG191)/$AO$2*12+AG174+AG183+AG191</f>
        <v>1342730928</v>
      </c>
      <c r="AY27" s="363">
        <f t="shared" si="32"/>
        <v>-371002904</v>
      </c>
      <c r="AZ27" s="143">
        <f t="shared" si="33"/>
        <v>-102376784</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v>1130103</v>
      </c>
      <c r="B28" s="605" t="s">
        <v>114</v>
      </c>
      <c r="C28" s="43">
        <f>C29+C32+C35+C38+C39+C40</f>
        <v>8952361140</v>
      </c>
      <c r="D28" s="44">
        <f>+D29+D32+D35+D38+D39+D40</f>
        <v>0</v>
      </c>
      <c r="E28" s="44">
        <f>+E29+E32+E35+E38+E39+E40</f>
        <v>0</v>
      </c>
      <c r="F28" s="44">
        <f>+F29+F32+F35+F38+F39+F40</f>
        <v>8952361140</v>
      </c>
      <c r="G28" s="44">
        <f t="shared" ref="G28:N28" si="35">G29+G32+G35+G38+G39+G40</f>
        <v>0</v>
      </c>
      <c r="H28" s="44">
        <f t="shared" si="35"/>
        <v>661292871</v>
      </c>
      <c r="I28" s="44">
        <f t="shared" si="35"/>
        <v>661292871</v>
      </c>
      <c r="J28" s="44">
        <f t="shared" si="35"/>
        <v>0</v>
      </c>
      <c r="K28" s="44">
        <f t="shared" si="35"/>
        <v>30004490</v>
      </c>
      <c r="L28" s="44">
        <f t="shared" si="35"/>
        <v>30004490</v>
      </c>
      <c r="M28" s="44">
        <f t="shared" si="35"/>
        <v>8291068269</v>
      </c>
      <c r="N28" s="45">
        <f t="shared" si="35"/>
        <v>8922356650</v>
      </c>
      <c r="O28" s="372"/>
      <c r="P28" s="43">
        <f>P29+P32+P35+P38+P39+P940</f>
        <v>0</v>
      </c>
      <c r="Q28" s="45">
        <f>Q29+Q32+Q35+Q38+Q39+Q40</f>
        <v>0</v>
      </c>
      <c r="R28" s="9"/>
      <c r="S28" s="689" t="s">
        <v>103</v>
      </c>
      <c r="T28" s="666" t="s">
        <v>400</v>
      </c>
      <c r="U28" s="388">
        <v>0</v>
      </c>
      <c r="V28" s="15">
        <f t="shared" si="20"/>
        <v>0</v>
      </c>
      <c r="W28" s="15">
        <f t="shared" si="21"/>
        <v>0</v>
      </c>
      <c r="X28" s="16">
        <f t="shared" si="22"/>
        <v>0</v>
      </c>
      <c r="Y28" s="19">
        <v>0</v>
      </c>
      <c r="Z28" s="364">
        <v>0</v>
      </c>
      <c r="AA28" s="16">
        <f t="shared" si="23"/>
        <v>0</v>
      </c>
      <c r="AB28" s="19">
        <v>0</v>
      </c>
      <c r="AC28" s="364">
        <v>0</v>
      </c>
      <c r="AD28" s="18">
        <f t="shared" si="24"/>
        <v>0</v>
      </c>
      <c r="AE28" s="19">
        <v>0</v>
      </c>
      <c r="AF28" s="364">
        <v>0</v>
      </c>
      <c r="AG28" s="16">
        <f t="shared" si="25"/>
        <v>0</v>
      </c>
      <c r="AH28" s="19">
        <f t="shared" si="26"/>
        <v>0</v>
      </c>
      <c r="AI28" s="15">
        <f t="shared" si="27"/>
        <v>0</v>
      </c>
      <c r="AJ28" s="16">
        <f t="shared" si="28"/>
        <v>0</v>
      </c>
      <c r="AK28" s="9"/>
      <c r="AL28" s="362">
        <v>0</v>
      </c>
      <c r="AM28" s="365">
        <v>0</v>
      </c>
      <c r="AN28" s="9"/>
      <c r="AO28" s="772"/>
      <c r="AP28" s="777" t="s">
        <v>566</v>
      </c>
      <c r="AQ28" s="363">
        <f>X195</f>
        <v>10849291024</v>
      </c>
      <c r="AR28" s="363">
        <f>AD195</f>
        <v>2995381812</v>
      </c>
      <c r="AS28" s="363">
        <f>AG195</f>
        <v>1087305294</v>
      </c>
      <c r="AT28" s="421"/>
      <c r="AU28" s="363">
        <f t="shared" si="30"/>
        <v>0.27609009707397819</v>
      </c>
      <c r="AV28" s="363">
        <f t="shared" si="31"/>
        <v>0.10021901814549389</v>
      </c>
      <c r="AW28" s="363">
        <f>(AR28-AD207)/$AO$2*12+AD207</f>
        <v>24239617748</v>
      </c>
      <c r="AX28" s="363">
        <f>(AS28-AG207)/$AO$2*12+AG207</f>
        <v>1342699532</v>
      </c>
      <c r="AY28" s="363">
        <f t="shared" si="32"/>
        <v>-13390326724</v>
      </c>
      <c r="AZ28" s="143">
        <f t="shared" si="33"/>
        <v>9506591492</v>
      </c>
      <c r="BA28" s="372"/>
      <c r="BB28" s="372"/>
      <c r="BC28" s="372"/>
      <c r="BD28" s="372"/>
      <c r="BE28" s="372"/>
      <c r="BF28" s="372"/>
      <c r="BG28" s="372"/>
      <c r="BH28" s="372"/>
      <c r="BI28" s="372"/>
      <c r="BJ28" s="372"/>
      <c r="BK28" s="372"/>
      <c r="BL28" s="372"/>
      <c r="BM28" s="71" t="s">
        <v>433</v>
      </c>
      <c r="BN28" s="83">
        <f>+X196-X198-X207</f>
        <v>5484311192</v>
      </c>
      <c r="BO28" s="81">
        <f>+AA196-AA198-AA207</f>
        <v>3554057228</v>
      </c>
      <c r="BP28" s="81">
        <f>+AD196-AD198-AD207</f>
        <v>1228695377</v>
      </c>
      <c r="BQ28" s="82">
        <f>+AF196-AF198-AF207</f>
        <v>307400</v>
      </c>
      <c r="BR28" s="9"/>
    </row>
    <row r="29" spans="1:70" s="9" customFormat="1" ht="24.95" customHeight="1">
      <c r="A29" s="593" t="s">
        <v>117</v>
      </c>
      <c r="B29" s="630" t="s">
        <v>118</v>
      </c>
      <c r="C29" s="19">
        <f t="shared" ref="C29:N29" si="36">SUM(C30:C31)</f>
        <v>0</v>
      </c>
      <c r="D29" s="15">
        <f t="shared" si="36"/>
        <v>0</v>
      </c>
      <c r="E29" s="15">
        <f t="shared" si="36"/>
        <v>0</v>
      </c>
      <c r="F29" s="15">
        <f t="shared" si="36"/>
        <v>0</v>
      </c>
      <c r="G29" s="15">
        <f t="shared" si="36"/>
        <v>0</v>
      </c>
      <c r="H29" s="15">
        <f t="shared" si="36"/>
        <v>0</v>
      </c>
      <c r="I29" s="15">
        <f t="shared" si="36"/>
        <v>0</v>
      </c>
      <c r="J29" s="15">
        <f t="shared" si="36"/>
        <v>0</v>
      </c>
      <c r="K29" s="15">
        <f t="shared" si="36"/>
        <v>0</v>
      </c>
      <c r="L29" s="15">
        <f t="shared" si="36"/>
        <v>0</v>
      </c>
      <c r="M29" s="15">
        <f t="shared" si="36"/>
        <v>0</v>
      </c>
      <c r="N29" s="16">
        <f t="shared" si="36"/>
        <v>0</v>
      </c>
      <c r="O29" s="372"/>
      <c r="P29" s="144">
        <f>SUM(P30:P31)</f>
        <v>0</v>
      </c>
      <c r="Q29" s="145">
        <f>SUM(Q30:Q31)</f>
        <v>0</v>
      </c>
      <c r="S29" s="689" t="s">
        <v>107</v>
      </c>
      <c r="T29" s="666" t="s">
        <v>122</v>
      </c>
      <c r="U29" s="388">
        <v>8443869</v>
      </c>
      <c r="V29" s="15">
        <f t="shared" si="20"/>
        <v>0</v>
      </c>
      <c r="W29" s="15">
        <f t="shared" si="21"/>
        <v>0</v>
      </c>
      <c r="X29" s="16">
        <f t="shared" si="22"/>
        <v>8443869</v>
      </c>
      <c r="Y29" s="19">
        <v>0</v>
      </c>
      <c r="Z29" s="364">
        <v>56019</v>
      </c>
      <c r="AA29" s="16">
        <f t="shared" si="23"/>
        <v>56019</v>
      </c>
      <c r="AB29" s="19">
        <v>0</v>
      </c>
      <c r="AC29" s="364">
        <v>56019</v>
      </c>
      <c r="AD29" s="18">
        <f t="shared" si="24"/>
        <v>56019</v>
      </c>
      <c r="AE29" s="19">
        <v>0</v>
      </c>
      <c r="AF29" s="364">
        <v>56019</v>
      </c>
      <c r="AG29" s="16">
        <f t="shared" si="25"/>
        <v>56019</v>
      </c>
      <c r="AH29" s="19">
        <f t="shared" si="26"/>
        <v>8387850</v>
      </c>
      <c r="AI29" s="15">
        <f t="shared" si="27"/>
        <v>8387850</v>
      </c>
      <c r="AJ29" s="16">
        <f t="shared" si="28"/>
        <v>8387850</v>
      </c>
      <c r="AL29" s="362">
        <v>0</v>
      </c>
      <c r="AM29" s="365">
        <v>0</v>
      </c>
      <c r="AO29" s="773"/>
      <c r="AP29" s="777" t="s">
        <v>565</v>
      </c>
      <c r="AQ29" s="363">
        <f>X209</f>
        <v>0</v>
      </c>
      <c r="AR29" s="363">
        <f>AD209</f>
        <v>0</v>
      </c>
      <c r="AS29" s="363">
        <f>AG209</f>
        <v>0</v>
      </c>
      <c r="AT29" s="317"/>
      <c r="AU29" s="332" t="str">
        <f t="shared" si="30"/>
        <v xml:space="preserve"> </v>
      </c>
      <c r="AV29" s="332" t="str">
        <f t="shared" si="31"/>
        <v xml:space="preserve"> </v>
      </c>
      <c r="AW29" s="426">
        <f>(AR29-AD218)/$AO$2*12+AD218</f>
        <v>0</v>
      </c>
      <c r="AX29" s="426">
        <f>(AS29-AG218)/$AO$2*12+AG218</f>
        <v>0</v>
      </c>
      <c r="AY29" s="426">
        <v>0</v>
      </c>
      <c r="AZ29" s="46">
        <f t="shared" si="33"/>
        <v>0</v>
      </c>
      <c r="BA29" s="372"/>
      <c r="BB29" s="372"/>
      <c r="BC29" s="372"/>
      <c r="BD29" s="372"/>
      <c r="BE29" s="372"/>
      <c r="BF29" s="412"/>
      <c r="BG29" s="372"/>
      <c r="BH29" s="372"/>
      <c r="BI29" s="372"/>
      <c r="BJ29" s="372"/>
      <c r="BK29" s="372"/>
      <c r="BM29" s="110" t="s">
        <v>70</v>
      </c>
      <c r="BN29" s="106">
        <f>X232-X256-X241</f>
        <v>8730992396</v>
      </c>
      <c r="BO29" s="107">
        <f>AA232-AA256-AA241</f>
        <v>5454649462</v>
      </c>
      <c r="BP29" s="107">
        <f>AD232-AD256-AD241</f>
        <v>366631669</v>
      </c>
      <c r="BQ29" s="108">
        <f>AF232-AF256-AF241</f>
        <v>142068007</v>
      </c>
      <c r="BR29" s="372"/>
    </row>
    <row r="30" spans="1:70" s="412" customFormat="1" ht="24.95" customHeight="1">
      <c r="A30" s="593" t="s">
        <v>121</v>
      </c>
      <c r="B30" s="629" t="str">
        <f>+CONCATENATE("Vigencia ",INSTRUCCIONES!$F$3)</f>
        <v>Vigencia 2019</v>
      </c>
      <c r="C30" s="362">
        <v>0</v>
      </c>
      <c r="D30" s="363">
        <f>P30</f>
        <v>0</v>
      </c>
      <c r="E30" s="363">
        <f>Q30</f>
        <v>0</v>
      </c>
      <c r="F30" s="363">
        <f>SUM(C30:E30)</f>
        <v>0</v>
      </c>
      <c r="G30" s="363">
        <v>0</v>
      </c>
      <c r="H30" s="364">
        <v>0</v>
      </c>
      <c r="I30" s="363">
        <f>SUM(G30:H30)</f>
        <v>0</v>
      </c>
      <c r="J30" s="363">
        <v>0</v>
      </c>
      <c r="K30" s="364">
        <v>0</v>
      </c>
      <c r="L30" s="363">
        <f>SUM(J30:K30)</f>
        <v>0</v>
      </c>
      <c r="M30" s="363">
        <f>F30-I30</f>
        <v>0</v>
      </c>
      <c r="N30" s="143">
        <f>F30-L30</f>
        <v>0</v>
      </c>
      <c r="O30" s="9"/>
      <c r="P30" s="362">
        <v>0</v>
      </c>
      <c r="Q30" s="365">
        <v>0</v>
      </c>
      <c r="R30" s="9"/>
      <c r="S30" s="689" t="s">
        <v>112</v>
      </c>
      <c r="T30" s="666" t="s">
        <v>396</v>
      </c>
      <c r="U30" s="388">
        <v>0</v>
      </c>
      <c r="V30" s="15">
        <f t="shared" si="20"/>
        <v>0</v>
      </c>
      <c r="W30" s="15">
        <f t="shared" si="21"/>
        <v>0</v>
      </c>
      <c r="X30" s="16">
        <f t="shared" si="22"/>
        <v>0</v>
      </c>
      <c r="Y30" s="19">
        <v>0</v>
      </c>
      <c r="Z30" s="364">
        <v>0</v>
      </c>
      <c r="AA30" s="16">
        <f t="shared" si="23"/>
        <v>0</v>
      </c>
      <c r="AB30" s="19">
        <v>0</v>
      </c>
      <c r="AC30" s="364">
        <v>0</v>
      </c>
      <c r="AD30" s="18">
        <f t="shared" si="24"/>
        <v>0</v>
      </c>
      <c r="AE30" s="19">
        <v>0</v>
      </c>
      <c r="AF30" s="364">
        <v>0</v>
      </c>
      <c r="AG30" s="16">
        <f t="shared" si="25"/>
        <v>0</v>
      </c>
      <c r="AH30" s="19">
        <f t="shared" si="26"/>
        <v>0</v>
      </c>
      <c r="AI30" s="15">
        <f t="shared" si="27"/>
        <v>0</v>
      </c>
      <c r="AJ30" s="16">
        <f t="shared" si="28"/>
        <v>0</v>
      </c>
      <c r="AK30" s="9"/>
      <c r="AL30" s="362">
        <v>0</v>
      </c>
      <c r="AM30" s="365">
        <v>0</v>
      </c>
      <c r="AN30" s="9"/>
      <c r="AO30" s="774" t="s">
        <v>51</v>
      </c>
      <c r="AP30" s="216" t="s">
        <v>130</v>
      </c>
      <c r="AQ30" s="363">
        <f>X220+X232</f>
        <v>14500497368</v>
      </c>
      <c r="AR30" s="363">
        <f>AD220+AD232</f>
        <v>611850577</v>
      </c>
      <c r="AS30" s="363">
        <f>AG220+AG232</f>
        <v>337069906</v>
      </c>
      <c r="AT30" s="421"/>
      <c r="AU30" s="363">
        <f t="shared" si="30"/>
        <v>4.2195144171416121E-2</v>
      </c>
      <c r="AV30" s="363">
        <f t="shared" si="31"/>
        <v>2.3245403067611522E-2</v>
      </c>
      <c r="AW30" s="363">
        <f>(AR30-AD225-AD230-AD241-AD256)/$AO$2*12+AD225+AD230+AD241+AD256</f>
        <v>4929226035</v>
      </c>
      <c r="AX30" s="363">
        <f>(AS30-AG225-AG230-AG241-AG256)/$AO$2*12+AG225+AG230+AG241+AG256</f>
        <v>1899817983</v>
      </c>
      <c r="AY30" s="363">
        <f>AQ30-AW30</f>
        <v>9571271333</v>
      </c>
      <c r="AZ30" s="143">
        <f t="shared" si="33"/>
        <v>12600679385</v>
      </c>
      <c r="BA30" s="372"/>
      <c r="BG30" s="372"/>
      <c r="BH30" s="372"/>
      <c r="BI30" s="372"/>
      <c r="BJ30" s="372"/>
      <c r="BK30" s="372"/>
      <c r="BL30" s="372"/>
      <c r="BM30" s="110" t="s">
        <v>74</v>
      </c>
      <c r="BN30" s="106">
        <f>X220-X225-X230</f>
        <v>262344980</v>
      </c>
      <c r="BO30" s="107">
        <f>AA220-AA225-AA230</f>
        <v>25857009</v>
      </c>
      <c r="BP30" s="107">
        <f>AD220-AD225-AD230</f>
        <v>25857009</v>
      </c>
      <c r="BQ30" s="108">
        <f>AF220-AF225-AF230</f>
        <v>0</v>
      </c>
      <c r="BR30" s="372"/>
    </row>
    <row r="31" spans="1:70" s="412" customFormat="1" ht="24.95" customHeight="1">
      <c r="A31" s="593" t="s">
        <v>124</v>
      </c>
      <c r="B31" s="629" t="s">
        <v>547</v>
      </c>
      <c r="C31" s="362">
        <v>0</v>
      </c>
      <c r="D31" s="363">
        <f>P31</f>
        <v>0</v>
      </c>
      <c r="E31" s="363">
        <f>Q31</f>
        <v>0</v>
      </c>
      <c r="F31" s="363">
        <f>SUM(C31:E31)</f>
        <v>0</v>
      </c>
      <c r="G31" s="363">
        <v>0</v>
      </c>
      <c r="H31" s="364">
        <v>0</v>
      </c>
      <c r="I31" s="363">
        <f>SUM(G31:H31)</f>
        <v>0</v>
      </c>
      <c r="J31" s="363">
        <v>0</v>
      </c>
      <c r="K31" s="364">
        <v>0</v>
      </c>
      <c r="L31" s="363">
        <f>SUM(J31:K31)</f>
        <v>0</v>
      </c>
      <c r="M31" s="363">
        <f>F31-I31</f>
        <v>0</v>
      </c>
      <c r="N31" s="143">
        <f>F31-L31</f>
        <v>0</v>
      </c>
      <c r="O31" s="372"/>
      <c r="P31" s="362">
        <v>0</v>
      </c>
      <c r="Q31" s="365">
        <v>0</v>
      </c>
      <c r="R31" s="9"/>
      <c r="S31" s="689" t="s">
        <v>115</v>
      </c>
      <c r="T31" s="666"/>
      <c r="U31" s="388">
        <v>0</v>
      </c>
      <c r="V31" s="15">
        <f t="shared" si="20"/>
        <v>0</v>
      </c>
      <c r="W31" s="15">
        <f t="shared" si="21"/>
        <v>0</v>
      </c>
      <c r="X31" s="16">
        <f t="shared" si="22"/>
        <v>0</v>
      </c>
      <c r="Y31" s="19">
        <v>0</v>
      </c>
      <c r="Z31" s="364">
        <v>0</v>
      </c>
      <c r="AA31" s="16">
        <f t="shared" si="23"/>
        <v>0</v>
      </c>
      <c r="AB31" s="19">
        <v>0</v>
      </c>
      <c r="AC31" s="364">
        <v>0</v>
      </c>
      <c r="AD31" s="18">
        <f t="shared" si="24"/>
        <v>0</v>
      </c>
      <c r="AE31" s="19">
        <v>0</v>
      </c>
      <c r="AF31" s="364">
        <v>0</v>
      </c>
      <c r="AG31" s="16">
        <f t="shared" si="25"/>
        <v>0</v>
      </c>
      <c r="AH31" s="19">
        <f t="shared" si="26"/>
        <v>0</v>
      </c>
      <c r="AI31" s="15">
        <f t="shared" si="27"/>
        <v>0</v>
      </c>
      <c r="AJ31" s="16">
        <f t="shared" si="28"/>
        <v>0</v>
      </c>
      <c r="AK31" s="9"/>
      <c r="AL31" s="362">
        <v>0</v>
      </c>
      <c r="AM31" s="365">
        <v>0</v>
      </c>
      <c r="AN31" s="9"/>
      <c r="AO31" s="772"/>
      <c r="AP31" s="778" t="s">
        <v>133</v>
      </c>
      <c r="AQ31" s="421">
        <f>X258</f>
        <v>0</v>
      </c>
      <c r="AR31" s="421">
        <f>AD258</f>
        <v>6515191494</v>
      </c>
      <c r="AS31" s="421">
        <f>AG258</f>
        <v>-3169470614</v>
      </c>
      <c r="AT31" s="421"/>
      <c r="AU31" s="363" t="str">
        <f t="shared" si="30"/>
        <v xml:space="preserve"> </v>
      </c>
      <c r="AV31" s="363" t="str">
        <f t="shared" si="31"/>
        <v xml:space="preserve"> </v>
      </c>
      <c r="AW31" s="363">
        <f>AQ31</f>
        <v>0</v>
      </c>
      <c r="AX31" s="363">
        <f>AQ31</f>
        <v>0</v>
      </c>
      <c r="AY31" s="363">
        <f>AQ31-AW31</f>
        <v>0</v>
      </c>
      <c r="AZ31" s="143">
        <f t="shared" si="33"/>
        <v>0</v>
      </c>
      <c r="BA31" s="372"/>
      <c r="BF31" s="372"/>
      <c r="BG31" s="372"/>
      <c r="BH31" s="372"/>
      <c r="BI31" s="372"/>
      <c r="BJ31" s="372"/>
      <c r="BK31" s="372"/>
      <c r="BL31" s="372"/>
      <c r="BM31" s="110" t="s">
        <v>128</v>
      </c>
      <c r="BN31" s="106">
        <f>X33+X41+X55+X61+X81+X88+X102+X108+X121+X139+X143+X153+X168+X174+X183+X191+X207+X218+X230+X241+X256+X225</f>
        <v>10822840779</v>
      </c>
      <c r="BO31" s="107">
        <f>AA33+AA41+AA55+AA61+AA81+AA88+AA102+AA108+AA121+AA139+AA143+AA153+AA168+AA174+AA183+AA191+AA207+AA218+AA230+AA241+AA256+AA225</f>
        <v>2429646651</v>
      </c>
      <c r="BP31" s="107">
        <f>AD33+AD41+AD55+AD61+AD81+AD88+AD102+AD108+AD121+AD139+AD143+AD153+AD168+AD174+AD183+AD191+AD207+AD218+AD230+AD241+AD256+AD225</f>
        <v>2429646651</v>
      </c>
      <c r="BQ31" s="108">
        <f>AF33+AF41+AF55+AF61+AF81+AF88+AF102+AF108+AF121+AF139+AF143+AF153+AF168+AF174+AF183+AF191+AF207+AF218+AF230+AF241+AF256+AF225</f>
        <v>2405286651</v>
      </c>
      <c r="BR31" s="9"/>
    </row>
    <row r="32" spans="1:70" s="9" customFormat="1" ht="24.95" customHeight="1" thickBot="1">
      <c r="A32" s="593" t="s">
        <v>125</v>
      </c>
      <c r="B32" s="630" t="s">
        <v>126</v>
      </c>
      <c r="C32" s="19">
        <f t="shared" ref="C32:N32" si="37">SUM(C33:C34)</f>
        <v>0</v>
      </c>
      <c r="D32" s="15">
        <f t="shared" si="37"/>
        <v>0</v>
      </c>
      <c r="E32" s="15">
        <f t="shared" si="37"/>
        <v>0</v>
      </c>
      <c r="F32" s="15">
        <f t="shared" si="37"/>
        <v>0</v>
      </c>
      <c r="G32" s="15">
        <f t="shared" si="37"/>
        <v>0</v>
      </c>
      <c r="H32" s="15">
        <f t="shared" si="37"/>
        <v>0</v>
      </c>
      <c r="I32" s="15">
        <f t="shared" si="37"/>
        <v>0</v>
      </c>
      <c r="J32" s="15">
        <f t="shared" si="37"/>
        <v>0</v>
      </c>
      <c r="K32" s="15">
        <f t="shared" si="37"/>
        <v>0</v>
      </c>
      <c r="L32" s="15">
        <f t="shared" si="37"/>
        <v>0</v>
      </c>
      <c r="M32" s="15">
        <f t="shared" si="37"/>
        <v>0</v>
      </c>
      <c r="N32" s="16">
        <f t="shared" si="37"/>
        <v>0</v>
      </c>
      <c r="O32" s="372"/>
      <c r="P32" s="144">
        <f>SUM(P33:P34)</f>
        <v>0</v>
      </c>
      <c r="Q32" s="145">
        <f>SUM(Q33:Q34)</f>
        <v>0</v>
      </c>
      <c r="S32" s="689" t="s">
        <v>119</v>
      </c>
      <c r="T32" s="666"/>
      <c r="U32" s="388">
        <v>0</v>
      </c>
      <c r="V32" s="15">
        <f t="shared" si="20"/>
        <v>0</v>
      </c>
      <c r="W32" s="15">
        <f t="shared" si="21"/>
        <v>0</v>
      </c>
      <c r="X32" s="16">
        <f t="shared" si="22"/>
        <v>0</v>
      </c>
      <c r="Y32" s="19">
        <v>0</v>
      </c>
      <c r="Z32" s="364">
        <v>0</v>
      </c>
      <c r="AA32" s="16">
        <f t="shared" si="23"/>
        <v>0</v>
      </c>
      <c r="AB32" s="19">
        <v>0</v>
      </c>
      <c r="AC32" s="364">
        <v>0</v>
      </c>
      <c r="AD32" s="18">
        <f t="shared" si="24"/>
        <v>0</v>
      </c>
      <c r="AE32" s="19">
        <v>0</v>
      </c>
      <c r="AF32" s="364">
        <v>0</v>
      </c>
      <c r="AG32" s="16">
        <f t="shared" si="25"/>
        <v>0</v>
      </c>
      <c r="AH32" s="19">
        <f t="shared" si="26"/>
        <v>0</v>
      </c>
      <c r="AI32" s="15">
        <f t="shared" si="27"/>
        <v>0</v>
      </c>
      <c r="AJ32" s="16">
        <f t="shared" si="28"/>
        <v>0</v>
      </c>
      <c r="AL32" s="362">
        <v>0</v>
      </c>
      <c r="AM32" s="365">
        <v>0</v>
      </c>
      <c r="AO32" s="773"/>
      <c r="AP32" s="780" t="s">
        <v>138</v>
      </c>
      <c r="AQ32" s="385">
        <f>SUM(AQ22:AQ31)</f>
        <v>76619131909</v>
      </c>
      <c r="AR32" s="385">
        <f>SUM(AR22:AR31)</f>
        <v>14083869871</v>
      </c>
      <c r="AS32" s="385">
        <f>SUM(AS22:AS31)</f>
        <v>0</v>
      </c>
      <c r="AT32" s="431"/>
      <c r="AU32" s="432">
        <f t="shared" si="30"/>
        <v>0.18381662021082817</v>
      </c>
      <c r="AV32" s="432">
        <f t="shared" si="31"/>
        <v>0</v>
      </c>
      <c r="AW32" s="375">
        <f>SUM(AW22:AW31)</f>
        <v>64496854887</v>
      </c>
      <c r="AX32" s="375">
        <f>SUM(AX22:AX31)</f>
        <v>11974321731</v>
      </c>
      <c r="AY32" s="375">
        <f>SUM(AY22:AY31)</f>
        <v>12122277022</v>
      </c>
      <c r="AZ32" s="376">
        <f>SUM(AZ22:AZ31)</f>
        <v>64644810178</v>
      </c>
      <c r="BA32" s="372"/>
      <c r="BB32" s="372"/>
      <c r="BC32" s="372"/>
      <c r="BD32" s="372"/>
      <c r="BE32" s="372"/>
      <c r="BF32" s="412"/>
      <c r="BG32" s="372"/>
      <c r="BH32" s="372"/>
      <c r="BI32" s="372"/>
      <c r="BJ32" s="372"/>
      <c r="BK32" s="372"/>
      <c r="BM32" s="110" t="s">
        <v>134</v>
      </c>
      <c r="BN32" s="106">
        <f>+BN7+BN25+BN29+BN30+BN31</f>
        <v>76619131909</v>
      </c>
      <c r="BO32" s="107">
        <f>+BO7+BO25+BO29+BO30+BO31</f>
        <v>39003160179</v>
      </c>
      <c r="BP32" s="107">
        <f>+BP7+BP25+BP29+BP30+BP31</f>
        <v>7568678377</v>
      </c>
      <c r="BQ32" s="108">
        <f>+BQ7+BQ25+BQ29+BQ30+BQ31</f>
        <v>3169470614</v>
      </c>
      <c r="BR32" s="372"/>
    </row>
    <row r="33" spans="1:70" s="412" customFormat="1" ht="24.95" customHeight="1" thickBot="1">
      <c r="A33" s="593" t="s">
        <v>129</v>
      </c>
      <c r="B33" s="629" t="str">
        <f>+CONCATENATE("Vigencia ",INSTRUCCIONES!$F$3)</f>
        <v>Vigencia 2019</v>
      </c>
      <c r="C33" s="362">
        <v>0</v>
      </c>
      <c r="D33" s="363">
        <f>P33</f>
        <v>0</v>
      </c>
      <c r="E33" s="363">
        <f>Q33</f>
        <v>0</v>
      </c>
      <c r="F33" s="363">
        <f>SUM(C33:E33)</f>
        <v>0</v>
      </c>
      <c r="G33" s="363">
        <v>0</v>
      </c>
      <c r="H33" s="364">
        <v>0</v>
      </c>
      <c r="I33" s="363">
        <f>SUM(G33:H33)</f>
        <v>0</v>
      </c>
      <c r="J33" s="363">
        <v>0</v>
      </c>
      <c r="K33" s="364">
        <v>0</v>
      </c>
      <c r="L33" s="363">
        <f>SUM(J33:K33)</f>
        <v>0</v>
      </c>
      <c r="M33" s="363">
        <f>F33-I33</f>
        <v>0</v>
      </c>
      <c r="N33" s="143">
        <f>F33-L33</f>
        <v>0</v>
      </c>
      <c r="O33" s="9"/>
      <c r="P33" s="362">
        <v>0</v>
      </c>
      <c r="Q33" s="365">
        <v>0</v>
      </c>
      <c r="R33" s="9"/>
      <c r="S33" s="688">
        <v>1010199</v>
      </c>
      <c r="T33" s="664" t="s">
        <v>127</v>
      </c>
      <c r="U33" s="388">
        <v>0</v>
      </c>
      <c r="V33" s="15">
        <f t="shared" si="20"/>
        <v>0</v>
      </c>
      <c r="W33" s="15">
        <f t="shared" si="21"/>
        <v>120000000</v>
      </c>
      <c r="X33" s="16">
        <f t="shared" si="22"/>
        <v>120000000</v>
      </c>
      <c r="Y33" s="19">
        <v>0</v>
      </c>
      <c r="Z33" s="364">
        <v>0</v>
      </c>
      <c r="AA33" s="16">
        <f t="shared" si="23"/>
        <v>0</v>
      </c>
      <c r="AB33" s="19">
        <v>0</v>
      </c>
      <c r="AC33" s="364">
        <v>0</v>
      </c>
      <c r="AD33" s="18">
        <f t="shared" si="24"/>
        <v>0</v>
      </c>
      <c r="AE33" s="19">
        <v>0</v>
      </c>
      <c r="AF33" s="364">
        <v>0</v>
      </c>
      <c r="AG33" s="16">
        <f t="shared" si="25"/>
        <v>0</v>
      </c>
      <c r="AH33" s="19">
        <f t="shared" si="26"/>
        <v>120000000</v>
      </c>
      <c r="AI33" s="15">
        <f t="shared" si="27"/>
        <v>120000000</v>
      </c>
      <c r="AJ33" s="16">
        <f t="shared" si="28"/>
        <v>120000000</v>
      </c>
      <c r="AK33" s="9"/>
      <c r="AL33" s="362">
        <v>0</v>
      </c>
      <c r="AM33" s="365">
        <v>120000000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-20503399250</v>
      </c>
      <c r="BP33" s="113">
        <f>AD258</f>
        <v>6515191494</v>
      </c>
      <c r="BQ33" s="114">
        <f>AF258</f>
        <v>59365791424</v>
      </c>
      <c r="BR33" s="372"/>
    </row>
    <row r="34" spans="1:70" s="412" customFormat="1" ht="24.95" customHeight="1" thickBot="1">
      <c r="A34" s="593" t="s">
        <v>132</v>
      </c>
      <c r="B34" s="629" t="s">
        <v>547</v>
      </c>
      <c r="C34" s="362">
        <v>0</v>
      </c>
      <c r="D34" s="363">
        <f>P34</f>
        <v>0</v>
      </c>
      <c r="E34" s="363">
        <f>Q34</f>
        <v>0</v>
      </c>
      <c r="F34" s="363">
        <f>SUM(C34:E34)</f>
        <v>0</v>
      </c>
      <c r="G34" s="363">
        <v>0</v>
      </c>
      <c r="H34" s="364">
        <v>0</v>
      </c>
      <c r="I34" s="363">
        <f>SUM(G34:H34)</f>
        <v>0</v>
      </c>
      <c r="J34" s="363">
        <v>0</v>
      </c>
      <c r="K34" s="364">
        <v>0</v>
      </c>
      <c r="L34" s="363">
        <f>SUM(J34:K34)</f>
        <v>0</v>
      </c>
      <c r="M34" s="363">
        <f>F34-I34</f>
        <v>0</v>
      </c>
      <c r="N34" s="143">
        <f>F34-L34</f>
        <v>0</v>
      </c>
      <c r="O34" s="372"/>
      <c r="P34" s="362">
        <v>0</v>
      </c>
      <c r="Q34" s="365">
        <v>0</v>
      </c>
      <c r="R34" s="9"/>
      <c r="S34" s="356"/>
      <c r="T34" s="660"/>
      <c r="U34" s="161"/>
      <c r="V34" s="161"/>
      <c r="W34" s="161"/>
      <c r="X34" s="166"/>
      <c r="Y34" s="357"/>
      <c r="Z34" s="161"/>
      <c r="AA34" s="166"/>
      <c r="AB34" s="357"/>
      <c r="AC34" s="161"/>
      <c r="AD34" s="161"/>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F34" s="372"/>
      <c r="BG34" s="372"/>
      <c r="BH34" s="372"/>
      <c r="BI34" s="372"/>
      <c r="BJ34" s="372"/>
      <c r="BK34" s="372"/>
      <c r="BL34" s="372"/>
      <c r="BM34" s="9"/>
      <c r="BN34" s="9"/>
      <c r="BO34" s="9"/>
      <c r="BP34" s="9"/>
      <c r="BQ34" s="9"/>
      <c r="BR34" s="9"/>
    </row>
    <row r="35" spans="1:70" s="372" customFormat="1" ht="24.95" customHeight="1" thickBot="1">
      <c r="A35" s="593" t="s">
        <v>135</v>
      </c>
      <c r="B35" s="630" t="s">
        <v>136</v>
      </c>
      <c r="C35" s="19">
        <f t="shared" ref="C35:N35" si="38">SUM(C36:C37)</f>
        <v>7627600802</v>
      </c>
      <c r="D35" s="15">
        <f t="shared" si="38"/>
        <v>0</v>
      </c>
      <c r="E35" s="15">
        <f t="shared" si="38"/>
        <v>0</v>
      </c>
      <c r="F35" s="15">
        <f t="shared" si="38"/>
        <v>7627600802</v>
      </c>
      <c r="G35" s="15">
        <f t="shared" si="38"/>
        <v>0</v>
      </c>
      <c r="H35" s="15">
        <f t="shared" si="38"/>
        <v>661292871</v>
      </c>
      <c r="I35" s="15">
        <f t="shared" si="38"/>
        <v>661292871</v>
      </c>
      <c r="J35" s="15">
        <f t="shared" si="38"/>
        <v>0</v>
      </c>
      <c r="K35" s="15">
        <f t="shared" si="38"/>
        <v>30004490</v>
      </c>
      <c r="L35" s="15">
        <f t="shared" si="38"/>
        <v>30004490</v>
      </c>
      <c r="M35" s="15">
        <f t="shared" si="38"/>
        <v>6966307931</v>
      </c>
      <c r="N35" s="16">
        <f t="shared" si="38"/>
        <v>7597596312</v>
      </c>
      <c r="P35" s="144">
        <f>SUM(P36:P37)</f>
        <v>0</v>
      </c>
      <c r="Q35" s="145">
        <f>SUM(Q36:Q37)</f>
        <v>0</v>
      </c>
      <c r="R35" s="9"/>
      <c r="S35" s="687">
        <v>1010200</v>
      </c>
      <c r="T35" s="663" t="s">
        <v>113</v>
      </c>
      <c r="U35" s="132">
        <f t="shared" ref="U35:AJ35" si="39">SUM(U36:U41)</f>
        <v>4253886796</v>
      </c>
      <c r="V35" s="122">
        <f t="shared" si="39"/>
        <v>0</v>
      </c>
      <c r="W35" s="122">
        <f t="shared" si="39"/>
        <v>100000000</v>
      </c>
      <c r="X35" s="130">
        <f t="shared" si="39"/>
        <v>4353886796</v>
      </c>
      <c r="Y35" s="128">
        <f t="shared" si="39"/>
        <v>0</v>
      </c>
      <c r="Z35" s="122">
        <f t="shared" si="39"/>
        <v>4149012314</v>
      </c>
      <c r="AA35" s="130">
        <f t="shared" si="39"/>
        <v>4149012314</v>
      </c>
      <c r="AB35" s="128">
        <f t="shared" si="39"/>
        <v>0</v>
      </c>
      <c r="AC35" s="122">
        <f t="shared" si="39"/>
        <v>572514143</v>
      </c>
      <c r="AD35" s="129">
        <f t="shared" si="39"/>
        <v>572514143</v>
      </c>
      <c r="AE35" s="128">
        <f t="shared" si="39"/>
        <v>0</v>
      </c>
      <c r="AF35" s="122">
        <f t="shared" si="39"/>
        <v>326748403</v>
      </c>
      <c r="AG35" s="130">
        <f t="shared" si="39"/>
        <v>326748403</v>
      </c>
      <c r="AH35" s="128">
        <f t="shared" si="39"/>
        <v>204874482</v>
      </c>
      <c r="AI35" s="122">
        <f t="shared" si="39"/>
        <v>3781372653</v>
      </c>
      <c r="AJ35" s="130">
        <f t="shared" si="39"/>
        <v>4027138393</v>
      </c>
      <c r="AK35" s="9"/>
      <c r="AL35" s="128">
        <f>SUM(AL36:AL41)</f>
        <v>0</v>
      </c>
      <c r="AM35" s="130">
        <f>SUM(AM36:AM41)</f>
        <v>100000000</v>
      </c>
      <c r="AN35" s="9"/>
      <c r="AO35" s="339"/>
      <c r="AP35" s="440"/>
      <c r="AQ35" s="282"/>
      <c r="AR35" s="441"/>
      <c r="AS35" s="441"/>
      <c r="AT35" s="441"/>
      <c r="AU35" s="442">
        <f>AR17-AR32</f>
        <v>4411600572</v>
      </c>
      <c r="AV35" s="443">
        <f>AS17-AR32</f>
        <v>-4290486</v>
      </c>
      <c r="AW35" s="443" t="s">
        <v>151</v>
      </c>
      <c r="AX35" s="444"/>
      <c r="AY35" s="443">
        <f>AY17+AY32</f>
        <v>11861199074</v>
      </c>
      <c r="AZ35" s="445">
        <f>AZ17+AY32</f>
        <v>-41129493622</v>
      </c>
      <c r="BF35" s="412"/>
    </row>
    <row r="36" spans="1:70" s="372" customFormat="1" ht="24.95" customHeight="1" thickBot="1">
      <c r="A36" s="593" t="s">
        <v>139</v>
      </c>
      <c r="B36" s="629" t="str">
        <f>+CONCATENATE("Vigencia ",INSTRUCCIONES!$F$3)</f>
        <v>Vigencia 2019</v>
      </c>
      <c r="C36" s="362">
        <v>7627600802</v>
      </c>
      <c r="D36" s="363">
        <f t="shared" ref="D36:E41" si="40">P36</f>
        <v>0</v>
      </c>
      <c r="E36" s="363">
        <f t="shared" si="40"/>
        <v>0</v>
      </c>
      <c r="F36" s="363">
        <f t="shared" ref="F36:F41" si="41">SUM(C36:E36)</f>
        <v>7627600802</v>
      </c>
      <c r="G36" s="363">
        <v>0</v>
      </c>
      <c r="H36" s="364">
        <v>631288381</v>
      </c>
      <c r="I36" s="363">
        <f t="shared" ref="I36:I41" si="42">SUM(G36:H36)</f>
        <v>631288381</v>
      </c>
      <c r="J36" s="363">
        <v>0</v>
      </c>
      <c r="K36" s="364">
        <v>0</v>
      </c>
      <c r="L36" s="363">
        <f t="shared" ref="L36:L41" si="43">SUM(J36:K36)</f>
        <v>0</v>
      </c>
      <c r="M36" s="363">
        <f t="shared" ref="M36:M41" si="44">F36-I36</f>
        <v>6996312421</v>
      </c>
      <c r="N36" s="143">
        <f t="shared" ref="N36:N41" si="45">F36-L36</f>
        <v>7627600802</v>
      </c>
      <c r="O36" s="9"/>
      <c r="P36" s="362">
        <v>0</v>
      </c>
      <c r="Q36" s="365">
        <v>0</v>
      </c>
      <c r="R36" s="9"/>
      <c r="S36" s="688" t="s">
        <v>137</v>
      </c>
      <c r="T36" s="664" t="s">
        <v>436</v>
      </c>
      <c r="U36" s="388">
        <v>1270340000</v>
      </c>
      <c r="V36" s="15">
        <f t="shared" ref="V36:W41" si="46">AL36</f>
        <v>0</v>
      </c>
      <c r="W36" s="15">
        <f t="shared" si="46"/>
        <v>100000000</v>
      </c>
      <c r="X36" s="16">
        <f t="shared" ref="X36:X41" si="47">SUM(U36:W36)</f>
        <v>1370340000</v>
      </c>
      <c r="Y36" s="19">
        <v>0</v>
      </c>
      <c r="Z36" s="364">
        <v>1326300000</v>
      </c>
      <c r="AA36" s="16">
        <f t="shared" ref="AA36:AA41" si="48">SUM(Y36:Z36)</f>
        <v>1326300000</v>
      </c>
      <c r="AB36" s="19">
        <v>0</v>
      </c>
      <c r="AC36" s="364">
        <v>102114760</v>
      </c>
      <c r="AD36" s="18">
        <f t="shared" ref="AD36:AD41" si="49">SUM(AB36:AC36)</f>
        <v>102114760</v>
      </c>
      <c r="AE36" s="19">
        <v>0</v>
      </c>
      <c r="AF36" s="364">
        <v>88250000</v>
      </c>
      <c r="AG36" s="16">
        <f t="shared" ref="AG36:AG41" si="50">SUM(AE36:AF36)</f>
        <v>88250000</v>
      </c>
      <c r="AH36" s="19">
        <f t="shared" ref="AH36:AH41" si="51">X36-AA36</f>
        <v>44040000</v>
      </c>
      <c r="AI36" s="15">
        <f t="shared" ref="AI36:AI41" si="52">X36-AD36</f>
        <v>1268225240</v>
      </c>
      <c r="AJ36" s="16">
        <f t="shared" ref="AJ36:AJ41" si="53">X36-AG36</f>
        <v>1282090000</v>
      </c>
      <c r="AK36" s="9"/>
      <c r="AL36" s="362">
        <v>0</v>
      </c>
      <c r="AM36" s="365">
        <v>100000000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
        <v>142</v>
      </c>
      <c r="B37" s="629" t="s">
        <v>547</v>
      </c>
      <c r="C37" s="362">
        <v>0</v>
      </c>
      <c r="D37" s="363">
        <f t="shared" si="40"/>
        <v>0</v>
      </c>
      <c r="E37" s="363">
        <f t="shared" si="40"/>
        <v>0</v>
      </c>
      <c r="F37" s="363">
        <f t="shared" si="41"/>
        <v>0</v>
      </c>
      <c r="G37" s="363">
        <v>0</v>
      </c>
      <c r="H37" s="364">
        <v>30004490</v>
      </c>
      <c r="I37" s="363">
        <f t="shared" si="42"/>
        <v>30004490</v>
      </c>
      <c r="J37" s="363">
        <v>0</v>
      </c>
      <c r="K37" s="364">
        <v>30004490</v>
      </c>
      <c r="L37" s="363">
        <f t="shared" si="43"/>
        <v>30004490</v>
      </c>
      <c r="M37" s="363">
        <f t="shared" si="44"/>
        <v>-30004490</v>
      </c>
      <c r="N37" s="143">
        <f t="shared" si="45"/>
        <v>-30004490</v>
      </c>
      <c r="P37" s="362">
        <v>0</v>
      </c>
      <c r="Q37" s="365">
        <v>0</v>
      </c>
      <c r="R37" s="9"/>
      <c r="S37" s="688" t="s">
        <v>140</v>
      </c>
      <c r="T37" s="664" t="s">
        <v>141</v>
      </c>
      <c r="U37" s="388">
        <v>0</v>
      </c>
      <c r="V37" s="15">
        <f t="shared" si="46"/>
        <v>0</v>
      </c>
      <c r="W37" s="15">
        <f t="shared" si="46"/>
        <v>0</v>
      </c>
      <c r="X37" s="16">
        <f t="shared" si="47"/>
        <v>0</v>
      </c>
      <c r="Y37" s="19">
        <v>0</v>
      </c>
      <c r="Z37" s="364">
        <v>0</v>
      </c>
      <c r="AA37" s="16">
        <f t="shared" si="48"/>
        <v>0</v>
      </c>
      <c r="AB37" s="19">
        <v>0</v>
      </c>
      <c r="AC37" s="364">
        <v>0</v>
      </c>
      <c r="AD37" s="18">
        <f t="shared" si="49"/>
        <v>0</v>
      </c>
      <c r="AE37" s="19">
        <v>0</v>
      </c>
      <c r="AF37" s="364">
        <v>0</v>
      </c>
      <c r="AG37" s="16">
        <f t="shared" si="50"/>
        <v>0</v>
      </c>
      <c r="AH37" s="19">
        <f t="shared" si="51"/>
        <v>0</v>
      </c>
      <c r="AI37" s="15">
        <f t="shared" si="52"/>
        <v>0</v>
      </c>
      <c r="AJ37" s="16">
        <f t="shared" si="53"/>
        <v>0</v>
      </c>
      <c r="AK37" s="9"/>
      <c r="AL37" s="362">
        <v>0</v>
      </c>
      <c r="AM37" s="365">
        <v>0</v>
      </c>
      <c r="AN37" s="9"/>
      <c r="AO37" s="24" t="s">
        <v>153</v>
      </c>
      <c r="BB37" s="412"/>
      <c r="BC37" s="412"/>
      <c r="BD37" s="412"/>
      <c r="BE37" s="412"/>
    </row>
    <row r="38" spans="1:70" s="372" customFormat="1" ht="24.95" customHeight="1">
      <c r="A38" s="716" t="s">
        <v>534</v>
      </c>
      <c r="B38" s="631" t="s">
        <v>537</v>
      </c>
      <c r="C38" s="362">
        <v>0</v>
      </c>
      <c r="D38" s="363">
        <f t="shared" si="40"/>
        <v>0</v>
      </c>
      <c r="E38" s="363">
        <f t="shared" si="40"/>
        <v>0</v>
      </c>
      <c r="F38" s="363">
        <f t="shared" si="41"/>
        <v>0</v>
      </c>
      <c r="G38" s="363">
        <v>0</v>
      </c>
      <c r="H38" s="364">
        <v>0</v>
      </c>
      <c r="I38" s="363">
        <f t="shared" si="42"/>
        <v>0</v>
      </c>
      <c r="J38" s="363">
        <v>0</v>
      </c>
      <c r="K38" s="364">
        <v>0</v>
      </c>
      <c r="L38" s="363">
        <f t="shared" si="43"/>
        <v>0</v>
      </c>
      <c r="M38" s="363">
        <f t="shared" si="44"/>
        <v>0</v>
      </c>
      <c r="N38" s="143">
        <f t="shared" si="45"/>
        <v>0</v>
      </c>
      <c r="O38" s="515"/>
      <c r="P38" s="362">
        <v>0</v>
      </c>
      <c r="Q38" s="365">
        <v>0</v>
      </c>
      <c r="R38" s="9"/>
      <c r="S38" s="688" t="s">
        <v>143</v>
      </c>
      <c r="T38" s="664" t="s">
        <v>144</v>
      </c>
      <c r="U38" s="388">
        <v>5000000</v>
      </c>
      <c r="V38" s="15">
        <f t="shared" si="46"/>
        <v>0</v>
      </c>
      <c r="W38" s="15">
        <f t="shared" si="46"/>
        <v>0</v>
      </c>
      <c r="X38" s="16">
        <f t="shared" si="47"/>
        <v>5000000</v>
      </c>
      <c r="Y38" s="19">
        <v>0</v>
      </c>
      <c r="Z38" s="364">
        <v>414058</v>
      </c>
      <c r="AA38" s="16">
        <f t="shared" si="48"/>
        <v>414058</v>
      </c>
      <c r="AB38" s="19">
        <v>0</v>
      </c>
      <c r="AC38" s="364">
        <v>414058</v>
      </c>
      <c r="AD38" s="18">
        <f t="shared" si="49"/>
        <v>414058</v>
      </c>
      <c r="AE38" s="19">
        <v>0</v>
      </c>
      <c r="AF38" s="364">
        <v>414058</v>
      </c>
      <c r="AG38" s="16">
        <f t="shared" si="50"/>
        <v>414058</v>
      </c>
      <c r="AH38" s="19">
        <f t="shared" si="51"/>
        <v>4585942</v>
      </c>
      <c r="AI38" s="15">
        <f t="shared" si="52"/>
        <v>4585942</v>
      </c>
      <c r="AJ38" s="16">
        <f t="shared" si="53"/>
        <v>4585942</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
        <v>535</v>
      </c>
      <c r="B39" s="631" t="s">
        <v>538</v>
      </c>
      <c r="C39" s="362">
        <v>0</v>
      </c>
      <c r="D39" s="363">
        <f t="shared" si="40"/>
        <v>0</v>
      </c>
      <c r="E39" s="363">
        <f t="shared" si="40"/>
        <v>0</v>
      </c>
      <c r="F39" s="363">
        <f t="shared" si="41"/>
        <v>0</v>
      </c>
      <c r="G39" s="363">
        <v>0</v>
      </c>
      <c r="H39" s="364">
        <v>0</v>
      </c>
      <c r="I39" s="363">
        <f t="shared" si="42"/>
        <v>0</v>
      </c>
      <c r="J39" s="363">
        <v>0</v>
      </c>
      <c r="K39" s="364">
        <v>0</v>
      </c>
      <c r="L39" s="363">
        <f t="shared" si="43"/>
        <v>0</v>
      </c>
      <c r="M39" s="363">
        <f t="shared" si="44"/>
        <v>0</v>
      </c>
      <c r="N39" s="143">
        <f t="shared" si="45"/>
        <v>0</v>
      </c>
      <c r="O39" s="515"/>
      <c r="P39" s="362">
        <v>0</v>
      </c>
      <c r="Q39" s="365">
        <v>0</v>
      </c>
      <c r="R39" s="9"/>
      <c r="S39" s="688" t="s">
        <v>150</v>
      </c>
      <c r="T39" s="664" t="s">
        <v>582</v>
      </c>
      <c r="U39" s="388">
        <v>2589745841</v>
      </c>
      <c r="V39" s="15">
        <f t="shared" si="46"/>
        <v>0</v>
      </c>
      <c r="W39" s="15">
        <f t="shared" si="46"/>
        <v>0</v>
      </c>
      <c r="X39" s="16">
        <f t="shared" si="47"/>
        <v>2589745841</v>
      </c>
      <c r="Y39" s="19">
        <v>0</v>
      </c>
      <c r="Z39" s="364">
        <v>2589745626</v>
      </c>
      <c r="AA39" s="16">
        <f t="shared" si="48"/>
        <v>2589745626</v>
      </c>
      <c r="AB39" s="19">
        <v>0</v>
      </c>
      <c r="AC39" s="364">
        <v>237432695</v>
      </c>
      <c r="AD39" s="18">
        <f t="shared" si="49"/>
        <v>237432695</v>
      </c>
      <c r="AE39" s="19">
        <v>0</v>
      </c>
      <c r="AF39" s="364">
        <v>5531715</v>
      </c>
      <c r="AG39" s="16">
        <f t="shared" si="50"/>
        <v>5531715</v>
      </c>
      <c r="AH39" s="19">
        <f t="shared" si="51"/>
        <v>215</v>
      </c>
      <c r="AI39" s="15">
        <f t="shared" si="52"/>
        <v>2352313146</v>
      </c>
      <c r="AJ39" s="16">
        <f t="shared" si="53"/>
        <v>2584214126</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
        <v>536</v>
      </c>
      <c r="B40" s="631" t="s">
        <v>539</v>
      </c>
      <c r="C40" s="362">
        <v>1324760338</v>
      </c>
      <c r="D40" s="363">
        <f t="shared" si="40"/>
        <v>0</v>
      </c>
      <c r="E40" s="363">
        <f t="shared" si="40"/>
        <v>0</v>
      </c>
      <c r="F40" s="363">
        <f t="shared" si="41"/>
        <v>1324760338</v>
      </c>
      <c r="G40" s="363">
        <v>0</v>
      </c>
      <c r="H40" s="364">
        <v>0</v>
      </c>
      <c r="I40" s="363">
        <f t="shared" si="42"/>
        <v>0</v>
      </c>
      <c r="J40" s="363">
        <v>0</v>
      </c>
      <c r="K40" s="364">
        <v>0</v>
      </c>
      <c r="L40" s="363">
        <f t="shared" si="43"/>
        <v>0</v>
      </c>
      <c r="M40" s="363">
        <f t="shared" si="44"/>
        <v>1324760338</v>
      </c>
      <c r="N40" s="143">
        <f t="shared" si="45"/>
        <v>1324760338</v>
      </c>
      <c r="O40" s="515"/>
      <c r="P40" s="362">
        <v>0</v>
      </c>
      <c r="Q40" s="365">
        <v>0</v>
      </c>
      <c r="R40" s="9"/>
      <c r="S40" s="688" t="s">
        <v>608</v>
      </c>
      <c r="T40" s="664" t="s">
        <v>152</v>
      </c>
      <c r="U40" s="388">
        <v>0</v>
      </c>
      <c r="V40" s="15">
        <f t="shared" si="46"/>
        <v>0</v>
      </c>
      <c r="W40" s="15">
        <f t="shared" si="46"/>
        <v>0</v>
      </c>
      <c r="X40" s="16">
        <f t="shared" si="47"/>
        <v>0</v>
      </c>
      <c r="Y40" s="19">
        <v>0</v>
      </c>
      <c r="Z40" s="364">
        <v>0</v>
      </c>
      <c r="AA40" s="16">
        <f t="shared" si="48"/>
        <v>0</v>
      </c>
      <c r="AB40" s="19">
        <v>0</v>
      </c>
      <c r="AC40" s="364">
        <v>0</v>
      </c>
      <c r="AD40" s="18">
        <f t="shared" si="49"/>
        <v>0</v>
      </c>
      <c r="AE40" s="19">
        <v>0</v>
      </c>
      <c r="AF40" s="364">
        <v>0</v>
      </c>
      <c r="AG40" s="16">
        <f t="shared" si="50"/>
        <v>0</v>
      </c>
      <c r="AH40" s="19">
        <f t="shared" si="51"/>
        <v>0</v>
      </c>
      <c r="AI40" s="15">
        <f t="shared" si="52"/>
        <v>0</v>
      </c>
      <c r="AJ40" s="16">
        <f t="shared" si="53"/>
        <v>0</v>
      </c>
      <c r="AK40" s="9"/>
      <c r="AL40" s="362">
        <v>0</v>
      </c>
      <c r="AM40" s="365">
        <v>0</v>
      </c>
      <c r="AN40" s="9"/>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row>
    <row r="41" spans="1:70" s="412" customFormat="1" ht="24.95" customHeight="1">
      <c r="A41" s="714">
        <v>1130104</v>
      </c>
      <c r="B41" s="628" t="s">
        <v>154</v>
      </c>
      <c r="C41" s="362">
        <v>0</v>
      </c>
      <c r="D41" s="122">
        <f t="shared" si="40"/>
        <v>0</v>
      </c>
      <c r="E41" s="122">
        <f t="shared" si="40"/>
        <v>0</v>
      </c>
      <c r="F41" s="122">
        <f t="shared" si="41"/>
        <v>0</v>
      </c>
      <c r="G41" s="122">
        <v>0</v>
      </c>
      <c r="H41" s="364">
        <v>0</v>
      </c>
      <c r="I41" s="122">
        <f t="shared" si="42"/>
        <v>0</v>
      </c>
      <c r="J41" s="122">
        <v>0</v>
      </c>
      <c r="K41" s="364">
        <v>0</v>
      </c>
      <c r="L41" s="122">
        <f t="shared" si="43"/>
        <v>0</v>
      </c>
      <c r="M41" s="122">
        <f t="shared" si="44"/>
        <v>0</v>
      </c>
      <c r="N41" s="130">
        <f t="shared" si="45"/>
        <v>0</v>
      </c>
      <c r="O41" s="372"/>
      <c r="P41" s="364">
        <v>0</v>
      </c>
      <c r="Q41" s="365">
        <v>0</v>
      </c>
      <c r="R41" s="9"/>
      <c r="S41" s="688">
        <v>1010299</v>
      </c>
      <c r="T41" s="664" t="s">
        <v>127</v>
      </c>
      <c r="U41" s="388">
        <v>388800955</v>
      </c>
      <c r="V41" s="15">
        <f t="shared" si="46"/>
        <v>0</v>
      </c>
      <c r="W41" s="15">
        <f t="shared" si="46"/>
        <v>0</v>
      </c>
      <c r="X41" s="16">
        <f t="shared" si="47"/>
        <v>388800955</v>
      </c>
      <c r="Y41" s="19">
        <v>0</v>
      </c>
      <c r="Z41" s="364">
        <v>232552630</v>
      </c>
      <c r="AA41" s="16">
        <f t="shared" si="48"/>
        <v>232552630</v>
      </c>
      <c r="AB41" s="19">
        <v>0</v>
      </c>
      <c r="AC41" s="364">
        <v>232552630</v>
      </c>
      <c r="AD41" s="18">
        <f t="shared" si="49"/>
        <v>232552630</v>
      </c>
      <c r="AE41" s="19">
        <v>0</v>
      </c>
      <c r="AF41" s="364">
        <v>232552630</v>
      </c>
      <c r="AG41" s="16">
        <f t="shared" si="50"/>
        <v>232552630</v>
      </c>
      <c r="AH41" s="19">
        <f t="shared" si="51"/>
        <v>156248325</v>
      </c>
      <c r="AI41" s="15">
        <f t="shared" si="52"/>
        <v>156248325</v>
      </c>
      <c r="AJ41" s="16">
        <f t="shared" si="53"/>
        <v>156248325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v>1130106</v>
      </c>
      <c r="B42" s="628" t="s">
        <v>507</v>
      </c>
      <c r="C42" s="43">
        <f t="shared" ref="C42:N42" si="54">SUM(C43:C44)</f>
        <v>0</v>
      </c>
      <c r="D42" s="44">
        <f t="shared" si="54"/>
        <v>0</v>
      </c>
      <c r="E42" s="44">
        <f t="shared" si="54"/>
        <v>0</v>
      </c>
      <c r="F42" s="44">
        <f t="shared" si="54"/>
        <v>0</v>
      </c>
      <c r="G42" s="44">
        <f t="shared" si="54"/>
        <v>0</v>
      </c>
      <c r="H42" s="44">
        <f t="shared" si="54"/>
        <v>0</v>
      </c>
      <c r="I42" s="44">
        <f t="shared" si="54"/>
        <v>0</v>
      </c>
      <c r="J42" s="44">
        <f t="shared" si="54"/>
        <v>0</v>
      </c>
      <c r="K42" s="44">
        <f t="shared" si="54"/>
        <v>0</v>
      </c>
      <c r="L42" s="44">
        <f t="shared" si="54"/>
        <v>0</v>
      </c>
      <c r="M42" s="44">
        <f t="shared" si="54"/>
        <v>0</v>
      </c>
      <c r="N42" s="45">
        <f t="shared" si="54"/>
        <v>0</v>
      </c>
      <c r="P42" s="43">
        <f>SUM(P43:P44)</f>
        <v>0</v>
      </c>
      <c r="Q42" s="45">
        <f>SUM(Q43:Q44)</f>
        <v>0</v>
      </c>
      <c r="R42" s="9"/>
      <c r="S42" s="356"/>
      <c r="T42" s="660"/>
      <c r="U42" s="161"/>
      <c r="V42" s="161"/>
      <c r="W42" s="161"/>
      <c r="X42" s="166"/>
      <c r="Y42" s="357"/>
      <c r="Z42" s="161"/>
      <c r="AA42" s="166"/>
      <c r="AB42" s="357"/>
      <c r="AC42" s="161"/>
      <c r="AD42" s="161"/>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c r="BB42" s="412"/>
      <c r="BC42" s="412"/>
      <c r="BD42" s="412"/>
      <c r="BE42" s="412"/>
    </row>
    <row r="43" spans="1:70" s="412" customFormat="1" ht="24.95" customHeight="1">
      <c r="A43" s="593" t="s">
        <v>156</v>
      </c>
      <c r="B43" s="629" t="str">
        <f>+CONCATENATE("Vigencia ",INSTRUCCIONES!$F$3)</f>
        <v>Vigencia 2019</v>
      </c>
      <c r="C43" s="362">
        <v>0</v>
      </c>
      <c r="D43" s="363">
        <f>P43</f>
        <v>0</v>
      </c>
      <c r="E43" s="363">
        <f>Q43</f>
        <v>0</v>
      </c>
      <c r="F43" s="363">
        <f>SUM(C43:E43)</f>
        <v>0</v>
      </c>
      <c r="G43" s="363">
        <v>0</v>
      </c>
      <c r="H43" s="364">
        <v>0</v>
      </c>
      <c r="I43" s="363">
        <f>SUM(G43:H43)</f>
        <v>0</v>
      </c>
      <c r="J43" s="363">
        <v>0</v>
      </c>
      <c r="K43" s="364">
        <v>0</v>
      </c>
      <c r="L43" s="363">
        <f>SUM(J43:K43)</f>
        <v>0</v>
      </c>
      <c r="M43" s="363">
        <f>F43-I43</f>
        <v>0</v>
      </c>
      <c r="N43" s="143">
        <f>F43-L43</f>
        <v>0</v>
      </c>
      <c r="O43" s="372"/>
      <c r="P43" s="362">
        <v>0</v>
      </c>
      <c r="Q43" s="365">
        <v>0</v>
      </c>
      <c r="R43" s="9"/>
      <c r="S43" s="687">
        <v>1010300</v>
      </c>
      <c r="T43" s="663" t="s">
        <v>155</v>
      </c>
      <c r="U43" s="132">
        <f t="shared" ref="U43:AJ43" si="55">U44+U49+U55</f>
        <v>682314446</v>
      </c>
      <c r="V43" s="122">
        <f t="shared" si="55"/>
        <v>0</v>
      </c>
      <c r="W43" s="122">
        <f t="shared" si="55"/>
        <v>0</v>
      </c>
      <c r="X43" s="130">
        <f t="shared" si="55"/>
        <v>682314446</v>
      </c>
      <c r="Y43" s="128">
        <f t="shared" si="55"/>
        <v>0</v>
      </c>
      <c r="Z43" s="122">
        <f t="shared" si="55"/>
        <v>4444920</v>
      </c>
      <c r="AA43" s="130">
        <f t="shared" si="55"/>
        <v>4444920</v>
      </c>
      <c r="AB43" s="128">
        <f t="shared" si="55"/>
        <v>0</v>
      </c>
      <c r="AC43" s="122">
        <f t="shared" si="55"/>
        <v>4444920</v>
      </c>
      <c r="AD43" s="129">
        <f t="shared" si="55"/>
        <v>4444920</v>
      </c>
      <c r="AE43" s="128">
        <f t="shared" si="55"/>
        <v>0</v>
      </c>
      <c r="AF43" s="122">
        <f t="shared" si="55"/>
        <v>0</v>
      </c>
      <c r="AG43" s="130">
        <f t="shared" si="55"/>
        <v>0</v>
      </c>
      <c r="AH43" s="128">
        <f t="shared" si="55"/>
        <v>677869526</v>
      </c>
      <c r="AI43" s="122">
        <f t="shared" si="55"/>
        <v>677869526</v>
      </c>
      <c r="AJ43" s="130">
        <f t="shared" si="55"/>
        <v>682314446</v>
      </c>
      <c r="AK43" s="9"/>
      <c r="AL43" s="128">
        <f>AL44+AL49+AL55</f>
        <v>0</v>
      </c>
      <c r="AM43" s="130">
        <f>AM44+AM49+AM55</f>
        <v>0</v>
      </c>
      <c r="AN43" s="9"/>
      <c r="AO43" s="372"/>
      <c r="AP43" s="447"/>
      <c r="AQ43" s="284"/>
      <c r="AR43" s="284"/>
      <c r="AS43" s="284"/>
      <c r="AT43" s="284"/>
      <c r="AU43" s="284"/>
      <c r="AV43" s="284"/>
      <c r="AW43" s="284"/>
      <c r="AX43" s="284"/>
      <c r="AY43" s="284"/>
      <c r="AZ43" s="284"/>
      <c r="BA43" s="372"/>
      <c r="BB43" s="372"/>
      <c r="BC43" s="372"/>
      <c r="BD43" s="372"/>
      <c r="BE43" s="372"/>
      <c r="BF43" s="372"/>
      <c r="BG43" s="372"/>
      <c r="BH43" s="372"/>
      <c r="BI43" s="372"/>
      <c r="BJ43" s="372"/>
      <c r="BK43" s="372"/>
      <c r="BL43" s="372"/>
      <c r="BM43" s="372"/>
      <c r="BN43" s="372"/>
      <c r="BO43" s="372"/>
      <c r="BP43" s="372"/>
      <c r="BQ43" s="372"/>
      <c r="BR43" s="372"/>
    </row>
    <row r="44" spans="1:70" s="412" customFormat="1" ht="24.95" customHeight="1">
      <c r="A44" s="593" t="s">
        <v>157</v>
      </c>
      <c r="B44" s="629" t="s">
        <v>547</v>
      </c>
      <c r="C44" s="362">
        <v>0</v>
      </c>
      <c r="D44" s="363">
        <f>P44</f>
        <v>0</v>
      </c>
      <c r="E44" s="363">
        <f>Q44</f>
        <v>0</v>
      </c>
      <c r="F44" s="363">
        <f>SUM(C44:E44)</f>
        <v>0</v>
      </c>
      <c r="G44" s="363">
        <v>0</v>
      </c>
      <c r="H44" s="364">
        <v>0</v>
      </c>
      <c r="I44" s="363">
        <f>SUM(G44:H44)</f>
        <v>0</v>
      </c>
      <c r="J44" s="363">
        <v>0</v>
      </c>
      <c r="K44" s="364">
        <v>0</v>
      </c>
      <c r="L44" s="363">
        <f>SUM(J44:K44)</f>
        <v>0</v>
      </c>
      <c r="M44" s="363">
        <f>F44-I44</f>
        <v>0</v>
      </c>
      <c r="N44" s="143">
        <f>F44-L44</f>
        <v>0</v>
      </c>
      <c r="O44" s="372"/>
      <c r="P44" s="362">
        <v>0</v>
      </c>
      <c r="Q44" s="365">
        <v>0</v>
      </c>
      <c r="R44" s="9"/>
      <c r="S44" s="688">
        <v>1010301</v>
      </c>
      <c r="T44" s="664" t="s">
        <v>596</v>
      </c>
      <c r="U44" s="27">
        <f t="shared" ref="U44:AJ44" si="56">SUM(U45:U48)</f>
        <v>224699564</v>
      </c>
      <c r="V44" s="25">
        <f t="shared" si="56"/>
        <v>0</v>
      </c>
      <c r="W44" s="25">
        <f t="shared" si="56"/>
        <v>0</v>
      </c>
      <c r="X44" s="26">
        <f t="shared" si="56"/>
        <v>224699564</v>
      </c>
      <c r="Y44" s="29">
        <f t="shared" si="56"/>
        <v>0</v>
      </c>
      <c r="Z44" s="25">
        <f t="shared" si="56"/>
        <v>0</v>
      </c>
      <c r="AA44" s="26">
        <f t="shared" si="56"/>
        <v>0</v>
      </c>
      <c r="AB44" s="29">
        <f t="shared" si="56"/>
        <v>0</v>
      </c>
      <c r="AC44" s="25">
        <f t="shared" si="56"/>
        <v>0</v>
      </c>
      <c r="AD44" s="28">
        <f t="shared" si="56"/>
        <v>0</v>
      </c>
      <c r="AE44" s="29">
        <f t="shared" si="56"/>
        <v>0</v>
      </c>
      <c r="AF44" s="25">
        <f t="shared" si="56"/>
        <v>0</v>
      </c>
      <c r="AG44" s="26">
        <f t="shared" si="56"/>
        <v>0</v>
      </c>
      <c r="AH44" s="19">
        <f t="shared" si="56"/>
        <v>224699564</v>
      </c>
      <c r="AI44" s="15">
        <f t="shared" si="56"/>
        <v>224699564</v>
      </c>
      <c r="AJ44" s="16">
        <f t="shared" si="56"/>
        <v>224699564</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v>1130107</v>
      </c>
      <c r="B45" s="628" t="s">
        <v>159</v>
      </c>
      <c r="C45" s="43">
        <f t="shared" ref="C45:N45" si="57">SUM(C46:C47)</f>
        <v>130489617</v>
      </c>
      <c r="D45" s="44">
        <f t="shared" si="57"/>
        <v>0</v>
      </c>
      <c r="E45" s="44">
        <f t="shared" si="57"/>
        <v>0</v>
      </c>
      <c r="F45" s="44">
        <f t="shared" si="57"/>
        <v>130489617</v>
      </c>
      <c r="G45" s="44">
        <f t="shared" si="57"/>
        <v>0</v>
      </c>
      <c r="H45" s="44">
        <f t="shared" si="57"/>
        <v>107772614</v>
      </c>
      <c r="I45" s="44">
        <f t="shared" si="57"/>
        <v>107772614</v>
      </c>
      <c r="J45" s="44">
        <f t="shared" si="57"/>
        <v>0</v>
      </c>
      <c r="K45" s="44">
        <f t="shared" si="57"/>
        <v>0</v>
      </c>
      <c r="L45" s="44">
        <f t="shared" si="57"/>
        <v>0</v>
      </c>
      <c r="M45" s="44">
        <f t="shared" si="57"/>
        <v>22717003</v>
      </c>
      <c r="N45" s="45">
        <f t="shared" si="57"/>
        <v>130489617</v>
      </c>
      <c r="P45" s="43">
        <f>SUM(P46:P47)</f>
        <v>0</v>
      </c>
      <c r="Q45" s="45">
        <f>SUM(Q46:Q47)</f>
        <v>0</v>
      </c>
      <c r="R45" s="9"/>
      <c r="S45" s="689" t="s">
        <v>158</v>
      </c>
      <c r="T45" s="665" t="s">
        <v>597</v>
      </c>
      <c r="U45" s="388">
        <v>56701284</v>
      </c>
      <c r="V45" s="15">
        <f t="shared" ref="V45:W48" si="58">AL45</f>
        <v>0</v>
      </c>
      <c r="W45" s="15">
        <f t="shared" si="58"/>
        <v>0</v>
      </c>
      <c r="X45" s="16">
        <f>SUM(U45:W45)</f>
        <v>56701284</v>
      </c>
      <c r="Y45" s="19">
        <v>0</v>
      </c>
      <c r="Z45" s="364">
        <v>0</v>
      </c>
      <c r="AA45" s="16">
        <f>SUM(Y45:Z45)</f>
        <v>0</v>
      </c>
      <c r="AB45" s="19">
        <v>0</v>
      </c>
      <c r="AC45" s="364">
        <v>0</v>
      </c>
      <c r="AD45" s="18">
        <f>SUM(AB45:AC45)</f>
        <v>0</v>
      </c>
      <c r="AE45" s="19">
        <v>0</v>
      </c>
      <c r="AF45" s="364">
        <v>0</v>
      </c>
      <c r="AG45" s="16">
        <f>SUM(AE45:AF45)</f>
        <v>0</v>
      </c>
      <c r="AH45" s="19">
        <f>X45-AA45</f>
        <v>56701284</v>
      </c>
      <c r="AI45" s="15">
        <f>X45-AD45</f>
        <v>56701284</v>
      </c>
      <c r="AJ45" s="16">
        <f>X45-AG45</f>
        <v>56701284</v>
      </c>
      <c r="AK45" s="9"/>
      <c r="AL45" s="362">
        <v>0</v>
      </c>
      <c r="AM45" s="365">
        <v>0</v>
      </c>
      <c r="AN45" s="9"/>
      <c r="AO45" s="284"/>
      <c r="AP45" s="284"/>
      <c r="AQ45" s="284"/>
      <c r="AR45" s="284"/>
      <c r="AS45" s="284"/>
      <c r="AT45" s="284"/>
      <c r="AU45" s="284"/>
      <c r="AV45" s="284"/>
      <c r="AW45" s="284"/>
      <c r="AX45" s="284"/>
      <c r="AY45" s="284"/>
      <c r="AZ45" s="284"/>
      <c r="BB45" s="412"/>
      <c r="BC45" s="412"/>
      <c r="BD45" s="412"/>
      <c r="BE45" s="412"/>
    </row>
    <row r="46" spans="1:70" s="412" customFormat="1" ht="24.95" customHeight="1">
      <c r="A46" s="593" t="s">
        <v>161</v>
      </c>
      <c r="B46" s="629" t="str">
        <f>+CONCATENATE("Vigencia ",INSTRUCCIONES!$F$3)</f>
        <v>Vigencia 2019</v>
      </c>
      <c r="C46" s="362">
        <v>130489617</v>
      </c>
      <c r="D46" s="363">
        <f>P46</f>
        <v>0</v>
      </c>
      <c r="E46" s="363">
        <f>Q46</f>
        <v>0</v>
      </c>
      <c r="F46" s="363">
        <f>SUM(C46:E46)</f>
        <v>130489617</v>
      </c>
      <c r="G46" s="363">
        <v>0</v>
      </c>
      <c r="H46" s="364">
        <v>107772614</v>
      </c>
      <c r="I46" s="363">
        <f>SUM(G46:H46)</f>
        <v>107772614</v>
      </c>
      <c r="J46" s="363">
        <v>0</v>
      </c>
      <c r="K46" s="364">
        <v>0</v>
      </c>
      <c r="L46" s="363">
        <f>SUM(J46:K46)</f>
        <v>0</v>
      </c>
      <c r="M46" s="363">
        <f>F46-I46</f>
        <v>22717003</v>
      </c>
      <c r="N46" s="143">
        <f>F46-L46</f>
        <v>130489617</v>
      </c>
      <c r="O46" s="372"/>
      <c r="P46" s="362">
        <v>0</v>
      </c>
      <c r="Q46" s="365">
        <v>0</v>
      </c>
      <c r="R46" s="9"/>
      <c r="S46" s="689" t="s">
        <v>160</v>
      </c>
      <c r="T46" s="665" t="s">
        <v>598</v>
      </c>
      <c r="U46" s="388">
        <v>77319919</v>
      </c>
      <c r="V46" s="15">
        <f t="shared" si="58"/>
        <v>0</v>
      </c>
      <c r="W46" s="15">
        <f t="shared" si="58"/>
        <v>0</v>
      </c>
      <c r="X46" s="16">
        <f>SUM(U46:W46)</f>
        <v>77319919</v>
      </c>
      <c r="Y46" s="19">
        <v>0</v>
      </c>
      <c r="Z46" s="364">
        <v>0</v>
      </c>
      <c r="AA46" s="16">
        <f>SUM(Y46:Z46)</f>
        <v>0</v>
      </c>
      <c r="AB46" s="19">
        <v>0</v>
      </c>
      <c r="AC46" s="364">
        <v>0</v>
      </c>
      <c r="AD46" s="18">
        <f>SUM(AB46:AC46)</f>
        <v>0</v>
      </c>
      <c r="AE46" s="19">
        <v>0</v>
      </c>
      <c r="AF46" s="364">
        <v>0</v>
      </c>
      <c r="AG46" s="16">
        <f>SUM(AE46:AF46)</f>
        <v>0</v>
      </c>
      <c r="AH46" s="19">
        <f>X46-AA46</f>
        <v>77319919</v>
      </c>
      <c r="AI46" s="15">
        <f>X46-AD46</f>
        <v>77319919</v>
      </c>
      <c r="AJ46" s="16">
        <f>X46-AG46</f>
        <v>77319919</v>
      </c>
      <c r="AK46" s="9"/>
      <c r="AL46" s="362">
        <v>0</v>
      </c>
      <c r="AM46" s="365">
        <v>0</v>
      </c>
      <c r="AN46" s="9"/>
      <c r="AO46" s="448"/>
      <c r="AP46" s="447"/>
      <c r="AQ46" s="284"/>
      <c r="AR46" s="284"/>
      <c r="AS46" s="284"/>
      <c r="AT46" s="284"/>
      <c r="AU46" s="284"/>
      <c r="AV46" s="284"/>
      <c r="AW46" s="284"/>
      <c r="AX46" s="284"/>
      <c r="AY46" s="284"/>
      <c r="AZ46" s="284"/>
      <c r="BA46" s="372"/>
      <c r="BB46" s="372"/>
      <c r="BC46" s="372"/>
      <c r="BD46" s="372"/>
      <c r="BE46" s="372"/>
      <c r="BF46" s="372"/>
      <c r="BG46" s="372"/>
      <c r="BH46" s="372"/>
      <c r="BI46" s="372"/>
      <c r="BJ46" s="372"/>
      <c r="BK46" s="372"/>
      <c r="BL46" s="372"/>
    </row>
    <row r="47" spans="1:70" s="412" customFormat="1" ht="24.95" customHeight="1">
      <c r="A47" s="593" t="s">
        <v>163</v>
      </c>
      <c r="B47" s="629" t="s">
        <v>547</v>
      </c>
      <c r="C47" s="362">
        <v>0</v>
      </c>
      <c r="D47" s="363">
        <f>P47</f>
        <v>0</v>
      </c>
      <c r="E47" s="363">
        <f>Q47</f>
        <v>0</v>
      </c>
      <c r="F47" s="363">
        <f>SUM(C47:E47)</f>
        <v>0</v>
      </c>
      <c r="G47" s="363">
        <v>0</v>
      </c>
      <c r="H47" s="364">
        <v>0</v>
      </c>
      <c r="I47" s="363">
        <f>SUM(G47:H47)</f>
        <v>0</v>
      </c>
      <c r="J47" s="363">
        <v>0</v>
      </c>
      <c r="K47" s="364">
        <v>0</v>
      </c>
      <c r="L47" s="363">
        <f>SUM(J47:K47)</f>
        <v>0</v>
      </c>
      <c r="M47" s="363">
        <f>F47-I47</f>
        <v>0</v>
      </c>
      <c r="N47" s="143">
        <f>F47-L47</f>
        <v>0</v>
      </c>
      <c r="O47" s="372"/>
      <c r="P47" s="362">
        <v>0</v>
      </c>
      <c r="Q47" s="365">
        <v>0</v>
      </c>
      <c r="R47" s="9"/>
      <c r="S47" s="689" t="s">
        <v>162</v>
      </c>
      <c r="T47" s="665" t="s">
        <v>599</v>
      </c>
      <c r="U47" s="388">
        <v>87698777</v>
      </c>
      <c r="V47" s="15">
        <f t="shared" si="58"/>
        <v>0</v>
      </c>
      <c r="W47" s="15">
        <f t="shared" si="58"/>
        <v>0</v>
      </c>
      <c r="X47" s="16">
        <f>SUM(U47:W47)</f>
        <v>87698777</v>
      </c>
      <c r="Y47" s="19">
        <v>0</v>
      </c>
      <c r="Z47" s="364">
        <v>0</v>
      </c>
      <c r="AA47" s="16">
        <f>SUM(Y47:Z47)</f>
        <v>0</v>
      </c>
      <c r="AB47" s="19">
        <v>0</v>
      </c>
      <c r="AC47" s="364">
        <v>0</v>
      </c>
      <c r="AD47" s="18">
        <f>SUM(AB47:AC47)</f>
        <v>0</v>
      </c>
      <c r="AE47" s="19">
        <v>0</v>
      </c>
      <c r="AF47" s="364">
        <v>0</v>
      </c>
      <c r="AG47" s="16">
        <f>SUM(AE47:AF47)</f>
        <v>0</v>
      </c>
      <c r="AH47" s="19">
        <f>X47-AA47</f>
        <v>87698777</v>
      </c>
      <c r="AI47" s="15">
        <f>X47-AD47</f>
        <v>87698777</v>
      </c>
      <c r="AJ47" s="16">
        <f>X47-AG47</f>
        <v>87698777</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v>1130108</v>
      </c>
      <c r="B48" s="628" t="s">
        <v>165</v>
      </c>
      <c r="C48" s="43">
        <f t="shared" ref="C48:N48" si="59">SUM(C49:C50)</f>
        <v>0</v>
      </c>
      <c r="D48" s="44">
        <f t="shared" si="59"/>
        <v>0</v>
      </c>
      <c r="E48" s="44">
        <f t="shared" si="59"/>
        <v>0</v>
      </c>
      <c r="F48" s="44">
        <f t="shared" si="59"/>
        <v>0</v>
      </c>
      <c r="G48" s="44">
        <f t="shared" si="59"/>
        <v>0</v>
      </c>
      <c r="H48" s="44">
        <f t="shared" si="59"/>
        <v>0</v>
      </c>
      <c r="I48" s="44">
        <f t="shared" si="59"/>
        <v>0</v>
      </c>
      <c r="J48" s="44">
        <f t="shared" si="59"/>
        <v>0</v>
      </c>
      <c r="K48" s="44">
        <f t="shared" si="59"/>
        <v>0</v>
      </c>
      <c r="L48" s="44">
        <f t="shared" si="59"/>
        <v>0</v>
      </c>
      <c r="M48" s="44">
        <f t="shared" si="59"/>
        <v>0</v>
      </c>
      <c r="N48" s="45">
        <f t="shared" si="59"/>
        <v>0</v>
      </c>
      <c r="P48" s="43">
        <f>SUM(P49:P50)</f>
        <v>0</v>
      </c>
      <c r="Q48" s="45">
        <f>SUM(Q49:Q50)</f>
        <v>0</v>
      </c>
      <c r="R48" s="9"/>
      <c r="S48" s="689" t="s">
        <v>164</v>
      </c>
      <c r="T48" s="665" t="s">
        <v>600</v>
      </c>
      <c r="U48" s="388">
        <v>2979584</v>
      </c>
      <c r="V48" s="15">
        <f t="shared" si="58"/>
        <v>0</v>
      </c>
      <c r="W48" s="15">
        <f t="shared" si="58"/>
        <v>0</v>
      </c>
      <c r="X48" s="16">
        <f>SUM(U48:W48)</f>
        <v>2979584</v>
      </c>
      <c r="Y48" s="19">
        <v>0</v>
      </c>
      <c r="Z48" s="364">
        <v>0</v>
      </c>
      <c r="AA48" s="16">
        <f>SUM(Y48:Z48)</f>
        <v>0</v>
      </c>
      <c r="AB48" s="19">
        <v>0</v>
      </c>
      <c r="AC48" s="364">
        <v>0</v>
      </c>
      <c r="AD48" s="18">
        <f>SUM(AB48:AC48)</f>
        <v>0</v>
      </c>
      <c r="AE48" s="19">
        <v>0</v>
      </c>
      <c r="AF48" s="364">
        <v>0</v>
      </c>
      <c r="AG48" s="16">
        <f>SUM(AE48:AF48)</f>
        <v>0</v>
      </c>
      <c r="AH48" s="19">
        <f>X48-AA48</f>
        <v>2979584</v>
      </c>
      <c r="AI48" s="15">
        <f>X48-AD48</f>
        <v>2979584</v>
      </c>
      <c r="AJ48" s="16">
        <f>X48-AG48</f>
        <v>2979584</v>
      </c>
      <c r="AK48" s="9"/>
      <c r="AL48" s="362">
        <v>0</v>
      </c>
      <c r="AM48" s="365">
        <v>0</v>
      </c>
      <c r="AN48" s="9"/>
      <c r="AO48" s="284"/>
      <c r="AP48" s="284"/>
      <c r="AQ48" s="284"/>
      <c r="AR48" s="284"/>
      <c r="AS48" s="284"/>
      <c r="AT48" s="284"/>
      <c r="AU48" s="284"/>
      <c r="AV48" s="284"/>
      <c r="AW48" s="284"/>
      <c r="AX48" s="284"/>
      <c r="AY48" s="284"/>
      <c r="AZ48" s="284"/>
      <c r="BB48" s="412"/>
      <c r="BC48" s="412"/>
      <c r="BD48" s="412"/>
      <c r="BE48" s="412"/>
    </row>
    <row r="49" spans="1:70" s="412" customFormat="1" ht="24.95" customHeight="1">
      <c r="A49" s="593" t="s">
        <v>378</v>
      </c>
      <c r="B49" s="629" t="str">
        <f>+CONCATENATE("Vigencia ",INSTRUCCIONES!$F$3)</f>
        <v>Vigencia 2019</v>
      </c>
      <c r="C49" s="362">
        <v>0</v>
      </c>
      <c r="D49" s="363">
        <f>P49</f>
        <v>0</v>
      </c>
      <c r="E49" s="363">
        <f>Q49</f>
        <v>0</v>
      </c>
      <c r="F49" s="363">
        <f>SUM(C49:E49)</f>
        <v>0</v>
      </c>
      <c r="G49" s="363">
        <v>0</v>
      </c>
      <c r="H49" s="364">
        <v>0</v>
      </c>
      <c r="I49" s="363">
        <f>SUM(G49:H49)</f>
        <v>0</v>
      </c>
      <c r="J49" s="363">
        <v>0</v>
      </c>
      <c r="K49" s="364">
        <v>0</v>
      </c>
      <c r="L49" s="363">
        <f>SUM(J49:K49)</f>
        <v>0</v>
      </c>
      <c r="M49" s="363">
        <f>F49-I49</f>
        <v>0</v>
      </c>
      <c r="N49" s="143">
        <f>F49-L49</f>
        <v>0</v>
      </c>
      <c r="O49" s="372"/>
      <c r="P49" s="362">
        <v>0</v>
      </c>
      <c r="Q49" s="365">
        <v>0</v>
      </c>
      <c r="R49" s="9"/>
      <c r="S49" s="688">
        <v>1010302</v>
      </c>
      <c r="T49" s="664" t="s">
        <v>166</v>
      </c>
      <c r="U49" s="17">
        <f t="shared" ref="U49:AJ49" si="60">SUM(U50:U54)</f>
        <v>349614882</v>
      </c>
      <c r="V49" s="15">
        <f t="shared" si="60"/>
        <v>0</v>
      </c>
      <c r="W49" s="15">
        <f t="shared" si="60"/>
        <v>0</v>
      </c>
      <c r="X49" s="16">
        <f t="shared" si="60"/>
        <v>349614882</v>
      </c>
      <c r="Y49" s="19">
        <f t="shared" si="60"/>
        <v>0</v>
      </c>
      <c r="Z49" s="142">
        <f t="shared" si="60"/>
        <v>4444920</v>
      </c>
      <c r="AA49" s="16">
        <f t="shared" si="60"/>
        <v>4444920</v>
      </c>
      <c r="AB49" s="19">
        <f t="shared" si="60"/>
        <v>0</v>
      </c>
      <c r="AC49" s="142">
        <f t="shared" si="60"/>
        <v>4444920</v>
      </c>
      <c r="AD49" s="18">
        <f t="shared" si="60"/>
        <v>4444920</v>
      </c>
      <c r="AE49" s="19">
        <f t="shared" si="60"/>
        <v>0</v>
      </c>
      <c r="AF49" s="142">
        <f t="shared" si="60"/>
        <v>0</v>
      </c>
      <c r="AG49" s="16">
        <f t="shared" si="60"/>
        <v>0</v>
      </c>
      <c r="AH49" s="19">
        <f t="shared" si="60"/>
        <v>345169962</v>
      </c>
      <c r="AI49" s="15">
        <f t="shared" si="60"/>
        <v>345169962</v>
      </c>
      <c r="AJ49" s="16">
        <f t="shared" si="60"/>
        <v>349614882</v>
      </c>
      <c r="AK49" s="9"/>
      <c r="AL49" s="29">
        <f>SUM(AL50:AL54)</f>
        <v>0</v>
      </c>
      <c r="AM49" s="26">
        <f>SUM(AM50:AM54)</f>
        <v>0</v>
      </c>
      <c r="AN49" s="9"/>
      <c r="AO49" s="448"/>
      <c r="AP49" s="447"/>
      <c r="AQ49" s="284"/>
      <c r="AR49" s="284"/>
      <c r="AS49" s="284"/>
      <c r="AT49" s="284"/>
      <c r="AU49" s="284"/>
      <c r="AV49" s="284"/>
      <c r="AW49" s="284"/>
      <c r="AX49" s="284"/>
      <c r="AY49" s="284"/>
      <c r="AZ49" s="284"/>
      <c r="BA49" s="372"/>
      <c r="BB49" s="372"/>
      <c r="BC49" s="372"/>
      <c r="BD49" s="372"/>
      <c r="BE49" s="372"/>
      <c r="BF49" s="372"/>
      <c r="BG49" s="372"/>
      <c r="BH49" s="372"/>
      <c r="BI49" s="372"/>
      <c r="BJ49" s="372"/>
      <c r="BK49" s="372"/>
      <c r="BL49" s="372"/>
      <c r="BM49" s="372"/>
      <c r="BN49" s="372"/>
      <c r="BO49" s="372"/>
      <c r="BP49" s="372"/>
      <c r="BQ49" s="372"/>
      <c r="BR49" s="372"/>
    </row>
    <row r="50" spans="1:70" s="412" customFormat="1" ht="24.95" customHeight="1">
      <c r="A50" s="593" t="s">
        <v>379</v>
      </c>
      <c r="B50" s="629" t="s">
        <v>547</v>
      </c>
      <c r="C50" s="362">
        <v>0</v>
      </c>
      <c r="D50" s="363">
        <f>P50</f>
        <v>0</v>
      </c>
      <c r="E50" s="363">
        <f>Q50</f>
        <v>0</v>
      </c>
      <c r="F50" s="363">
        <f>SUM(C50:E50)</f>
        <v>0</v>
      </c>
      <c r="G50" s="363">
        <v>0</v>
      </c>
      <c r="H50" s="364">
        <v>0</v>
      </c>
      <c r="I50" s="363">
        <f>SUM(G50:H50)</f>
        <v>0</v>
      </c>
      <c r="J50" s="363">
        <v>0</v>
      </c>
      <c r="K50" s="364">
        <v>0</v>
      </c>
      <c r="L50" s="363">
        <f>SUM(J50:K50)</f>
        <v>0</v>
      </c>
      <c r="M50" s="363">
        <f>F50-I50</f>
        <v>0</v>
      </c>
      <c r="N50" s="143">
        <f>F50-L50</f>
        <v>0</v>
      </c>
      <c r="O50" s="372"/>
      <c r="P50" s="362">
        <v>0</v>
      </c>
      <c r="Q50" s="365">
        <v>0</v>
      </c>
      <c r="R50" s="9"/>
      <c r="S50" s="689" t="s">
        <v>167</v>
      </c>
      <c r="T50" s="665" t="s">
        <v>592</v>
      </c>
      <c r="U50" s="388">
        <v>79647420</v>
      </c>
      <c r="V50" s="15">
        <f t="shared" ref="V50:W55" si="61">AL50</f>
        <v>0</v>
      </c>
      <c r="W50" s="15">
        <f t="shared" si="61"/>
        <v>0</v>
      </c>
      <c r="X50" s="16">
        <f t="shared" ref="X50:X55" si="62">SUM(U50:W50)</f>
        <v>79647420</v>
      </c>
      <c r="Y50" s="19">
        <v>0</v>
      </c>
      <c r="Z50" s="364">
        <v>0</v>
      </c>
      <c r="AA50" s="16">
        <f t="shared" ref="AA50:AA55" si="63">SUM(Y50:Z50)</f>
        <v>0</v>
      </c>
      <c r="AB50" s="19">
        <v>0</v>
      </c>
      <c r="AC50" s="364">
        <v>0</v>
      </c>
      <c r="AD50" s="18">
        <f t="shared" ref="AD50:AD55" si="64">SUM(AB50:AC50)</f>
        <v>0</v>
      </c>
      <c r="AE50" s="19">
        <v>0</v>
      </c>
      <c r="AF50" s="364">
        <v>0</v>
      </c>
      <c r="AG50" s="16">
        <f t="shared" ref="AG50:AG55" si="65">SUM(AE50:AF50)</f>
        <v>0</v>
      </c>
      <c r="AH50" s="19">
        <f t="shared" ref="AH50:AH55" si="66">X50-AA50</f>
        <v>79647420</v>
      </c>
      <c r="AI50" s="15">
        <f t="shared" ref="AI50:AI55" si="67">X50-AD50</f>
        <v>79647420</v>
      </c>
      <c r="AJ50" s="16">
        <f t="shared" ref="AJ50:AJ55" si="68">X50-AG50</f>
        <v>79647420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v>1130109</v>
      </c>
      <c r="B51" s="628" t="s">
        <v>169</v>
      </c>
      <c r="C51" s="43">
        <f t="shared" ref="C51:N51" si="69">SUM(C52:C53)</f>
        <v>0</v>
      </c>
      <c r="D51" s="44">
        <f t="shared" si="69"/>
        <v>0</v>
      </c>
      <c r="E51" s="44">
        <f t="shared" si="69"/>
        <v>0</v>
      </c>
      <c r="F51" s="44">
        <f t="shared" si="69"/>
        <v>0</v>
      </c>
      <c r="G51" s="44">
        <f t="shared" si="69"/>
        <v>0</v>
      </c>
      <c r="H51" s="44">
        <f t="shared" si="69"/>
        <v>0</v>
      </c>
      <c r="I51" s="44">
        <f t="shared" si="69"/>
        <v>0</v>
      </c>
      <c r="J51" s="44">
        <f t="shared" si="69"/>
        <v>0</v>
      </c>
      <c r="K51" s="44">
        <f t="shared" si="69"/>
        <v>0</v>
      </c>
      <c r="L51" s="44">
        <f t="shared" si="69"/>
        <v>0</v>
      </c>
      <c r="M51" s="44">
        <f t="shared" si="69"/>
        <v>0</v>
      </c>
      <c r="N51" s="45">
        <f t="shared" si="69"/>
        <v>0</v>
      </c>
      <c r="P51" s="43">
        <f>SUM(P52:P53)</f>
        <v>0</v>
      </c>
      <c r="Q51" s="45">
        <f>SUM(Q52:Q53)</f>
        <v>0</v>
      </c>
      <c r="R51" s="9"/>
      <c r="S51" s="689" t="s">
        <v>168</v>
      </c>
      <c r="T51" s="665" t="s">
        <v>593</v>
      </c>
      <c r="U51" s="388">
        <v>115172321</v>
      </c>
      <c r="V51" s="15">
        <f t="shared" si="61"/>
        <v>0</v>
      </c>
      <c r="W51" s="15">
        <f t="shared" si="61"/>
        <v>0</v>
      </c>
      <c r="X51" s="16">
        <f t="shared" si="62"/>
        <v>115172321</v>
      </c>
      <c r="Y51" s="19">
        <v>0</v>
      </c>
      <c r="Z51" s="364">
        <v>0</v>
      </c>
      <c r="AA51" s="16">
        <f t="shared" si="63"/>
        <v>0</v>
      </c>
      <c r="AB51" s="19">
        <v>0</v>
      </c>
      <c r="AC51" s="364">
        <v>0</v>
      </c>
      <c r="AD51" s="18">
        <f t="shared" si="64"/>
        <v>0</v>
      </c>
      <c r="AE51" s="19">
        <v>0</v>
      </c>
      <c r="AF51" s="364">
        <v>0</v>
      </c>
      <c r="AG51" s="16">
        <f t="shared" si="65"/>
        <v>0</v>
      </c>
      <c r="AH51" s="19">
        <f t="shared" si="66"/>
        <v>115172321</v>
      </c>
      <c r="AI51" s="15">
        <f t="shared" si="67"/>
        <v>115172321</v>
      </c>
      <c r="AJ51" s="16">
        <f t="shared" si="68"/>
        <v>115172321</v>
      </c>
      <c r="AK51" s="9"/>
      <c r="AL51" s="362">
        <v>0</v>
      </c>
      <c r="AM51" s="365">
        <v>0</v>
      </c>
      <c r="AN51" s="9"/>
      <c r="AO51" s="284"/>
      <c r="AP51" s="284"/>
      <c r="AQ51" s="284"/>
      <c r="AR51" s="284"/>
      <c r="AS51" s="284"/>
      <c r="AT51" s="284"/>
      <c r="AU51" s="284"/>
      <c r="AV51" s="284"/>
      <c r="AW51" s="284"/>
      <c r="AX51" s="284"/>
      <c r="AY51" s="284"/>
      <c r="AZ51" s="284"/>
      <c r="BB51" s="412"/>
      <c r="BC51" s="412"/>
      <c r="BD51" s="412"/>
      <c r="BE51" s="412"/>
    </row>
    <row r="52" spans="1:70" s="412" customFormat="1" ht="24.95" customHeight="1">
      <c r="A52" s="593" t="s">
        <v>171</v>
      </c>
      <c r="B52" s="629" t="str">
        <f>+CONCATENATE("Vigencia ",INSTRUCCIONES!$F$3)</f>
        <v>Vigencia 2019</v>
      </c>
      <c r="C52" s="362">
        <v>0</v>
      </c>
      <c r="D52" s="363">
        <f>P52</f>
        <v>0</v>
      </c>
      <c r="E52" s="363">
        <f>Q52</f>
        <v>0</v>
      </c>
      <c r="F52" s="363">
        <f>SUM(C52:E52)</f>
        <v>0</v>
      </c>
      <c r="G52" s="363">
        <v>0</v>
      </c>
      <c r="H52" s="364">
        <v>0</v>
      </c>
      <c r="I52" s="363">
        <f>SUM(G52:H52)</f>
        <v>0</v>
      </c>
      <c r="J52" s="363">
        <v>0</v>
      </c>
      <c r="K52" s="364">
        <v>0</v>
      </c>
      <c r="L52" s="363">
        <f>SUM(J52:K52)</f>
        <v>0</v>
      </c>
      <c r="M52" s="363">
        <f>F52-I52</f>
        <v>0</v>
      </c>
      <c r="N52" s="143">
        <f>F52-L52</f>
        <v>0</v>
      </c>
      <c r="O52" s="372"/>
      <c r="P52" s="362">
        <v>0</v>
      </c>
      <c r="Q52" s="365">
        <v>0</v>
      </c>
      <c r="R52" s="9"/>
      <c r="S52" s="689" t="s">
        <v>170</v>
      </c>
      <c r="T52" s="665" t="s">
        <v>594</v>
      </c>
      <c r="U52" s="388">
        <v>73960356</v>
      </c>
      <c r="V52" s="15">
        <f t="shared" si="61"/>
        <v>0</v>
      </c>
      <c r="W52" s="15">
        <f t="shared" si="61"/>
        <v>0</v>
      </c>
      <c r="X52" s="16">
        <f t="shared" si="62"/>
        <v>73960356</v>
      </c>
      <c r="Y52" s="19">
        <v>0</v>
      </c>
      <c r="Z52" s="364">
        <v>0</v>
      </c>
      <c r="AA52" s="16">
        <f t="shared" si="63"/>
        <v>0</v>
      </c>
      <c r="AB52" s="19">
        <v>0</v>
      </c>
      <c r="AC52" s="364">
        <v>0</v>
      </c>
      <c r="AD52" s="18">
        <f t="shared" si="64"/>
        <v>0</v>
      </c>
      <c r="AE52" s="19">
        <v>0</v>
      </c>
      <c r="AF52" s="364">
        <v>0</v>
      </c>
      <c r="AG52" s="16">
        <f t="shared" si="65"/>
        <v>0</v>
      </c>
      <c r="AH52" s="19">
        <f t="shared" si="66"/>
        <v>73960356</v>
      </c>
      <c r="AI52" s="15">
        <f t="shared" si="67"/>
        <v>73960356</v>
      </c>
      <c r="AJ52" s="16">
        <f t="shared" si="68"/>
        <v>73960356</v>
      </c>
      <c r="AK52" s="9"/>
      <c r="AL52" s="362">
        <v>0</v>
      </c>
      <c r="AM52" s="365">
        <v>0</v>
      </c>
      <c r="AN52" s="9"/>
      <c r="AO52" s="449"/>
      <c r="AP52" s="449"/>
      <c r="AQ52" s="449"/>
      <c r="AR52" s="284"/>
      <c r="AS52" s="448"/>
      <c r="AT52" s="448"/>
      <c r="AU52" s="448"/>
      <c r="AV52" s="448"/>
      <c r="AW52" s="448"/>
      <c r="AX52" s="448"/>
      <c r="AY52" s="448"/>
      <c r="AZ52" s="448"/>
      <c r="BA52" s="372"/>
      <c r="BB52" s="372"/>
      <c r="BC52" s="372"/>
      <c r="BD52" s="372"/>
      <c r="BE52" s="372"/>
      <c r="BF52" s="372"/>
      <c r="BG52" s="372"/>
      <c r="BH52" s="372"/>
      <c r="BI52" s="372"/>
      <c r="BJ52" s="372"/>
      <c r="BK52" s="372"/>
      <c r="BL52" s="372"/>
      <c r="BM52" s="372"/>
      <c r="BN52" s="372"/>
      <c r="BO52" s="372"/>
      <c r="BP52" s="372"/>
      <c r="BQ52" s="372"/>
      <c r="BR52" s="372"/>
    </row>
    <row r="53" spans="1:70" s="412" customFormat="1" ht="24.95" customHeight="1">
      <c r="A53" s="593" t="s">
        <v>173</v>
      </c>
      <c r="B53" s="629" t="s">
        <v>547</v>
      </c>
      <c r="C53" s="362">
        <v>0</v>
      </c>
      <c r="D53" s="363">
        <f>P53</f>
        <v>0</v>
      </c>
      <c r="E53" s="363">
        <f>Q53</f>
        <v>0</v>
      </c>
      <c r="F53" s="363">
        <f>SUM(C53:E53)</f>
        <v>0</v>
      </c>
      <c r="G53" s="363">
        <v>0</v>
      </c>
      <c r="H53" s="364">
        <v>0</v>
      </c>
      <c r="I53" s="363">
        <f>SUM(G53:H53)</f>
        <v>0</v>
      </c>
      <c r="J53" s="363">
        <v>0</v>
      </c>
      <c r="K53" s="364">
        <v>0</v>
      </c>
      <c r="L53" s="363">
        <f>SUM(J53:K53)</f>
        <v>0</v>
      </c>
      <c r="M53" s="363">
        <f>F53-I53</f>
        <v>0</v>
      </c>
      <c r="N53" s="143">
        <f>F53-L53</f>
        <v>0</v>
      </c>
      <c r="O53" s="372"/>
      <c r="P53" s="362">
        <v>0</v>
      </c>
      <c r="Q53" s="365">
        <v>0</v>
      </c>
      <c r="R53" s="9"/>
      <c r="S53" s="689" t="s">
        <v>172</v>
      </c>
      <c r="T53" s="665" t="s">
        <v>595</v>
      </c>
      <c r="U53" s="388">
        <v>5393830</v>
      </c>
      <c r="V53" s="15">
        <f t="shared" si="61"/>
        <v>0</v>
      </c>
      <c r="W53" s="15">
        <f t="shared" si="61"/>
        <v>0</v>
      </c>
      <c r="X53" s="16">
        <f t="shared" si="62"/>
        <v>5393830</v>
      </c>
      <c r="Y53" s="19">
        <v>0</v>
      </c>
      <c r="Z53" s="364">
        <v>0</v>
      </c>
      <c r="AA53" s="16">
        <f t="shared" si="63"/>
        <v>0</v>
      </c>
      <c r="AB53" s="19">
        <v>0</v>
      </c>
      <c r="AC53" s="364">
        <v>0</v>
      </c>
      <c r="AD53" s="18">
        <f t="shared" si="64"/>
        <v>0</v>
      </c>
      <c r="AE53" s="19">
        <v>0</v>
      </c>
      <c r="AF53" s="364">
        <v>0</v>
      </c>
      <c r="AG53" s="16">
        <f t="shared" si="65"/>
        <v>0</v>
      </c>
      <c r="AH53" s="19">
        <f t="shared" si="66"/>
        <v>5393830</v>
      </c>
      <c r="AI53" s="15">
        <f t="shared" si="67"/>
        <v>5393830</v>
      </c>
      <c r="AJ53" s="16">
        <f t="shared" si="68"/>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v>1130110</v>
      </c>
      <c r="B54" s="628" t="s">
        <v>175</v>
      </c>
      <c r="C54" s="43">
        <f t="shared" ref="C54:N54" si="70">SUM(C55:C56)</f>
        <v>0</v>
      </c>
      <c r="D54" s="44">
        <f t="shared" si="70"/>
        <v>0</v>
      </c>
      <c r="E54" s="44">
        <f t="shared" si="70"/>
        <v>0</v>
      </c>
      <c r="F54" s="44">
        <f t="shared" si="70"/>
        <v>0</v>
      </c>
      <c r="G54" s="44">
        <f t="shared" si="70"/>
        <v>0</v>
      </c>
      <c r="H54" s="44">
        <f t="shared" si="70"/>
        <v>0</v>
      </c>
      <c r="I54" s="44">
        <f t="shared" si="70"/>
        <v>0</v>
      </c>
      <c r="J54" s="44">
        <f t="shared" si="70"/>
        <v>0</v>
      </c>
      <c r="K54" s="44">
        <f t="shared" si="70"/>
        <v>0</v>
      </c>
      <c r="L54" s="44">
        <f t="shared" si="70"/>
        <v>0</v>
      </c>
      <c r="M54" s="44">
        <f t="shared" si="70"/>
        <v>0</v>
      </c>
      <c r="N54" s="45">
        <f t="shared" si="70"/>
        <v>0</v>
      </c>
      <c r="P54" s="43">
        <f>SUM(P55:P56)</f>
        <v>0</v>
      </c>
      <c r="Q54" s="45">
        <f>SUM(Q55:Q56)</f>
        <v>0</v>
      </c>
      <c r="R54" s="9"/>
      <c r="S54" s="689" t="s">
        <v>174</v>
      </c>
      <c r="T54" s="665" t="s">
        <v>397</v>
      </c>
      <c r="U54" s="388">
        <v>75440955</v>
      </c>
      <c r="V54" s="15">
        <f t="shared" si="61"/>
        <v>0</v>
      </c>
      <c r="W54" s="15">
        <f t="shared" si="61"/>
        <v>0</v>
      </c>
      <c r="X54" s="16">
        <f t="shared" si="62"/>
        <v>75440955</v>
      </c>
      <c r="Y54" s="19">
        <v>0</v>
      </c>
      <c r="Z54" s="364">
        <v>4444920</v>
      </c>
      <c r="AA54" s="16">
        <f t="shared" si="63"/>
        <v>4444920</v>
      </c>
      <c r="AB54" s="19">
        <v>0</v>
      </c>
      <c r="AC54" s="364">
        <v>4444920</v>
      </c>
      <c r="AD54" s="18">
        <f t="shared" si="64"/>
        <v>4444920</v>
      </c>
      <c r="AE54" s="19">
        <v>0</v>
      </c>
      <c r="AF54" s="364">
        <v>0</v>
      </c>
      <c r="AG54" s="16">
        <f t="shared" si="65"/>
        <v>0</v>
      </c>
      <c r="AH54" s="19">
        <f t="shared" si="66"/>
        <v>70996035</v>
      </c>
      <c r="AI54" s="15">
        <f t="shared" si="67"/>
        <v>70996035</v>
      </c>
      <c r="AJ54" s="16">
        <f t="shared" si="68"/>
        <v>75440955</v>
      </c>
      <c r="AK54" s="9"/>
      <c r="AL54" s="362">
        <v>0</v>
      </c>
      <c r="AM54" s="365">
        <v>0</v>
      </c>
      <c r="AN54" s="9"/>
      <c r="AO54" s="284"/>
      <c r="AP54" s="284"/>
      <c r="AQ54" s="284"/>
      <c r="AR54" s="284"/>
      <c r="AS54" s="284"/>
      <c r="AT54" s="284"/>
      <c r="AU54" s="284"/>
      <c r="AV54" s="284"/>
      <c r="AW54" s="284"/>
      <c r="AX54" s="284"/>
      <c r="AY54" s="284"/>
      <c r="AZ54" s="284"/>
      <c r="BB54" s="412"/>
      <c r="BC54" s="412"/>
      <c r="BD54" s="412"/>
      <c r="BE54" s="412"/>
    </row>
    <row r="55" spans="1:70" s="412" customFormat="1" ht="24.95" customHeight="1">
      <c r="A55" s="593" t="s">
        <v>176</v>
      </c>
      <c r="B55" s="629" t="str">
        <f>+CONCATENATE("Vigencia ",INSTRUCCIONES!$F$3)</f>
        <v>Vigencia 2019</v>
      </c>
      <c r="C55" s="362">
        <v>0</v>
      </c>
      <c r="D55" s="363">
        <f>P55</f>
        <v>0</v>
      </c>
      <c r="E55" s="363">
        <f>Q55</f>
        <v>0</v>
      </c>
      <c r="F55" s="363">
        <f>SUM(C55:E55)</f>
        <v>0</v>
      </c>
      <c r="G55" s="363">
        <v>0</v>
      </c>
      <c r="H55" s="364">
        <v>0</v>
      </c>
      <c r="I55" s="363">
        <f>SUM(G55:H55)</f>
        <v>0</v>
      </c>
      <c r="J55" s="363">
        <v>0</v>
      </c>
      <c r="K55" s="364">
        <v>0</v>
      </c>
      <c r="L55" s="363">
        <f>SUM(J55:K55)</f>
        <v>0</v>
      </c>
      <c r="M55" s="363">
        <f>F55-I55</f>
        <v>0</v>
      </c>
      <c r="N55" s="143">
        <f>F55-L55</f>
        <v>0</v>
      </c>
      <c r="O55" s="372"/>
      <c r="P55" s="362">
        <v>0</v>
      </c>
      <c r="Q55" s="365">
        <v>0</v>
      </c>
      <c r="R55" s="9"/>
      <c r="S55" s="688">
        <v>1010399</v>
      </c>
      <c r="T55" s="664" t="s">
        <v>127</v>
      </c>
      <c r="U55" s="388">
        <v>108000000</v>
      </c>
      <c r="V55" s="15">
        <f t="shared" si="61"/>
        <v>0</v>
      </c>
      <c r="W55" s="15">
        <f t="shared" si="61"/>
        <v>0</v>
      </c>
      <c r="X55" s="16">
        <f t="shared" si="62"/>
        <v>108000000</v>
      </c>
      <c r="Y55" s="19">
        <v>0</v>
      </c>
      <c r="Z55" s="364">
        <v>0</v>
      </c>
      <c r="AA55" s="16">
        <f t="shared" si="63"/>
        <v>0</v>
      </c>
      <c r="AB55" s="19">
        <v>0</v>
      </c>
      <c r="AC55" s="364">
        <v>0</v>
      </c>
      <c r="AD55" s="18">
        <f t="shared" si="64"/>
        <v>0</v>
      </c>
      <c r="AE55" s="19">
        <v>0</v>
      </c>
      <c r="AF55" s="364">
        <v>0</v>
      </c>
      <c r="AG55" s="16">
        <f t="shared" si="65"/>
        <v>0</v>
      </c>
      <c r="AH55" s="19">
        <f t="shared" si="66"/>
        <v>108000000</v>
      </c>
      <c r="AI55" s="15">
        <f t="shared" si="67"/>
        <v>108000000</v>
      </c>
      <c r="AJ55" s="16">
        <f t="shared" si="68"/>
        <v>108000000</v>
      </c>
      <c r="AK55" s="9"/>
      <c r="AL55" s="362">
        <v>0</v>
      </c>
      <c r="AM55" s="365">
        <v>0</v>
      </c>
      <c r="AN55" s="9"/>
      <c r="AO55" s="284"/>
      <c r="AP55" s="447"/>
      <c r="AQ55" s="284"/>
      <c r="AR55" s="284"/>
      <c r="AS55" s="284"/>
      <c r="AT55" s="284"/>
      <c r="AU55" s="284"/>
      <c r="AV55" s="284"/>
      <c r="AW55" s="284"/>
      <c r="AX55" s="284"/>
      <c r="AY55" s="284"/>
      <c r="AZ55" s="284"/>
      <c r="BA55" s="372"/>
      <c r="BB55" s="372"/>
      <c r="BC55" s="372"/>
      <c r="BD55" s="372"/>
      <c r="BE55" s="372"/>
      <c r="BF55" s="372"/>
      <c r="BG55" s="372"/>
      <c r="BH55" s="372"/>
      <c r="BI55" s="372"/>
      <c r="BJ55" s="372"/>
      <c r="BK55" s="372"/>
      <c r="BL55" s="372"/>
      <c r="BM55" s="372"/>
      <c r="BN55" s="372"/>
      <c r="BO55" s="372"/>
      <c r="BP55" s="372"/>
      <c r="BQ55" s="372"/>
      <c r="BR55" s="372"/>
    </row>
    <row r="56" spans="1:70" s="412" customFormat="1" ht="24.95" customHeight="1">
      <c r="A56" s="593" t="s">
        <v>177</v>
      </c>
      <c r="B56" s="629" t="s">
        <v>547</v>
      </c>
      <c r="C56" s="362">
        <v>0</v>
      </c>
      <c r="D56" s="363">
        <f>P56</f>
        <v>0</v>
      </c>
      <c r="E56" s="363">
        <f>Q56</f>
        <v>0</v>
      </c>
      <c r="F56" s="363">
        <f>SUM(C56:E56)</f>
        <v>0</v>
      </c>
      <c r="G56" s="363">
        <v>0</v>
      </c>
      <c r="H56" s="364">
        <v>0</v>
      </c>
      <c r="I56" s="363">
        <f>SUM(G56:H56)</f>
        <v>0</v>
      </c>
      <c r="J56" s="363">
        <v>0</v>
      </c>
      <c r="K56" s="364">
        <v>0</v>
      </c>
      <c r="L56" s="363">
        <f>SUM(J56:K56)</f>
        <v>0</v>
      </c>
      <c r="M56" s="363">
        <f>F56-I56</f>
        <v>0</v>
      </c>
      <c r="N56" s="143">
        <f>F56-L56</f>
        <v>0</v>
      </c>
      <c r="O56" s="372"/>
      <c r="P56" s="362">
        <v>0</v>
      </c>
      <c r="Q56" s="365">
        <v>0</v>
      </c>
      <c r="R56" s="9"/>
      <c r="S56" s="356"/>
      <c r="T56" s="660"/>
      <c r="U56" s="200"/>
      <c r="V56" s="161"/>
      <c r="W56" s="161"/>
      <c r="X56" s="166"/>
      <c r="Y56" s="357"/>
      <c r="Z56" s="161"/>
      <c r="AA56" s="166"/>
      <c r="AB56" s="357"/>
      <c r="AC56" s="161"/>
      <c r="AD56" s="161"/>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v>1130111</v>
      </c>
      <c r="B57" s="628" t="s">
        <v>179</v>
      </c>
      <c r="C57" s="43">
        <f t="shared" ref="C57:N57" si="71">SUM(C58:C59)</f>
        <v>205713</v>
      </c>
      <c r="D57" s="44">
        <f t="shared" si="71"/>
        <v>0</v>
      </c>
      <c r="E57" s="44">
        <f t="shared" si="71"/>
        <v>0</v>
      </c>
      <c r="F57" s="44">
        <f t="shared" si="71"/>
        <v>205713</v>
      </c>
      <c r="G57" s="44">
        <f t="shared" si="71"/>
        <v>0</v>
      </c>
      <c r="H57" s="44">
        <f t="shared" si="71"/>
        <v>0</v>
      </c>
      <c r="I57" s="44">
        <f t="shared" si="71"/>
        <v>0</v>
      </c>
      <c r="J57" s="44">
        <f t="shared" si="71"/>
        <v>0</v>
      </c>
      <c r="K57" s="44">
        <f t="shared" si="71"/>
        <v>0</v>
      </c>
      <c r="L57" s="44">
        <f t="shared" si="71"/>
        <v>0</v>
      </c>
      <c r="M57" s="44">
        <f t="shared" si="71"/>
        <v>205713</v>
      </c>
      <c r="N57" s="45">
        <f t="shared" si="71"/>
        <v>205713</v>
      </c>
      <c r="P57" s="43">
        <f>SUM(P58:P59)</f>
        <v>0</v>
      </c>
      <c r="Q57" s="45">
        <f>SUM(Q58:Q59)</f>
        <v>0</v>
      </c>
      <c r="R57" s="9"/>
      <c r="S57" s="687">
        <v>1010400</v>
      </c>
      <c r="T57" s="663" t="s">
        <v>178</v>
      </c>
      <c r="U57" s="132">
        <f t="shared" ref="U57:AJ57" si="72">U58+U61</f>
        <v>94301194</v>
      </c>
      <c r="V57" s="122">
        <f t="shared" si="72"/>
        <v>0</v>
      </c>
      <c r="W57" s="122">
        <f t="shared" si="72"/>
        <v>0</v>
      </c>
      <c r="X57" s="130">
        <f t="shared" si="72"/>
        <v>94301194</v>
      </c>
      <c r="Y57" s="128">
        <f t="shared" si="72"/>
        <v>0</v>
      </c>
      <c r="Z57" s="122">
        <f t="shared" si="72"/>
        <v>5556150</v>
      </c>
      <c r="AA57" s="130">
        <f t="shared" si="72"/>
        <v>5556150</v>
      </c>
      <c r="AB57" s="128">
        <f t="shared" si="72"/>
        <v>0</v>
      </c>
      <c r="AC57" s="122">
        <f t="shared" si="72"/>
        <v>5556150</v>
      </c>
      <c r="AD57" s="129">
        <f t="shared" si="72"/>
        <v>5556150</v>
      </c>
      <c r="AE57" s="128">
        <f t="shared" si="72"/>
        <v>0</v>
      </c>
      <c r="AF57" s="122">
        <f t="shared" si="72"/>
        <v>0</v>
      </c>
      <c r="AG57" s="130">
        <f t="shared" si="72"/>
        <v>0</v>
      </c>
      <c r="AH57" s="128">
        <f t="shared" si="72"/>
        <v>88745044</v>
      </c>
      <c r="AI57" s="122">
        <f t="shared" si="72"/>
        <v>88745044</v>
      </c>
      <c r="AJ57" s="130">
        <f t="shared" si="72"/>
        <v>94301194</v>
      </c>
      <c r="AK57" s="9"/>
      <c r="AL57" s="128">
        <f>AL58+AL61</f>
        <v>0</v>
      </c>
      <c r="AM57" s="130">
        <f>AM58+AM61</f>
        <v>0</v>
      </c>
      <c r="AN57" s="9"/>
      <c r="AO57" s="284"/>
      <c r="AP57" s="284"/>
      <c r="AQ57" s="284"/>
      <c r="AR57" s="284"/>
      <c r="AS57" s="284"/>
      <c r="AT57" s="284"/>
      <c r="AU57" s="284"/>
      <c r="AV57" s="284"/>
      <c r="AW57" s="284"/>
      <c r="AX57" s="284"/>
      <c r="AY57" s="284"/>
      <c r="AZ57" s="284"/>
      <c r="BB57" s="412"/>
      <c r="BC57" s="412"/>
      <c r="BD57" s="412"/>
      <c r="BE57" s="412"/>
    </row>
    <row r="58" spans="1:70" s="412" customFormat="1" ht="24.95" customHeight="1">
      <c r="A58" s="593" t="s">
        <v>180</v>
      </c>
      <c r="B58" s="629" t="str">
        <f>+CONCATENATE("Vigencia ",INSTRUCCIONES!$F$3)</f>
        <v>Vigencia 2019</v>
      </c>
      <c r="C58" s="362">
        <v>205713</v>
      </c>
      <c r="D58" s="363">
        <f>P58</f>
        <v>0</v>
      </c>
      <c r="E58" s="363">
        <f>Q58</f>
        <v>0</v>
      </c>
      <c r="F58" s="363">
        <f>SUM(C58:E58)</f>
        <v>205713</v>
      </c>
      <c r="G58" s="363">
        <v>0</v>
      </c>
      <c r="H58" s="364">
        <v>0</v>
      </c>
      <c r="I58" s="363">
        <f>SUM(G58:H58)</f>
        <v>0</v>
      </c>
      <c r="J58" s="363">
        <v>0</v>
      </c>
      <c r="K58" s="364">
        <v>0</v>
      </c>
      <c r="L58" s="363">
        <f>SUM(J58:K58)</f>
        <v>0</v>
      </c>
      <c r="M58" s="363">
        <f>F58-I58</f>
        <v>205713</v>
      </c>
      <c r="N58" s="143">
        <f>F58-L58</f>
        <v>205713</v>
      </c>
      <c r="O58" s="372"/>
      <c r="P58" s="362">
        <v>0</v>
      </c>
      <c r="Q58" s="365">
        <v>0</v>
      </c>
      <c r="R58" s="9"/>
      <c r="S58" s="688">
        <v>1010402</v>
      </c>
      <c r="T58" s="664" t="s">
        <v>166</v>
      </c>
      <c r="U58" s="17">
        <f t="shared" ref="U58:AJ58" si="73">SUM(U59:U60)</f>
        <v>94301194</v>
      </c>
      <c r="V58" s="15">
        <f t="shared" si="73"/>
        <v>0</v>
      </c>
      <c r="W58" s="15">
        <f t="shared" si="73"/>
        <v>0</v>
      </c>
      <c r="X58" s="16">
        <f t="shared" si="73"/>
        <v>94301194</v>
      </c>
      <c r="Y58" s="19">
        <f t="shared" si="73"/>
        <v>0</v>
      </c>
      <c r="Z58" s="142">
        <f t="shared" si="73"/>
        <v>5556150</v>
      </c>
      <c r="AA58" s="16">
        <f t="shared" si="73"/>
        <v>5556150</v>
      </c>
      <c r="AB58" s="19">
        <f t="shared" si="73"/>
        <v>0</v>
      </c>
      <c r="AC58" s="142">
        <f t="shared" si="73"/>
        <v>5556150</v>
      </c>
      <c r="AD58" s="18">
        <f t="shared" si="73"/>
        <v>5556150</v>
      </c>
      <c r="AE58" s="19">
        <f t="shared" si="73"/>
        <v>0</v>
      </c>
      <c r="AF58" s="142">
        <f t="shared" si="73"/>
        <v>0</v>
      </c>
      <c r="AG58" s="16">
        <f t="shared" si="73"/>
        <v>0</v>
      </c>
      <c r="AH58" s="19">
        <f t="shared" si="73"/>
        <v>88745044</v>
      </c>
      <c r="AI58" s="15">
        <f t="shared" si="73"/>
        <v>88745044</v>
      </c>
      <c r="AJ58" s="16">
        <f t="shared" si="73"/>
        <v>94301194</v>
      </c>
      <c r="AK58" s="9"/>
      <c r="AL58" s="29">
        <f>SUM(AL59:AL60)</f>
        <v>0</v>
      </c>
      <c r="AM58" s="26">
        <f>SUM(AM59:AM60)</f>
        <v>0</v>
      </c>
      <c r="AN58" s="9"/>
      <c r="AO58" s="448"/>
      <c r="AP58" s="447"/>
      <c r="AQ58" s="284"/>
      <c r="AR58" s="284"/>
      <c r="AS58" s="284"/>
      <c r="AT58" s="284"/>
      <c r="AU58" s="284"/>
      <c r="AV58" s="284"/>
      <c r="AW58" s="284"/>
      <c r="AX58" s="284"/>
      <c r="AY58" s="284"/>
      <c r="AZ58" s="284"/>
      <c r="BA58" s="372"/>
      <c r="BB58" s="372"/>
      <c r="BC58" s="372"/>
      <c r="BD58" s="372"/>
      <c r="BE58" s="372"/>
      <c r="BF58" s="372"/>
      <c r="BG58" s="372"/>
      <c r="BH58" s="372"/>
      <c r="BI58" s="372"/>
      <c r="BJ58" s="372"/>
      <c r="BK58" s="372"/>
      <c r="BL58" s="372"/>
      <c r="BM58" s="372"/>
      <c r="BN58" s="372"/>
      <c r="BO58" s="372"/>
      <c r="BP58" s="372"/>
      <c r="BQ58" s="372"/>
      <c r="BR58" s="372"/>
    </row>
    <row r="59" spans="1:70" s="412" customFormat="1" ht="24.95" customHeight="1">
      <c r="A59" s="593" t="s">
        <v>182</v>
      </c>
      <c r="B59" s="629" t="s">
        <v>547</v>
      </c>
      <c r="C59" s="362">
        <v>0</v>
      </c>
      <c r="D59" s="363">
        <f>P59</f>
        <v>0</v>
      </c>
      <c r="E59" s="363">
        <f>Q59</f>
        <v>0</v>
      </c>
      <c r="F59" s="363">
        <f>SUM(C59:E59)</f>
        <v>0</v>
      </c>
      <c r="G59" s="363">
        <v>0</v>
      </c>
      <c r="H59" s="364">
        <v>0</v>
      </c>
      <c r="I59" s="363">
        <f>SUM(G59:H59)</f>
        <v>0</v>
      </c>
      <c r="J59" s="363">
        <v>0</v>
      </c>
      <c r="K59" s="364">
        <v>0</v>
      </c>
      <c r="L59" s="363">
        <f>SUM(J59:K59)</f>
        <v>0</v>
      </c>
      <c r="M59" s="363">
        <f>F59-I59</f>
        <v>0</v>
      </c>
      <c r="N59" s="143">
        <f>F59-L59</f>
        <v>0</v>
      </c>
      <c r="O59" s="372"/>
      <c r="P59" s="362">
        <v>0</v>
      </c>
      <c r="Q59" s="365">
        <v>0</v>
      </c>
      <c r="R59" s="9"/>
      <c r="S59" s="689" t="s">
        <v>181</v>
      </c>
      <c r="T59" s="665" t="s">
        <v>398</v>
      </c>
      <c r="U59" s="388">
        <v>37720478</v>
      </c>
      <c r="V59" s="15">
        <f t="shared" ref="V59:W61" si="74">AL59</f>
        <v>0</v>
      </c>
      <c r="W59" s="15">
        <f t="shared" si="74"/>
        <v>0</v>
      </c>
      <c r="X59" s="16">
        <f>SUM(U59:W59)</f>
        <v>37720478</v>
      </c>
      <c r="Y59" s="19">
        <v>0</v>
      </c>
      <c r="Z59" s="364">
        <v>2222460</v>
      </c>
      <c r="AA59" s="16">
        <f>SUM(Y59:Z59)</f>
        <v>2222460</v>
      </c>
      <c r="AB59" s="19">
        <v>0</v>
      </c>
      <c r="AC59" s="364">
        <v>2222460</v>
      </c>
      <c r="AD59" s="18">
        <f>SUM(AB59:AC59)</f>
        <v>2222460</v>
      </c>
      <c r="AE59" s="19">
        <v>0</v>
      </c>
      <c r="AF59" s="364">
        <v>0</v>
      </c>
      <c r="AG59" s="16">
        <f>SUM(AE59:AF59)</f>
        <v>0</v>
      </c>
      <c r="AH59" s="19">
        <f>X59-AA59</f>
        <v>35498018</v>
      </c>
      <c r="AI59" s="15">
        <f>X59-AD59</f>
        <v>35498018</v>
      </c>
      <c r="AJ59" s="16">
        <f>X59-AG59</f>
        <v>37720478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v>1130112</v>
      </c>
      <c r="B60" s="628" t="s">
        <v>184</v>
      </c>
      <c r="C60" s="43">
        <f t="shared" ref="C60:N60" si="75">SUM(C61:C62)</f>
        <v>0</v>
      </c>
      <c r="D60" s="44">
        <f t="shared" si="75"/>
        <v>0</v>
      </c>
      <c r="E60" s="44">
        <f t="shared" si="75"/>
        <v>0</v>
      </c>
      <c r="F60" s="44">
        <f t="shared" si="75"/>
        <v>0</v>
      </c>
      <c r="G60" s="44">
        <f t="shared" si="75"/>
        <v>0</v>
      </c>
      <c r="H60" s="44">
        <f t="shared" si="75"/>
        <v>0</v>
      </c>
      <c r="I60" s="44">
        <f t="shared" si="75"/>
        <v>0</v>
      </c>
      <c r="J60" s="44">
        <f t="shared" si="75"/>
        <v>0</v>
      </c>
      <c r="K60" s="44">
        <f t="shared" si="75"/>
        <v>0</v>
      </c>
      <c r="L60" s="44">
        <f t="shared" si="75"/>
        <v>0</v>
      </c>
      <c r="M60" s="44">
        <f t="shared" si="75"/>
        <v>0</v>
      </c>
      <c r="N60" s="45">
        <f t="shared" si="75"/>
        <v>0</v>
      </c>
      <c r="P60" s="43">
        <f>SUM(P61:P62)</f>
        <v>0</v>
      </c>
      <c r="Q60" s="45">
        <f>SUM(Q61:Q62)</f>
        <v>0</v>
      </c>
      <c r="R60" s="9"/>
      <c r="S60" s="689" t="s">
        <v>183</v>
      </c>
      <c r="T60" s="665" t="s">
        <v>399</v>
      </c>
      <c r="U60" s="388">
        <v>56580716</v>
      </c>
      <c r="V60" s="15">
        <f t="shared" si="74"/>
        <v>0</v>
      </c>
      <c r="W60" s="15">
        <f t="shared" si="74"/>
        <v>0</v>
      </c>
      <c r="X60" s="16">
        <f>SUM(U60:W60)</f>
        <v>56580716</v>
      </c>
      <c r="Y60" s="19">
        <v>0</v>
      </c>
      <c r="Z60" s="364">
        <v>3333690</v>
      </c>
      <c r="AA60" s="16">
        <f>SUM(Y60:Z60)</f>
        <v>3333690</v>
      </c>
      <c r="AB60" s="19">
        <v>0</v>
      </c>
      <c r="AC60" s="364">
        <v>3333690</v>
      </c>
      <c r="AD60" s="18">
        <f>SUM(AB60:AC60)</f>
        <v>3333690</v>
      </c>
      <c r="AE60" s="19">
        <v>0</v>
      </c>
      <c r="AF60" s="364">
        <v>0</v>
      </c>
      <c r="AG60" s="16">
        <f>SUM(AE60:AF60)</f>
        <v>0</v>
      </c>
      <c r="AH60" s="19">
        <f>X60-AA60</f>
        <v>53247026</v>
      </c>
      <c r="AI60" s="15">
        <f>X60-AD60</f>
        <v>53247026</v>
      </c>
      <c r="AJ60" s="16">
        <f>X60-AG60</f>
        <v>56580716</v>
      </c>
      <c r="AK60" s="9"/>
      <c r="AL60" s="362">
        <v>0</v>
      </c>
      <c r="AM60" s="365">
        <v>0</v>
      </c>
      <c r="AN60" s="9"/>
      <c r="AO60" s="284"/>
      <c r="AP60" s="284"/>
      <c r="AQ60" s="284"/>
      <c r="AR60" s="284"/>
      <c r="AS60" s="284"/>
      <c r="AT60" s="284"/>
      <c r="AU60" s="284"/>
      <c r="AV60" s="284"/>
      <c r="AW60" s="284"/>
      <c r="AX60" s="284"/>
      <c r="AY60" s="284"/>
      <c r="AZ60" s="284"/>
      <c r="BB60" s="412"/>
      <c r="BC60" s="412"/>
      <c r="BD60" s="412"/>
      <c r="BE60" s="412"/>
    </row>
    <row r="61" spans="1:70" s="412" customFormat="1" ht="24.95" customHeight="1">
      <c r="A61" s="593" t="s">
        <v>185</v>
      </c>
      <c r="B61" s="629" t="str">
        <f>+CONCATENATE("Vigencia ",INSTRUCCIONES!$F$3)</f>
        <v>Vigencia 2019</v>
      </c>
      <c r="C61" s="362">
        <v>0</v>
      </c>
      <c r="D61" s="363">
        <f>P61</f>
        <v>0</v>
      </c>
      <c r="E61" s="363">
        <f>Q61</f>
        <v>0</v>
      </c>
      <c r="F61" s="363">
        <f>SUM(C61:E61)</f>
        <v>0</v>
      </c>
      <c r="G61" s="363">
        <v>0</v>
      </c>
      <c r="H61" s="364">
        <v>0</v>
      </c>
      <c r="I61" s="363">
        <f>SUM(G61:H61)</f>
        <v>0</v>
      </c>
      <c r="J61" s="363">
        <v>0</v>
      </c>
      <c r="K61" s="364">
        <v>0</v>
      </c>
      <c r="L61" s="363">
        <f>SUM(J61:K61)</f>
        <v>0</v>
      </c>
      <c r="M61" s="363">
        <f>F61-I61</f>
        <v>0</v>
      </c>
      <c r="N61" s="143">
        <f>F61-L61</f>
        <v>0</v>
      </c>
      <c r="O61" s="372"/>
      <c r="P61" s="362">
        <v>0</v>
      </c>
      <c r="Q61" s="365">
        <v>0</v>
      </c>
      <c r="R61" s="9"/>
      <c r="S61" s="688">
        <v>1010499</v>
      </c>
      <c r="T61" s="664" t="s">
        <v>127</v>
      </c>
      <c r="U61" s="388">
        <v>0</v>
      </c>
      <c r="V61" s="15">
        <f t="shared" si="74"/>
        <v>0</v>
      </c>
      <c r="W61" s="15">
        <f t="shared" si="74"/>
        <v>0</v>
      </c>
      <c r="X61" s="16">
        <f>SUM(U61:W61)</f>
        <v>0</v>
      </c>
      <c r="Y61" s="19">
        <v>0</v>
      </c>
      <c r="Z61" s="364">
        <v>0</v>
      </c>
      <c r="AA61" s="16">
        <f>SUM(Y61:Z61)</f>
        <v>0</v>
      </c>
      <c r="AB61" s="19">
        <v>0</v>
      </c>
      <c r="AC61" s="364">
        <v>0</v>
      </c>
      <c r="AD61" s="18">
        <f>SUM(AB61:AC61)</f>
        <v>0</v>
      </c>
      <c r="AE61" s="19">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B61" s="372"/>
      <c r="BC61" s="372"/>
      <c r="BD61" s="372"/>
      <c r="BE61" s="372"/>
      <c r="BF61" s="372"/>
      <c r="BG61" s="372"/>
      <c r="BH61" s="372"/>
      <c r="BI61" s="372"/>
      <c r="BJ61" s="372"/>
      <c r="BK61" s="372"/>
      <c r="BL61" s="372"/>
      <c r="BM61" s="372"/>
      <c r="BN61" s="372"/>
      <c r="BO61" s="372"/>
      <c r="BP61" s="372"/>
      <c r="BQ61" s="372"/>
      <c r="BR61" s="372"/>
    </row>
    <row r="62" spans="1:70" s="412" customFormat="1" ht="24.95" customHeight="1">
      <c r="A62" s="593" t="s">
        <v>186</v>
      </c>
      <c r="B62" s="629" t="s">
        <v>547</v>
      </c>
      <c r="C62" s="362">
        <v>0</v>
      </c>
      <c r="D62" s="363">
        <f>P62</f>
        <v>0</v>
      </c>
      <c r="E62" s="363">
        <f>Q62</f>
        <v>0</v>
      </c>
      <c r="F62" s="363">
        <f>SUM(C62:E62)</f>
        <v>0</v>
      </c>
      <c r="G62" s="363">
        <v>0</v>
      </c>
      <c r="H62" s="364">
        <v>0</v>
      </c>
      <c r="I62" s="363">
        <f>SUM(G62:H62)</f>
        <v>0</v>
      </c>
      <c r="J62" s="363">
        <v>0</v>
      </c>
      <c r="K62" s="364">
        <v>0</v>
      </c>
      <c r="L62" s="363">
        <f>SUM(J62:K62)</f>
        <v>0</v>
      </c>
      <c r="M62" s="363">
        <f>F62-I62</f>
        <v>0</v>
      </c>
      <c r="N62" s="143">
        <f>F62-L62</f>
        <v>0</v>
      </c>
      <c r="O62" s="372"/>
      <c r="P62" s="362">
        <v>0</v>
      </c>
      <c r="Q62" s="365">
        <v>0</v>
      </c>
      <c r="R62" s="9"/>
      <c r="S62" s="356"/>
      <c r="T62" s="660"/>
      <c r="U62" s="161"/>
      <c r="V62" s="161"/>
      <c r="W62" s="161"/>
      <c r="X62" s="166"/>
      <c r="Y62" s="357"/>
      <c r="Z62" s="161"/>
      <c r="AA62" s="166"/>
      <c r="AB62" s="357"/>
      <c r="AC62" s="161"/>
      <c r="AD62" s="161"/>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v>1130113</v>
      </c>
      <c r="B63" s="628" t="s">
        <v>188</v>
      </c>
      <c r="C63" s="43">
        <f t="shared" ref="C63:N63" si="76">SUM(C64:C65)</f>
        <v>8371510292</v>
      </c>
      <c r="D63" s="44">
        <f t="shared" si="76"/>
        <v>0</v>
      </c>
      <c r="E63" s="44">
        <f t="shared" si="76"/>
        <v>377717379</v>
      </c>
      <c r="F63" s="44">
        <f t="shared" si="76"/>
        <v>8749227671</v>
      </c>
      <c r="G63" s="44">
        <f t="shared" si="76"/>
        <v>0</v>
      </c>
      <c r="H63" s="44">
        <f t="shared" si="76"/>
        <v>1074315750</v>
      </c>
      <c r="I63" s="44">
        <f t="shared" si="76"/>
        <v>1074315750</v>
      </c>
      <c r="J63" s="44">
        <f t="shared" si="76"/>
        <v>0</v>
      </c>
      <c r="K63" s="44">
        <f t="shared" si="76"/>
        <v>456846732</v>
      </c>
      <c r="L63" s="44">
        <f t="shared" si="76"/>
        <v>456846732</v>
      </c>
      <c r="M63" s="44">
        <f t="shared" si="76"/>
        <v>7674911921</v>
      </c>
      <c r="N63" s="45">
        <f t="shared" si="76"/>
        <v>8292380939</v>
      </c>
      <c r="P63" s="43">
        <f>SUM(P64:P65)</f>
        <v>0</v>
      </c>
      <c r="Q63" s="45">
        <f>SUM(Q64:Q65)</f>
        <v>377717379</v>
      </c>
      <c r="R63" s="9"/>
      <c r="S63" s="686">
        <v>1020010</v>
      </c>
      <c r="T63" s="662" t="s">
        <v>187</v>
      </c>
      <c r="U63" s="132">
        <f t="shared" ref="U63:AJ63" si="77">U65+U83+U90+U104</f>
        <v>29994047768</v>
      </c>
      <c r="V63" s="122">
        <f t="shared" si="77"/>
        <v>0</v>
      </c>
      <c r="W63" s="122">
        <f t="shared" si="77"/>
        <v>140000000</v>
      </c>
      <c r="X63" s="130">
        <f t="shared" si="77"/>
        <v>30134047768</v>
      </c>
      <c r="Y63" s="128">
        <f t="shared" si="77"/>
        <v>0</v>
      </c>
      <c r="Z63" s="122">
        <f t="shared" si="77"/>
        <v>17343036784</v>
      </c>
      <c r="AA63" s="130">
        <f t="shared" si="77"/>
        <v>17343036784</v>
      </c>
      <c r="AB63" s="128">
        <f t="shared" si="77"/>
        <v>0</v>
      </c>
      <c r="AC63" s="122">
        <f t="shared" si="77"/>
        <v>1900876263</v>
      </c>
      <c r="AD63" s="129">
        <f t="shared" si="77"/>
        <v>1900876263</v>
      </c>
      <c r="AE63" s="128">
        <f t="shared" si="77"/>
        <v>0</v>
      </c>
      <c r="AF63" s="122">
        <f t="shared" si="77"/>
        <v>465527511</v>
      </c>
      <c r="AG63" s="130">
        <f t="shared" si="77"/>
        <v>465527511</v>
      </c>
      <c r="AH63" s="128">
        <f t="shared" si="77"/>
        <v>12791010984</v>
      </c>
      <c r="AI63" s="122">
        <f t="shared" si="77"/>
        <v>28233171505</v>
      </c>
      <c r="AJ63" s="130">
        <f t="shared" si="77"/>
        <v>29668520257</v>
      </c>
      <c r="AK63" s="9"/>
      <c r="AL63" s="128">
        <f>AL65+AL83+AL90+AL104</f>
        <v>0</v>
      </c>
      <c r="AM63" s="130">
        <f>AM65+AM83+AM90+AM104</f>
        <v>140000000</v>
      </c>
      <c r="AN63" s="9"/>
      <c r="AO63" s="284"/>
      <c r="AP63" s="284"/>
      <c r="AQ63" s="284"/>
      <c r="AR63" s="284"/>
      <c r="AS63" s="284"/>
      <c r="AT63" s="284"/>
      <c r="AU63" s="284"/>
      <c r="AV63" s="284"/>
      <c r="AW63" s="284"/>
      <c r="AX63" s="284"/>
      <c r="AY63" s="284"/>
      <c r="AZ63" s="284"/>
      <c r="BB63" s="412"/>
      <c r="BC63" s="412"/>
      <c r="BD63" s="412"/>
      <c r="BE63" s="412"/>
    </row>
    <row r="64" spans="1:70" s="412" customFormat="1" ht="24.95" customHeight="1">
      <c r="A64" s="593" t="s">
        <v>189</v>
      </c>
      <c r="B64" s="629" t="str">
        <f>+CONCATENATE("Vigencia ",INSTRUCCIONES!$F$3)</f>
        <v>Vigencia 2019</v>
      </c>
      <c r="C64" s="362">
        <v>8371510292</v>
      </c>
      <c r="D64" s="363">
        <f>P64</f>
        <v>0</v>
      </c>
      <c r="E64" s="363">
        <f>Q64</f>
        <v>0</v>
      </c>
      <c r="F64" s="363">
        <f>SUM(C64:E64)</f>
        <v>8371510292</v>
      </c>
      <c r="G64" s="363">
        <v>0</v>
      </c>
      <c r="H64" s="364">
        <v>617469018</v>
      </c>
      <c r="I64" s="363">
        <f>SUM(G64:H64)</f>
        <v>617469018</v>
      </c>
      <c r="J64" s="363">
        <v>0</v>
      </c>
      <c r="K64" s="364">
        <v>0</v>
      </c>
      <c r="L64" s="363">
        <f>SUM(J64:K64)</f>
        <v>0</v>
      </c>
      <c r="M64" s="363">
        <f>F64-I64</f>
        <v>7754041274</v>
      </c>
      <c r="N64" s="143">
        <f>F64-L64</f>
        <v>8371510292</v>
      </c>
      <c r="O64" s="372"/>
      <c r="P64" s="362">
        <v>0</v>
      </c>
      <c r="Q64" s="365">
        <v>0</v>
      </c>
      <c r="R64" s="9"/>
      <c r="S64" s="356"/>
      <c r="T64" s="660"/>
      <c r="U64" s="161"/>
      <c r="V64" s="161"/>
      <c r="W64" s="161"/>
      <c r="X64" s="166"/>
      <c r="Y64" s="357"/>
      <c r="Z64" s="161"/>
      <c r="AA64" s="166"/>
      <c r="AB64" s="357"/>
      <c r="AC64" s="161"/>
      <c r="AD64" s="161"/>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
        <v>190</v>
      </c>
      <c r="B65" s="629" t="s">
        <v>547</v>
      </c>
      <c r="C65" s="362">
        <v>0</v>
      </c>
      <c r="D65" s="363">
        <f>P65</f>
        <v>0</v>
      </c>
      <c r="E65" s="363">
        <f>Q65</f>
        <v>377717379</v>
      </c>
      <c r="F65" s="363">
        <f>SUM(C65:E65)</f>
        <v>377717379</v>
      </c>
      <c r="G65" s="363">
        <v>0</v>
      </c>
      <c r="H65" s="364">
        <v>456846732</v>
      </c>
      <c r="I65" s="363">
        <f>SUM(G65:H65)</f>
        <v>456846732</v>
      </c>
      <c r="J65" s="363">
        <v>0</v>
      </c>
      <c r="K65" s="364">
        <v>456846732</v>
      </c>
      <c r="L65" s="363">
        <f>SUM(J65:K65)</f>
        <v>456846732</v>
      </c>
      <c r="M65" s="363">
        <f>F65-I65</f>
        <v>-79129353</v>
      </c>
      <c r="N65" s="143">
        <f>F65-L65</f>
        <v>-79129353</v>
      </c>
      <c r="O65" s="372"/>
      <c r="P65" s="362">
        <v>0</v>
      </c>
      <c r="Q65" s="365">
        <v>377717379</v>
      </c>
      <c r="R65" s="9"/>
      <c r="S65" s="687">
        <v>1020100</v>
      </c>
      <c r="T65" s="663" t="s">
        <v>68</v>
      </c>
      <c r="U65" s="132">
        <f t="shared" ref="U65:AJ65" si="78">SUM(U66:U69)+U81</f>
        <v>5283965861</v>
      </c>
      <c r="V65" s="122">
        <f t="shared" si="78"/>
        <v>0</v>
      </c>
      <c r="W65" s="122">
        <f t="shared" si="78"/>
        <v>0</v>
      </c>
      <c r="X65" s="130">
        <f t="shared" si="78"/>
        <v>5283965861</v>
      </c>
      <c r="Y65" s="128">
        <f t="shared" si="78"/>
        <v>0</v>
      </c>
      <c r="Z65" s="122">
        <f t="shared" si="78"/>
        <v>178292359</v>
      </c>
      <c r="AA65" s="130">
        <f t="shared" si="78"/>
        <v>178292359</v>
      </c>
      <c r="AB65" s="128">
        <f t="shared" si="78"/>
        <v>0</v>
      </c>
      <c r="AC65" s="122">
        <f t="shared" si="78"/>
        <v>178272359</v>
      </c>
      <c r="AD65" s="129">
        <f t="shared" si="78"/>
        <v>178272359</v>
      </c>
      <c r="AE65" s="128">
        <f t="shared" si="78"/>
        <v>0</v>
      </c>
      <c r="AF65" s="122">
        <f t="shared" si="78"/>
        <v>178272359</v>
      </c>
      <c r="AG65" s="130">
        <f t="shared" si="78"/>
        <v>178272359</v>
      </c>
      <c r="AH65" s="128">
        <f t="shared" si="78"/>
        <v>5105673502</v>
      </c>
      <c r="AI65" s="122">
        <f t="shared" si="78"/>
        <v>5105693502</v>
      </c>
      <c r="AJ65" s="130">
        <f t="shared" si="78"/>
        <v>5105693502</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v>1130114</v>
      </c>
      <c r="B66" s="628" t="s">
        <v>191</v>
      </c>
      <c r="C66" s="43">
        <f t="shared" ref="C66:N66" si="79">SUM(C67:C68)</f>
        <v>11965775</v>
      </c>
      <c r="D66" s="44">
        <f t="shared" si="79"/>
        <v>0</v>
      </c>
      <c r="E66" s="44">
        <f t="shared" si="79"/>
        <v>0</v>
      </c>
      <c r="F66" s="44">
        <f t="shared" si="79"/>
        <v>11965775</v>
      </c>
      <c r="G66" s="44">
        <f t="shared" si="79"/>
        <v>0</v>
      </c>
      <c r="H66" s="44">
        <f t="shared" si="79"/>
        <v>1611876</v>
      </c>
      <c r="I66" s="44">
        <f t="shared" si="79"/>
        <v>1611876</v>
      </c>
      <c r="J66" s="44">
        <f t="shared" si="79"/>
        <v>0</v>
      </c>
      <c r="K66" s="44">
        <f t="shared" si="79"/>
        <v>0</v>
      </c>
      <c r="L66" s="44">
        <f t="shared" si="79"/>
        <v>0</v>
      </c>
      <c r="M66" s="44">
        <f t="shared" si="79"/>
        <v>10353899</v>
      </c>
      <c r="N66" s="45">
        <f t="shared" si="79"/>
        <v>11965775</v>
      </c>
      <c r="P66" s="43">
        <f>SUM(P67:P68)</f>
        <v>0</v>
      </c>
      <c r="Q66" s="45">
        <f>SUM(Q67:Q68)</f>
        <v>0</v>
      </c>
      <c r="R66" s="9"/>
      <c r="S66" s="688">
        <v>1020101</v>
      </c>
      <c r="T66" s="664" t="s">
        <v>69</v>
      </c>
      <c r="U66" s="388">
        <v>3773107838</v>
      </c>
      <c r="V66" s="15">
        <f t="shared" ref="V66:W68" si="80">AL66</f>
        <v>0</v>
      </c>
      <c r="W66" s="15">
        <f t="shared" si="80"/>
        <v>0</v>
      </c>
      <c r="X66" s="16">
        <f>SUM(U66:W66)</f>
        <v>3773107838</v>
      </c>
      <c r="Y66" s="19">
        <v>0</v>
      </c>
      <c r="Z66" s="364">
        <v>164019971</v>
      </c>
      <c r="AA66" s="16">
        <f>SUM(Y66:Z66)</f>
        <v>164019971</v>
      </c>
      <c r="AB66" s="19">
        <v>0</v>
      </c>
      <c r="AC66" s="364">
        <v>163999971</v>
      </c>
      <c r="AD66" s="18">
        <f>SUM(AB66:AC66)</f>
        <v>163999971</v>
      </c>
      <c r="AE66" s="19">
        <v>0</v>
      </c>
      <c r="AF66" s="364">
        <v>163999971</v>
      </c>
      <c r="AG66" s="16">
        <f>SUM(AE66:AF66)</f>
        <v>163999971</v>
      </c>
      <c r="AH66" s="19">
        <f>X66-AA66</f>
        <v>3609087867</v>
      </c>
      <c r="AI66" s="15">
        <f>X66-AD66</f>
        <v>3609107867</v>
      </c>
      <c r="AJ66" s="16">
        <f>X66-AG66</f>
        <v>3609107867</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
        <v>192</v>
      </c>
      <c r="B67" s="629" t="str">
        <f>+CONCATENATE("Vigencia ",INSTRUCCIONES!$F$3)</f>
        <v>Vigencia 2019</v>
      </c>
      <c r="C67" s="362">
        <v>11965775</v>
      </c>
      <c r="D67" s="363">
        <f>P67</f>
        <v>0</v>
      </c>
      <c r="E67" s="363">
        <f>Q67</f>
        <v>0</v>
      </c>
      <c r="F67" s="363">
        <f>SUM(C67:E67)</f>
        <v>11965775</v>
      </c>
      <c r="G67" s="363">
        <v>0</v>
      </c>
      <c r="H67" s="364">
        <v>1611876</v>
      </c>
      <c r="I67" s="363">
        <f>SUM(G67:H67)</f>
        <v>1611876</v>
      </c>
      <c r="J67" s="363">
        <v>0</v>
      </c>
      <c r="K67" s="364">
        <v>0</v>
      </c>
      <c r="L67" s="363">
        <f>SUM(J67:K67)</f>
        <v>0</v>
      </c>
      <c r="M67" s="363">
        <f>F67-I67</f>
        <v>10353899</v>
      </c>
      <c r="N67" s="143">
        <f>F67-L67</f>
        <v>11965775</v>
      </c>
      <c r="O67" s="372"/>
      <c r="P67" s="362">
        <v>0</v>
      </c>
      <c r="Q67" s="365">
        <v>0</v>
      </c>
      <c r="R67" s="9"/>
      <c r="S67" s="688">
        <v>1020102</v>
      </c>
      <c r="T67" s="664" t="s">
        <v>72</v>
      </c>
      <c r="U67" s="388">
        <v>329885360</v>
      </c>
      <c r="V67" s="15">
        <f t="shared" si="80"/>
        <v>0</v>
      </c>
      <c r="W67" s="15">
        <f t="shared" si="80"/>
        <v>0</v>
      </c>
      <c r="X67" s="16">
        <f>SUM(U67:W67)</f>
        <v>329885360</v>
      </c>
      <c r="Y67" s="19">
        <v>0</v>
      </c>
      <c r="Z67" s="364">
        <v>0</v>
      </c>
      <c r="AA67" s="16">
        <f>SUM(Y67:Z67)</f>
        <v>0</v>
      </c>
      <c r="AB67" s="19">
        <v>0</v>
      </c>
      <c r="AC67" s="364">
        <v>0</v>
      </c>
      <c r="AD67" s="18">
        <f>SUM(AB67:AC67)</f>
        <v>0</v>
      </c>
      <c r="AE67" s="19">
        <v>0</v>
      </c>
      <c r="AF67" s="364">
        <v>0</v>
      </c>
      <c r="AG67" s="16">
        <f>SUM(AE67:AF67)</f>
        <v>0</v>
      </c>
      <c r="AH67" s="19">
        <f>X67-AA67</f>
        <v>329885360</v>
      </c>
      <c r="AI67" s="15">
        <f>X67-AD67</f>
        <v>329885360</v>
      </c>
      <c r="AJ67" s="16">
        <f>X67-AG67</f>
        <v>329885360</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
        <v>193</v>
      </c>
      <c r="B68" s="629" t="s">
        <v>547</v>
      </c>
      <c r="C68" s="362">
        <v>0</v>
      </c>
      <c r="D68" s="363">
        <f>P68</f>
        <v>0</v>
      </c>
      <c r="E68" s="363">
        <f>Q68</f>
        <v>0</v>
      </c>
      <c r="F68" s="363">
        <f>SUM(C68:E68)</f>
        <v>0</v>
      </c>
      <c r="G68" s="363">
        <v>0</v>
      </c>
      <c r="H68" s="364">
        <v>0</v>
      </c>
      <c r="I68" s="363">
        <f>SUM(G68:H68)</f>
        <v>0</v>
      </c>
      <c r="J68" s="363">
        <v>0</v>
      </c>
      <c r="K68" s="364">
        <v>0</v>
      </c>
      <c r="L68" s="363">
        <f>SUM(J68:K68)</f>
        <v>0</v>
      </c>
      <c r="M68" s="363">
        <f>F68-I68</f>
        <v>0</v>
      </c>
      <c r="N68" s="143">
        <f>F68-L68</f>
        <v>0</v>
      </c>
      <c r="O68" s="372"/>
      <c r="P68" s="362">
        <v>0</v>
      </c>
      <c r="Q68" s="365">
        <v>0</v>
      </c>
      <c r="R68" s="9"/>
      <c r="S68" s="688">
        <v>1020103</v>
      </c>
      <c r="T68" s="664" t="s">
        <v>75</v>
      </c>
      <c r="U68" s="388">
        <v>0</v>
      </c>
      <c r="V68" s="15">
        <f t="shared" si="80"/>
        <v>0</v>
      </c>
      <c r="W68" s="15">
        <f t="shared" si="80"/>
        <v>0</v>
      </c>
      <c r="X68" s="16">
        <f>SUM(U68:W68)</f>
        <v>0</v>
      </c>
      <c r="Y68" s="19">
        <v>0</v>
      </c>
      <c r="Z68" s="364">
        <v>0</v>
      </c>
      <c r="AA68" s="16">
        <f>SUM(Y68:Z68)</f>
        <v>0</v>
      </c>
      <c r="AB68" s="19">
        <v>0</v>
      </c>
      <c r="AC68" s="364">
        <v>0</v>
      </c>
      <c r="AD68" s="18">
        <f>SUM(AB68:AC68)</f>
        <v>0</v>
      </c>
      <c r="AE68" s="19">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v>1130115</v>
      </c>
      <c r="B69" s="628" t="s">
        <v>194</v>
      </c>
      <c r="C69" s="43">
        <f t="shared" ref="C69:N69" si="81">SUM(C70:C71)</f>
        <v>8401952</v>
      </c>
      <c r="D69" s="44">
        <f t="shared" si="81"/>
        <v>0</v>
      </c>
      <c r="E69" s="44">
        <f t="shared" si="81"/>
        <v>0</v>
      </c>
      <c r="F69" s="44">
        <f t="shared" si="81"/>
        <v>8401952</v>
      </c>
      <c r="G69" s="44">
        <f t="shared" si="81"/>
        <v>0</v>
      </c>
      <c r="H69" s="44">
        <f t="shared" si="81"/>
        <v>12689637</v>
      </c>
      <c r="I69" s="44">
        <f t="shared" si="81"/>
        <v>12689637</v>
      </c>
      <c r="J69" s="44">
        <f t="shared" si="81"/>
        <v>0</v>
      </c>
      <c r="K69" s="44">
        <f t="shared" si="81"/>
        <v>9426681</v>
      </c>
      <c r="L69" s="44">
        <f t="shared" si="81"/>
        <v>9426681</v>
      </c>
      <c r="M69" s="44">
        <f t="shared" si="81"/>
        <v>-4287685</v>
      </c>
      <c r="N69" s="45">
        <f t="shared" si="81"/>
        <v>-1024729</v>
      </c>
      <c r="P69" s="43">
        <f>SUM(P70:P71)</f>
        <v>0</v>
      </c>
      <c r="Q69" s="45">
        <f>SUM(Q70:Q71)</f>
        <v>0</v>
      </c>
      <c r="R69" s="9"/>
      <c r="S69" s="688">
        <v>1020104</v>
      </c>
      <c r="T69" s="664" t="s">
        <v>80</v>
      </c>
      <c r="U69" s="17">
        <f>SUM(U70:U80)</f>
        <v>1180972663</v>
      </c>
      <c r="V69" s="15">
        <f t="shared" ref="V69:AJ69" si="82">SUM(V70:V80)</f>
        <v>0</v>
      </c>
      <c r="W69" s="15">
        <f t="shared" si="82"/>
        <v>0</v>
      </c>
      <c r="X69" s="16">
        <f t="shared" si="82"/>
        <v>1180972663</v>
      </c>
      <c r="Y69" s="19">
        <f t="shared" si="82"/>
        <v>0</v>
      </c>
      <c r="Z69" s="142">
        <f t="shared" si="82"/>
        <v>14272388</v>
      </c>
      <c r="AA69" s="16">
        <f t="shared" si="82"/>
        <v>14272388</v>
      </c>
      <c r="AB69" s="19">
        <f t="shared" si="82"/>
        <v>0</v>
      </c>
      <c r="AC69" s="142">
        <f t="shared" si="82"/>
        <v>14272388</v>
      </c>
      <c r="AD69" s="18">
        <f t="shared" si="82"/>
        <v>14272388</v>
      </c>
      <c r="AE69" s="19">
        <f t="shared" si="82"/>
        <v>0</v>
      </c>
      <c r="AF69" s="142">
        <f t="shared" si="82"/>
        <v>14272388</v>
      </c>
      <c r="AG69" s="16">
        <f t="shared" si="82"/>
        <v>14272388</v>
      </c>
      <c r="AH69" s="19">
        <f t="shared" si="82"/>
        <v>1166700275</v>
      </c>
      <c r="AI69" s="15">
        <f t="shared" si="82"/>
        <v>1166700275</v>
      </c>
      <c r="AJ69" s="16">
        <f t="shared" si="82"/>
        <v>1166700275</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
        <v>196</v>
      </c>
      <c r="B70" s="629" t="str">
        <f>+CONCATENATE("Vigencia ",INSTRUCCIONES!$F$3)</f>
        <v>Vigencia 2019</v>
      </c>
      <c r="C70" s="362">
        <v>8401952</v>
      </c>
      <c r="D70" s="363">
        <f>P70</f>
        <v>0</v>
      </c>
      <c r="E70" s="363">
        <f>Q70</f>
        <v>0</v>
      </c>
      <c r="F70" s="363">
        <f>SUM(C70:E70)</f>
        <v>8401952</v>
      </c>
      <c r="G70" s="363">
        <v>0</v>
      </c>
      <c r="H70" s="364">
        <v>12355817</v>
      </c>
      <c r="I70" s="363">
        <f>SUM(G70:H70)</f>
        <v>12355817</v>
      </c>
      <c r="J70" s="363">
        <v>0</v>
      </c>
      <c r="K70" s="364">
        <v>9092861</v>
      </c>
      <c r="L70" s="363">
        <f>SUM(J70:K70)</f>
        <v>9092861</v>
      </c>
      <c r="M70" s="363">
        <f>F70-I70</f>
        <v>-3953865</v>
      </c>
      <c r="N70" s="143">
        <f>F70-L70</f>
        <v>-690909</v>
      </c>
      <c r="O70" s="372"/>
      <c r="P70" s="362">
        <v>0</v>
      </c>
      <c r="Q70" s="365">
        <v>0</v>
      </c>
      <c r="R70" s="9"/>
      <c r="S70" s="689" t="s">
        <v>195</v>
      </c>
      <c r="T70" s="666" t="s">
        <v>392</v>
      </c>
      <c r="U70" s="388">
        <v>352482456</v>
      </c>
      <c r="V70" s="15">
        <f t="shared" ref="V70:V81" si="83">AL70</f>
        <v>0</v>
      </c>
      <c r="W70" s="15">
        <f t="shared" ref="W70:W81" si="84">AM70</f>
        <v>0</v>
      </c>
      <c r="X70" s="16">
        <f>SUM(U70:W70)</f>
        <v>352482456</v>
      </c>
      <c r="Y70" s="19">
        <v>0</v>
      </c>
      <c r="Z70" s="364">
        <v>0</v>
      </c>
      <c r="AA70" s="16">
        <f t="shared" ref="AA70:AA81" si="85">SUM(Y70:Z70)</f>
        <v>0</v>
      </c>
      <c r="AB70" s="19">
        <v>0</v>
      </c>
      <c r="AC70" s="364">
        <v>0</v>
      </c>
      <c r="AD70" s="18">
        <f t="shared" ref="AD70:AD81" si="86">SUM(AB70:AC70)</f>
        <v>0</v>
      </c>
      <c r="AE70" s="19">
        <v>0</v>
      </c>
      <c r="AF70" s="364">
        <v>0</v>
      </c>
      <c r="AG70" s="16">
        <f t="shared" ref="AG70:AG81" si="87">SUM(AE70:AF70)</f>
        <v>0</v>
      </c>
      <c r="AH70" s="19">
        <f t="shared" ref="AH70:AH81" si="88">X70-AA70</f>
        <v>352482456</v>
      </c>
      <c r="AI70" s="15">
        <f t="shared" ref="AI70:AI81" si="89">X70-AD70</f>
        <v>352482456</v>
      </c>
      <c r="AJ70" s="16">
        <f t="shared" ref="AJ70:AJ81" si="90">X70-AG70</f>
        <v>352482456</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
        <v>198</v>
      </c>
      <c r="B71" s="629" t="s">
        <v>547</v>
      </c>
      <c r="C71" s="362">
        <v>0</v>
      </c>
      <c r="D71" s="363">
        <f>P71</f>
        <v>0</v>
      </c>
      <c r="E71" s="363">
        <f>Q71</f>
        <v>0</v>
      </c>
      <c r="F71" s="363">
        <f>SUM(C71:E71)</f>
        <v>0</v>
      </c>
      <c r="G71" s="363">
        <v>0</v>
      </c>
      <c r="H71" s="364">
        <v>333820</v>
      </c>
      <c r="I71" s="363">
        <f>SUM(G71:H71)</f>
        <v>333820</v>
      </c>
      <c r="J71" s="363">
        <v>0</v>
      </c>
      <c r="K71" s="364">
        <v>333820</v>
      </c>
      <c r="L71" s="363">
        <f>SUM(J71:K71)</f>
        <v>333820</v>
      </c>
      <c r="M71" s="363">
        <f>F71-I71</f>
        <v>-333820</v>
      </c>
      <c r="N71" s="143">
        <f>F71-L71</f>
        <v>-333820</v>
      </c>
      <c r="O71" s="372"/>
      <c r="P71" s="362">
        <v>0</v>
      </c>
      <c r="Q71" s="365">
        <v>0</v>
      </c>
      <c r="R71" s="9"/>
      <c r="S71" s="689" t="s">
        <v>197</v>
      </c>
      <c r="T71" s="666" t="s">
        <v>393</v>
      </c>
      <c r="U71" s="388">
        <v>180248873</v>
      </c>
      <c r="V71" s="15">
        <f t="shared" si="83"/>
        <v>0</v>
      </c>
      <c r="W71" s="15">
        <f t="shared" si="84"/>
        <v>0</v>
      </c>
      <c r="X71" s="16">
        <f t="shared" ref="X71:X81" si="91">SUM(U71:W71)</f>
        <v>180248873</v>
      </c>
      <c r="Y71" s="19">
        <v>0</v>
      </c>
      <c r="Z71" s="364">
        <v>3282098</v>
      </c>
      <c r="AA71" s="16">
        <f t="shared" si="85"/>
        <v>3282098</v>
      </c>
      <c r="AB71" s="19">
        <v>0</v>
      </c>
      <c r="AC71" s="364">
        <v>3282098</v>
      </c>
      <c r="AD71" s="18">
        <f t="shared" si="86"/>
        <v>3282098</v>
      </c>
      <c r="AE71" s="19">
        <v>0</v>
      </c>
      <c r="AF71" s="364">
        <v>3282098</v>
      </c>
      <c r="AG71" s="16">
        <f t="shared" si="87"/>
        <v>3282098</v>
      </c>
      <c r="AH71" s="19">
        <f t="shared" si="88"/>
        <v>176966775</v>
      </c>
      <c r="AI71" s="15">
        <f t="shared" si="89"/>
        <v>176966775</v>
      </c>
      <c r="AJ71" s="16">
        <f t="shared" si="90"/>
        <v>176966775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v>1130116</v>
      </c>
      <c r="B72" s="628" t="s">
        <v>591</v>
      </c>
      <c r="C72" s="43">
        <f t="shared" ref="C72:N72" si="92">SUM(C73:C74)</f>
        <v>2163183</v>
      </c>
      <c r="D72" s="44">
        <f t="shared" si="92"/>
        <v>0</v>
      </c>
      <c r="E72" s="44">
        <f t="shared" si="92"/>
        <v>0</v>
      </c>
      <c r="F72" s="44">
        <f t="shared" si="92"/>
        <v>2163183</v>
      </c>
      <c r="G72" s="44">
        <f t="shared" si="92"/>
        <v>0</v>
      </c>
      <c r="H72" s="44">
        <f t="shared" si="92"/>
        <v>16380316</v>
      </c>
      <c r="I72" s="44">
        <f t="shared" si="92"/>
        <v>16380316</v>
      </c>
      <c r="J72" s="44">
        <f t="shared" si="92"/>
        <v>0</v>
      </c>
      <c r="K72" s="44">
        <f t="shared" si="92"/>
        <v>45100</v>
      </c>
      <c r="L72" s="44">
        <f t="shared" si="92"/>
        <v>45100</v>
      </c>
      <c r="M72" s="44">
        <f t="shared" si="92"/>
        <v>-14217133</v>
      </c>
      <c r="N72" s="45">
        <f t="shared" si="92"/>
        <v>2118083</v>
      </c>
      <c r="P72" s="43">
        <f>SUM(P73:P74)</f>
        <v>0</v>
      </c>
      <c r="Q72" s="45">
        <f>SUM(Q73:Q74)</f>
        <v>0</v>
      </c>
      <c r="R72" s="9"/>
      <c r="S72" s="689" t="s">
        <v>199</v>
      </c>
      <c r="T72" s="666" t="s">
        <v>603</v>
      </c>
      <c r="U72" s="388">
        <v>110048955</v>
      </c>
      <c r="V72" s="15">
        <f t="shared" si="83"/>
        <v>0</v>
      </c>
      <c r="W72" s="15">
        <f t="shared" si="84"/>
        <v>0</v>
      </c>
      <c r="X72" s="16">
        <f t="shared" si="91"/>
        <v>110048955</v>
      </c>
      <c r="Y72" s="19">
        <v>0</v>
      </c>
      <c r="Z72" s="364">
        <v>9479934</v>
      </c>
      <c r="AA72" s="16">
        <f t="shared" si="85"/>
        <v>9479934</v>
      </c>
      <c r="AB72" s="19">
        <v>0</v>
      </c>
      <c r="AC72" s="364">
        <v>9479934</v>
      </c>
      <c r="AD72" s="18">
        <f t="shared" si="86"/>
        <v>9479934</v>
      </c>
      <c r="AE72" s="19">
        <v>0</v>
      </c>
      <c r="AF72" s="364">
        <v>9479934</v>
      </c>
      <c r="AG72" s="16">
        <f t="shared" si="87"/>
        <v>9479934</v>
      </c>
      <c r="AH72" s="19">
        <f t="shared" si="88"/>
        <v>100569021</v>
      </c>
      <c r="AI72" s="15">
        <f t="shared" si="89"/>
        <v>100569021</v>
      </c>
      <c r="AJ72" s="16">
        <f t="shared" si="90"/>
        <v>100569021</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
        <v>201</v>
      </c>
      <c r="B73" s="629" t="str">
        <f>+CONCATENATE("Vigencia ",INSTRUCCIONES!$F$3)</f>
        <v>Vigencia 2019</v>
      </c>
      <c r="C73" s="362">
        <v>2163183</v>
      </c>
      <c r="D73" s="363">
        <f>P73</f>
        <v>0</v>
      </c>
      <c r="E73" s="363">
        <f>Q73</f>
        <v>0</v>
      </c>
      <c r="F73" s="363">
        <f>SUM(C73:E73)</f>
        <v>2163183</v>
      </c>
      <c r="G73" s="363">
        <v>0</v>
      </c>
      <c r="H73" s="364">
        <v>16380316</v>
      </c>
      <c r="I73" s="363">
        <f>SUM(G73:H73)</f>
        <v>16380316</v>
      </c>
      <c r="J73" s="363">
        <v>0</v>
      </c>
      <c r="K73" s="364">
        <v>45100</v>
      </c>
      <c r="L73" s="363">
        <f>SUM(J73:K73)</f>
        <v>45100</v>
      </c>
      <c r="M73" s="363">
        <f>F73-I73</f>
        <v>-14217133</v>
      </c>
      <c r="N73" s="143">
        <f>F73-L73</f>
        <v>2118083</v>
      </c>
      <c r="O73" s="372"/>
      <c r="P73" s="362">
        <v>0</v>
      </c>
      <c r="Q73" s="365">
        <v>0</v>
      </c>
      <c r="R73" s="9"/>
      <c r="S73" s="689" t="s">
        <v>200</v>
      </c>
      <c r="T73" s="666" t="s">
        <v>394</v>
      </c>
      <c r="U73" s="388">
        <v>166383593</v>
      </c>
      <c r="V73" s="15">
        <f t="shared" si="83"/>
        <v>0</v>
      </c>
      <c r="W73" s="15">
        <f t="shared" si="84"/>
        <v>0</v>
      </c>
      <c r="X73" s="16">
        <f t="shared" si="91"/>
        <v>166383593</v>
      </c>
      <c r="Y73" s="19">
        <v>0</v>
      </c>
      <c r="Z73" s="364">
        <v>519930</v>
      </c>
      <c r="AA73" s="16">
        <f t="shared" si="85"/>
        <v>519930</v>
      </c>
      <c r="AB73" s="19">
        <v>0</v>
      </c>
      <c r="AC73" s="364">
        <v>519930</v>
      </c>
      <c r="AD73" s="18">
        <f t="shared" si="86"/>
        <v>519930</v>
      </c>
      <c r="AE73" s="19">
        <v>0</v>
      </c>
      <c r="AF73" s="364">
        <v>519930</v>
      </c>
      <c r="AG73" s="16">
        <f t="shared" si="87"/>
        <v>519930</v>
      </c>
      <c r="AH73" s="19">
        <f t="shared" si="88"/>
        <v>165863663</v>
      </c>
      <c r="AI73" s="15">
        <f t="shared" si="89"/>
        <v>165863663</v>
      </c>
      <c r="AJ73" s="16">
        <f t="shared" si="90"/>
        <v>165863663</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
        <v>203</v>
      </c>
      <c r="B74" s="629" t="s">
        <v>547</v>
      </c>
      <c r="C74" s="362">
        <v>0</v>
      </c>
      <c r="D74" s="363">
        <f>P74</f>
        <v>0</v>
      </c>
      <c r="E74" s="363">
        <f>Q74</f>
        <v>0</v>
      </c>
      <c r="F74" s="363">
        <f>SUM(C74:E74)</f>
        <v>0</v>
      </c>
      <c r="G74" s="363">
        <v>0</v>
      </c>
      <c r="H74" s="364">
        <v>0</v>
      </c>
      <c r="I74" s="363">
        <f>SUM(G74:H74)</f>
        <v>0</v>
      </c>
      <c r="J74" s="363">
        <v>0</v>
      </c>
      <c r="K74" s="364">
        <v>0</v>
      </c>
      <c r="L74" s="363">
        <f>SUM(J74:K74)</f>
        <v>0</v>
      </c>
      <c r="M74" s="363">
        <f>F74-I74</f>
        <v>0</v>
      </c>
      <c r="N74" s="143">
        <f>F74-L74</f>
        <v>0</v>
      </c>
      <c r="O74" s="372"/>
      <c r="P74" s="362">
        <v>0</v>
      </c>
      <c r="Q74" s="365">
        <v>0</v>
      </c>
      <c r="R74" s="9"/>
      <c r="S74" s="689" t="s">
        <v>202</v>
      </c>
      <c r="T74" s="666" t="s">
        <v>604</v>
      </c>
      <c r="U74" s="388">
        <v>20961713</v>
      </c>
      <c r="V74" s="15">
        <f t="shared" si="83"/>
        <v>0</v>
      </c>
      <c r="W74" s="15">
        <f t="shared" si="84"/>
        <v>0</v>
      </c>
      <c r="X74" s="16">
        <f t="shared" si="91"/>
        <v>20961713</v>
      </c>
      <c r="Y74" s="19">
        <v>0</v>
      </c>
      <c r="Z74" s="364">
        <v>0</v>
      </c>
      <c r="AA74" s="16">
        <f t="shared" si="85"/>
        <v>0</v>
      </c>
      <c r="AB74" s="19">
        <v>0</v>
      </c>
      <c r="AC74" s="364">
        <v>0</v>
      </c>
      <c r="AD74" s="18">
        <f t="shared" si="86"/>
        <v>0</v>
      </c>
      <c r="AE74" s="19">
        <v>0</v>
      </c>
      <c r="AF74" s="364">
        <v>0</v>
      </c>
      <c r="AG74" s="16">
        <f t="shared" si="87"/>
        <v>0</v>
      </c>
      <c r="AH74" s="19">
        <f t="shared" si="88"/>
        <v>20961713</v>
      </c>
      <c r="AI74" s="15">
        <f t="shared" si="89"/>
        <v>20961713</v>
      </c>
      <c r="AJ74" s="16">
        <f t="shared" si="90"/>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v>1130117</v>
      </c>
      <c r="B75" s="628" t="s">
        <v>205</v>
      </c>
      <c r="C75" s="43">
        <f t="shared" ref="C75:N75" si="93">SUM(C76:C77)</f>
        <v>351388967</v>
      </c>
      <c r="D75" s="44">
        <f t="shared" si="93"/>
        <v>0</v>
      </c>
      <c r="E75" s="44">
        <f t="shared" si="93"/>
        <v>0</v>
      </c>
      <c r="F75" s="44">
        <f t="shared" si="93"/>
        <v>351388967</v>
      </c>
      <c r="G75" s="44">
        <f t="shared" si="93"/>
        <v>0</v>
      </c>
      <c r="H75" s="44">
        <f t="shared" si="93"/>
        <v>58062657</v>
      </c>
      <c r="I75" s="44">
        <f t="shared" si="93"/>
        <v>58062657</v>
      </c>
      <c r="J75" s="44">
        <f t="shared" si="93"/>
        <v>0</v>
      </c>
      <c r="K75" s="44">
        <f t="shared" si="93"/>
        <v>18222294</v>
      </c>
      <c r="L75" s="44">
        <f t="shared" si="93"/>
        <v>18222294</v>
      </c>
      <c r="M75" s="44">
        <f t="shared" si="93"/>
        <v>293326310</v>
      </c>
      <c r="N75" s="45">
        <f t="shared" si="93"/>
        <v>333166673</v>
      </c>
      <c r="P75" s="43">
        <f>SUM(P76:P77)</f>
        <v>0</v>
      </c>
      <c r="Q75" s="45">
        <f>SUM(Q76:Q77)</f>
        <v>0</v>
      </c>
      <c r="R75" s="9"/>
      <c r="S75" s="689" t="s">
        <v>609</v>
      </c>
      <c r="T75" s="666" t="s">
        <v>395</v>
      </c>
      <c r="U75" s="388">
        <v>329885360</v>
      </c>
      <c r="V75" s="15">
        <f t="shared" si="83"/>
        <v>0</v>
      </c>
      <c r="W75" s="15">
        <f t="shared" si="84"/>
        <v>0</v>
      </c>
      <c r="X75" s="16">
        <f t="shared" si="91"/>
        <v>329885360</v>
      </c>
      <c r="Y75" s="19">
        <v>0</v>
      </c>
      <c r="Z75" s="364">
        <v>582192</v>
      </c>
      <c r="AA75" s="16">
        <f t="shared" si="85"/>
        <v>582192</v>
      </c>
      <c r="AB75" s="19">
        <v>0</v>
      </c>
      <c r="AC75" s="364">
        <v>582192</v>
      </c>
      <c r="AD75" s="18">
        <f t="shared" si="86"/>
        <v>582192</v>
      </c>
      <c r="AE75" s="19">
        <v>0</v>
      </c>
      <c r="AF75" s="364">
        <v>582192</v>
      </c>
      <c r="AG75" s="16">
        <f t="shared" si="87"/>
        <v>582192</v>
      </c>
      <c r="AH75" s="19">
        <f t="shared" si="88"/>
        <v>329303168</v>
      </c>
      <c r="AI75" s="15">
        <f t="shared" si="89"/>
        <v>329303168</v>
      </c>
      <c r="AJ75" s="16">
        <f t="shared" si="90"/>
        <v>329303168</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
        <v>207</v>
      </c>
      <c r="B76" s="629" t="str">
        <f>+CONCATENATE("Vigencia ",INSTRUCCIONES!$F$3)</f>
        <v>Vigencia 2019</v>
      </c>
      <c r="C76" s="362">
        <v>351388967</v>
      </c>
      <c r="D76" s="363">
        <f>P76</f>
        <v>0</v>
      </c>
      <c r="E76" s="363">
        <f>Q76</f>
        <v>0</v>
      </c>
      <c r="F76" s="363">
        <f t="shared" ref="F76:F83" si="94">SUM(C76:E76)</f>
        <v>351388967</v>
      </c>
      <c r="G76" s="363">
        <v>0</v>
      </c>
      <c r="H76" s="364">
        <v>57802034</v>
      </c>
      <c r="I76" s="363">
        <f t="shared" ref="I76:I83" si="95">SUM(G76:H76)</f>
        <v>57802034</v>
      </c>
      <c r="J76" s="363">
        <v>0</v>
      </c>
      <c r="K76" s="364">
        <v>17961671</v>
      </c>
      <c r="L76" s="363">
        <f t="shared" ref="L76:L83" si="96">SUM(J76:K76)</f>
        <v>17961671</v>
      </c>
      <c r="M76" s="363">
        <f t="shared" ref="M76:M83" si="97">F76-I76</f>
        <v>293586933</v>
      </c>
      <c r="N76" s="143">
        <f t="shared" ref="N76:N83" si="98">F76-L76</f>
        <v>333427296</v>
      </c>
      <c r="O76" s="372"/>
      <c r="P76" s="362">
        <v>0</v>
      </c>
      <c r="Q76" s="365">
        <v>0</v>
      </c>
      <c r="R76" s="9"/>
      <c r="S76" s="689" t="s">
        <v>610</v>
      </c>
      <c r="T76" s="666" t="s">
        <v>605</v>
      </c>
      <c r="U76" s="388">
        <v>0</v>
      </c>
      <c r="V76" s="15">
        <f t="shared" si="83"/>
        <v>0</v>
      </c>
      <c r="W76" s="15">
        <f t="shared" si="84"/>
        <v>0</v>
      </c>
      <c r="X76" s="16">
        <f t="shared" si="91"/>
        <v>0</v>
      </c>
      <c r="Y76" s="19">
        <v>0</v>
      </c>
      <c r="Z76" s="364">
        <v>0</v>
      </c>
      <c r="AA76" s="16">
        <f t="shared" si="85"/>
        <v>0</v>
      </c>
      <c r="AB76" s="19">
        <v>0</v>
      </c>
      <c r="AC76" s="364">
        <v>0</v>
      </c>
      <c r="AD76" s="18">
        <f t="shared" si="86"/>
        <v>0</v>
      </c>
      <c r="AE76" s="19">
        <v>0</v>
      </c>
      <c r="AF76" s="364">
        <v>0</v>
      </c>
      <c r="AG76" s="16">
        <f t="shared" si="87"/>
        <v>0</v>
      </c>
      <c r="AH76" s="19">
        <f t="shared" si="88"/>
        <v>0</v>
      </c>
      <c r="AI76" s="15">
        <f t="shared" si="89"/>
        <v>0</v>
      </c>
      <c r="AJ76" s="16">
        <f t="shared" si="90"/>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
        <v>209</v>
      </c>
      <c r="B77" s="629" t="s">
        <v>547</v>
      </c>
      <c r="C77" s="362">
        <v>0</v>
      </c>
      <c r="D77" s="363">
        <f>P77</f>
        <v>0</v>
      </c>
      <c r="E77" s="363">
        <f>Q77</f>
        <v>0</v>
      </c>
      <c r="F77" s="363">
        <f t="shared" si="94"/>
        <v>0</v>
      </c>
      <c r="G77" s="363">
        <v>0</v>
      </c>
      <c r="H77" s="364">
        <v>260623</v>
      </c>
      <c r="I77" s="363">
        <f t="shared" si="95"/>
        <v>260623</v>
      </c>
      <c r="J77" s="363">
        <v>0</v>
      </c>
      <c r="K77" s="364">
        <v>260623</v>
      </c>
      <c r="L77" s="363">
        <f t="shared" si="96"/>
        <v>260623</v>
      </c>
      <c r="M77" s="363">
        <f t="shared" si="97"/>
        <v>-260623</v>
      </c>
      <c r="N77" s="143">
        <f t="shared" si="98"/>
        <v>-260623</v>
      </c>
      <c r="O77" s="372"/>
      <c r="P77" s="362">
        <v>0</v>
      </c>
      <c r="Q77" s="365">
        <v>0</v>
      </c>
      <c r="R77" s="9"/>
      <c r="S77" s="689" t="s">
        <v>204</v>
      </c>
      <c r="T77" s="666" t="s">
        <v>400</v>
      </c>
      <c r="U77" s="388">
        <v>0</v>
      </c>
      <c r="V77" s="15">
        <f t="shared" si="83"/>
        <v>0</v>
      </c>
      <c r="W77" s="15">
        <f t="shared" si="84"/>
        <v>0</v>
      </c>
      <c r="X77" s="16">
        <f t="shared" si="91"/>
        <v>0</v>
      </c>
      <c r="Y77" s="19">
        <v>0</v>
      </c>
      <c r="Z77" s="364">
        <v>0</v>
      </c>
      <c r="AA77" s="16">
        <f t="shared" si="85"/>
        <v>0</v>
      </c>
      <c r="AB77" s="19">
        <v>0</v>
      </c>
      <c r="AC77" s="364">
        <v>0</v>
      </c>
      <c r="AD77" s="18">
        <f t="shared" si="86"/>
        <v>0</v>
      </c>
      <c r="AE77" s="19">
        <v>0</v>
      </c>
      <c r="AF77" s="364">
        <v>0</v>
      </c>
      <c r="AG77" s="16">
        <f t="shared" si="87"/>
        <v>0</v>
      </c>
      <c r="AH77" s="19">
        <f t="shared" si="88"/>
        <v>0</v>
      </c>
      <c r="AI77" s="15">
        <f t="shared" si="89"/>
        <v>0</v>
      </c>
      <c r="AJ77" s="16">
        <f t="shared" si="90"/>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v>1130118</v>
      </c>
      <c r="B78" s="628" t="s">
        <v>210</v>
      </c>
      <c r="C78" s="43">
        <f>SUM(C79:C80)</f>
        <v>209613681</v>
      </c>
      <c r="D78" s="44">
        <f>SUM(D79:D80)</f>
        <v>0</v>
      </c>
      <c r="E78" s="44">
        <f>SUM(E79:E80)</f>
        <v>0</v>
      </c>
      <c r="F78" s="44">
        <f t="shared" si="94"/>
        <v>209613681</v>
      </c>
      <c r="G78" s="44">
        <f>SUM(G79:G80)</f>
        <v>0</v>
      </c>
      <c r="H78" s="44">
        <f>SUM(H79:H80)</f>
        <v>59603544</v>
      </c>
      <c r="I78" s="44">
        <f t="shared" si="95"/>
        <v>59603544</v>
      </c>
      <c r="J78" s="44">
        <f>SUM(J79:J80)</f>
        <v>0</v>
      </c>
      <c r="K78" s="44">
        <f>SUM(K79:K80)</f>
        <v>46857200</v>
      </c>
      <c r="L78" s="44">
        <f t="shared" si="96"/>
        <v>46857200</v>
      </c>
      <c r="M78" s="44">
        <f t="shared" si="97"/>
        <v>150010137</v>
      </c>
      <c r="N78" s="45">
        <f t="shared" si="98"/>
        <v>162756481</v>
      </c>
      <c r="O78" s="372"/>
      <c r="P78" s="43">
        <f>SUM(P79:P80)</f>
        <v>0</v>
      </c>
      <c r="Q78" s="45">
        <f>SUM(Q79:Q80)</f>
        <v>0</v>
      </c>
      <c r="R78" s="9"/>
      <c r="S78" s="689" t="s">
        <v>206</v>
      </c>
      <c r="T78" s="666" t="s">
        <v>122</v>
      </c>
      <c r="U78" s="388">
        <v>20961713</v>
      </c>
      <c r="V78" s="15">
        <f t="shared" si="83"/>
        <v>0</v>
      </c>
      <c r="W78" s="15">
        <f t="shared" si="84"/>
        <v>0</v>
      </c>
      <c r="X78" s="16">
        <f t="shared" si="91"/>
        <v>20961713</v>
      </c>
      <c r="Y78" s="19">
        <v>0</v>
      </c>
      <c r="Z78" s="364">
        <v>408234</v>
      </c>
      <c r="AA78" s="16">
        <f t="shared" si="85"/>
        <v>408234</v>
      </c>
      <c r="AB78" s="19">
        <v>0</v>
      </c>
      <c r="AC78" s="364">
        <v>408234</v>
      </c>
      <c r="AD78" s="18">
        <f t="shared" si="86"/>
        <v>408234</v>
      </c>
      <c r="AE78" s="19">
        <v>0</v>
      </c>
      <c r="AF78" s="364">
        <v>408234</v>
      </c>
      <c r="AG78" s="16">
        <f t="shared" si="87"/>
        <v>408234</v>
      </c>
      <c r="AH78" s="19">
        <f t="shared" si="88"/>
        <v>20553479</v>
      </c>
      <c r="AI78" s="15">
        <f t="shared" si="89"/>
        <v>20553479</v>
      </c>
      <c r="AJ78" s="16">
        <f t="shared" si="90"/>
        <v>20553479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
        <v>211</v>
      </c>
      <c r="B79" s="629" t="str">
        <f>+CONCATENATE("Vigencia ",INSTRUCCIONES!$F$3)</f>
        <v>Vigencia 2019</v>
      </c>
      <c r="C79" s="362">
        <v>209613681</v>
      </c>
      <c r="D79" s="363">
        <f t="shared" ref="D79:E83" si="99">P79</f>
        <v>0</v>
      </c>
      <c r="E79" s="363">
        <f t="shared" si="99"/>
        <v>0</v>
      </c>
      <c r="F79" s="363">
        <f t="shared" si="94"/>
        <v>209613681</v>
      </c>
      <c r="G79" s="363">
        <v>0</v>
      </c>
      <c r="H79" s="364">
        <v>46422470</v>
      </c>
      <c r="I79" s="363">
        <f t="shared" si="95"/>
        <v>46422470</v>
      </c>
      <c r="J79" s="363">
        <v>0</v>
      </c>
      <c r="K79" s="364">
        <v>33676126</v>
      </c>
      <c r="L79" s="363">
        <f t="shared" si="96"/>
        <v>33676126</v>
      </c>
      <c r="M79" s="363">
        <f t="shared" si="97"/>
        <v>163191211</v>
      </c>
      <c r="N79" s="143">
        <f t="shared" si="98"/>
        <v>175937555</v>
      </c>
      <c r="P79" s="362">
        <v>0</v>
      </c>
      <c r="Q79" s="365">
        <v>0</v>
      </c>
      <c r="R79" s="9"/>
      <c r="S79" s="689" t="s">
        <v>208</v>
      </c>
      <c r="T79" s="666"/>
      <c r="U79" s="388">
        <v>0</v>
      </c>
      <c r="V79" s="15">
        <f t="shared" si="83"/>
        <v>0</v>
      </c>
      <c r="W79" s="15">
        <f t="shared" si="84"/>
        <v>0</v>
      </c>
      <c r="X79" s="16">
        <f t="shared" si="91"/>
        <v>0</v>
      </c>
      <c r="Y79" s="19">
        <v>0</v>
      </c>
      <c r="Z79" s="364">
        <v>0</v>
      </c>
      <c r="AA79" s="16">
        <f t="shared" si="85"/>
        <v>0</v>
      </c>
      <c r="AB79" s="19">
        <v>0</v>
      </c>
      <c r="AC79" s="364">
        <v>0</v>
      </c>
      <c r="AD79" s="18">
        <f t="shared" si="86"/>
        <v>0</v>
      </c>
      <c r="AE79" s="19">
        <v>0</v>
      </c>
      <c r="AF79" s="364">
        <v>0</v>
      </c>
      <c r="AG79" s="16">
        <f t="shared" si="87"/>
        <v>0</v>
      </c>
      <c r="AH79" s="19">
        <f t="shared" si="88"/>
        <v>0</v>
      </c>
      <c r="AI79" s="15">
        <f t="shared" si="89"/>
        <v>0</v>
      </c>
      <c r="AJ79" s="16">
        <f t="shared" si="90"/>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
        <v>212</v>
      </c>
      <c r="B80" s="629" t="s">
        <v>547</v>
      </c>
      <c r="C80" s="362">
        <v>0</v>
      </c>
      <c r="D80" s="363">
        <f t="shared" si="99"/>
        <v>0</v>
      </c>
      <c r="E80" s="363">
        <f t="shared" si="99"/>
        <v>0</v>
      </c>
      <c r="F80" s="363">
        <f t="shared" si="94"/>
        <v>0</v>
      </c>
      <c r="G80" s="363">
        <v>0</v>
      </c>
      <c r="H80" s="364">
        <v>13181074</v>
      </c>
      <c r="I80" s="363">
        <f t="shared" si="95"/>
        <v>13181074</v>
      </c>
      <c r="J80" s="363">
        <v>0</v>
      </c>
      <c r="K80" s="364">
        <v>13181074</v>
      </c>
      <c r="L80" s="363">
        <f t="shared" si="96"/>
        <v>13181074</v>
      </c>
      <c r="M80" s="363">
        <f t="shared" si="97"/>
        <v>-13181074</v>
      </c>
      <c r="N80" s="143">
        <f t="shared" si="98"/>
        <v>-13181074</v>
      </c>
      <c r="O80" s="372"/>
      <c r="P80" s="362">
        <v>0</v>
      </c>
      <c r="Q80" s="365">
        <v>0</v>
      </c>
      <c r="S80" s="689" t="s">
        <v>611</v>
      </c>
      <c r="T80" s="666"/>
      <c r="U80" s="388">
        <v>0</v>
      </c>
      <c r="V80" s="15">
        <f t="shared" si="83"/>
        <v>0</v>
      </c>
      <c r="W80" s="15">
        <f t="shared" si="84"/>
        <v>0</v>
      </c>
      <c r="X80" s="16">
        <f t="shared" si="91"/>
        <v>0</v>
      </c>
      <c r="Y80" s="19">
        <v>0</v>
      </c>
      <c r="Z80" s="364">
        <v>0</v>
      </c>
      <c r="AA80" s="16">
        <f t="shared" si="85"/>
        <v>0</v>
      </c>
      <c r="AB80" s="19">
        <v>0</v>
      </c>
      <c r="AC80" s="364">
        <v>0</v>
      </c>
      <c r="AD80" s="18">
        <f t="shared" si="86"/>
        <v>0</v>
      </c>
      <c r="AE80" s="19">
        <v>0</v>
      </c>
      <c r="AF80" s="364">
        <v>0</v>
      </c>
      <c r="AG80" s="16">
        <f t="shared" si="87"/>
        <v>0</v>
      </c>
      <c r="AH80" s="19">
        <f t="shared" si="88"/>
        <v>0</v>
      </c>
      <c r="AI80" s="15">
        <f t="shared" si="89"/>
        <v>0</v>
      </c>
      <c r="AJ80" s="16">
        <f t="shared" si="90"/>
        <v>0</v>
      </c>
      <c r="AL80" s="362">
        <v>0</v>
      </c>
      <c r="AM80" s="365">
        <v>0</v>
      </c>
      <c r="AO80" s="284"/>
      <c r="AP80" s="284"/>
      <c r="AQ80" s="284"/>
      <c r="AR80" s="284"/>
      <c r="AS80" s="284"/>
      <c r="AT80" s="284"/>
      <c r="AU80" s="284"/>
      <c r="AV80" s="284"/>
      <c r="AW80" s="284"/>
      <c r="AX80" s="284"/>
      <c r="AY80" s="284"/>
      <c r="AZ80" s="284"/>
      <c r="BA80" s="372"/>
      <c r="BB80" s="372"/>
      <c r="BC80" s="372"/>
      <c r="BD80" s="372"/>
      <c r="BE80" s="372"/>
      <c r="BL80" s="372"/>
      <c r="BM80" s="372"/>
      <c r="BN80" s="372"/>
      <c r="BO80" s="372"/>
      <c r="BP80" s="372"/>
      <c r="BQ80" s="372"/>
      <c r="BR80" s="372"/>
    </row>
    <row r="81" spans="1:70" s="372" customFormat="1" ht="24.95" customHeight="1">
      <c r="A81" s="714">
        <v>1130119</v>
      </c>
      <c r="B81" s="632" t="s">
        <v>213</v>
      </c>
      <c r="C81" s="43">
        <f>SUM(C82:C83)</f>
        <v>0</v>
      </c>
      <c r="D81" s="44">
        <f t="shared" ref="D81:Q81" si="100">SUM(D82:D83)</f>
        <v>0</v>
      </c>
      <c r="E81" s="44">
        <f t="shared" si="100"/>
        <v>0</v>
      </c>
      <c r="F81" s="44">
        <f t="shared" si="100"/>
        <v>0</v>
      </c>
      <c r="G81" s="44">
        <f t="shared" si="100"/>
        <v>0</v>
      </c>
      <c r="H81" s="44">
        <f t="shared" si="100"/>
        <v>0</v>
      </c>
      <c r="I81" s="44">
        <f t="shared" si="100"/>
        <v>0</v>
      </c>
      <c r="J81" s="44">
        <f t="shared" si="100"/>
        <v>0</v>
      </c>
      <c r="K81" s="44">
        <f t="shared" si="100"/>
        <v>0</v>
      </c>
      <c r="L81" s="44">
        <f t="shared" si="100"/>
        <v>0</v>
      </c>
      <c r="M81" s="44">
        <f t="shared" si="100"/>
        <v>0</v>
      </c>
      <c r="N81" s="45">
        <f t="shared" si="100"/>
        <v>0</v>
      </c>
      <c r="P81" s="43">
        <f t="shared" si="100"/>
        <v>0</v>
      </c>
      <c r="Q81" s="45">
        <f t="shared" si="100"/>
        <v>0</v>
      </c>
      <c r="R81" s="9"/>
      <c r="S81" s="688">
        <v>1020199</v>
      </c>
      <c r="T81" s="664" t="s">
        <v>127</v>
      </c>
      <c r="U81" s="388">
        <v>0</v>
      </c>
      <c r="V81" s="15">
        <f t="shared" si="83"/>
        <v>0</v>
      </c>
      <c r="W81" s="15">
        <f t="shared" si="84"/>
        <v>0</v>
      </c>
      <c r="X81" s="16">
        <f t="shared" si="91"/>
        <v>0</v>
      </c>
      <c r="Y81" s="19">
        <v>0</v>
      </c>
      <c r="Z81" s="364">
        <v>0</v>
      </c>
      <c r="AA81" s="16">
        <f t="shared" si="85"/>
        <v>0</v>
      </c>
      <c r="AB81" s="19">
        <v>0</v>
      </c>
      <c r="AC81" s="364">
        <v>0</v>
      </c>
      <c r="AD81" s="18">
        <f t="shared" si="86"/>
        <v>0</v>
      </c>
      <c r="AE81" s="19">
        <v>0</v>
      </c>
      <c r="AF81" s="364">
        <v>0</v>
      </c>
      <c r="AG81" s="16">
        <f t="shared" si="87"/>
        <v>0</v>
      </c>
      <c r="AH81" s="19">
        <f t="shared" si="88"/>
        <v>0</v>
      </c>
      <c r="AI81" s="15">
        <f t="shared" si="89"/>
        <v>0</v>
      </c>
      <c r="AJ81" s="16">
        <f t="shared" si="90"/>
        <v>0</v>
      </c>
      <c r="AK81" s="9"/>
      <c r="AL81" s="362">
        <v>0</v>
      </c>
      <c r="AM81" s="365">
        <v>0</v>
      </c>
      <c r="AN81" s="9"/>
      <c r="AO81" s="284"/>
      <c r="AP81" s="284"/>
      <c r="AQ81" s="284"/>
      <c r="AR81" s="284"/>
      <c r="AS81" s="284"/>
      <c r="AT81" s="284"/>
      <c r="AU81" s="284"/>
      <c r="AV81" s="284"/>
      <c r="AW81" s="284"/>
      <c r="AX81" s="284"/>
      <c r="AY81" s="284"/>
      <c r="AZ81" s="284"/>
      <c r="BA81" s="9"/>
      <c r="BB81" s="9"/>
    </row>
    <row r="82" spans="1:70" s="372" customFormat="1" ht="24.95" customHeight="1">
      <c r="A82" s="593" t="s">
        <v>390</v>
      </c>
      <c r="B82" s="629" t="str">
        <f>+CONCATENATE("Vigencia ",INSTRUCCIONES!$F$3)</f>
        <v>Vigencia 2019</v>
      </c>
      <c r="C82" s="362">
        <v>0</v>
      </c>
      <c r="D82" s="363">
        <f t="shared" si="99"/>
        <v>0</v>
      </c>
      <c r="E82" s="363">
        <f t="shared" si="99"/>
        <v>0</v>
      </c>
      <c r="F82" s="363">
        <f t="shared" si="94"/>
        <v>0</v>
      </c>
      <c r="G82" s="363">
        <v>0</v>
      </c>
      <c r="H82" s="364">
        <v>0</v>
      </c>
      <c r="I82" s="363">
        <f t="shared" si="95"/>
        <v>0</v>
      </c>
      <c r="J82" s="363">
        <v>0</v>
      </c>
      <c r="K82" s="364">
        <v>0</v>
      </c>
      <c r="L82" s="363">
        <f t="shared" si="96"/>
        <v>0</v>
      </c>
      <c r="M82" s="363">
        <f t="shared" si="97"/>
        <v>0</v>
      </c>
      <c r="N82" s="143">
        <f t="shared" si="98"/>
        <v>0</v>
      </c>
      <c r="P82" s="362">
        <v>0</v>
      </c>
      <c r="Q82" s="365">
        <v>0</v>
      </c>
      <c r="R82" s="9"/>
      <c r="S82" s="356"/>
      <c r="T82" s="660"/>
      <c r="U82" s="161"/>
      <c r="V82" s="161"/>
      <c r="W82" s="161"/>
      <c r="X82" s="166"/>
      <c r="Y82" s="357"/>
      <c r="Z82" s="161"/>
      <c r="AA82" s="166"/>
      <c r="AB82" s="357"/>
      <c r="AC82" s="161"/>
      <c r="AD82" s="161"/>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C82" s="9"/>
      <c r="BD82" s="9"/>
      <c r="BE82" s="9"/>
      <c r="BN82" s="9"/>
      <c r="BO82" s="9"/>
      <c r="BP82" s="9"/>
      <c r="BQ82" s="9"/>
      <c r="BR82" s="9"/>
    </row>
    <row r="83" spans="1:70" s="372" customFormat="1" ht="24.95" customHeight="1" thickBot="1">
      <c r="A83" s="593" t="s">
        <v>391</v>
      </c>
      <c r="B83" s="633" t="s">
        <v>547</v>
      </c>
      <c r="C83" s="374">
        <v>0</v>
      </c>
      <c r="D83" s="375">
        <f t="shared" si="99"/>
        <v>0</v>
      </c>
      <c r="E83" s="375">
        <f t="shared" si="99"/>
        <v>0</v>
      </c>
      <c r="F83" s="375">
        <f t="shared" si="94"/>
        <v>0</v>
      </c>
      <c r="G83" s="375">
        <v>0</v>
      </c>
      <c r="H83" s="378">
        <v>0</v>
      </c>
      <c r="I83" s="375">
        <f t="shared" si="95"/>
        <v>0</v>
      </c>
      <c r="J83" s="375">
        <v>0</v>
      </c>
      <c r="K83" s="378">
        <v>0</v>
      </c>
      <c r="L83" s="375">
        <f t="shared" si="96"/>
        <v>0</v>
      </c>
      <c r="M83" s="375">
        <f t="shared" si="97"/>
        <v>0</v>
      </c>
      <c r="N83" s="376">
        <f t="shared" si="98"/>
        <v>0</v>
      </c>
      <c r="P83" s="362">
        <v>0</v>
      </c>
      <c r="Q83" s="365">
        <v>0</v>
      </c>
      <c r="R83" s="9"/>
      <c r="S83" s="687">
        <v>1020200</v>
      </c>
      <c r="T83" s="663" t="s">
        <v>113</v>
      </c>
      <c r="U83" s="132">
        <f t="shared" ref="U83:AJ83" si="101">SUM(U84:U88)</f>
        <v>21292467542</v>
      </c>
      <c r="V83" s="122">
        <f t="shared" si="101"/>
        <v>0</v>
      </c>
      <c r="W83" s="122">
        <f t="shared" si="101"/>
        <v>140000000</v>
      </c>
      <c r="X83" s="130">
        <f t="shared" si="101"/>
        <v>21432467542</v>
      </c>
      <c r="Y83" s="128">
        <f t="shared" si="101"/>
        <v>0</v>
      </c>
      <c r="Z83" s="122">
        <f t="shared" si="101"/>
        <v>17149893615</v>
      </c>
      <c r="AA83" s="130">
        <f t="shared" si="101"/>
        <v>17149893615</v>
      </c>
      <c r="AB83" s="128">
        <f t="shared" si="101"/>
        <v>0</v>
      </c>
      <c r="AC83" s="122">
        <f t="shared" si="101"/>
        <v>1707753094</v>
      </c>
      <c r="AD83" s="129">
        <f t="shared" si="101"/>
        <v>1707753094</v>
      </c>
      <c r="AE83" s="128">
        <f t="shared" si="101"/>
        <v>0</v>
      </c>
      <c r="AF83" s="122">
        <f t="shared" si="101"/>
        <v>287255152</v>
      </c>
      <c r="AG83" s="130">
        <f t="shared" si="101"/>
        <v>287255152</v>
      </c>
      <c r="AH83" s="128">
        <f t="shared" si="101"/>
        <v>4282573927</v>
      </c>
      <c r="AI83" s="122">
        <f t="shared" si="101"/>
        <v>19724714448</v>
      </c>
      <c r="AJ83" s="130">
        <f t="shared" si="101"/>
        <v>21145212390</v>
      </c>
      <c r="AK83" s="9"/>
      <c r="AL83" s="128">
        <f>SUM(AL84:AL88)</f>
        <v>0</v>
      </c>
      <c r="AM83" s="130">
        <f>SUM(AM84:AM88)</f>
        <v>140000000</v>
      </c>
      <c r="AN83" s="9"/>
      <c r="AO83" s="284"/>
      <c r="AP83" s="284"/>
      <c r="AQ83" s="284"/>
      <c r="AR83" s="284"/>
      <c r="AS83" s="284"/>
      <c r="AT83" s="284"/>
      <c r="AU83" s="284"/>
      <c r="AV83" s="284"/>
      <c r="AW83" s="284"/>
      <c r="AX83" s="284"/>
      <c r="AY83" s="284"/>
      <c r="AZ83" s="284"/>
      <c r="BM83" s="9"/>
    </row>
    <row r="84" spans="1:70" s="372" customFormat="1" ht="24.95" customHeight="1" thickBot="1">
      <c r="A84" s="717"/>
      <c r="B84" s="634"/>
      <c r="C84" s="284"/>
      <c r="D84" s="284"/>
      <c r="E84" s="284"/>
      <c r="F84" s="284"/>
      <c r="G84" s="284"/>
      <c r="H84" s="284"/>
      <c r="I84" s="284"/>
      <c r="J84" s="284"/>
      <c r="K84" s="284"/>
      <c r="L84" s="284"/>
      <c r="M84" s="284"/>
      <c r="N84" s="453"/>
      <c r="O84" s="451"/>
      <c r="P84" s="457"/>
      <c r="Q84" s="381"/>
      <c r="R84" s="9"/>
      <c r="S84" s="688" t="s">
        <v>214</v>
      </c>
      <c r="T84" s="664" t="s">
        <v>436</v>
      </c>
      <c r="U84" s="388">
        <v>304448100</v>
      </c>
      <c r="V84" s="15">
        <f t="shared" ref="V84:W88" si="102">AL84</f>
        <v>0</v>
      </c>
      <c r="W84" s="15">
        <f t="shared" si="102"/>
        <v>90000000</v>
      </c>
      <c r="X84" s="16">
        <f>SUM(U84:W84)</f>
        <v>394448100</v>
      </c>
      <c r="Y84" s="19">
        <v>0</v>
      </c>
      <c r="Z84" s="364">
        <v>304122910</v>
      </c>
      <c r="AA84" s="16">
        <f>SUM(Y84:Z84)</f>
        <v>304122910</v>
      </c>
      <c r="AB84" s="19">
        <v>0</v>
      </c>
      <c r="AC84" s="364">
        <v>8542329</v>
      </c>
      <c r="AD84" s="18">
        <f>SUM(AB84:AC84)</f>
        <v>8542329</v>
      </c>
      <c r="AE84" s="19">
        <v>0</v>
      </c>
      <c r="AF84" s="364">
        <v>0</v>
      </c>
      <c r="AG84" s="16">
        <f>SUM(AE84:AF84)</f>
        <v>0</v>
      </c>
      <c r="AH84" s="19">
        <f>X84-AA84</f>
        <v>90325190</v>
      </c>
      <c r="AI84" s="15">
        <f>X84-AD84</f>
        <v>385905771</v>
      </c>
      <c r="AJ84" s="16">
        <f>X84-AG84</f>
        <v>394448100</v>
      </c>
      <c r="AK84" s="9"/>
      <c r="AL84" s="362">
        <v>0</v>
      </c>
      <c r="AM84" s="365">
        <v>90000000</v>
      </c>
      <c r="AN84" s="9"/>
      <c r="AO84" s="284"/>
      <c r="AP84" s="284"/>
      <c r="AQ84" s="284"/>
      <c r="AR84" s="284"/>
      <c r="AS84" s="284"/>
      <c r="AT84" s="284"/>
      <c r="AU84" s="284"/>
      <c r="AV84" s="284"/>
      <c r="AW84" s="284"/>
      <c r="AX84" s="284"/>
      <c r="AY84" s="284"/>
      <c r="AZ84" s="284"/>
    </row>
    <row r="85" spans="1:70" s="372" customFormat="1" ht="24.95" customHeight="1">
      <c r="A85" s="718">
        <v>11302</v>
      </c>
      <c r="B85" s="635" t="s">
        <v>557</v>
      </c>
      <c r="C85" s="600">
        <f t="shared" ref="C85:N85" si="103">SUM(C86:C92)</f>
        <v>0</v>
      </c>
      <c r="D85" s="598">
        <f t="shared" si="103"/>
        <v>0</v>
      </c>
      <c r="E85" s="598">
        <f t="shared" si="103"/>
        <v>2093461300</v>
      </c>
      <c r="F85" s="598">
        <f t="shared" si="103"/>
        <v>2093461300</v>
      </c>
      <c r="G85" s="598">
        <f t="shared" si="103"/>
        <v>0</v>
      </c>
      <c r="H85" s="598">
        <f t="shared" si="103"/>
        <v>28474975</v>
      </c>
      <c r="I85" s="598">
        <f t="shared" si="103"/>
        <v>28474975</v>
      </c>
      <c r="J85" s="598">
        <f t="shared" si="103"/>
        <v>0</v>
      </c>
      <c r="K85" s="598">
        <f t="shared" si="103"/>
        <v>28474975</v>
      </c>
      <c r="L85" s="598">
        <f t="shared" si="103"/>
        <v>28474975</v>
      </c>
      <c r="M85" s="598">
        <f t="shared" si="103"/>
        <v>2064986325</v>
      </c>
      <c r="N85" s="599">
        <f t="shared" si="103"/>
        <v>2064986325</v>
      </c>
      <c r="P85" s="43">
        <f>SUM(P86:P92)</f>
        <v>0</v>
      </c>
      <c r="Q85" s="45">
        <f>SUM(Q86:Q92)</f>
        <v>2093461300</v>
      </c>
      <c r="R85" s="9"/>
      <c r="S85" s="688" t="s">
        <v>215</v>
      </c>
      <c r="T85" s="664" t="s">
        <v>141</v>
      </c>
      <c r="U85" s="388">
        <v>0</v>
      </c>
      <c r="V85" s="15">
        <f t="shared" si="102"/>
        <v>0</v>
      </c>
      <c r="W85" s="15">
        <f t="shared" si="102"/>
        <v>0</v>
      </c>
      <c r="X85" s="16">
        <f>SUM(U85:W85)</f>
        <v>0</v>
      </c>
      <c r="Y85" s="19">
        <v>0</v>
      </c>
      <c r="Z85" s="364">
        <v>0</v>
      </c>
      <c r="AA85" s="16">
        <f>SUM(Y85:Z85)</f>
        <v>0</v>
      </c>
      <c r="AB85" s="19">
        <v>0</v>
      </c>
      <c r="AC85" s="364">
        <v>0</v>
      </c>
      <c r="AD85" s="18">
        <f>SUM(AB85:AC85)</f>
        <v>0</v>
      </c>
      <c r="AE85" s="19">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v>1130201</v>
      </c>
      <c r="B86" s="746"/>
      <c r="C86" s="388">
        <v>0</v>
      </c>
      <c r="D86" s="363">
        <f t="shared" ref="D86:E92" si="104">P86</f>
        <v>0</v>
      </c>
      <c r="E86" s="363">
        <f t="shared" si="104"/>
        <v>0</v>
      </c>
      <c r="F86" s="363">
        <f t="shared" ref="F86:F92" si="105">SUM(C86:E86)</f>
        <v>0</v>
      </c>
      <c r="G86" s="363">
        <v>0</v>
      </c>
      <c r="H86" s="364">
        <v>0</v>
      </c>
      <c r="I86" s="363">
        <f t="shared" ref="I86:I92" si="106">SUM(G86:H86)</f>
        <v>0</v>
      </c>
      <c r="J86" s="363">
        <v>0</v>
      </c>
      <c r="K86" s="364">
        <v>0</v>
      </c>
      <c r="L86" s="363">
        <f t="shared" ref="L86:L92" si="107">SUM(J86:K86)</f>
        <v>0</v>
      </c>
      <c r="M86" s="363">
        <f t="shared" ref="M86:M92" si="108">F86-I86</f>
        <v>0</v>
      </c>
      <c r="N86" s="143">
        <f t="shared" ref="N86:N92" si="109">F86-L86</f>
        <v>0</v>
      </c>
      <c r="O86" s="372"/>
      <c r="P86" s="362">
        <v>0</v>
      </c>
      <c r="Q86" s="365">
        <v>0</v>
      </c>
      <c r="S86" s="688" t="s">
        <v>612</v>
      </c>
      <c r="T86" s="664" t="s">
        <v>582</v>
      </c>
      <c r="U86" s="388">
        <v>18988019442</v>
      </c>
      <c r="V86" s="15">
        <f t="shared" si="102"/>
        <v>0</v>
      </c>
      <c r="W86" s="15">
        <f t="shared" si="102"/>
        <v>50000000</v>
      </c>
      <c r="X86" s="16">
        <f>SUM(U86:W86)</f>
        <v>19038019442</v>
      </c>
      <c r="Y86" s="19">
        <v>0</v>
      </c>
      <c r="Z86" s="364">
        <v>16558515553</v>
      </c>
      <c r="AA86" s="16">
        <f>SUM(Y86:Z86)</f>
        <v>16558515553</v>
      </c>
      <c r="AB86" s="19">
        <v>0</v>
      </c>
      <c r="AC86" s="364">
        <v>1411955613</v>
      </c>
      <c r="AD86" s="18">
        <f>SUM(AB86:AC86)</f>
        <v>1411955613</v>
      </c>
      <c r="AE86" s="19">
        <v>0</v>
      </c>
      <c r="AF86" s="364">
        <v>0</v>
      </c>
      <c r="AG86" s="16">
        <f>SUM(AE86:AF86)</f>
        <v>0</v>
      </c>
      <c r="AH86" s="19">
        <f>X86-AA86</f>
        <v>2479503889</v>
      </c>
      <c r="AI86" s="15">
        <f>X86-AD86</f>
        <v>17626063829</v>
      </c>
      <c r="AJ86" s="16">
        <f>X86-AG86</f>
        <v>19038019442</v>
      </c>
      <c r="AL86" s="362">
        <v>0</v>
      </c>
      <c r="AM86" s="365">
        <v>50000000</v>
      </c>
      <c r="AO86" s="284"/>
      <c r="AP86" s="284"/>
      <c r="AQ86" s="284"/>
      <c r="AR86" s="284"/>
      <c r="AS86" s="284"/>
      <c r="AT86" s="284"/>
      <c r="AU86" s="284"/>
      <c r="AV86" s="284"/>
      <c r="AW86" s="284"/>
      <c r="AX86" s="284"/>
      <c r="AY86" s="284"/>
      <c r="AZ86" s="284"/>
      <c r="BA86" s="372"/>
      <c r="BB86" s="372"/>
      <c r="BC86" s="372"/>
      <c r="BD86" s="372"/>
      <c r="BE86" s="372"/>
      <c r="BL86" s="372"/>
      <c r="BM86" s="372"/>
      <c r="BN86" s="372"/>
      <c r="BO86" s="372"/>
      <c r="BP86" s="372"/>
      <c r="BQ86" s="372"/>
      <c r="BR86" s="372"/>
    </row>
    <row r="87" spans="1:70" s="372" customFormat="1" ht="24.95" customHeight="1">
      <c r="A87" s="719">
        <v>1130202</v>
      </c>
      <c r="B87" s="746"/>
      <c r="C87" s="388">
        <v>0</v>
      </c>
      <c r="D87" s="363">
        <f t="shared" si="104"/>
        <v>0</v>
      </c>
      <c r="E87" s="363">
        <f t="shared" si="104"/>
        <v>0</v>
      </c>
      <c r="F87" s="363">
        <f t="shared" si="105"/>
        <v>0</v>
      </c>
      <c r="G87" s="363">
        <v>0</v>
      </c>
      <c r="H87" s="364">
        <v>0</v>
      </c>
      <c r="I87" s="363">
        <f t="shared" si="106"/>
        <v>0</v>
      </c>
      <c r="J87" s="363">
        <v>0</v>
      </c>
      <c r="K87" s="364">
        <v>0</v>
      </c>
      <c r="L87" s="363">
        <f t="shared" si="107"/>
        <v>0</v>
      </c>
      <c r="M87" s="363">
        <f t="shared" si="108"/>
        <v>0</v>
      </c>
      <c r="N87" s="143">
        <f t="shared" si="109"/>
        <v>0</v>
      </c>
      <c r="P87" s="362">
        <v>0</v>
      </c>
      <c r="Q87" s="365">
        <v>0</v>
      </c>
      <c r="R87" s="9"/>
      <c r="S87" s="688" t="s">
        <v>216</v>
      </c>
      <c r="T87" s="667"/>
      <c r="U87" s="388">
        <v>0</v>
      </c>
      <c r="V87" s="15">
        <f>AL87</f>
        <v>0</v>
      </c>
      <c r="W87" s="15">
        <f>AM87</f>
        <v>0</v>
      </c>
      <c r="X87" s="16">
        <f>SUM(U87:W87)</f>
        <v>0</v>
      </c>
      <c r="Y87" s="19">
        <v>0</v>
      </c>
      <c r="Z87" s="364">
        <v>0</v>
      </c>
      <c r="AA87" s="16">
        <f>SUM(Y87:Z87)</f>
        <v>0</v>
      </c>
      <c r="AB87" s="19">
        <v>0</v>
      </c>
      <c r="AC87" s="364">
        <v>0</v>
      </c>
      <c r="AD87" s="18">
        <f>SUM(AB87:AC87)</f>
        <v>0</v>
      </c>
      <c r="AE87" s="19">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B87" s="9"/>
    </row>
    <row r="88" spans="1:70" s="372" customFormat="1" ht="32.25" customHeight="1">
      <c r="A88" s="719">
        <v>1130203</v>
      </c>
      <c r="B88" s="610" t="s">
        <v>540</v>
      </c>
      <c r="C88" s="388">
        <v>0</v>
      </c>
      <c r="D88" s="363">
        <f t="shared" si="104"/>
        <v>0</v>
      </c>
      <c r="E88" s="363">
        <f t="shared" si="104"/>
        <v>193911300</v>
      </c>
      <c r="F88" s="363">
        <f t="shared" si="105"/>
        <v>193911300</v>
      </c>
      <c r="G88" s="363">
        <v>0</v>
      </c>
      <c r="H88" s="364">
        <v>28474975</v>
      </c>
      <c r="I88" s="363">
        <f t="shared" si="106"/>
        <v>28474975</v>
      </c>
      <c r="J88" s="363">
        <v>0</v>
      </c>
      <c r="K88" s="364">
        <v>28474975</v>
      </c>
      <c r="L88" s="363">
        <f t="shared" si="107"/>
        <v>28474975</v>
      </c>
      <c r="M88" s="363">
        <f t="shared" si="108"/>
        <v>165436325</v>
      </c>
      <c r="N88" s="143">
        <f t="shared" si="109"/>
        <v>165436325</v>
      </c>
      <c r="P88" s="362">
        <v>0</v>
      </c>
      <c r="Q88" s="365">
        <v>193911300</v>
      </c>
      <c r="R88" s="9"/>
      <c r="S88" s="688">
        <v>1020299</v>
      </c>
      <c r="T88" s="664" t="s">
        <v>127</v>
      </c>
      <c r="U88" s="388">
        <v>2000000000</v>
      </c>
      <c r="V88" s="15">
        <f t="shared" si="102"/>
        <v>0</v>
      </c>
      <c r="W88" s="15">
        <f t="shared" si="102"/>
        <v>0</v>
      </c>
      <c r="X88" s="16">
        <f>SUM(U88:W88)</f>
        <v>2000000000</v>
      </c>
      <c r="Y88" s="19">
        <v>0</v>
      </c>
      <c r="Z88" s="364">
        <v>287255152</v>
      </c>
      <c r="AA88" s="16">
        <f>SUM(Y88:Z88)</f>
        <v>287255152</v>
      </c>
      <c r="AB88" s="19">
        <v>0</v>
      </c>
      <c r="AC88" s="364">
        <v>287255152</v>
      </c>
      <c r="AD88" s="18">
        <f>SUM(AB88:AC88)</f>
        <v>287255152</v>
      </c>
      <c r="AE88" s="19">
        <v>0</v>
      </c>
      <c r="AF88" s="364">
        <v>287255152</v>
      </c>
      <c r="AG88" s="16">
        <f>SUM(AE88:AF88)</f>
        <v>287255152</v>
      </c>
      <c r="AH88" s="19">
        <f>X88-AA88</f>
        <v>1712744848</v>
      </c>
      <c r="AI88" s="15">
        <f>X88-AD88</f>
        <v>1712744848</v>
      </c>
      <c r="AJ88" s="16">
        <f>X88-AG88</f>
        <v>1712744848</v>
      </c>
      <c r="AK88" s="9"/>
      <c r="AL88" s="362">
        <v>0</v>
      </c>
      <c r="AM88" s="365">
        <v>0</v>
      </c>
      <c r="AN88" s="9"/>
      <c r="AO88" s="284"/>
      <c r="AP88" s="284"/>
      <c r="AQ88" s="284"/>
      <c r="AR88" s="284"/>
      <c r="AS88" s="284"/>
      <c r="AT88" s="284"/>
      <c r="AU88" s="284"/>
      <c r="AV88" s="284"/>
      <c r="AW88" s="284"/>
      <c r="AX88" s="284"/>
      <c r="AY88" s="284"/>
      <c r="AZ88" s="284"/>
      <c r="BC88" s="9"/>
      <c r="BD88" s="9"/>
      <c r="BE88" s="9"/>
      <c r="BN88" s="9"/>
      <c r="BO88" s="9"/>
      <c r="BP88" s="9"/>
      <c r="BQ88" s="9"/>
      <c r="BR88" s="9"/>
    </row>
    <row r="89" spans="1:70" s="372" customFormat="1" ht="28.5" customHeight="1">
      <c r="A89" s="719">
        <v>1130204</v>
      </c>
      <c r="B89" s="610" t="s">
        <v>541</v>
      </c>
      <c r="C89" s="388">
        <v>0</v>
      </c>
      <c r="D89" s="363">
        <f t="shared" si="104"/>
        <v>0</v>
      </c>
      <c r="E89" s="363">
        <f>Q89</f>
        <v>0</v>
      </c>
      <c r="F89" s="363">
        <f t="shared" si="105"/>
        <v>0</v>
      </c>
      <c r="G89" s="363">
        <v>0</v>
      </c>
      <c r="H89" s="364">
        <v>0</v>
      </c>
      <c r="I89" s="363">
        <f t="shared" si="106"/>
        <v>0</v>
      </c>
      <c r="J89" s="363">
        <v>0</v>
      </c>
      <c r="K89" s="364">
        <v>0</v>
      </c>
      <c r="L89" s="363">
        <f t="shared" si="107"/>
        <v>0</v>
      </c>
      <c r="M89" s="363">
        <f t="shared" si="108"/>
        <v>0</v>
      </c>
      <c r="N89" s="143">
        <f t="shared" si="109"/>
        <v>0</v>
      </c>
      <c r="P89" s="362">
        <v>0</v>
      </c>
      <c r="Q89" s="365">
        <v>0</v>
      </c>
      <c r="R89" s="9"/>
      <c r="S89" s="356"/>
      <c r="T89" s="660"/>
      <c r="U89" s="161"/>
      <c r="V89" s="161"/>
      <c r="W89" s="161"/>
      <c r="X89" s="166"/>
      <c r="Y89" s="357"/>
      <c r="Z89" s="161"/>
      <c r="AA89" s="166"/>
      <c r="AB89" s="357"/>
      <c r="AC89" s="161"/>
      <c r="AD89" s="161"/>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30.75" customHeight="1">
      <c r="A90" s="719">
        <v>1130205</v>
      </c>
      <c r="B90" s="610" t="s">
        <v>542</v>
      </c>
      <c r="C90" s="388">
        <v>0</v>
      </c>
      <c r="D90" s="363">
        <f t="shared" si="104"/>
        <v>0</v>
      </c>
      <c r="E90" s="363">
        <f t="shared" si="104"/>
        <v>0</v>
      </c>
      <c r="F90" s="363">
        <f t="shared" si="105"/>
        <v>0</v>
      </c>
      <c r="G90" s="363">
        <v>0</v>
      </c>
      <c r="H90" s="364">
        <v>0</v>
      </c>
      <c r="I90" s="363">
        <f t="shared" si="106"/>
        <v>0</v>
      </c>
      <c r="J90" s="363">
        <v>0</v>
      </c>
      <c r="K90" s="364">
        <v>0</v>
      </c>
      <c r="L90" s="363">
        <f t="shared" si="107"/>
        <v>0</v>
      </c>
      <c r="M90" s="363">
        <f t="shared" si="108"/>
        <v>0</v>
      </c>
      <c r="N90" s="143">
        <f t="shared" si="109"/>
        <v>0</v>
      </c>
      <c r="O90" s="372"/>
      <c r="P90" s="362">
        <v>0</v>
      </c>
      <c r="Q90" s="365">
        <v>0</v>
      </c>
      <c r="R90" s="30"/>
      <c r="S90" s="687">
        <v>1020300</v>
      </c>
      <c r="T90" s="663" t="s">
        <v>155</v>
      </c>
      <c r="U90" s="132">
        <f t="shared" ref="U90:AJ90" si="110">U91+U96+U102</f>
        <v>2996072011</v>
      </c>
      <c r="V90" s="122">
        <f t="shared" si="110"/>
        <v>0</v>
      </c>
      <c r="W90" s="122">
        <f t="shared" si="110"/>
        <v>0</v>
      </c>
      <c r="X90" s="130">
        <f t="shared" si="110"/>
        <v>2996072011</v>
      </c>
      <c r="Y90" s="128">
        <f t="shared" si="110"/>
        <v>0</v>
      </c>
      <c r="Z90" s="122">
        <f t="shared" si="110"/>
        <v>6600360</v>
      </c>
      <c r="AA90" s="130">
        <f t="shared" si="110"/>
        <v>6600360</v>
      </c>
      <c r="AB90" s="128">
        <f t="shared" si="110"/>
        <v>0</v>
      </c>
      <c r="AC90" s="122">
        <f t="shared" si="110"/>
        <v>6600360</v>
      </c>
      <c r="AD90" s="129">
        <f t="shared" si="110"/>
        <v>6600360</v>
      </c>
      <c r="AE90" s="128">
        <f t="shared" si="110"/>
        <v>0</v>
      </c>
      <c r="AF90" s="122">
        <f t="shared" si="110"/>
        <v>0</v>
      </c>
      <c r="AG90" s="130">
        <f t="shared" si="110"/>
        <v>0</v>
      </c>
      <c r="AH90" s="128">
        <f t="shared" si="110"/>
        <v>2989471651</v>
      </c>
      <c r="AI90" s="122">
        <f t="shared" si="110"/>
        <v>2989471651</v>
      </c>
      <c r="AJ90" s="130">
        <f t="shared" si="110"/>
        <v>2996072011</v>
      </c>
      <c r="AK90" s="9"/>
      <c r="AL90" s="128">
        <f>AL91+AL96+AL102</f>
        <v>0</v>
      </c>
      <c r="AM90" s="130">
        <f>AM91+AM96+AM102</f>
        <v>0</v>
      </c>
      <c r="AN90" s="30"/>
      <c r="AO90" s="450"/>
      <c r="AP90" s="450"/>
      <c r="AQ90" s="450"/>
      <c r="AR90" s="450"/>
      <c r="AS90" s="450"/>
      <c r="AT90" s="450"/>
      <c r="AU90" s="450"/>
      <c r="AV90" s="450"/>
      <c r="AW90" s="450"/>
      <c r="AX90" s="450"/>
      <c r="AY90" s="450"/>
      <c r="AZ90" s="450"/>
      <c r="BB90" s="372"/>
      <c r="BC90" s="372"/>
      <c r="BD90" s="372"/>
      <c r="BE90" s="372"/>
      <c r="BM90" s="372"/>
      <c r="BN90" s="372"/>
      <c r="BO90" s="372"/>
      <c r="BP90" s="372"/>
      <c r="BQ90" s="372"/>
      <c r="BR90" s="372"/>
    </row>
    <row r="91" spans="1:70" s="451" customFormat="1" ht="32.25" customHeight="1">
      <c r="A91" s="719">
        <v>1130206</v>
      </c>
      <c r="B91" s="610" t="s">
        <v>543</v>
      </c>
      <c r="C91" s="388">
        <v>0</v>
      </c>
      <c r="D91" s="363">
        <f t="shared" si="104"/>
        <v>0</v>
      </c>
      <c r="E91" s="363">
        <f>Q91</f>
        <v>1899550000</v>
      </c>
      <c r="F91" s="363">
        <f t="shared" si="105"/>
        <v>1899550000</v>
      </c>
      <c r="G91" s="363">
        <v>0</v>
      </c>
      <c r="H91" s="364">
        <v>0</v>
      </c>
      <c r="I91" s="363">
        <f t="shared" si="106"/>
        <v>0</v>
      </c>
      <c r="J91" s="363">
        <v>0</v>
      </c>
      <c r="K91" s="364">
        <v>0</v>
      </c>
      <c r="L91" s="363">
        <f t="shared" si="107"/>
        <v>0</v>
      </c>
      <c r="M91" s="363">
        <f t="shared" si="108"/>
        <v>1899550000</v>
      </c>
      <c r="N91" s="143">
        <f t="shared" si="109"/>
        <v>1899550000</v>
      </c>
      <c r="O91" s="372"/>
      <c r="P91" s="362">
        <v>0</v>
      </c>
      <c r="Q91" s="365">
        <v>1899550000</v>
      </c>
      <c r="R91" s="30"/>
      <c r="S91" s="688">
        <v>1020301</v>
      </c>
      <c r="T91" s="664" t="s">
        <v>596</v>
      </c>
      <c r="U91" s="27">
        <f t="shared" ref="U91:AJ91" si="111">SUM(U92:U95)</f>
        <v>1100060774</v>
      </c>
      <c r="V91" s="25">
        <f t="shared" si="111"/>
        <v>0</v>
      </c>
      <c r="W91" s="25">
        <f t="shared" si="111"/>
        <v>0</v>
      </c>
      <c r="X91" s="26">
        <f t="shared" si="111"/>
        <v>1100060774</v>
      </c>
      <c r="Y91" s="29">
        <f t="shared" si="111"/>
        <v>0</v>
      </c>
      <c r="Z91" s="25">
        <f t="shared" si="111"/>
        <v>0</v>
      </c>
      <c r="AA91" s="26">
        <f t="shared" si="111"/>
        <v>0</v>
      </c>
      <c r="AB91" s="29">
        <f t="shared" si="111"/>
        <v>0</v>
      </c>
      <c r="AC91" s="25">
        <f t="shared" si="111"/>
        <v>0</v>
      </c>
      <c r="AD91" s="28">
        <f t="shared" si="111"/>
        <v>0</v>
      </c>
      <c r="AE91" s="29">
        <f t="shared" si="111"/>
        <v>0</v>
      </c>
      <c r="AF91" s="25">
        <f t="shared" si="111"/>
        <v>0</v>
      </c>
      <c r="AG91" s="26">
        <f t="shared" si="111"/>
        <v>0</v>
      </c>
      <c r="AH91" s="19">
        <f t="shared" si="111"/>
        <v>1100060774</v>
      </c>
      <c r="AI91" s="15">
        <f t="shared" si="111"/>
        <v>1100060774</v>
      </c>
      <c r="AJ91" s="16">
        <f t="shared" si="111"/>
        <v>1100060774</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v>1130207</v>
      </c>
      <c r="B92" s="611" t="s">
        <v>547</v>
      </c>
      <c r="C92" s="478">
        <v>0</v>
      </c>
      <c r="D92" s="375">
        <f t="shared" si="104"/>
        <v>0</v>
      </c>
      <c r="E92" s="375">
        <f t="shared" si="104"/>
        <v>0</v>
      </c>
      <c r="F92" s="375">
        <f t="shared" si="105"/>
        <v>0</v>
      </c>
      <c r="G92" s="375">
        <v>0</v>
      </c>
      <c r="H92" s="378">
        <v>0</v>
      </c>
      <c r="I92" s="375">
        <f t="shared" si="106"/>
        <v>0</v>
      </c>
      <c r="J92" s="375">
        <v>0</v>
      </c>
      <c r="K92" s="378">
        <v>0</v>
      </c>
      <c r="L92" s="375">
        <f t="shared" si="107"/>
        <v>0</v>
      </c>
      <c r="M92" s="375">
        <f t="shared" si="108"/>
        <v>0</v>
      </c>
      <c r="N92" s="376">
        <f t="shared" si="109"/>
        <v>0</v>
      </c>
      <c r="O92" s="372"/>
      <c r="P92" s="362">
        <v>0</v>
      </c>
      <c r="Q92" s="365">
        <v>0</v>
      </c>
      <c r="R92" s="30"/>
      <c r="S92" s="689" t="s">
        <v>217</v>
      </c>
      <c r="T92" s="665" t="s">
        <v>597</v>
      </c>
      <c r="U92" s="388">
        <v>273298716</v>
      </c>
      <c r="V92" s="15">
        <f t="shared" ref="V92:W95" si="112">AL92</f>
        <v>0</v>
      </c>
      <c r="W92" s="15">
        <f t="shared" si="112"/>
        <v>0</v>
      </c>
      <c r="X92" s="16">
        <f>SUM(U92:W92)</f>
        <v>273298716</v>
      </c>
      <c r="Y92" s="19">
        <v>0</v>
      </c>
      <c r="Z92" s="364">
        <v>0</v>
      </c>
      <c r="AA92" s="16">
        <f>SUM(Y92:Z92)</f>
        <v>0</v>
      </c>
      <c r="AB92" s="19">
        <v>0</v>
      </c>
      <c r="AC92" s="364">
        <v>0</v>
      </c>
      <c r="AD92" s="18">
        <f>SUM(AB92:AC92)</f>
        <v>0</v>
      </c>
      <c r="AE92" s="19">
        <v>0</v>
      </c>
      <c r="AF92" s="364">
        <v>0</v>
      </c>
      <c r="AG92" s="16">
        <f>SUM(AE92:AF92)</f>
        <v>0</v>
      </c>
      <c r="AH92" s="19">
        <f>X92-AA92</f>
        <v>273298716</v>
      </c>
      <c r="AI92" s="15">
        <f>X92-AD92</f>
        <v>273298716</v>
      </c>
      <c r="AJ92" s="16">
        <f>X92-AG92</f>
        <v>273298716</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c r="B93" s="634"/>
      <c r="C93" s="284"/>
      <c r="D93" s="284"/>
      <c r="E93" s="284"/>
      <c r="F93" s="284"/>
      <c r="G93" s="284"/>
      <c r="H93" s="284"/>
      <c r="I93" s="284"/>
      <c r="J93" s="284"/>
      <c r="K93" s="284"/>
      <c r="L93" s="284"/>
      <c r="M93" s="284"/>
      <c r="N93" s="453"/>
      <c r="P93" s="457"/>
      <c r="Q93" s="381"/>
      <c r="R93" s="30"/>
      <c r="S93" s="689" t="s">
        <v>218</v>
      </c>
      <c r="T93" s="665" t="s">
        <v>598</v>
      </c>
      <c r="U93" s="388">
        <v>372680081</v>
      </c>
      <c r="V93" s="15">
        <f t="shared" si="112"/>
        <v>0</v>
      </c>
      <c r="W93" s="15">
        <f t="shared" si="112"/>
        <v>0</v>
      </c>
      <c r="X93" s="16">
        <f>SUM(U93:W93)</f>
        <v>372680081</v>
      </c>
      <c r="Y93" s="19">
        <v>0</v>
      </c>
      <c r="Z93" s="364">
        <v>0</v>
      </c>
      <c r="AA93" s="16">
        <f>SUM(Y93:Z93)</f>
        <v>0</v>
      </c>
      <c r="AB93" s="19">
        <v>0</v>
      </c>
      <c r="AC93" s="364">
        <v>0</v>
      </c>
      <c r="AD93" s="18">
        <f>SUM(AB93:AC93)</f>
        <v>0</v>
      </c>
      <c r="AE93" s="19">
        <v>0</v>
      </c>
      <c r="AF93" s="364">
        <v>0</v>
      </c>
      <c r="AG93" s="16">
        <f>SUM(AE93:AF93)</f>
        <v>0</v>
      </c>
      <c r="AH93" s="19">
        <f>X93-AA93</f>
        <v>372680081</v>
      </c>
      <c r="AI93" s="15">
        <f>X93-AD93</f>
        <v>372680081</v>
      </c>
      <c r="AJ93" s="16">
        <f>X93-AG93</f>
        <v>372680081</v>
      </c>
      <c r="AK93" s="9"/>
      <c r="AL93" s="362">
        <v>0</v>
      </c>
      <c r="AM93" s="365">
        <v>0</v>
      </c>
      <c r="AN93" s="30"/>
      <c r="AO93" s="450"/>
      <c r="AP93" s="450"/>
      <c r="AQ93" s="450"/>
      <c r="AR93" s="450"/>
      <c r="AS93" s="450"/>
      <c r="AT93" s="450"/>
      <c r="AU93" s="450"/>
      <c r="AV93" s="450"/>
      <c r="AW93" s="450"/>
      <c r="AX93" s="450"/>
      <c r="AY93" s="450"/>
      <c r="AZ93" s="450"/>
      <c r="BL93" s="30"/>
    </row>
    <row r="94" spans="1:70" s="451" customFormat="1" ht="39.75" customHeight="1">
      <c r="A94" s="720">
        <v>11303</v>
      </c>
      <c r="B94" s="601" t="s">
        <v>558</v>
      </c>
      <c r="C94" s="600">
        <f>SUM(C95:C102)</f>
        <v>7982899073</v>
      </c>
      <c r="D94" s="598">
        <f t="shared" ref="D94:N94" si="113">SUM(D95:D102)</f>
        <v>0</v>
      </c>
      <c r="E94" s="598">
        <f t="shared" si="113"/>
        <v>0</v>
      </c>
      <c r="F94" s="598">
        <f t="shared" si="113"/>
        <v>7982899073</v>
      </c>
      <c r="G94" s="598">
        <f t="shared" si="113"/>
        <v>0</v>
      </c>
      <c r="H94" s="598">
        <f t="shared" si="113"/>
        <v>0</v>
      </c>
      <c r="I94" s="598">
        <f t="shared" si="113"/>
        <v>0</v>
      </c>
      <c r="J94" s="598">
        <f t="shared" si="113"/>
        <v>0</v>
      </c>
      <c r="K94" s="598">
        <f t="shared" si="113"/>
        <v>0</v>
      </c>
      <c r="L94" s="598">
        <f t="shared" si="113"/>
        <v>0</v>
      </c>
      <c r="M94" s="598">
        <f t="shared" si="113"/>
        <v>7982899073</v>
      </c>
      <c r="N94" s="599">
        <f t="shared" si="113"/>
        <v>7982899073</v>
      </c>
      <c r="O94" s="372"/>
      <c r="P94" s="43">
        <f>SUM(P95:P102)</f>
        <v>0</v>
      </c>
      <c r="Q94" s="45">
        <f>SUM(Q95:Q102)</f>
        <v>0</v>
      </c>
      <c r="R94" s="30"/>
      <c r="S94" s="689" t="s">
        <v>219</v>
      </c>
      <c r="T94" s="665" t="s">
        <v>599</v>
      </c>
      <c r="U94" s="388">
        <v>387061561</v>
      </c>
      <c r="V94" s="15">
        <f t="shared" si="112"/>
        <v>0</v>
      </c>
      <c r="W94" s="15">
        <f t="shared" si="112"/>
        <v>0</v>
      </c>
      <c r="X94" s="16">
        <f>SUM(U94:W94)</f>
        <v>387061561</v>
      </c>
      <c r="Y94" s="19">
        <v>0</v>
      </c>
      <c r="Z94" s="364">
        <v>0</v>
      </c>
      <c r="AA94" s="16">
        <f>SUM(Y94:Z94)</f>
        <v>0</v>
      </c>
      <c r="AB94" s="19">
        <v>0</v>
      </c>
      <c r="AC94" s="364">
        <v>0</v>
      </c>
      <c r="AD94" s="18">
        <f>SUM(AB94:AC94)</f>
        <v>0</v>
      </c>
      <c r="AE94" s="19">
        <v>0</v>
      </c>
      <c r="AF94" s="364">
        <v>0</v>
      </c>
      <c r="AG94" s="16">
        <f>SUM(AE94:AF94)</f>
        <v>0</v>
      </c>
      <c r="AH94" s="19">
        <f>X94-AA94</f>
        <v>387061561</v>
      </c>
      <c r="AI94" s="15">
        <f>X94-AD94</f>
        <v>387061561</v>
      </c>
      <c r="AJ94" s="16">
        <f>X94-AG94</f>
        <v>387061561</v>
      </c>
      <c r="AK94" s="9"/>
      <c r="AL94" s="362">
        <v>0</v>
      </c>
      <c r="AM94" s="365">
        <v>0</v>
      </c>
      <c r="AN94" s="30"/>
      <c r="AO94" s="450"/>
      <c r="AP94" s="450"/>
      <c r="AQ94" s="450"/>
      <c r="AR94" s="450"/>
      <c r="AS94" s="450"/>
      <c r="AT94" s="450"/>
      <c r="AU94" s="450"/>
      <c r="AV94" s="450"/>
      <c r="AW94" s="450"/>
      <c r="AX94" s="450"/>
      <c r="AY94" s="450"/>
      <c r="AZ94" s="450"/>
      <c r="BL94" s="30"/>
    </row>
    <row r="95" spans="1:70" s="451" customFormat="1" ht="32.25" customHeight="1">
      <c r="A95" s="721" t="s">
        <v>225</v>
      </c>
      <c r="B95" s="610" t="s">
        <v>583</v>
      </c>
      <c r="C95" s="388">
        <v>0</v>
      </c>
      <c r="D95" s="363">
        <f t="shared" ref="D95:D102" si="114">P95</f>
        <v>0</v>
      </c>
      <c r="E95" s="363">
        <f t="shared" ref="E95:E102" si="115">Q95</f>
        <v>0</v>
      </c>
      <c r="F95" s="363">
        <f t="shared" ref="F95:F102" si="116">SUM(C95:E95)</f>
        <v>0</v>
      </c>
      <c r="G95" s="363">
        <v>0</v>
      </c>
      <c r="H95" s="364">
        <v>0</v>
      </c>
      <c r="I95" s="363">
        <f t="shared" ref="I95:I102" si="117">SUM(G95:H95)</f>
        <v>0</v>
      </c>
      <c r="J95" s="363">
        <v>0</v>
      </c>
      <c r="K95" s="364">
        <v>0</v>
      </c>
      <c r="L95" s="363">
        <f t="shared" ref="L95:L102" si="118">SUM(J95:K95)</f>
        <v>0</v>
      </c>
      <c r="M95" s="363">
        <f t="shared" ref="M95:M102" si="119">F95-I95</f>
        <v>0</v>
      </c>
      <c r="N95" s="143">
        <f t="shared" ref="N95:N102" si="120">F95-L95</f>
        <v>0</v>
      </c>
      <c r="O95" s="372"/>
      <c r="P95" s="362">
        <v>0</v>
      </c>
      <c r="Q95" s="365">
        <v>0</v>
      </c>
      <c r="R95" s="30"/>
      <c r="S95" s="689" t="s">
        <v>220</v>
      </c>
      <c r="T95" s="665" t="s">
        <v>600</v>
      </c>
      <c r="U95" s="388">
        <v>67020416</v>
      </c>
      <c r="V95" s="15">
        <f t="shared" si="112"/>
        <v>0</v>
      </c>
      <c r="W95" s="15">
        <f t="shared" si="112"/>
        <v>0</v>
      </c>
      <c r="X95" s="16">
        <f>SUM(U95:W95)</f>
        <v>67020416</v>
      </c>
      <c r="Y95" s="19">
        <v>0</v>
      </c>
      <c r="Z95" s="364">
        <v>0</v>
      </c>
      <c r="AA95" s="16">
        <f>SUM(Y95:Z95)</f>
        <v>0</v>
      </c>
      <c r="AB95" s="19">
        <v>0</v>
      </c>
      <c r="AC95" s="364">
        <v>0</v>
      </c>
      <c r="AD95" s="18">
        <f>SUM(AB95:AC95)</f>
        <v>0</v>
      </c>
      <c r="AE95" s="19">
        <v>0</v>
      </c>
      <c r="AF95" s="364">
        <v>0</v>
      </c>
      <c r="AG95" s="16">
        <f>SUM(AE95:AF95)</f>
        <v>0</v>
      </c>
      <c r="AH95" s="19">
        <f>X95-AA95</f>
        <v>67020416</v>
      </c>
      <c r="AI95" s="15">
        <f>X95-AD95</f>
        <v>67020416</v>
      </c>
      <c r="AJ95" s="16">
        <f>X95-AG95</f>
        <v>67020416</v>
      </c>
      <c r="AK95" s="9"/>
      <c r="AL95" s="362">
        <v>0</v>
      </c>
      <c r="AM95" s="365">
        <v>0</v>
      </c>
      <c r="AN95" s="30"/>
      <c r="AO95" s="450"/>
      <c r="AP95" s="450"/>
      <c r="AQ95" s="450"/>
      <c r="AR95" s="450"/>
      <c r="AS95" s="450"/>
      <c r="AT95" s="450"/>
      <c r="AU95" s="450"/>
      <c r="AV95" s="450"/>
      <c r="AW95" s="450"/>
      <c r="AX95" s="450"/>
      <c r="AY95" s="450"/>
      <c r="AZ95" s="450"/>
      <c r="BL95" s="30"/>
    </row>
    <row r="96" spans="1:70" s="30" customFormat="1" ht="30.75" customHeight="1">
      <c r="A96" s="721" t="s">
        <v>227</v>
      </c>
      <c r="B96" s="610" t="s">
        <v>584</v>
      </c>
      <c r="C96" s="388">
        <v>7982899073</v>
      </c>
      <c r="D96" s="363">
        <f t="shared" si="114"/>
        <v>0</v>
      </c>
      <c r="E96" s="363">
        <f t="shared" si="115"/>
        <v>0</v>
      </c>
      <c r="F96" s="363">
        <f t="shared" si="116"/>
        <v>7982899073</v>
      </c>
      <c r="G96" s="363">
        <v>0</v>
      </c>
      <c r="H96" s="364">
        <v>0</v>
      </c>
      <c r="I96" s="363">
        <f t="shared" si="117"/>
        <v>0</v>
      </c>
      <c r="J96" s="363">
        <v>0</v>
      </c>
      <c r="K96" s="364">
        <v>0</v>
      </c>
      <c r="L96" s="363">
        <f t="shared" si="118"/>
        <v>0</v>
      </c>
      <c r="M96" s="363">
        <f t="shared" si="119"/>
        <v>7982899073</v>
      </c>
      <c r="N96" s="143">
        <f t="shared" si="120"/>
        <v>7982899073</v>
      </c>
      <c r="O96" s="372"/>
      <c r="P96" s="362">
        <v>0</v>
      </c>
      <c r="Q96" s="365">
        <v>0</v>
      </c>
      <c r="S96" s="688">
        <v>1020302</v>
      </c>
      <c r="T96" s="664" t="s">
        <v>166</v>
      </c>
      <c r="U96" s="17">
        <f t="shared" ref="U96:AJ96" si="121">SUM(U97:U101)</f>
        <v>1724011237</v>
      </c>
      <c r="V96" s="15">
        <f t="shared" si="121"/>
        <v>0</v>
      </c>
      <c r="W96" s="15">
        <f t="shared" si="121"/>
        <v>0</v>
      </c>
      <c r="X96" s="16">
        <f t="shared" si="121"/>
        <v>1724011237</v>
      </c>
      <c r="Y96" s="19">
        <f t="shared" si="121"/>
        <v>0</v>
      </c>
      <c r="Z96" s="142">
        <f t="shared" si="121"/>
        <v>6600360</v>
      </c>
      <c r="AA96" s="16">
        <f t="shared" si="121"/>
        <v>6600360</v>
      </c>
      <c r="AB96" s="19">
        <f t="shared" si="121"/>
        <v>0</v>
      </c>
      <c r="AC96" s="142">
        <f t="shared" si="121"/>
        <v>6600360</v>
      </c>
      <c r="AD96" s="18">
        <f t="shared" si="121"/>
        <v>6600360</v>
      </c>
      <c r="AE96" s="19">
        <f t="shared" si="121"/>
        <v>0</v>
      </c>
      <c r="AF96" s="142">
        <f t="shared" si="121"/>
        <v>0</v>
      </c>
      <c r="AG96" s="16">
        <f t="shared" si="121"/>
        <v>0</v>
      </c>
      <c r="AH96" s="19">
        <f t="shared" si="121"/>
        <v>1717410877</v>
      </c>
      <c r="AI96" s="15">
        <f t="shared" si="121"/>
        <v>1717410877</v>
      </c>
      <c r="AJ96" s="16">
        <f t="shared" si="121"/>
        <v>1724011237</v>
      </c>
      <c r="AL96" s="32">
        <f>SUM(AL97:AL101)</f>
        <v>0</v>
      </c>
      <c r="AM96" s="33">
        <f>SUM(AM97:AM101)</f>
        <v>0</v>
      </c>
      <c r="AO96" s="450"/>
      <c r="AP96" s="450"/>
      <c r="AQ96" s="450"/>
      <c r="AR96" s="450"/>
      <c r="AS96" s="450"/>
      <c r="AT96" s="450"/>
      <c r="AU96" s="450"/>
      <c r="AV96" s="450"/>
      <c r="AW96" s="450"/>
      <c r="AX96" s="450"/>
      <c r="AY96" s="450"/>
      <c r="AZ96" s="450"/>
      <c r="BA96" s="451"/>
      <c r="BB96" s="451"/>
      <c r="BC96" s="451"/>
      <c r="BD96" s="451"/>
      <c r="BE96" s="451"/>
      <c r="BL96" s="451"/>
      <c r="BM96" s="451"/>
      <c r="BN96" s="451"/>
      <c r="BO96" s="451"/>
      <c r="BP96" s="451"/>
      <c r="BQ96" s="451"/>
      <c r="BR96" s="451"/>
    </row>
    <row r="97" spans="1:70" s="451" customFormat="1" ht="31.5" customHeight="1">
      <c r="A97" s="721" t="s">
        <v>228</v>
      </c>
      <c r="B97" s="610" t="s">
        <v>585</v>
      </c>
      <c r="C97" s="388">
        <v>0</v>
      </c>
      <c r="D97" s="363">
        <f t="shared" si="114"/>
        <v>0</v>
      </c>
      <c r="E97" s="363">
        <f t="shared" si="115"/>
        <v>0</v>
      </c>
      <c r="F97" s="363">
        <f t="shared" si="116"/>
        <v>0</v>
      </c>
      <c r="G97" s="363">
        <v>0</v>
      </c>
      <c r="H97" s="364">
        <v>0</v>
      </c>
      <c r="I97" s="363">
        <f t="shared" si="117"/>
        <v>0</v>
      </c>
      <c r="J97" s="363">
        <v>0</v>
      </c>
      <c r="K97" s="364">
        <v>0</v>
      </c>
      <c r="L97" s="363">
        <f t="shared" si="118"/>
        <v>0</v>
      </c>
      <c r="M97" s="363">
        <f t="shared" si="119"/>
        <v>0</v>
      </c>
      <c r="N97" s="143">
        <f t="shared" si="120"/>
        <v>0</v>
      </c>
      <c r="O97" s="372"/>
      <c r="P97" s="362">
        <v>0</v>
      </c>
      <c r="Q97" s="365">
        <v>0</v>
      </c>
      <c r="R97" s="30"/>
      <c r="S97" s="689" t="s">
        <v>221</v>
      </c>
      <c r="T97" s="665" t="s">
        <v>592</v>
      </c>
      <c r="U97" s="388">
        <v>383898492</v>
      </c>
      <c r="V97" s="15">
        <f t="shared" ref="V97:W102" si="122">AL97</f>
        <v>0</v>
      </c>
      <c r="W97" s="15">
        <f t="shared" si="122"/>
        <v>0</v>
      </c>
      <c r="X97" s="16">
        <f t="shared" ref="X97:X102" si="123">SUM(U97:W97)</f>
        <v>383898492</v>
      </c>
      <c r="Y97" s="19">
        <v>0</v>
      </c>
      <c r="Z97" s="364">
        <v>0</v>
      </c>
      <c r="AA97" s="16">
        <f t="shared" ref="AA97:AA102" si="124">SUM(Y97:Z97)</f>
        <v>0</v>
      </c>
      <c r="AB97" s="19">
        <v>0</v>
      </c>
      <c r="AC97" s="364">
        <v>0</v>
      </c>
      <c r="AD97" s="18">
        <f t="shared" ref="AD97:AD102" si="125">SUM(AB97:AC97)</f>
        <v>0</v>
      </c>
      <c r="AE97" s="19">
        <v>0</v>
      </c>
      <c r="AF97" s="364">
        <v>0</v>
      </c>
      <c r="AG97" s="16">
        <f t="shared" ref="AG97:AG102" si="126">SUM(AE97:AF97)</f>
        <v>0</v>
      </c>
      <c r="AH97" s="19">
        <f t="shared" ref="AH97:AH102" si="127">X97-AA97</f>
        <v>383898492</v>
      </c>
      <c r="AI97" s="15">
        <f t="shared" ref="AI97:AI102" si="128">X97-AD97</f>
        <v>383898492</v>
      </c>
      <c r="AJ97" s="16">
        <f t="shared" ref="AJ97:AJ102" si="129">X97-AG97</f>
        <v>383898492</v>
      </c>
      <c r="AK97" s="30"/>
      <c r="AL97" s="362">
        <v>0</v>
      </c>
      <c r="AM97" s="365">
        <v>0</v>
      </c>
      <c r="AN97" s="30"/>
      <c r="AO97" s="450"/>
      <c r="AP97" s="450"/>
      <c r="AQ97" s="450"/>
      <c r="AR97" s="450"/>
      <c r="AS97" s="450"/>
      <c r="AT97" s="450"/>
      <c r="AU97" s="450"/>
      <c r="AV97" s="450"/>
      <c r="AW97" s="450"/>
      <c r="AX97" s="450"/>
      <c r="AY97" s="450"/>
      <c r="AZ97" s="450"/>
      <c r="BB97" s="30"/>
    </row>
    <row r="98" spans="1:70" s="451" customFormat="1" ht="32.25" customHeight="1">
      <c r="A98" s="721" t="s">
        <v>229</v>
      </c>
      <c r="B98" s="610" t="s">
        <v>586</v>
      </c>
      <c r="C98" s="388">
        <v>0</v>
      </c>
      <c r="D98" s="363">
        <f t="shared" si="114"/>
        <v>0</v>
      </c>
      <c r="E98" s="363">
        <f t="shared" si="115"/>
        <v>0</v>
      </c>
      <c r="F98" s="363">
        <f t="shared" si="116"/>
        <v>0</v>
      </c>
      <c r="G98" s="363">
        <v>0</v>
      </c>
      <c r="H98" s="364">
        <v>0</v>
      </c>
      <c r="I98" s="363">
        <f t="shared" si="117"/>
        <v>0</v>
      </c>
      <c r="J98" s="363">
        <v>0</v>
      </c>
      <c r="K98" s="364">
        <v>0</v>
      </c>
      <c r="L98" s="363">
        <f t="shared" si="118"/>
        <v>0</v>
      </c>
      <c r="M98" s="363">
        <f t="shared" si="119"/>
        <v>0</v>
      </c>
      <c r="N98" s="143">
        <f t="shared" si="120"/>
        <v>0</v>
      </c>
      <c r="O98" s="372"/>
      <c r="P98" s="362">
        <v>0</v>
      </c>
      <c r="Q98" s="365">
        <v>0</v>
      </c>
      <c r="R98" s="30"/>
      <c r="S98" s="689" t="s">
        <v>222</v>
      </c>
      <c r="T98" s="665" t="s">
        <v>593</v>
      </c>
      <c r="U98" s="388">
        <v>555127711</v>
      </c>
      <c r="V98" s="15">
        <f t="shared" si="122"/>
        <v>0</v>
      </c>
      <c r="W98" s="15">
        <f t="shared" si="122"/>
        <v>0</v>
      </c>
      <c r="X98" s="16">
        <f t="shared" si="123"/>
        <v>555127711</v>
      </c>
      <c r="Y98" s="19">
        <v>0</v>
      </c>
      <c r="Z98" s="364">
        <v>0</v>
      </c>
      <c r="AA98" s="16">
        <f t="shared" si="124"/>
        <v>0</v>
      </c>
      <c r="AB98" s="19">
        <v>0</v>
      </c>
      <c r="AC98" s="364">
        <v>0</v>
      </c>
      <c r="AD98" s="18">
        <f t="shared" si="125"/>
        <v>0</v>
      </c>
      <c r="AE98" s="19">
        <v>0</v>
      </c>
      <c r="AF98" s="364">
        <v>0</v>
      </c>
      <c r="AG98" s="16">
        <f t="shared" si="126"/>
        <v>0</v>
      </c>
      <c r="AH98" s="19">
        <f t="shared" si="127"/>
        <v>555127711</v>
      </c>
      <c r="AI98" s="15">
        <f t="shared" si="128"/>
        <v>555127711</v>
      </c>
      <c r="AJ98" s="16">
        <f t="shared" si="129"/>
        <v>555127711</v>
      </c>
      <c r="AK98" s="30"/>
      <c r="AL98" s="362">
        <v>0</v>
      </c>
      <c r="AM98" s="365">
        <v>0</v>
      </c>
      <c r="AN98" s="30"/>
      <c r="AO98" s="450"/>
      <c r="AP98" s="450"/>
      <c r="AQ98" s="450"/>
      <c r="AR98" s="450"/>
      <c r="AS98" s="450"/>
      <c r="AT98" s="450"/>
      <c r="AU98" s="450"/>
      <c r="AV98" s="450"/>
      <c r="AW98" s="450"/>
      <c r="AX98" s="450"/>
      <c r="AY98" s="450"/>
      <c r="AZ98" s="450"/>
      <c r="BC98" s="30"/>
      <c r="BD98" s="30"/>
      <c r="BE98" s="30"/>
      <c r="BN98" s="30"/>
      <c r="BO98" s="30"/>
      <c r="BP98" s="30"/>
      <c r="BQ98" s="30"/>
      <c r="BR98" s="30"/>
    </row>
    <row r="99" spans="1:70" s="451" customFormat="1" ht="32.25" customHeight="1">
      <c r="A99" s="721" t="s">
        <v>230</v>
      </c>
      <c r="B99" s="602" t="s">
        <v>544</v>
      </c>
      <c r="C99" s="388">
        <v>0</v>
      </c>
      <c r="D99" s="363">
        <f t="shared" si="114"/>
        <v>0</v>
      </c>
      <c r="E99" s="363">
        <f t="shared" si="115"/>
        <v>0</v>
      </c>
      <c r="F99" s="363">
        <f t="shared" si="116"/>
        <v>0</v>
      </c>
      <c r="G99" s="363">
        <v>0</v>
      </c>
      <c r="H99" s="364">
        <v>0</v>
      </c>
      <c r="I99" s="363">
        <f t="shared" si="117"/>
        <v>0</v>
      </c>
      <c r="J99" s="363">
        <v>0</v>
      </c>
      <c r="K99" s="364">
        <v>0</v>
      </c>
      <c r="L99" s="363">
        <f t="shared" si="118"/>
        <v>0</v>
      </c>
      <c r="M99" s="363">
        <f t="shared" si="119"/>
        <v>0</v>
      </c>
      <c r="N99" s="143">
        <f t="shared" si="120"/>
        <v>0</v>
      </c>
      <c r="O99" s="801"/>
      <c r="P99" s="362">
        <v>0</v>
      </c>
      <c r="Q99" s="365">
        <v>0</v>
      </c>
      <c r="R99" s="30"/>
      <c r="S99" s="689" t="s">
        <v>223</v>
      </c>
      <c r="T99" s="665" t="s">
        <v>594</v>
      </c>
      <c r="U99" s="388">
        <v>326426572</v>
      </c>
      <c r="V99" s="15">
        <f t="shared" si="122"/>
        <v>0</v>
      </c>
      <c r="W99" s="15">
        <f t="shared" si="122"/>
        <v>0</v>
      </c>
      <c r="X99" s="16">
        <f t="shared" si="123"/>
        <v>326426572</v>
      </c>
      <c r="Y99" s="19">
        <v>0</v>
      </c>
      <c r="Z99" s="364">
        <v>0</v>
      </c>
      <c r="AA99" s="16">
        <f t="shared" si="124"/>
        <v>0</v>
      </c>
      <c r="AB99" s="19">
        <v>0</v>
      </c>
      <c r="AC99" s="364">
        <v>0</v>
      </c>
      <c r="AD99" s="18">
        <f t="shared" si="125"/>
        <v>0</v>
      </c>
      <c r="AE99" s="19">
        <v>0</v>
      </c>
      <c r="AF99" s="364">
        <v>0</v>
      </c>
      <c r="AG99" s="16">
        <f t="shared" si="126"/>
        <v>0</v>
      </c>
      <c r="AH99" s="19">
        <f t="shared" si="127"/>
        <v>326426572</v>
      </c>
      <c r="AI99" s="15">
        <f t="shared" si="128"/>
        <v>326426572</v>
      </c>
      <c r="AJ99" s="16">
        <f t="shared" si="129"/>
        <v>326426572</v>
      </c>
      <c r="AK99" s="30"/>
      <c r="AL99" s="362">
        <v>0</v>
      </c>
      <c r="AM99" s="365">
        <v>0</v>
      </c>
      <c r="AN99" s="30"/>
      <c r="AO99" s="450"/>
      <c r="AP99" s="450"/>
      <c r="AQ99" s="450"/>
      <c r="AR99" s="450"/>
      <c r="AS99" s="450"/>
      <c r="AT99" s="450"/>
      <c r="AU99" s="450"/>
      <c r="AV99" s="450"/>
      <c r="AW99" s="450"/>
      <c r="AX99" s="450"/>
      <c r="AY99" s="450"/>
      <c r="AZ99" s="450"/>
      <c r="BM99" s="30"/>
    </row>
    <row r="100" spans="1:70" s="372" customFormat="1" ht="31.5" customHeight="1">
      <c r="A100" s="721" t="s">
        <v>450</v>
      </c>
      <c r="B100" s="745"/>
      <c r="C100" s="388">
        <v>0</v>
      </c>
      <c r="D100" s="363">
        <f t="shared" si="114"/>
        <v>0</v>
      </c>
      <c r="E100" s="363">
        <f t="shared" si="115"/>
        <v>0</v>
      </c>
      <c r="F100" s="363">
        <f t="shared" si="116"/>
        <v>0</v>
      </c>
      <c r="G100" s="363">
        <v>0</v>
      </c>
      <c r="H100" s="364">
        <v>0</v>
      </c>
      <c r="I100" s="363">
        <f t="shared" si="117"/>
        <v>0</v>
      </c>
      <c r="J100" s="363">
        <v>0</v>
      </c>
      <c r="K100" s="364">
        <v>0</v>
      </c>
      <c r="L100" s="363">
        <f t="shared" si="118"/>
        <v>0</v>
      </c>
      <c r="M100" s="363">
        <f t="shared" si="119"/>
        <v>0</v>
      </c>
      <c r="N100" s="143">
        <f t="shared" si="120"/>
        <v>0</v>
      </c>
      <c r="P100" s="362">
        <v>0</v>
      </c>
      <c r="Q100" s="365">
        <v>0</v>
      </c>
      <c r="R100" s="9"/>
      <c r="S100" s="689" t="s">
        <v>224</v>
      </c>
      <c r="T100" s="665" t="s">
        <v>595</v>
      </c>
      <c r="U100" s="388">
        <v>121324579</v>
      </c>
      <c r="V100" s="15">
        <f t="shared" si="122"/>
        <v>0</v>
      </c>
      <c r="W100" s="15">
        <f t="shared" si="122"/>
        <v>0</v>
      </c>
      <c r="X100" s="16">
        <f t="shared" si="123"/>
        <v>121324579</v>
      </c>
      <c r="Y100" s="19">
        <v>0</v>
      </c>
      <c r="Z100" s="364">
        <v>0</v>
      </c>
      <c r="AA100" s="16">
        <f t="shared" si="124"/>
        <v>0</v>
      </c>
      <c r="AB100" s="19">
        <v>0</v>
      </c>
      <c r="AC100" s="364">
        <v>0</v>
      </c>
      <c r="AD100" s="18">
        <f t="shared" si="125"/>
        <v>0</v>
      </c>
      <c r="AE100" s="19">
        <v>0</v>
      </c>
      <c r="AF100" s="364">
        <v>0</v>
      </c>
      <c r="AG100" s="16">
        <f t="shared" si="126"/>
        <v>0</v>
      </c>
      <c r="AH100" s="19">
        <f t="shared" si="127"/>
        <v>121324579</v>
      </c>
      <c r="AI100" s="15">
        <f t="shared" si="128"/>
        <v>121324579</v>
      </c>
      <c r="AJ100" s="16">
        <f t="shared" si="129"/>
        <v>121324579</v>
      </c>
      <c r="AK100" s="30"/>
      <c r="AL100" s="362">
        <v>0</v>
      </c>
      <c r="AM100" s="365">
        <v>0</v>
      </c>
      <c r="AN100" s="9"/>
      <c r="AO100" s="284"/>
      <c r="AP100" s="284"/>
      <c r="AQ100" s="284"/>
      <c r="AR100" s="284"/>
      <c r="AS100" s="284"/>
      <c r="AT100" s="284"/>
      <c r="AU100" s="284"/>
      <c r="AV100" s="284"/>
      <c r="AW100" s="284"/>
      <c r="AX100" s="284"/>
      <c r="AY100" s="284"/>
      <c r="AZ100" s="284"/>
      <c r="BB100" s="451"/>
      <c r="BC100" s="451"/>
      <c r="BD100" s="451"/>
      <c r="BE100" s="451"/>
      <c r="BM100" s="451"/>
      <c r="BN100" s="451"/>
      <c r="BO100" s="451"/>
      <c r="BP100" s="451"/>
      <c r="BQ100" s="451"/>
      <c r="BR100" s="451"/>
    </row>
    <row r="101" spans="1:70" s="372" customFormat="1" ht="24.95" customHeight="1">
      <c r="A101" s="721" t="s">
        <v>545</v>
      </c>
      <c r="B101" s="745"/>
      <c r="C101" s="388">
        <v>0</v>
      </c>
      <c r="D101" s="363">
        <f t="shared" si="114"/>
        <v>0</v>
      </c>
      <c r="E101" s="363">
        <f t="shared" si="115"/>
        <v>0</v>
      </c>
      <c r="F101" s="363">
        <f t="shared" si="116"/>
        <v>0</v>
      </c>
      <c r="G101" s="363">
        <v>0</v>
      </c>
      <c r="H101" s="364">
        <v>0</v>
      </c>
      <c r="I101" s="363">
        <f t="shared" si="117"/>
        <v>0</v>
      </c>
      <c r="J101" s="363">
        <v>0</v>
      </c>
      <c r="K101" s="364">
        <v>0</v>
      </c>
      <c r="L101" s="363">
        <f t="shared" si="118"/>
        <v>0</v>
      </c>
      <c r="M101" s="363">
        <f t="shared" si="119"/>
        <v>0</v>
      </c>
      <c r="N101" s="143">
        <f t="shared" si="120"/>
        <v>0</v>
      </c>
      <c r="P101" s="362">
        <v>0</v>
      </c>
      <c r="Q101" s="365">
        <v>0</v>
      </c>
      <c r="R101" s="9"/>
      <c r="S101" s="689" t="s">
        <v>226</v>
      </c>
      <c r="T101" s="665" t="s">
        <v>397</v>
      </c>
      <c r="U101" s="388">
        <v>337233883</v>
      </c>
      <c r="V101" s="15">
        <f t="shared" si="122"/>
        <v>0</v>
      </c>
      <c r="W101" s="15">
        <f t="shared" si="122"/>
        <v>0</v>
      </c>
      <c r="X101" s="16">
        <f t="shared" si="123"/>
        <v>337233883</v>
      </c>
      <c r="Y101" s="19">
        <v>0</v>
      </c>
      <c r="Z101" s="364">
        <v>6600360</v>
      </c>
      <c r="AA101" s="16">
        <f t="shared" si="124"/>
        <v>6600360</v>
      </c>
      <c r="AB101" s="19">
        <v>0</v>
      </c>
      <c r="AC101" s="364">
        <v>6600360</v>
      </c>
      <c r="AD101" s="18">
        <f t="shared" si="125"/>
        <v>6600360</v>
      </c>
      <c r="AE101" s="19">
        <v>0</v>
      </c>
      <c r="AF101" s="364">
        <v>0</v>
      </c>
      <c r="AG101" s="16">
        <f t="shared" si="126"/>
        <v>0</v>
      </c>
      <c r="AH101" s="19">
        <f t="shared" si="127"/>
        <v>330633523</v>
      </c>
      <c r="AI101" s="15">
        <f t="shared" si="128"/>
        <v>330633523</v>
      </c>
      <c r="AJ101" s="16">
        <f t="shared" si="129"/>
        <v>337233883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
        <v>546</v>
      </c>
      <c r="B102" s="611" t="s">
        <v>547</v>
      </c>
      <c r="C102" s="478">
        <v>0</v>
      </c>
      <c r="D102" s="375">
        <f t="shared" si="114"/>
        <v>0</v>
      </c>
      <c r="E102" s="375">
        <f t="shared" si="115"/>
        <v>0</v>
      </c>
      <c r="F102" s="375">
        <f t="shared" si="116"/>
        <v>0</v>
      </c>
      <c r="G102" s="375">
        <v>0</v>
      </c>
      <c r="H102" s="378">
        <v>0</v>
      </c>
      <c r="I102" s="375">
        <f t="shared" si="117"/>
        <v>0</v>
      </c>
      <c r="J102" s="375">
        <v>0</v>
      </c>
      <c r="K102" s="378">
        <v>0</v>
      </c>
      <c r="L102" s="375">
        <f t="shared" si="118"/>
        <v>0</v>
      </c>
      <c r="M102" s="375">
        <f t="shared" si="119"/>
        <v>0</v>
      </c>
      <c r="N102" s="376">
        <f t="shared" si="120"/>
        <v>0</v>
      </c>
      <c r="P102" s="362">
        <v>0</v>
      </c>
      <c r="Q102" s="365">
        <v>0</v>
      </c>
      <c r="R102" s="9"/>
      <c r="S102" s="688">
        <v>1020399</v>
      </c>
      <c r="T102" s="664" t="s">
        <v>127</v>
      </c>
      <c r="U102" s="388">
        <v>172000000</v>
      </c>
      <c r="V102" s="15">
        <f t="shared" si="122"/>
        <v>0</v>
      </c>
      <c r="W102" s="15">
        <f t="shared" si="122"/>
        <v>0</v>
      </c>
      <c r="X102" s="16">
        <f t="shared" si="123"/>
        <v>172000000</v>
      </c>
      <c r="Y102" s="19">
        <v>0</v>
      </c>
      <c r="Z102" s="364">
        <v>0</v>
      </c>
      <c r="AA102" s="16">
        <f t="shared" si="124"/>
        <v>0</v>
      </c>
      <c r="AB102" s="19">
        <v>0</v>
      </c>
      <c r="AC102" s="364">
        <v>0</v>
      </c>
      <c r="AD102" s="18">
        <f t="shared" si="125"/>
        <v>0</v>
      </c>
      <c r="AE102" s="19">
        <v>0</v>
      </c>
      <c r="AF102" s="364">
        <v>0</v>
      </c>
      <c r="AG102" s="16">
        <f t="shared" si="126"/>
        <v>0</v>
      </c>
      <c r="AH102" s="19">
        <f t="shared" si="127"/>
        <v>172000000</v>
      </c>
      <c r="AI102" s="15">
        <f t="shared" si="128"/>
        <v>172000000</v>
      </c>
      <c r="AJ102" s="16">
        <f t="shared" si="129"/>
        <v>172000000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c r="B103" s="636"/>
      <c r="C103" s="470"/>
      <c r="D103" s="470"/>
      <c r="E103" s="470"/>
      <c r="F103" s="470"/>
      <c r="G103" s="470"/>
      <c r="H103" s="470"/>
      <c r="I103" s="470"/>
      <c r="J103" s="470"/>
      <c r="K103" s="470"/>
      <c r="L103" s="470"/>
      <c r="M103" s="470"/>
      <c r="N103" s="471"/>
      <c r="P103" s="472"/>
      <c r="Q103" s="471"/>
      <c r="R103" s="9"/>
      <c r="S103" s="356"/>
      <c r="T103" s="660"/>
      <c r="U103" s="161"/>
      <c r="V103" s="161"/>
      <c r="W103" s="161"/>
      <c r="X103" s="166"/>
      <c r="Y103" s="357"/>
      <c r="Z103" s="161"/>
      <c r="AA103" s="166"/>
      <c r="AB103" s="357"/>
      <c r="AC103" s="161"/>
      <c r="AD103" s="161"/>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v>11304</v>
      </c>
      <c r="B104" s="601" t="s">
        <v>93</v>
      </c>
      <c r="C104" s="600">
        <f>SUM(C105:C111)</f>
        <v>98172123</v>
      </c>
      <c r="D104" s="598">
        <f t="shared" ref="D104:N104" si="130">SUM(D105:D111)</f>
        <v>0</v>
      </c>
      <c r="E104" s="598">
        <f t="shared" si="130"/>
        <v>0</v>
      </c>
      <c r="F104" s="598">
        <f t="shared" si="130"/>
        <v>98172123</v>
      </c>
      <c r="G104" s="598">
        <f t="shared" si="130"/>
        <v>0</v>
      </c>
      <c r="H104" s="598">
        <f t="shared" si="130"/>
        <v>4290486</v>
      </c>
      <c r="I104" s="598">
        <f t="shared" si="130"/>
        <v>4290486</v>
      </c>
      <c r="J104" s="598">
        <f t="shared" si="130"/>
        <v>0</v>
      </c>
      <c r="K104" s="598">
        <f t="shared" si="130"/>
        <v>4290486</v>
      </c>
      <c r="L104" s="598">
        <f t="shared" si="130"/>
        <v>4290486</v>
      </c>
      <c r="M104" s="598">
        <f t="shared" si="130"/>
        <v>93881637</v>
      </c>
      <c r="N104" s="599">
        <f t="shared" si="130"/>
        <v>93881637</v>
      </c>
      <c r="P104" s="43">
        <f>SUM(P105:P111)</f>
        <v>0</v>
      </c>
      <c r="Q104" s="45">
        <f>SUM(Q105:Q111)</f>
        <v>0</v>
      </c>
      <c r="R104" s="9"/>
      <c r="S104" s="687">
        <v>1020400</v>
      </c>
      <c r="T104" s="663" t="s">
        <v>178</v>
      </c>
      <c r="U104" s="132">
        <f t="shared" ref="U104:AJ104" si="131">U105+U108</f>
        <v>421542354</v>
      </c>
      <c r="V104" s="122">
        <f t="shared" si="131"/>
        <v>0</v>
      </c>
      <c r="W104" s="122">
        <f t="shared" si="131"/>
        <v>0</v>
      </c>
      <c r="X104" s="130">
        <f t="shared" si="131"/>
        <v>421542354</v>
      </c>
      <c r="Y104" s="128">
        <f t="shared" si="131"/>
        <v>0</v>
      </c>
      <c r="Z104" s="122">
        <f t="shared" si="131"/>
        <v>8250450</v>
      </c>
      <c r="AA104" s="130">
        <f t="shared" si="131"/>
        <v>8250450</v>
      </c>
      <c r="AB104" s="128">
        <f t="shared" si="131"/>
        <v>0</v>
      </c>
      <c r="AC104" s="122">
        <f t="shared" si="131"/>
        <v>8250450</v>
      </c>
      <c r="AD104" s="129">
        <f t="shared" si="131"/>
        <v>8250450</v>
      </c>
      <c r="AE104" s="128">
        <f t="shared" si="131"/>
        <v>0</v>
      </c>
      <c r="AF104" s="122">
        <f t="shared" si="131"/>
        <v>0</v>
      </c>
      <c r="AG104" s="130">
        <f t="shared" si="131"/>
        <v>0</v>
      </c>
      <c r="AH104" s="128">
        <f t="shared" si="131"/>
        <v>413291904</v>
      </c>
      <c r="AI104" s="122">
        <f t="shared" si="131"/>
        <v>413291904</v>
      </c>
      <c r="AJ104" s="130">
        <f t="shared" si="131"/>
        <v>421542354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
        <v>548</v>
      </c>
      <c r="B105" s="602" t="s">
        <v>549</v>
      </c>
      <c r="C105" s="388">
        <v>35952047</v>
      </c>
      <c r="D105" s="363">
        <f t="shared" ref="D105:D111" si="132">P105</f>
        <v>0</v>
      </c>
      <c r="E105" s="363">
        <f t="shared" ref="E105:E111" si="133">Q105</f>
        <v>0</v>
      </c>
      <c r="F105" s="363">
        <f t="shared" ref="F105:F111" si="134">SUM(C105:E105)</f>
        <v>35952047</v>
      </c>
      <c r="G105" s="363">
        <v>0</v>
      </c>
      <c r="H105" s="364">
        <v>0</v>
      </c>
      <c r="I105" s="363">
        <f t="shared" ref="I105:I111" si="135">SUM(G105:H105)</f>
        <v>0</v>
      </c>
      <c r="J105" s="363">
        <v>0</v>
      </c>
      <c r="K105" s="364">
        <v>0</v>
      </c>
      <c r="L105" s="363">
        <f t="shared" ref="L105:L111" si="136">SUM(J105:K105)</f>
        <v>0</v>
      </c>
      <c r="M105" s="363">
        <f t="shared" ref="M105:M111" si="137">F105-I105</f>
        <v>35952047</v>
      </c>
      <c r="N105" s="143">
        <f t="shared" ref="N105:N111" si="138">F105-L105</f>
        <v>35952047</v>
      </c>
      <c r="P105" s="362">
        <v>0</v>
      </c>
      <c r="Q105" s="365">
        <v>0</v>
      </c>
      <c r="R105" s="9"/>
      <c r="S105" s="688">
        <v>1020402</v>
      </c>
      <c r="T105" s="664" t="s">
        <v>166</v>
      </c>
      <c r="U105" s="17">
        <f t="shared" ref="U105:AJ105" si="139">SUM(U106:U107)</f>
        <v>421542354</v>
      </c>
      <c r="V105" s="15">
        <f t="shared" si="139"/>
        <v>0</v>
      </c>
      <c r="W105" s="15">
        <f t="shared" si="139"/>
        <v>0</v>
      </c>
      <c r="X105" s="16">
        <f t="shared" si="139"/>
        <v>421542354</v>
      </c>
      <c r="Y105" s="19">
        <f t="shared" si="139"/>
        <v>0</v>
      </c>
      <c r="Z105" s="142">
        <f t="shared" si="139"/>
        <v>8250450</v>
      </c>
      <c r="AA105" s="16">
        <f t="shared" si="139"/>
        <v>8250450</v>
      </c>
      <c r="AB105" s="19">
        <f t="shared" si="139"/>
        <v>0</v>
      </c>
      <c r="AC105" s="142">
        <f t="shared" si="139"/>
        <v>8250450</v>
      </c>
      <c r="AD105" s="18">
        <f t="shared" si="139"/>
        <v>8250450</v>
      </c>
      <c r="AE105" s="19">
        <f t="shared" si="139"/>
        <v>0</v>
      </c>
      <c r="AF105" s="142">
        <f t="shared" si="139"/>
        <v>0</v>
      </c>
      <c r="AG105" s="16">
        <f t="shared" si="139"/>
        <v>0</v>
      </c>
      <c r="AH105" s="19">
        <f t="shared" si="139"/>
        <v>413291904</v>
      </c>
      <c r="AI105" s="15">
        <f t="shared" si="139"/>
        <v>413291904</v>
      </c>
      <c r="AJ105" s="16">
        <f t="shared" si="139"/>
        <v>421542354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
        <v>550</v>
      </c>
      <c r="B106" s="603" t="s">
        <v>551</v>
      </c>
      <c r="C106" s="388">
        <v>0</v>
      </c>
      <c r="D106" s="363">
        <f t="shared" si="132"/>
        <v>0</v>
      </c>
      <c r="E106" s="363">
        <f t="shared" si="133"/>
        <v>0</v>
      </c>
      <c r="F106" s="363">
        <f t="shared" si="134"/>
        <v>0</v>
      </c>
      <c r="G106" s="363">
        <v>0</v>
      </c>
      <c r="H106" s="364">
        <v>0</v>
      </c>
      <c r="I106" s="363">
        <f t="shared" si="135"/>
        <v>0</v>
      </c>
      <c r="J106" s="363">
        <v>0</v>
      </c>
      <c r="K106" s="364">
        <v>0</v>
      </c>
      <c r="L106" s="363">
        <f t="shared" si="136"/>
        <v>0</v>
      </c>
      <c r="M106" s="363">
        <f t="shared" si="137"/>
        <v>0</v>
      </c>
      <c r="N106" s="143">
        <f t="shared" si="138"/>
        <v>0</v>
      </c>
      <c r="P106" s="362">
        <v>0</v>
      </c>
      <c r="Q106" s="365">
        <v>0</v>
      </c>
      <c r="R106" s="9"/>
      <c r="S106" s="689" t="s">
        <v>231</v>
      </c>
      <c r="T106" s="665" t="s">
        <v>398</v>
      </c>
      <c r="U106" s="388">
        <v>168616942</v>
      </c>
      <c r="V106" s="15">
        <f t="shared" ref="V106:W108" si="140">AL106</f>
        <v>0</v>
      </c>
      <c r="W106" s="15">
        <f t="shared" si="140"/>
        <v>0</v>
      </c>
      <c r="X106" s="16">
        <f>SUM(U106:W106)</f>
        <v>168616942</v>
      </c>
      <c r="Y106" s="19">
        <v>0</v>
      </c>
      <c r="Z106" s="364">
        <v>3300180</v>
      </c>
      <c r="AA106" s="16">
        <f>SUM(Y106:Z106)</f>
        <v>3300180</v>
      </c>
      <c r="AB106" s="19">
        <v>0</v>
      </c>
      <c r="AC106" s="364">
        <v>3300180</v>
      </c>
      <c r="AD106" s="18">
        <f>SUM(AB106:AC106)</f>
        <v>3300180</v>
      </c>
      <c r="AE106" s="19">
        <v>0</v>
      </c>
      <c r="AF106" s="364">
        <v>0</v>
      </c>
      <c r="AG106" s="16">
        <f>SUM(AE106:AF106)</f>
        <v>0</v>
      </c>
      <c r="AH106" s="19">
        <f>X106-AA106</f>
        <v>165316762</v>
      </c>
      <c r="AI106" s="15">
        <f>X106-AD106</f>
        <v>165316762</v>
      </c>
      <c r="AJ106" s="16">
        <f>X106-AG106</f>
        <v>168616942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
        <v>552</v>
      </c>
      <c r="B107" s="602" t="s">
        <v>265</v>
      </c>
      <c r="C107" s="388">
        <v>0</v>
      </c>
      <c r="D107" s="363">
        <f t="shared" si="132"/>
        <v>0</v>
      </c>
      <c r="E107" s="363">
        <f t="shared" si="133"/>
        <v>0</v>
      </c>
      <c r="F107" s="363">
        <f t="shared" si="134"/>
        <v>0</v>
      </c>
      <c r="G107" s="363">
        <v>0</v>
      </c>
      <c r="H107" s="364">
        <v>0</v>
      </c>
      <c r="I107" s="363">
        <f t="shared" si="135"/>
        <v>0</v>
      </c>
      <c r="J107" s="363">
        <v>0</v>
      </c>
      <c r="K107" s="364">
        <v>0</v>
      </c>
      <c r="L107" s="363">
        <f t="shared" si="136"/>
        <v>0</v>
      </c>
      <c r="M107" s="363">
        <f t="shared" si="137"/>
        <v>0</v>
      </c>
      <c r="N107" s="143">
        <f t="shared" si="138"/>
        <v>0</v>
      </c>
      <c r="P107" s="362">
        <v>0</v>
      </c>
      <c r="Q107" s="365">
        <v>0</v>
      </c>
      <c r="R107" s="9"/>
      <c r="S107" s="689" t="s">
        <v>232</v>
      </c>
      <c r="T107" s="665" t="s">
        <v>399</v>
      </c>
      <c r="U107" s="388">
        <v>252925412</v>
      </c>
      <c r="V107" s="15">
        <f t="shared" si="140"/>
        <v>0</v>
      </c>
      <c r="W107" s="15">
        <f t="shared" si="140"/>
        <v>0</v>
      </c>
      <c r="X107" s="16">
        <f>SUM(U107:W107)</f>
        <v>252925412</v>
      </c>
      <c r="Y107" s="19">
        <v>0</v>
      </c>
      <c r="Z107" s="364">
        <v>4950270</v>
      </c>
      <c r="AA107" s="16">
        <f>SUM(Y107:Z107)</f>
        <v>4950270</v>
      </c>
      <c r="AB107" s="19">
        <v>0</v>
      </c>
      <c r="AC107" s="364">
        <v>4950270</v>
      </c>
      <c r="AD107" s="18">
        <f>SUM(AB107:AC107)</f>
        <v>4950270</v>
      </c>
      <c r="AE107" s="19">
        <v>0</v>
      </c>
      <c r="AF107" s="364">
        <v>0</v>
      </c>
      <c r="AG107" s="16">
        <f>SUM(AE107:AF107)</f>
        <v>0</v>
      </c>
      <c r="AH107" s="19">
        <f>X107-AA107</f>
        <v>247975142</v>
      </c>
      <c r="AI107" s="15">
        <f>X107-AD107</f>
        <v>247975142</v>
      </c>
      <c r="AJ107" s="16">
        <f>X107-AG107</f>
        <v>252925412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
        <v>553</v>
      </c>
      <c r="B108" s="602" t="s">
        <v>348</v>
      </c>
      <c r="C108" s="388">
        <v>0</v>
      </c>
      <c r="D108" s="363">
        <f t="shared" si="132"/>
        <v>0</v>
      </c>
      <c r="E108" s="363">
        <f t="shared" si="133"/>
        <v>0</v>
      </c>
      <c r="F108" s="363">
        <f t="shared" si="134"/>
        <v>0</v>
      </c>
      <c r="G108" s="363">
        <v>0</v>
      </c>
      <c r="H108" s="364">
        <v>0</v>
      </c>
      <c r="I108" s="363">
        <f t="shared" si="135"/>
        <v>0</v>
      </c>
      <c r="J108" s="363">
        <v>0</v>
      </c>
      <c r="K108" s="364">
        <v>0</v>
      </c>
      <c r="L108" s="363">
        <f t="shared" si="136"/>
        <v>0</v>
      </c>
      <c r="M108" s="363">
        <f t="shared" si="137"/>
        <v>0</v>
      </c>
      <c r="N108" s="143">
        <f t="shared" si="138"/>
        <v>0</v>
      </c>
      <c r="P108" s="362">
        <v>0</v>
      </c>
      <c r="Q108" s="365">
        <v>0</v>
      </c>
      <c r="R108" s="9"/>
      <c r="S108" s="688">
        <v>1020499</v>
      </c>
      <c r="T108" s="664" t="s">
        <v>127</v>
      </c>
      <c r="U108" s="388">
        <v>0</v>
      </c>
      <c r="V108" s="15">
        <f t="shared" si="140"/>
        <v>0</v>
      </c>
      <c r="W108" s="15">
        <f t="shared" si="140"/>
        <v>0</v>
      </c>
      <c r="X108" s="16">
        <f>SUM(U108:W108)</f>
        <v>0</v>
      </c>
      <c r="Y108" s="19">
        <v>0</v>
      </c>
      <c r="Z108" s="364">
        <v>0</v>
      </c>
      <c r="AA108" s="16">
        <f>SUM(Y108:Z108)</f>
        <v>0</v>
      </c>
      <c r="AB108" s="19">
        <v>0</v>
      </c>
      <c r="AC108" s="364">
        <v>0</v>
      </c>
      <c r="AD108" s="18">
        <f>SUM(AB108:AC108)</f>
        <v>0</v>
      </c>
      <c r="AE108" s="19">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
        <v>554</v>
      </c>
      <c r="B109" s="602" t="s">
        <v>384</v>
      </c>
      <c r="C109" s="388">
        <v>62220076</v>
      </c>
      <c r="D109" s="363">
        <f t="shared" si="132"/>
        <v>0</v>
      </c>
      <c r="E109" s="363">
        <f t="shared" si="133"/>
        <v>0</v>
      </c>
      <c r="F109" s="363">
        <f t="shared" si="134"/>
        <v>62220076</v>
      </c>
      <c r="G109" s="363">
        <v>0</v>
      </c>
      <c r="H109" s="364">
        <v>4290486</v>
      </c>
      <c r="I109" s="363">
        <f t="shared" si="135"/>
        <v>4290486</v>
      </c>
      <c r="J109" s="363">
        <v>0</v>
      </c>
      <c r="K109" s="364">
        <v>4290486</v>
      </c>
      <c r="L109" s="363">
        <f t="shared" si="136"/>
        <v>4290486</v>
      </c>
      <c r="M109" s="363">
        <f t="shared" si="137"/>
        <v>57929590</v>
      </c>
      <c r="N109" s="143">
        <f t="shared" si="138"/>
        <v>57929590</v>
      </c>
      <c r="P109" s="362">
        <v>0</v>
      </c>
      <c r="Q109" s="365">
        <v>0</v>
      </c>
      <c r="R109" s="9"/>
      <c r="S109" s="356"/>
      <c r="T109" s="660"/>
      <c r="U109" s="161"/>
      <c r="V109" s="161"/>
      <c r="W109" s="161"/>
      <c r="X109" s="166"/>
      <c r="Y109" s="357"/>
      <c r="Z109" s="161"/>
      <c r="AA109" s="166"/>
      <c r="AB109" s="357"/>
      <c r="AC109" s="161"/>
      <c r="AD109" s="161"/>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
        <v>555</v>
      </c>
      <c r="B110" s="602" t="s">
        <v>80</v>
      </c>
      <c r="C110" s="388">
        <v>0</v>
      </c>
      <c r="D110" s="363">
        <f t="shared" si="132"/>
        <v>0</v>
      </c>
      <c r="E110" s="363">
        <f t="shared" si="133"/>
        <v>0</v>
      </c>
      <c r="F110" s="363">
        <f t="shared" si="134"/>
        <v>0</v>
      </c>
      <c r="G110" s="363">
        <v>0</v>
      </c>
      <c r="H110" s="364">
        <v>0</v>
      </c>
      <c r="I110" s="363">
        <f t="shared" si="135"/>
        <v>0</v>
      </c>
      <c r="J110" s="363">
        <v>0</v>
      </c>
      <c r="K110" s="364">
        <v>0</v>
      </c>
      <c r="L110" s="363">
        <f t="shared" si="136"/>
        <v>0</v>
      </c>
      <c r="M110" s="363">
        <f t="shared" si="137"/>
        <v>0</v>
      </c>
      <c r="N110" s="143">
        <f t="shared" si="138"/>
        <v>0</v>
      </c>
      <c r="P110" s="362">
        <v>0</v>
      </c>
      <c r="Q110" s="365">
        <v>0</v>
      </c>
      <c r="R110" s="9"/>
      <c r="S110" s="686">
        <v>2000000</v>
      </c>
      <c r="T110" s="668" t="s">
        <v>235</v>
      </c>
      <c r="U110" s="460">
        <f t="shared" ref="U110:AJ110" si="141">U112+U145</f>
        <v>11975719527</v>
      </c>
      <c r="V110" s="461">
        <f t="shared" si="141"/>
        <v>0</v>
      </c>
      <c r="W110" s="461">
        <f t="shared" si="141"/>
        <v>800000000</v>
      </c>
      <c r="X110" s="370">
        <f t="shared" si="141"/>
        <v>12775719527</v>
      </c>
      <c r="Y110" s="369">
        <f t="shared" si="141"/>
        <v>0</v>
      </c>
      <c r="Z110" s="461">
        <f t="shared" si="141"/>
        <v>5234093666</v>
      </c>
      <c r="AA110" s="370">
        <f t="shared" si="141"/>
        <v>5234093666</v>
      </c>
      <c r="AB110" s="369">
        <f t="shared" si="141"/>
        <v>0</v>
      </c>
      <c r="AC110" s="461">
        <f t="shared" si="141"/>
        <v>1237768982</v>
      </c>
      <c r="AD110" s="462">
        <f t="shared" si="141"/>
        <v>1237768982</v>
      </c>
      <c r="AE110" s="369">
        <f t="shared" si="141"/>
        <v>0</v>
      </c>
      <c r="AF110" s="461">
        <f t="shared" si="141"/>
        <v>734919480</v>
      </c>
      <c r="AG110" s="370">
        <f t="shared" si="141"/>
        <v>734919480</v>
      </c>
      <c r="AH110" s="369">
        <f t="shared" si="141"/>
        <v>7541625861</v>
      </c>
      <c r="AI110" s="461">
        <f t="shared" si="141"/>
        <v>11537950545</v>
      </c>
      <c r="AJ110" s="370">
        <f t="shared" si="141"/>
        <v>12040800047</v>
      </c>
      <c r="AK110" s="10"/>
      <c r="AL110" s="128">
        <f>AL112+AL145</f>
        <v>0</v>
      </c>
      <c r="AM110" s="130">
        <f>AM112+AM145</f>
        <v>800000000</v>
      </c>
      <c r="AN110" s="9"/>
      <c r="AO110" s="284"/>
      <c r="AP110" s="284"/>
      <c r="AQ110" s="284"/>
      <c r="AR110" s="284"/>
      <c r="AS110" s="284"/>
      <c r="AT110" s="284"/>
      <c r="AU110" s="284"/>
      <c r="AV110" s="284"/>
      <c r="AW110" s="284"/>
      <c r="AX110" s="284"/>
      <c r="AY110" s="284"/>
      <c r="AZ110" s="284"/>
    </row>
    <row r="111" spans="1:70" s="372" customFormat="1" ht="24.95" customHeight="1" thickBot="1">
      <c r="A111" s="721" t="s">
        <v>556</v>
      </c>
      <c r="B111" s="637" t="s">
        <v>547</v>
      </c>
      <c r="C111" s="478">
        <v>0</v>
      </c>
      <c r="D111" s="375">
        <f t="shared" si="132"/>
        <v>0</v>
      </c>
      <c r="E111" s="375">
        <f t="shared" si="133"/>
        <v>0</v>
      </c>
      <c r="F111" s="375">
        <f t="shared" si="134"/>
        <v>0</v>
      </c>
      <c r="G111" s="375">
        <v>0</v>
      </c>
      <c r="H111" s="378">
        <v>0</v>
      </c>
      <c r="I111" s="375">
        <f t="shared" si="135"/>
        <v>0</v>
      </c>
      <c r="J111" s="375">
        <v>0</v>
      </c>
      <c r="K111" s="378">
        <v>0</v>
      </c>
      <c r="L111" s="375">
        <f t="shared" si="136"/>
        <v>0</v>
      </c>
      <c r="M111" s="375">
        <f t="shared" si="137"/>
        <v>0</v>
      </c>
      <c r="N111" s="376">
        <f t="shared" si="138"/>
        <v>0</v>
      </c>
      <c r="P111" s="362">
        <v>0</v>
      </c>
      <c r="Q111" s="365">
        <v>0</v>
      </c>
      <c r="R111" s="9"/>
      <c r="S111" s="356"/>
      <c r="T111" s="660"/>
      <c r="U111" s="161"/>
      <c r="V111" s="161"/>
      <c r="W111" s="161"/>
      <c r="X111" s="166"/>
      <c r="Y111" s="357"/>
      <c r="Z111" s="161"/>
      <c r="AA111" s="166"/>
      <c r="AB111" s="357"/>
      <c r="AC111" s="161"/>
      <c r="AD111" s="161"/>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c r="B112" s="636"/>
      <c r="C112" s="470"/>
      <c r="D112" s="470"/>
      <c r="E112" s="470"/>
      <c r="F112" s="470"/>
      <c r="G112" s="470"/>
      <c r="H112" s="470"/>
      <c r="I112" s="470"/>
      <c r="J112" s="470"/>
      <c r="K112" s="470"/>
      <c r="L112" s="470"/>
      <c r="M112" s="470"/>
      <c r="N112" s="471"/>
      <c r="P112" s="472"/>
      <c r="Q112" s="471"/>
      <c r="R112" s="9"/>
      <c r="S112" s="686">
        <v>2010000</v>
      </c>
      <c r="T112" s="662" t="s">
        <v>64</v>
      </c>
      <c r="U112" s="132">
        <f t="shared" ref="U112:AJ112" si="142">U114+U123+U141</f>
        <v>6052082264</v>
      </c>
      <c r="V112" s="122">
        <f t="shared" si="142"/>
        <v>0</v>
      </c>
      <c r="W112" s="122">
        <f t="shared" si="142"/>
        <v>500000000</v>
      </c>
      <c r="X112" s="130">
        <f t="shared" si="142"/>
        <v>6552082264</v>
      </c>
      <c r="Y112" s="128">
        <f t="shared" si="142"/>
        <v>0</v>
      </c>
      <c r="Z112" s="122">
        <f t="shared" si="142"/>
        <v>1720080325</v>
      </c>
      <c r="AA112" s="130">
        <f t="shared" si="142"/>
        <v>1720080325</v>
      </c>
      <c r="AB112" s="128">
        <f t="shared" si="142"/>
        <v>0</v>
      </c>
      <c r="AC112" s="122">
        <f t="shared" si="142"/>
        <v>512691137</v>
      </c>
      <c r="AD112" s="129">
        <f t="shared" si="142"/>
        <v>512691137</v>
      </c>
      <c r="AE112" s="128">
        <f t="shared" si="142"/>
        <v>0</v>
      </c>
      <c r="AF112" s="122">
        <f t="shared" si="142"/>
        <v>340984372</v>
      </c>
      <c r="AG112" s="130">
        <f t="shared" si="142"/>
        <v>340984372</v>
      </c>
      <c r="AH112" s="128">
        <f t="shared" si="142"/>
        <v>4832001939</v>
      </c>
      <c r="AI112" s="122">
        <f t="shared" si="142"/>
        <v>6039391127</v>
      </c>
      <c r="AJ112" s="130">
        <f t="shared" si="142"/>
        <v>6211097892</v>
      </c>
      <c r="AK112" s="9"/>
      <c r="AL112" s="128">
        <f>AL114+AL123+AL141</f>
        <v>0</v>
      </c>
      <c r="AM112" s="130">
        <f>AM114+AM123+AM141</f>
        <v>500000000</v>
      </c>
      <c r="AN112" s="9"/>
      <c r="AO112" s="284"/>
      <c r="AP112" s="284"/>
      <c r="AQ112" s="284"/>
      <c r="AR112" s="284"/>
      <c r="AS112" s="284"/>
      <c r="AT112" s="284"/>
      <c r="AU112" s="284"/>
      <c r="AV112" s="284"/>
      <c r="AW112" s="284"/>
      <c r="AX112" s="284"/>
      <c r="AY112" s="284"/>
      <c r="AZ112" s="284"/>
    </row>
    <row r="113" spans="1:52" s="372" customFormat="1" ht="24.95" customHeight="1" thickBot="1">
      <c r="A113" s="711">
        <v>2000</v>
      </c>
      <c r="B113" s="623" t="s">
        <v>98</v>
      </c>
      <c r="C113" s="606">
        <f>SUM(C115:C124)</f>
        <v>200295319</v>
      </c>
      <c r="D113" s="607">
        <f>SUM(D115:D124)</f>
        <v>0</v>
      </c>
      <c r="E113" s="607">
        <f t="shared" ref="E113:N113" si="143">SUM(E115:E124)</f>
        <v>0</v>
      </c>
      <c r="F113" s="607">
        <f t="shared" si="143"/>
        <v>200295319</v>
      </c>
      <c r="G113" s="607">
        <f t="shared" si="143"/>
        <v>0</v>
      </c>
      <c r="H113" s="607">
        <f t="shared" si="143"/>
        <v>2997987</v>
      </c>
      <c r="I113" s="607">
        <f t="shared" si="143"/>
        <v>2997987</v>
      </c>
      <c r="J113" s="607">
        <f t="shared" si="143"/>
        <v>0</v>
      </c>
      <c r="K113" s="607">
        <f t="shared" si="143"/>
        <v>2997987</v>
      </c>
      <c r="L113" s="607">
        <f t="shared" si="143"/>
        <v>2997987</v>
      </c>
      <c r="M113" s="607">
        <f t="shared" si="143"/>
        <v>197297332</v>
      </c>
      <c r="N113" s="608">
        <f t="shared" si="143"/>
        <v>197297332</v>
      </c>
      <c r="O113" s="451"/>
      <c r="P113" s="174">
        <f>SUM(P115:P124)</f>
        <v>0</v>
      </c>
      <c r="Q113" s="175">
        <f>SUM(Q115:Q124)</f>
        <v>0</v>
      </c>
      <c r="R113" s="9"/>
      <c r="S113" s="356"/>
      <c r="T113" s="660"/>
      <c r="U113" s="161"/>
      <c r="V113" s="161"/>
      <c r="W113" s="161"/>
      <c r="X113" s="166"/>
      <c r="Y113" s="357"/>
      <c r="Z113" s="161"/>
      <c r="AA113" s="166"/>
      <c r="AB113" s="357"/>
      <c r="AC113" s="161"/>
      <c r="AD113" s="161"/>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c r="B114" s="636"/>
      <c r="C114" s="470"/>
      <c r="D114" s="470"/>
      <c r="E114" s="470"/>
      <c r="F114" s="470"/>
      <c r="G114" s="470"/>
      <c r="H114" s="470"/>
      <c r="I114" s="470"/>
      <c r="J114" s="470"/>
      <c r="K114" s="470"/>
      <c r="L114" s="470"/>
      <c r="M114" s="470"/>
      <c r="N114" s="471"/>
      <c r="P114" s="472"/>
      <c r="Q114" s="471"/>
      <c r="R114" s="9"/>
      <c r="S114" s="687">
        <v>2010100</v>
      </c>
      <c r="T114" s="663" t="s">
        <v>236</v>
      </c>
      <c r="U114" s="132">
        <f t="shared" ref="U114:AJ114" si="144">SUM(U115:U121)</f>
        <v>2750000000</v>
      </c>
      <c r="V114" s="122">
        <f t="shared" si="144"/>
        <v>0</v>
      </c>
      <c r="W114" s="122">
        <f t="shared" si="144"/>
        <v>400000000</v>
      </c>
      <c r="X114" s="130">
        <f t="shared" si="144"/>
        <v>3150000000</v>
      </c>
      <c r="Y114" s="128">
        <f t="shared" si="144"/>
        <v>0</v>
      </c>
      <c r="Z114" s="122">
        <f t="shared" si="144"/>
        <v>236971891</v>
      </c>
      <c r="AA114" s="130">
        <f t="shared" si="144"/>
        <v>236971891</v>
      </c>
      <c r="AB114" s="128">
        <f t="shared" si="144"/>
        <v>0</v>
      </c>
      <c r="AC114" s="122">
        <f t="shared" si="144"/>
        <v>219418909</v>
      </c>
      <c r="AD114" s="129">
        <f t="shared" si="144"/>
        <v>219418909</v>
      </c>
      <c r="AE114" s="128">
        <f t="shared" si="144"/>
        <v>0</v>
      </c>
      <c r="AF114" s="122">
        <f t="shared" si="144"/>
        <v>198273594</v>
      </c>
      <c r="AG114" s="130">
        <f t="shared" si="144"/>
        <v>198273594</v>
      </c>
      <c r="AH114" s="128">
        <f t="shared" si="144"/>
        <v>2913028109</v>
      </c>
      <c r="AI114" s="122">
        <f t="shared" si="144"/>
        <v>2930581091</v>
      </c>
      <c r="AJ114" s="130">
        <f t="shared" si="144"/>
        <v>2951726406</v>
      </c>
      <c r="AK114" s="9"/>
      <c r="AL114" s="128">
        <f>SUM(AL115:AL121)</f>
        <v>0</v>
      </c>
      <c r="AM114" s="130">
        <f>SUM(AM115:AM121)</f>
        <v>400000000</v>
      </c>
      <c r="AN114" s="9"/>
      <c r="AO114" s="284"/>
      <c r="AP114" s="284"/>
      <c r="AQ114" s="284"/>
      <c r="AR114" s="284"/>
      <c r="AS114" s="284"/>
      <c r="AT114" s="284"/>
      <c r="AU114" s="284"/>
      <c r="AV114" s="284"/>
      <c r="AW114" s="284"/>
      <c r="AX114" s="284"/>
      <c r="AY114" s="284"/>
      <c r="AZ114" s="284"/>
    </row>
    <row r="115" spans="1:52" s="372" customFormat="1" ht="24.95" customHeight="1">
      <c r="A115" s="723">
        <v>2100</v>
      </c>
      <c r="B115" s="609" t="s">
        <v>385</v>
      </c>
      <c r="C115" s="362">
        <v>0</v>
      </c>
      <c r="D115" s="454">
        <f t="shared" ref="D115:D122" si="145">P115</f>
        <v>0</v>
      </c>
      <c r="E115" s="454">
        <f t="shared" ref="E115:E122" si="146">Q115</f>
        <v>0</v>
      </c>
      <c r="F115" s="458">
        <f t="shared" ref="F115:F122" si="147">SUM(C115:E115)</f>
        <v>0</v>
      </c>
      <c r="G115" s="456">
        <v>0</v>
      </c>
      <c r="H115" s="364">
        <v>0</v>
      </c>
      <c r="I115" s="458">
        <f t="shared" ref="I115:I122" si="148">SUM(G115:H115)</f>
        <v>0</v>
      </c>
      <c r="J115" s="456">
        <v>0</v>
      </c>
      <c r="K115" s="364">
        <v>0</v>
      </c>
      <c r="L115" s="455">
        <f t="shared" ref="L115:L122" si="149">SUM(J115:K115)</f>
        <v>0</v>
      </c>
      <c r="M115" s="459">
        <f t="shared" ref="M115:M122" si="150">F115-I115</f>
        <v>0</v>
      </c>
      <c r="N115" s="455">
        <f t="shared" ref="N115:N122" si="151">F115-L115</f>
        <v>0</v>
      </c>
      <c r="O115" s="451"/>
      <c r="P115" s="362">
        <v>0</v>
      </c>
      <c r="Q115" s="365">
        <v>0</v>
      </c>
      <c r="R115" s="9"/>
      <c r="S115" s="688" t="s">
        <v>237</v>
      </c>
      <c r="T115" s="664" t="s">
        <v>238</v>
      </c>
      <c r="U115" s="388">
        <v>2350000000</v>
      </c>
      <c r="V115" s="15">
        <f t="shared" ref="V115:W121" si="152">AL115</f>
        <v>0</v>
      </c>
      <c r="W115" s="15">
        <f t="shared" si="152"/>
        <v>0</v>
      </c>
      <c r="X115" s="16">
        <f t="shared" ref="X115:X121" si="153">SUM(U115:W115)</f>
        <v>2350000000</v>
      </c>
      <c r="Y115" s="19">
        <v>0</v>
      </c>
      <c r="Z115" s="364">
        <v>5236000</v>
      </c>
      <c r="AA115" s="16">
        <f t="shared" ref="AA115:AA121" si="154">SUM(Y115:Z115)</f>
        <v>5236000</v>
      </c>
      <c r="AB115" s="19">
        <v>0</v>
      </c>
      <c r="AC115" s="364">
        <v>5236000</v>
      </c>
      <c r="AD115" s="18">
        <f t="shared" ref="AD115:AD121" si="155">SUM(AB115:AC115)</f>
        <v>5236000</v>
      </c>
      <c r="AE115" s="19">
        <v>0</v>
      </c>
      <c r="AF115" s="364">
        <v>0</v>
      </c>
      <c r="AG115" s="16">
        <f t="shared" ref="AG115:AG121" si="156">SUM(AE115:AF115)</f>
        <v>0</v>
      </c>
      <c r="AH115" s="19">
        <f t="shared" ref="AH115:AH121" si="157">X115-AA115</f>
        <v>2344764000</v>
      </c>
      <c r="AI115" s="15">
        <f t="shared" ref="AI115:AI121" si="158">X115-AD115</f>
        <v>2344764000</v>
      </c>
      <c r="AJ115" s="16">
        <f t="shared" ref="AJ115:AJ121" si="159">X115-AG115</f>
        <v>2350000000</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
        <v>233</v>
      </c>
      <c r="B116" s="610" t="s">
        <v>547</v>
      </c>
      <c r="C116" s="362">
        <v>0</v>
      </c>
      <c r="D116" s="454">
        <f t="shared" si="145"/>
        <v>0</v>
      </c>
      <c r="E116" s="454">
        <f t="shared" si="146"/>
        <v>0</v>
      </c>
      <c r="F116" s="458">
        <f t="shared" si="147"/>
        <v>0</v>
      </c>
      <c r="G116" s="456">
        <v>0</v>
      </c>
      <c r="H116" s="364">
        <v>0</v>
      </c>
      <c r="I116" s="458">
        <f t="shared" si="148"/>
        <v>0</v>
      </c>
      <c r="J116" s="456">
        <v>0</v>
      </c>
      <c r="K116" s="364">
        <v>0</v>
      </c>
      <c r="L116" s="455">
        <f t="shared" si="149"/>
        <v>0</v>
      </c>
      <c r="M116" s="459">
        <f t="shared" si="150"/>
        <v>0</v>
      </c>
      <c r="N116" s="455">
        <f t="shared" si="151"/>
        <v>0</v>
      </c>
      <c r="O116" s="451"/>
      <c r="P116" s="362">
        <v>0</v>
      </c>
      <c r="Q116" s="365">
        <v>0</v>
      </c>
      <c r="R116" s="9"/>
      <c r="S116" s="688" t="s">
        <v>240</v>
      </c>
      <c r="T116" s="664" t="s">
        <v>241</v>
      </c>
      <c r="U116" s="388">
        <v>300000000</v>
      </c>
      <c r="V116" s="15">
        <f t="shared" si="152"/>
        <v>0</v>
      </c>
      <c r="W116" s="15">
        <f t="shared" si="152"/>
        <v>0</v>
      </c>
      <c r="X116" s="16">
        <f t="shared" si="153"/>
        <v>300000000</v>
      </c>
      <c r="Y116" s="19">
        <v>0</v>
      </c>
      <c r="Z116" s="364">
        <v>35938833</v>
      </c>
      <c r="AA116" s="16">
        <f t="shared" si="154"/>
        <v>35938833</v>
      </c>
      <c r="AB116" s="19">
        <v>0</v>
      </c>
      <c r="AC116" s="364">
        <v>18385851</v>
      </c>
      <c r="AD116" s="18">
        <f t="shared" si="155"/>
        <v>18385851</v>
      </c>
      <c r="AE116" s="19">
        <v>0</v>
      </c>
      <c r="AF116" s="364">
        <v>2476536</v>
      </c>
      <c r="AG116" s="16">
        <f t="shared" si="156"/>
        <v>2476536</v>
      </c>
      <c r="AH116" s="19">
        <f t="shared" si="157"/>
        <v>264061167</v>
      </c>
      <c r="AI116" s="15">
        <f t="shared" si="158"/>
        <v>281614149</v>
      </c>
      <c r="AJ116" s="16">
        <f t="shared" si="159"/>
        <v>297523464</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v>2200</v>
      </c>
      <c r="B117" s="609" t="s">
        <v>386</v>
      </c>
      <c r="C117" s="362">
        <v>0</v>
      </c>
      <c r="D117" s="454">
        <f t="shared" si="145"/>
        <v>0</v>
      </c>
      <c r="E117" s="454">
        <f t="shared" si="146"/>
        <v>0</v>
      </c>
      <c r="F117" s="458">
        <f t="shared" si="147"/>
        <v>0</v>
      </c>
      <c r="G117" s="456">
        <v>0</v>
      </c>
      <c r="H117" s="364">
        <v>0</v>
      </c>
      <c r="I117" s="458">
        <f t="shared" si="148"/>
        <v>0</v>
      </c>
      <c r="J117" s="456">
        <v>0</v>
      </c>
      <c r="K117" s="364">
        <v>0</v>
      </c>
      <c r="L117" s="455">
        <f t="shared" si="149"/>
        <v>0</v>
      </c>
      <c r="M117" s="459">
        <f t="shared" si="150"/>
        <v>0</v>
      </c>
      <c r="N117" s="455">
        <f t="shared" si="151"/>
        <v>0</v>
      </c>
      <c r="O117" s="451"/>
      <c r="P117" s="362">
        <v>0</v>
      </c>
      <c r="Q117" s="365">
        <v>0</v>
      </c>
      <c r="R117" s="9"/>
      <c r="S117" s="688" t="s">
        <v>243</v>
      </c>
      <c r="T117" s="664" t="s">
        <v>244</v>
      </c>
      <c r="U117" s="388">
        <v>0</v>
      </c>
      <c r="V117" s="15">
        <f t="shared" si="152"/>
        <v>0</v>
      </c>
      <c r="W117" s="15">
        <f t="shared" si="152"/>
        <v>0</v>
      </c>
      <c r="X117" s="16">
        <f t="shared" si="153"/>
        <v>0</v>
      </c>
      <c r="Y117" s="19">
        <v>0</v>
      </c>
      <c r="Z117" s="364">
        <v>0</v>
      </c>
      <c r="AA117" s="16">
        <f t="shared" si="154"/>
        <v>0</v>
      </c>
      <c r="AB117" s="19">
        <v>0</v>
      </c>
      <c r="AC117" s="364">
        <v>0</v>
      </c>
      <c r="AD117" s="18">
        <f t="shared" si="155"/>
        <v>0</v>
      </c>
      <c r="AE117" s="19">
        <v>0</v>
      </c>
      <c r="AF117" s="364">
        <v>0</v>
      </c>
      <c r="AG117" s="16">
        <f t="shared" si="156"/>
        <v>0</v>
      </c>
      <c r="AH117" s="19">
        <f t="shared" si="157"/>
        <v>0</v>
      </c>
      <c r="AI117" s="15">
        <f t="shared" si="158"/>
        <v>0</v>
      </c>
      <c r="AJ117" s="16">
        <f t="shared" si="159"/>
        <v>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
        <v>234</v>
      </c>
      <c r="B118" s="610" t="s">
        <v>547</v>
      </c>
      <c r="C118" s="362">
        <v>0</v>
      </c>
      <c r="D118" s="454">
        <f t="shared" si="145"/>
        <v>0</v>
      </c>
      <c r="E118" s="454">
        <f t="shared" si="146"/>
        <v>0</v>
      </c>
      <c r="F118" s="458">
        <f t="shared" si="147"/>
        <v>0</v>
      </c>
      <c r="G118" s="456">
        <v>0</v>
      </c>
      <c r="H118" s="364">
        <v>0</v>
      </c>
      <c r="I118" s="458">
        <f t="shared" si="148"/>
        <v>0</v>
      </c>
      <c r="J118" s="456">
        <v>0</v>
      </c>
      <c r="K118" s="364">
        <v>0</v>
      </c>
      <c r="L118" s="455">
        <f t="shared" si="149"/>
        <v>0</v>
      </c>
      <c r="M118" s="459">
        <f t="shared" si="150"/>
        <v>0</v>
      </c>
      <c r="N118" s="455">
        <f t="shared" si="151"/>
        <v>0</v>
      </c>
      <c r="O118" s="451"/>
      <c r="P118" s="362">
        <v>0</v>
      </c>
      <c r="Q118" s="365">
        <v>0</v>
      </c>
      <c r="R118" s="9"/>
      <c r="S118" s="688" t="s">
        <v>246</v>
      </c>
      <c r="T118" s="667"/>
      <c r="U118" s="388">
        <v>0</v>
      </c>
      <c r="V118" s="15">
        <f t="shared" si="152"/>
        <v>0</v>
      </c>
      <c r="W118" s="15">
        <f t="shared" si="152"/>
        <v>0</v>
      </c>
      <c r="X118" s="16">
        <f t="shared" si="153"/>
        <v>0</v>
      </c>
      <c r="Y118" s="19">
        <v>0</v>
      </c>
      <c r="Z118" s="364">
        <v>0</v>
      </c>
      <c r="AA118" s="16">
        <f t="shared" si="154"/>
        <v>0</v>
      </c>
      <c r="AB118" s="19">
        <v>0</v>
      </c>
      <c r="AC118" s="364">
        <v>0</v>
      </c>
      <c r="AD118" s="18">
        <f t="shared" si="155"/>
        <v>0</v>
      </c>
      <c r="AE118" s="19">
        <v>0</v>
      </c>
      <c r="AF118" s="364">
        <v>0</v>
      </c>
      <c r="AG118" s="16">
        <f t="shared" si="156"/>
        <v>0</v>
      </c>
      <c r="AH118" s="19">
        <f t="shared" si="157"/>
        <v>0</v>
      </c>
      <c r="AI118" s="15">
        <f t="shared" si="158"/>
        <v>0</v>
      </c>
      <c r="AJ118" s="16">
        <f t="shared" si="159"/>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v>2300</v>
      </c>
      <c r="B119" s="609" t="s">
        <v>387</v>
      </c>
      <c r="C119" s="362">
        <v>200295319</v>
      </c>
      <c r="D119" s="454">
        <f t="shared" si="145"/>
        <v>0</v>
      </c>
      <c r="E119" s="454">
        <f t="shared" si="146"/>
        <v>0</v>
      </c>
      <c r="F119" s="458">
        <f t="shared" si="147"/>
        <v>200295319</v>
      </c>
      <c r="G119" s="216">
        <v>0</v>
      </c>
      <c r="H119" s="364">
        <v>0</v>
      </c>
      <c r="I119" s="463">
        <f t="shared" si="148"/>
        <v>0</v>
      </c>
      <c r="J119" s="216">
        <v>0</v>
      </c>
      <c r="K119" s="364">
        <v>0</v>
      </c>
      <c r="L119" s="143">
        <f t="shared" si="149"/>
        <v>0</v>
      </c>
      <c r="M119" s="428">
        <f t="shared" si="150"/>
        <v>200295319</v>
      </c>
      <c r="N119" s="143">
        <f t="shared" si="151"/>
        <v>200295319</v>
      </c>
      <c r="O119" s="451"/>
      <c r="P119" s="362">
        <v>0</v>
      </c>
      <c r="Q119" s="365">
        <v>0</v>
      </c>
      <c r="R119" s="9"/>
      <c r="S119" s="688" t="s">
        <v>247</v>
      </c>
      <c r="T119" s="667"/>
      <c r="U119" s="388">
        <v>0</v>
      </c>
      <c r="V119" s="15">
        <f t="shared" si="152"/>
        <v>0</v>
      </c>
      <c r="W119" s="15">
        <f t="shared" si="152"/>
        <v>0</v>
      </c>
      <c r="X119" s="16">
        <f t="shared" si="153"/>
        <v>0</v>
      </c>
      <c r="Y119" s="19">
        <v>0</v>
      </c>
      <c r="Z119" s="364">
        <v>0</v>
      </c>
      <c r="AA119" s="16">
        <f t="shared" si="154"/>
        <v>0</v>
      </c>
      <c r="AB119" s="19">
        <v>0</v>
      </c>
      <c r="AC119" s="364">
        <v>0</v>
      </c>
      <c r="AD119" s="18">
        <f t="shared" si="155"/>
        <v>0</v>
      </c>
      <c r="AE119" s="19">
        <v>0</v>
      </c>
      <c r="AF119" s="364">
        <v>0</v>
      </c>
      <c r="AG119" s="16">
        <f t="shared" si="156"/>
        <v>0</v>
      </c>
      <c r="AH119" s="19">
        <f t="shared" si="157"/>
        <v>0</v>
      </c>
      <c r="AI119" s="15">
        <f t="shared" si="158"/>
        <v>0</v>
      </c>
      <c r="AJ119" s="16">
        <f t="shared" si="159"/>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v>2400</v>
      </c>
      <c r="B120" s="610" t="s">
        <v>388</v>
      </c>
      <c r="C120" s="362">
        <v>0</v>
      </c>
      <c r="D120" s="454">
        <f t="shared" si="145"/>
        <v>0</v>
      </c>
      <c r="E120" s="454">
        <f t="shared" si="146"/>
        <v>0</v>
      </c>
      <c r="F120" s="458">
        <f t="shared" si="147"/>
        <v>0</v>
      </c>
      <c r="G120" s="216">
        <v>0</v>
      </c>
      <c r="H120" s="364">
        <v>0</v>
      </c>
      <c r="I120" s="463">
        <f t="shared" si="148"/>
        <v>0</v>
      </c>
      <c r="J120" s="216">
        <v>0</v>
      </c>
      <c r="K120" s="364">
        <v>0</v>
      </c>
      <c r="L120" s="143">
        <f t="shared" si="149"/>
        <v>0</v>
      </c>
      <c r="M120" s="428">
        <f t="shared" si="150"/>
        <v>0</v>
      </c>
      <c r="N120" s="143">
        <f t="shared" si="151"/>
        <v>0</v>
      </c>
      <c r="P120" s="362">
        <v>0</v>
      </c>
      <c r="Q120" s="365">
        <v>0</v>
      </c>
      <c r="R120" s="9"/>
      <c r="S120" s="688" t="s">
        <v>248</v>
      </c>
      <c r="T120" s="667"/>
      <c r="U120" s="388">
        <v>0</v>
      </c>
      <c r="V120" s="15">
        <f t="shared" si="152"/>
        <v>0</v>
      </c>
      <c r="W120" s="15">
        <f t="shared" si="152"/>
        <v>0</v>
      </c>
      <c r="X120" s="16">
        <f t="shared" si="153"/>
        <v>0</v>
      </c>
      <c r="Y120" s="19">
        <v>0</v>
      </c>
      <c r="Z120" s="364">
        <v>0</v>
      </c>
      <c r="AA120" s="16">
        <f t="shared" si="154"/>
        <v>0</v>
      </c>
      <c r="AB120" s="19">
        <v>0</v>
      </c>
      <c r="AC120" s="364">
        <v>0</v>
      </c>
      <c r="AD120" s="18">
        <f t="shared" si="155"/>
        <v>0</v>
      </c>
      <c r="AE120" s="19">
        <v>0</v>
      </c>
      <c r="AF120" s="364">
        <v>0</v>
      </c>
      <c r="AG120" s="16">
        <f t="shared" si="156"/>
        <v>0</v>
      </c>
      <c r="AH120" s="19">
        <f t="shared" si="157"/>
        <v>0</v>
      </c>
      <c r="AI120" s="15">
        <f t="shared" si="158"/>
        <v>0</v>
      </c>
      <c r="AJ120" s="16">
        <f t="shared" si="159"/>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v>2500</v>
      </c>
      <c r="B121" s="610" t="s">
        <v>389</v>
      </c>
      <c r="C121" s="362">
        <v>0</v>
      </c>
      <c r="D121" s="454">
        <f t="shared" si="145"/>
        <v>0</v>
      </c>
      <c r="E121" s="454">
        <f t="shared" si="146"/>
        <v>0</v>
      </c>
      <c r="F121" s="458">
        <f t="shared" si="147"/>
        <v>0</v>
      </c>
      <c r="G121" s="216">
        <v>0</v>
      </c>
      <c r="H121" s="364">
        <v>0</v>
      </c>
      <c r="I121" s="463">
        <f t="shared" si="148"/>
        <v>0</v>
      </c>
      <c r="J121" s="216">
        <v>0</v>
      </c>
      <c r="K121" s="364">
        <v>0</v>
      </c>
      <c r="L121" s="143">
        <f t="shared" si="149"/>
        <v>0</v>
      </c>
      <c r="M121" s="428">
        <f t="shared" si="150"/>
        <v>0</v>
      </c>
      <c r="N121" s="143">
        <f t="shared" si="151"/>
        <v>0</v>
      </c>
      <c r="P121" s="362">
        <v>0</v>
      </c>
      <c r="Q121" s="365">
        <v>0</v>
      </c>
      <c r="R121" s="9"/>
      <c r="S121" s="688">
        <v>2010199</v>
      </c>
      <c r="T121" s="664" t="s">
        <v>127</v>
      </c>
      <c r="U121" s="388">
        <v>100000000</v>
      </c>
      <c r="V121" s="15">
        <f t="shared" si="152"/>
        <v>0</v>
      </c>
      <c r="W121" s="15">
        <f t="shared" si="152"/>
        <v>400000000</v>
      </c>
      <c r="X121" s="16">
        <f t="shared" si="153"/>
        <v>500000000</v>
      </c>
      <c r="Y121" s="19">
        <v>0</v>
      </c>
      <c r="Z121" s="364">
        <v>195797058</v>
      </c>
      <c r="AA121" s="16">
        <f t="shared" si="154"/>
        <v>195797058</v>
      </c>
      <c r="AB121" s="19">
        <v>0</v>
      </c>
      <c r="AC121" s="364">
        <v>195797058</v>
      </c>
      <c r="AD121" s="18">
        <f t="shared" si="155"/>
        <v>195797058</v>
      </c>
      <c r="AE121" s="19">
        <v>0</v>
      </c>
      <c r="AF121" s="364">
        <v>195797058</v>
      </c>
      <c r="AG121" s="16">
        <f t="shared" si="156"/>
        <v>195797058</v>
      </c>
      <c r="AH121" s="19">
        <f t="shared" si="157"/>
        <v>304202942</v>
      </c>
      <c r="AI121" s="15">
        <f t="shared" si="158"/>
        <v>304202942</v>
      </c>
      <c r="AJ121" s="16">
        <f t="shared" si="159"/>
        <v>304202942</v>
      </c>
      <c r="AK121" s="9"/>
      <c r="AL121" s="362">
        <v>0</v>
      </c>
      <c r="AM121" s="365">
        <v>400000000</v>
      </c>
      <c r="AN121" s="9"/>
      <c r="AO121" s="284"/>
      <c r="AP121" s="284"/>
      <c r="AQ121" s="284"/>
      <c r="AR121" s="284"/>
      <c r="AS121" s="284"/>
      <c r="AT121" s="284"/>
      <c r="AU121" s="284"/>
      <c r="AV121" s="284"/>
      <c r="AW121" s="284"/>
      <c r="AX121" s="284"/>
      <c r="AY121" s="284"/>
      <c r="AZ121" s="284"/>
    </row>
    <row r="122" spans="1:52" s="372" customFormat="1" ht="24.95" customHeight="1">
      <c r="A122" s="725">
        <v>2600</v>
      </c>
      <c r="B122" s="610" t="str">
        <f>+CONCATENATE("RECUPERACIÓN DE CARTERA (AÑO ",INSTRUCCIONES!F3-2," Y ANTERIORES)")</f>
        <v>RECUPERACIÓN DE CARTERA (AÑO 2017 Y ANTERIORES)</v>
      </c>
      <c r="C122" s="362">
        <v>0</v>
      </c>
      <c r="D122" s="454">
        <f t="shared" si="145"/>
        <v>0</v>
      </c>
      <c r="E122" s="454">
        <f t="shared" si="146"/>
        <v>0</v>
      </c>
      <c r="F122" s="458">
        <f t="shared" si="147"/>
        <v>0</v>
      </c>
      <c r="G122" s="216">
        <v>0</v>
      </c>
      <c r="H122" s="364">
        <v>0</v>
      </c>
      <c r="I122" s="463">
        <f t="shared" si="148"/>
        <v>0</v>
      </c>
      <c r="J122" s="216">
        <v>0</v>
      </c>
      <c r="K122" s="364">
        <v>0</v>
      </c>
      <c r="L122" s="143">
        <f t="shared" si="149"/>
        <v>0</v>
      </c>
      <c r="M122" s="428">
        <f t="shared" si="150"/>
        <v>0</v>
      </c>
      <c r="N122" s="143">
        <f t="shared" si="151"/>
        <v>0</v>
      </c>
      <c r="P122" s="362">
        <v>0</v>
      </c>
      <c r="Q122" s="365">
        <v>0</v>
      </c>
      <c r="R122" s="9"/>
      <c r="S122" s="356"/>
      <c r="T122" s="660"/>
      <c r="U122" s="161"/>
      <c r="V122" s="161"/>
      <c r="W122" s="161"/>
      <c r="X122" s="166"/>
      <c r="Y122" s="357"/>
      <c r="Z122" s="161"/>
      <c r="AA122" s="166"/>
      <c r="AB122" s="357"/>
      <c r="AC122" s="161"/>
      <c r="AD122" s="161"/>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451" customFormat="1" ht="24.95" customHeight="1">
      <c r="A123" s="726">
        <v>2700</v>
      </c>
      <c r="B123" s="610" t="s">
        <v>560</v>
      </c>
      <c r="C123" s="362">
        <v>0</v>
      </c>
      <c r="D123" s="454">
        <f>P123</f>
        <v>0</v>
      </c>
      <c r="E123" s="454">
        <f>Q123</f>
        <v>0</v>
      </c>
      <c r="F123" s="458">
        <f>SUM(C123:E123)</f>
        <v>0</v>
      </c>
      <c r="G123" s="216">
        <v>0</v>
      </c>
      <c r="H123" s="364">
        <v>2997987</v>
      </c>
      <c r="I123" s="463">
        <f>SUM(G123:H123)</f>
        <v>2997987</v>
      </c>
      <c r="J123" s="216">
        <v>0</v>
      </c>
      <c r="K123" s="364">
        <v>2997987</v>
      </c>
      <c r="L123" s="143">
        <f>SUM(J123:K123)</f>
        <v>2997987</v>
      </c>
      <c r="M123" s="428">
        <f>F123-I123</f>
        <v>-2997987</v>
      </c>
      <c r="N123" s="143">
        <f>F123-L123</f>
        <v>-2997987</v>
      </c>
      <c r="O123" s="372"/>
      <c r="P123" s="362">
        <v>0</v>
      </c>
      <c r="Q123" s="365">
        <v>0</v>
      </c>
      <c r="R123" s="30"/>
      <c r="S123" s="690">
        <v>2010200</v>
      </c>
      <c r="T123" s="669" t="s">
        <v>249</v>
      </c>
      <c r="U123" s="212">
        <f t="shared" ref="U123:AJ123" si="160">SUM(U124:U139)</f>
        <v>2775000000</v>
      </c>
      <c r="V123" s="131">
        <f t="shared" si="160"/>
        <v>0</v>
      </c>
      <c r="W123" s="131">
        <f t="shared" si="160"/>
        <v>100000000</v>
      </c>
      <c r="X123" s="213">
        <f t="shared" si="160"/>
        <v>2875000000</v>
      </c>
      <c r="Y123" s="214">
        <f t="shared" si="160"/>
        <v>0</v>
      </c>
      <c r="Z123" s="131">
        <f t="shared" si="160"/>
        <v>1389280889</v>
      </c>
      <c r="AA123" s="213">
        <f t="shared" si="160"/>
        <v>1389280889</v>
      </c>
      <c r="AB123" s="214">
        <f t="shared" si="160"/>
        <v>0</v>
      </c>
      <c r="AC123" s="131">
        <f t="shared" si="160"/>
        <v>217703101</v>
      </c>
      <c r="AD123" s="215">
        <f t="shared" si="160"/>
        <v>217703101</v>
      </c>
      <c r="AE123" s="214">
        <f t="shared" si="160"/>
        <v>0</v>
      </c>
      <c r="AF123" s="131">
        <f t="shared" si="160"/>
        <v>113423508</v>
      </c>
      <c r="AG123" s="213">
        <f t="shared" si="160"/>
        <v>113423508</v>
      </c>
      <c r="AH123" s="214">
        <f t="shared" si="160"/>
        <v>1485719111</v>
      </c>
      <c r="AI123" s="131">
        <f t="shared" si="160"/>
        <v>2657296899</v>
      </c>
      <c r="AJ123" s="213">
        <f t="shared" si="160"/>
        <v>2761576492</v>
      </c>
      <c r="AK123" s="30"/>
      <c r="AL123" s="214">
        <f>SUM(AL124:AL139)</f>
        <v>0</v>
      </c>
      <c r="AM123" s="213">
        <f>SUM(AM124:AM139)</f>
        <v>100000000</v>
      </c>
      <c r="AN123" s="30"/>
      <c r="AO123" s="450"/>
      <c r="AP123" s="450"/>
      <c r="AQ123" s="450"/>
      <c r="AR123" s="450"/>
      <c r="AS123" s="450"/>
      <c r="AT123" s="450"/>
      <c r="AU123" s="450"/>
      <c r="AV123" s="450"/>
      <c r="AW123" s="450"/>
      <c r="AX123" s="450"/>
      <c r="AY123" s="450"/>
      <c r="AZ123" s="450"/>
    </row>
    <row r="124" spans="1:52" s="372" customFormat="1" ht="24.95" customHeight="1" thickBot="1">
      <c r="A124" s="727">
        <v>2800</v>
      </c>
      <c r="B124" s="638"/>
      <c r="C124" s="374">
        <v>0</v>
      </c>
      <c r="D124" s="452">
        <f>P124</f>
        <v>0</v>
      </c>
      <c r="E124" s="452">
        <f>Q124</f>
        <v>0</v>
      </c>
      <c r="F124" s="464">
        <f>SUM(C124:E124)</f>
        <v>0</v>
      </c>
      <c r="G124" s="377">
        <v>0</v>
      </c>
      <c r="H124" s="378">
        <v>0</v>
      </c>
      <c r="I124" s="465">
        <f>SUM(G124:H124)</f>
        <v>0</v>
      </c>
      <c r="J124" s="377">
        <v>0</v>
      </c>
      <c r="K124" s="378">
        <v>0</v>
      </c>
      <c r="L124" s="376">
        <f>SUM(J124:K124)</f>
        <v>0</v>
      </c>
      <c r="M124" s="466">
        <f>F124-I124</f>
        <v>0</v>
      </c>
      <c r="N124" s="376">
        <f>F124-L124</f>
        <v>0</v>
      </c>
      <c r="P124" s="374">
        <v>0</v>
      </c>
      <c r="Q124" s="379">
        <v>0</v>
      </c>
      <c r="R124" s="9"/>
      <c r="S124" s="688" t="s">
        <v>250</v>
      </c>
      <c r="T124" s="664" t="s">
        <v>251</v>
      </c>
      <c r="U124" s="388">
        <v>3000000</v>
      </c>
      <c r="V124" s="15">
        <f t="shared" ref="V124:V139" si="161">AL124</f>
        <v>0</v>
      </c>
      <c r="W124" s="15">
        <f t="shared" ref="W124:W139" si="162">AM124</f>
        <v>0</v>
      </c>
      <c r="X124" s="16">
        <f t="shared" ref="X124:X139" si="163">SUM(U124:W124)</f>
        <v>3000000</v>
      </c>
      <c r="Y124" s="19">
        <v>0</v>
      </c>
      <c r="Z124" s="364">
        <v>0</v>
      </c>
      <c r="AA124" s="16">
        <f t="shared" ref="AA124:AA139" si="164">SUM(Y124:Z124)</f>
        <v>0</v>
      </c>
      <c r="AB124" s="19">
        <v>0</v>
      </c>
      <c r="AC124" s="364">
        <v>0</v>
      </c>
      <c r="AD124" s="18">
        <f t="shared" ref="AD124:AD139" si="165">SUM(AB124:AC124)</f>
        <v>0</v>
      </c>
      <c r="AE124" s="19">
        <v>0</v>
      </c>
      <c r="AF124" s="364">
        <v>0</v>
      </c>
      <c r="AG124" s="16">
        <f t="shared" ref="AG124:AG139" si="166">SUM(AE124:AF124)</f>
        <v>0</v>
      </c>
      <c r="AH124" s="19">
        <f t="shared" ref="AH124:AH139" si="167">X124-AA124</f>
        <v>3000000</v>
      </c>
      <c r="AI124" s="15">
        <f t="shared" ref="AI124:AI139" si="168">X124-AD124</f>
        <v>3000000</v>
      </c>
      <c r="AJ124" s="16">
        <f t="shared" ref="AJ124:AJ139" si="169">X124-AG124</f>
        <v>3000000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
        <v>252</v>
      </c>
      <c r="T125" s="664" t="s">
        <v>253</v>
      </c>
      <c r="U125" s="388">
        <v>25000000</v>
      </c>
      <c r="V125" s="15">
        <f t="shared" si="161"/>
        <v>0</v>
      </c>
      <c r="W125" s="15">
        <f t="shared" si="162"/>
        <v>0</v>
      </c>
      <c r="X125" s="16">
        <f t="shared" si="163"/>
        <v>25000000</v>
      </c>
      <c r="Y125" s="19">
        <v>0</v>
      </c>
      <c r="Z125" s="364">
        <v>0</v>
      </c>
      <c r="AA125" s="16">
        <f t="shared" si="164"/>
        <v>0</v>
      </c>
      <c r="AB125" s="19">
        <v>0</v>
      </c>
      <c r="AC125" s="364">
        <v>0</v>
      </c>
      <c r="AD125" s="18">
        <f t="shared" si="165"/>
        <v>0</v>
      </c>
      <c r="AE125" s="19">
        <v>0</v>
      </c>
      <c r="AF125" s="364">
        <v>0</v>
      </c>
      <c r="AG125" s="16">
        <f t="shared" si="166"/>
        <v>0</v>
      </c>
      <c r="AH125" s="19">
        <f t="shared" si="167"/>
        <v>25000000</v>
      </c>
      <c r="AI125" s="15">
        <f t="shared" si="168"/>
        <v>25000000</v>
      </c>
      <c r="AJ125" s="16">
        <f t="shared" si="169"/>
        <v>25000000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34.5" customHeight="1" thickBot="1">
      <c r="A126" s="747" t="s">
        <v>239</v>
      </c>
      <c r="B126" s="639"/>
      <c r="C126" s="467">
        <f t="shared" ref="C126:N126" si="170">C8-C128</f>
        <v>66420360605</v>
      </c>
      <c r="D126" s="467">
        <f t="shared" si="170"/>
        <v>0</v>
      </c>
      <c r="E126" s="467">
        <f t="shared" si="170"/>
        <v>7411709530</v>
      </c>
      <c r="F126" s="467">
        <f t="shared" si="170"/>
        <v>73832070135</v>
      </c>
      <c r="G126" s="467">
        <f t="shared" si="170"/>
        <v>0</v>
      </c>
      <c r="H126" s="467">
        <f t="shared" si="170"/>
        <v>14396113228</v>
      </c>
      <c r="I126" s="467">
        <f t="shared" si="170"/>
        <v>14396113228</v>
      </c>
      <c r="J126" s="467">
        <f t="shared" si="170"/>
        <v>0</v>
      </c>
      <c r="K126" s="467">
        <f t="shared" si="170"/>
        <v>9980222170</v>
      </c>
      <c r="L126" s="467">
        <f t="shared" si="170"/>
        <v>9980222170</v>
      </c>
      <c r="M126" s="467">
        <f t="shared" si="170"/>
        <v>59435956907</v>
      </c>
      <c r="N126" s="596">
        <f t="shared" si="170"/>
        <v>63851847965</v>
      </c>
      <c r="P126" s="468">
        <f>P8-P128</f>
        <v>0</v>
      </c>
      <c r="Q126" s="469">
        <f>Q8-Q128</f>
        <v>7411709530</v>
      </c>
      <c r="R126" s="9"/>
      <c r="S126" s="688" t="s">
        <v>254</v>
      </c>
      <c r="T126" s="664" t="s">
        <v>255</v>
      </c>
      <c r="U126" s="388">
        <v>740000000</v>
      </c>
      <c r="V126" s="15">
        <f t="shared" si="161"/>
        <v>0</v>
      </c>
      <c r="W126" s="15">
        <f t="shared" si="162"/>
        <v>0</v>
      </c>
      <c r="X126" s="16">
        <f t="shared" si="163"/>
        <v>740000000</v>
      </c>
      <c r="Y126" s="19">
        <v>0</v>
      </c>
      <c r="Z126" s="364">
        <v>101340760</v>
      </c>
      <c r="AA126" s="16">
        <f t="shared" si="164"/>
        <v>101340760</v>
      </c>
      <c r="AB126" s="19">
        <v>0</v>
      </c>
      <c r="AC126" s="364">
        <v>101340760</v>
      </c>
      <c r="AD126" s="18">
        <f t="shared" si="165"/>
        <v>101340760</v>
      </c>
      <c r="AE126" s="19">
        <v>0</v>
      </c>
      <c r="AF126" s="364">
        <v>53459587</v>
      </c>
      <c r="AG126" s="16">
        <f t="shared" si="166"/>
        <v>53459587</v>
      </c>
      <c r="AH126" s="19">
        <f t="shared" si="167"/>
        <v>638659240</v>
      </c>
      <c r="AI126" s="15">
        <f t="shared" si="168"/>
        <v>638659240</v>
      </c>
      <c r="AJ126" s="16">
        <f t="shared" si="169"/>
        <v>686540413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22"/>
      <c r="B127" s="636"/>
      <c r="C127" s="470"/>
      <c r="D127" s="470"/>
      <c r="E127" s="470"/>
      <c r="F127" s="470"/>
      <c r="G127" s="470"/>
      <c r="H127" s="470"/>
      <c r="I127" s="470"/>
      <c r="J127" s="470"/>
      <c r="K127" s="470"/>
      <c r="L127" s="470"/>
      <c r="M127" s="470"/>
      <c r="N127" s="471"/>
      <c r="P127" s="472"/>
      <c r="Q127" s="471"/>
      <c r="R127" s="9"/>
      <c r="S127" s="688" t="s">
        <v>256</v>
      </c>
      <c r="T127" s="664" t="s">
        <v>257</v>
      </c>
      <c r="U127" s="388">
        <v>118000000</v>
      </c>
      <c r="V127" s="15">
        <f t="shared" si="161"/>
        <v>0</v>
      </c>
      <c r="W127" s="15">
        <f t="shared" si="162"/>
        <v>0</v>
      </c>
      <c r="X127" s="16">
        <f t="shared" si="163"/>
        <v>118000000</v>
      </c>
      <c r="Y127" s="19">
        <v>0</v>
      </c>
      <c r="Z127" s="364">
        <v>43727253</v>
      </c>
      <c r="AA127" s="16">
        <f t="shared" si="164"/>
        <v>43727253</v>
      </c>
      <c r="AB127" s="19">
        <v>0</v>
      </c>
      <c r="AC127" s="364">
        <v>5627253</v>
      </c>
      <c r="AD127" s="18">
        <f t="shared" si="165"/>
        <v>5627253</v>
      </c>
      <c r="AE127" s="19">
        <v>0</v>
      </c>
      <c r="AF127" s="364">
        <v>4909253</v>
      </c>
      <c r="AG127" s="16">
        <f t="shared" si="166"/>
        <v>4909253</v>
      </c>
      <c r="AH127" s="19">
        <f t="shared" si="167"/>
        <v>74272747</v>
      </c>
      <c r="AI127" s="15">
        <f t="shared" si="168"/>
        <v>112372747</v>
      </c>
      <c r="AJ127" s="16">
        <f t="shared" si="169"/>
        <v>113090747</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2787061774</v>
      </c>
      <c r="F128" s="473">
        <f>SUMIF($B8:$B$122,$B$24,F8:F122)+F122</f>
        <v>2787061774</v>
      </c>
      <c r="G128" s="473">
        <f>SUMIF($B8:$B$122,$B$24,G8:G122)+G122</f>
        <v>0</v>
      </c>
      <c r="H128" s="473">
        <f>SUMIF($B8:$B$122,$B$24,H8:H122)+H122</f>
        <v>4103647701</v>
      </c>
      <c r="I128" s="473">
        <f>SUMIF($B8:$B$122,$B$24,I8:I122)+I122</f>
        <v>4103647701</v>
      </c>
      <c r="J128" s="473">
        <f>SUMIF($B8:$B$122,$B$24,J8:J122)+J1212</f>
        <v>0</v>
      </c>
      <c r="K128" s="473">
        <f>SUMIF($B8:$B$122,$B$24,K8:K122)+K122</f>
        <v>4103647701</v>
      </c>
      <c r="L128" s="473">
        <f>SUMIF($B8:$B$122,$B$24,L8:L122)+L122</f>
        <v>4103647701</v>
      </c>
      <c r="M128" s="473">
        <f>SUMIF($B8:$B$122,$B$24,M8:M122)+M12</f>
        <v>-1316585927</v>
      </c>
      <c r="N128" s="597">
        <f>SUMIF($B8:$B$122,$B$24,N8:N122)+N122</f>
        <v>-1316585927</v>
      </c>
      <c r="O128" s="451"/>
      <c r="P128" s="473">
        <f>SUMIF($B8:$B$122,$B$24,P8:P122)+P122</f>
        <v>0</v>
      </c>
      <c r="Q128" s="474">
        <f>SUMIF($B8:$B$122,$B$24,Q8:Q122)+Q122</f>
        <v>2787061774</v>
      </c>
      <c r="R128" s="9"/>
      <c r="S128" s="688" t="s">
        <v>258</v>
      </c>
      <c r="T128" s="664" t="s">
        <v>259</v>
      </c>
      <c r="U128" s="388">
        <v>22000000</v>
      </c>
      <c r="V128" s="15">
        <f t="shared" si="161"/>
        <v>0</v>
      </c>
      <c r="W128" s="15">
        <f t="shared" si="162"/>
        <v>0</v>
      </c>
      <c r="X128" s="16">
        <f t="shared" si="163"/>
        <v>22000000</v>
      </c>
      <c r="Y128" s="19">
        <v>0</v>
      </c>
      <c r="Z128" s="364">
        <v>0</v>
      </c>
      <c r="AA128" s="16">
        <f t="shared" si="164"/>
        <v>0</v>
      </c>
      <c r="AB128" s="19">
        <v>0</v>
      </c>
      <c r="AC128" s="364">
        <v>0</v>
      </c>
      <c r="AD128" s="18">
        <f t="shared" si="165"/>
        <v>0</v>
      </c>
      <c r="AE128" s="19">
        <v>0</v>
      </c>
      <c r="AF128" s="364">
        <v>0</v>
      </c>
      <c r="AG128" s="16">
        <f t="shared" si="166"/>
        <v>0</v>
      </c>
      <c r="AH128" s="19">
        <f t="shared" si="167"/>
        <v>22000000</v>
      </c>
      <c r="AI128" s="15">
        <f t="shared" si="168"/>
        <v>22000000</v>
      </c>
      <c r="AJ128" s="16">
        <f t="shared" si="169"/>
        <v>22000000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22"/>
      <c r="B129" s="636"/>
      <c r="C129" s="470"/>
      <c r="D129" s="470"/>
      <c r="E129" s="470"/>
      <c r="F129" s="470"/>
      <c r="G129" s="470"/>
      <c r="H129" s="470"/>
      <c r="I129" s="470"/>
      <c r="J129" s="470"/>
      <c r="K129" s="470"/>
      <c r="L129" s="470"/>
      <c r="M129" s="470"/>
      <c r="N129" s="471"/>
      <c r="P129" s="472"/>
      <c r="Q129" s="471"/>
      <c r="R129" s="9"/>
      <c r="S129" s="688" t="s">
        <v>260</v>
      </c>
      <c r="T129" s="664" t="s">
        <v>261</v>
      </c>
      <c r="U129" s="388">
        <v>165000000</v>
      </c>
      <c r="V129" s="15">
        <f t="shared" si="161"/>
        <v>0</v>
      </c>
      <c r="W129" s="15">
        <f t="shared" si="162"/>
        <v>0</v>
      </c>
      <c r="X129" s="16">
        <f t="shared" si="163"/>
        <v>165000000</v>
      </c>
      <c r="Y129" s="19">
        <v>0</v>
      </c>
      <c r="Z129" s="364">
        <v>130000000</v>
      </c>
      <c r="AA129" s="16">
        <f t="shared" si="164"/>
        <v>130000000</v>
      </c>
      <c r="AB129" s="19">
        <v>0</v>
      </c>
      <c r="AC129" s="364">
        <v>0</v>
      </c>
      <c r="AD129" s="18">
        <f t="shared" si="165"/>
        <v>0</v>
      </c>
      <c r="AE129" s="19">
        <v>0</v>
      </c>
      <c r="AF129" s="364">
        <v>0</v>
      </c>
      <c r="AG129" s="16">
        <f t="shared" si="166"/>
        <v>0</v>
      </c>
      <c r="AH129" s="19">
        <f t="shared" si="167"/>
        <v>35000000</v>
      </c>
      <c r="AI129" s="15">
        <f t="shared" si="168"/>
        <v>165000000</v>
      </c>
      <c r="AJ129" s="16">
        <f t="shared" si="169"/>
        <v>165000000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71">C128+C126</f>
        <v>66420360605</v>
      </c>
      <c r="D130" s="476">
        <f t="shared" si="171"/>
        <v>0</v>
      </c>
      <c r="E130" s="476">
        <f t="shared" si="171"/>
        <v>10198771304</v>
      </c>
      <c r="F130" s="477">
        <f t="shared" si="171"/>
        <v>76619131909</v>
      </c>
      <c r="G130" s="475">
        <f t="shared" si="171"/>
        <v>0</v>
      </c>
      <c r="H130" s="476">
        <f t="shared" si="171"/>
        <v>18499760929</v>
      </c>
      <c r="I130" s="477">
        <f t="shared" si="171"/>
        <v>18499760929</v>
      </c>
      <c r="J130" s="475">
        <f t="shared" si="171"/>
        <v>0</v>
      </c>
      <c r="K130" s="476">
        <f t="shared" si="171"/>
        <v>14083869871</v>
      </c>
      <c r="L130" s="477">
        <f t="shared" si="171"/>
        <v>14083869871</v>
      </c>
      <c r="M130" s="475">
        <f t="shared" si="171"/>
        <v>58119370980</v>
      </c>
      <c r="N130" s="477">
        <f t="shared" si="171"/>
        <v>62535262038</v>
      </c>
      <c r="P130" s="468">
        <f>P128+P126</f>
        <v>0</v>
      </c>
      <c r="Q130" s="469">
        <f>Q128+Q126</f>
        <v>10198771304</v>
      </c>
      <c r="R130" s="9"/>
      <c r="S130" s="688" t="s">
        <v>262</v>
      </c>
      <c r="T130" s="664" t="s">
        <v>263</v>
      </c>
      <c r="U130" s="388">
        <v>1086000000</v>
      </c>
      <c r="V130" s="15">
        <f t="shared" si="161"/>
        <v>0</v>
      </c>
      <c r="W130" s="15">
        <f t="shared" si="162"/>
        <v>0</v>
      </c>
      <c r="X130" s="16">
        <f t="shared" si="163"/>
        <v>1086000000</v>
      </c>
      <c r="Y130" s="19">
        <v>0</v>
      </c>
      <c r="Z130" s="364">
        <v>1027184608</v>
      </c>
      <c r="AA130" s="16">
        <f t="shared" si="164"/>
        <v>1027184608</v>
      </c>
      <c r="AB130" s="19">
        <v>0</v>
      </c>
      <c r="AC130" s="364">
        <v>55780420</v>
      </c>
      <c r="AD130" s="18">
        <f t="shared" si="165"/>
        <v>55780420</v>
      </c>
      <c r="AE130" s="19">
        <v>0</v>
      </c>
      <c r="AF130" s="364">
        <v>100000</v>
      </c>
      <c r="AG130" s="16">
        <f t="shared" si="166"/>
        <v>100000</v>
      </c>
      <c r="AH130" s="19">
        <f t="shared" si="167"/>
        <v>58815392</v>
      </c>
      <c r="AI130" s="15">
        <f t="shared" si="168"/>
        <v>1030219580</v>
      </c>
      <c r="AJ130" s="16">
        <f t="shared" si="169"/>
        <v>1085900000</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28"/>
      <c r="B131" s="642"/>
      <c r="C131" s="592"/>
      <c r="D131" s="592"/>
      <c r="E131" s="592"/>
      <c r="F131" s="592"/>
      <c r="G131" s="592"/>
      <c r="H131" s="592"/>
      <c r="I131" s="592"/>
      <c r="J131" s="592"/>
      <c r="K131" s="592"/>
      <c r="L131" s="592"/>
      <c r="M131" s="592"/>
      <c r="N131" s="592"/>
      <c r="O131" s="284"/>
      <c r="P131" s="592"/>
      <c r="Q131" s="592"/>
      <c r="R131" s="9"/>
      <c r="S131" s="688" t="s">
        <v>264</v>
      </c>
      <c r="T131" s="664" t="s">
        <v>265</v>
      </c>
      <c r="U131" s="388">
        <v>100000000</v>
      </c>
      <c r="V131" s="15">
        <f t="shared" si="161"/>
        <v>0</v>
      </c>
      <c r="W131" s="15">
        <f t="shared" si="162"/>
        <v>0</v>
      </c>
      <c r="X131" s="16">
        <f t="shared" si="163"/>
        <v>100000000</v>
      </c>
      <c r="Y131" s="19">
        <v>0</v>
      </c>
      <c r="Z131" s="364">
        <v>0</v>
      </c>
      <c r="AA131" s="16">
        <f t="shared" si="164"/>
        <v>0</v>
      </c>
      <c r="AB131" s="19">
        <v>0</v>
      </c>
      <c r="AC131" s="364">
        <v>0</v>
      </c>
      <c r="AD131" s="18">
        <f t="shared" si="165"/>
        <v>0</v>
      </c>
      <c r="AE131" s="19">
        <v>0</v>
      </c>
      <c r="AF131" s="364">
        <v>0</v>
      </c>
      <c r="AG131" s="16">
        <f t="shared" si="166"/>
        <v>0</v>
      </c>
      <c r="AH131" s="19">
        <f t="shared" si="167"/>
        <v>100000000</v>
      </c>
      <c r="AI131" s="15">
        <f t="shared" si="168"/>
        <v>100000000</v>
      </c>
      <c r="AJ131" s="16">
        <f t="shared" si="169"/>
        <v>100000000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29"/>
      <c r="B132" s="643"/>
      <c r="N132" s="9"/>
      <c r="R132" s="9"/>
      <c r="S132" s="688" t="s">
        <v>266</v>
      </c>
      <c r="T132" s="664" t="s">
        <v>267</v>
      </c>
      <c r="U132" s="388">
        <v>50000000</v>
      </c>
      <c r="V132" s="15">
        <f t="shared" si="161"/>
        <v>0</v>
      </c>
      <c r="W132" s="15">
        <f t="shared" si="162"/>
        <v>0</v>
      </c>
      <c r="X132" s="16">
        <f t="shared" si="163"/>
        <v>50000000</v>
      </c>
      <c r="Y132" s="19">
        <v>0</v>
      </c>
      <c r="Z132" s="364">
        <v>0</v>
      </c>
      <c r="AA132" s="16">
        <f t="shared" si="164"/>
        <v>0</v>
      </c>
      <c r="AB132" s="19">
        <v>0</v>
      </c>
      <c r="AC132" s="364">
        <v>0</v>
      </c>
      <c r="AD132" s="18">
        <f t="shared" si="165"/>
        <v>0</v>
      </c>
      <c r="AE132" s="19">
        <v>0</v>
      </c>
      <c r="AF132" s="364">
        <v>0</v>
      </c>
      <c r="AG132" s="16">
        <f t="shared" si="166"/>
        <v>0</v>
      </c>
      <c r="AH132" s="19">
        <f t="shared" si="167"/>
        <v>50000000</v>
      </c>
      <c r="AI132" s="15">
        <f t="shared" si="168"/>
        <v>50000000</v>
      </c>
      <c r="AJ132" s="16">
        <f t="shared" si="169"/>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29"/>
      <c r="B133" s="643"/>
      <c r="N133" s="9"/>
      <c r="R133" s="9"/>
      <c r="S133" s="688" t="s">
        <v>268</v>
      </c>
      <c r="T133" s="664" t="s">
        <v>463</v>
      </c>
      <c r="U133" s="388">
        <v>0</v>
      </c>
      <c r="V133" s="15">
        <f t="shared" si="161"/>
        <v>0</v>
      </c>
      <c r="W133" s="15">
        <f t="shared" si="162"/>
        <v>0</v>
      </c>
      <c r="X133" s="16">
        <f t="shared" si="163"/>
        <v>0</v>
      </c>
      <c r="Y133" s="19">
        <v>0</v>
      </c>
      <c r="Z133" s="364">
        <v>0</v>
      </c>
      <c r="AA133" s="16">
        <f t="shared" si="164"/>
        <v>0</v>
      </c>
      <c r="AB133" s="19">
        <v>0</v>
      </c>
      <c r="AC133" s="364">
        <v>0</v>
      </c>
      <c r="AD133" s="18">
        <f t="shared" si="165"/>
        <v>0</v>
      </c>
      <c r="AE133" s="19">
        <v>0</v>
      </c>
      <c r="AF133" s="364">
        <v>0</v>
      </c>
      <c r="AG133" s="16">
        <f t="shared" si="166"/>
        <v>0</v>
      </c>
      <c r="AH133" s="19">
        <f t="shared" si="167"/>
        <v>0</v>
      </c>
      <c r="AI133" s="15">
        <f t="shared" si="168"/>
        <v>0</v>
      </c>
      <c r="AJ133" s="16">
        <f t="shared" si="169"/>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29"/>
      <c r="B134" s="643"/>
      <c r="N134" s="9"/>
      <c r="R134" s="9"/>
      <c r="S134" s="688" t="s">
        <v>269</v>
      </c>
      <c r="T134" s="664" t="s">
        <v>270</v>
      </c>
      <c r="U134" s="388">
        <v>16000000</v>
      </c>
      <c r="V134" s="15">
        <f t="shared" si="161"/>
        <v>0</v>
      </c>
      <c r="W134" s="15">
        <f t="shared" si="162"/>
        <v>0</v>
      </c>
      <c r="X134" s="16">
        <f t="shared" si="163"/>
        <v>16000000</v>
      </c>
      <c r="Y134" s="19">
        <v>0</v>
      </c>
      <c r="Z134" s="364">
        <v>0</v>
      </c>
      <c r="AA134" s="16">
        <f t="shared" si="164"/>
        <v>0</v>
      </c>
      <c r="AB134" s="19">
        <v>0</v>
      </c>
      <c r="AC134" s="364">
        <v>0</v>
      </c>
      <c r="AD134" s="18">
        <f t="shared" si="165"/>
        <v>0</v>
      </c>
      <c r="AE134" s="19">
        <v>0</v>
      </c>
      <c r="AF134" s="364">
        <v>0</v>
      </c>
      <c r="AG134" s="16">
        <f t="shared" si="166"/>
        <v>0</v>
      </c>
      <c r="AH134" s="19">
        <f t="shared" si="167"/>
        <v>16000000</v>
      </c>
      <c r="AI134" s="15">
        <f t="shared" si="168"/>
        <v>16000000</v>
      </c>
      <c r="AJ134" s="16">
        <f t="shared" si="169"/>
        <v>16000000</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29"/>
      <c r="B135" s="643"/>
      <c r="N135" s="9"/>
      <c r="R135" s="9"/>
      <c r="S135" s="688" t="s">
        <v>271</v>
      </c>
      <c r="T135" s="667" t="s">
        <v>627</v>
      </c>
      <c r="U135" s="388">
        <v>350000000</v>
      </c>
      <c r="V135" s="15">
        <f t="shared" si="161"/>
        <v>0</v>
      </c>
      <c r="W135" s="15">
        <f t="shared" si="162"/>
        <v>0</v>
      </c>
      <c r="X135" s="16">
        <f t="shared" si="163"/>
        <v>350000000</v>
      </c>
      <c r="Y135" s="19">
        <v>0</v>
      </c>
      <c r="Z135" s="364">
        <v>32073600</v>
      </c>
      <c r="AA135" s="16">
        <f t="shared" si="164"/>
        <v>32073600</v>
      </c>
      <c r="AB135" s="19">
        <v>0</v>
      </c>
      <c r="AC135" s="364">
        <v>0</v>
      </c>
      <c r="AD135" s="18">
        <f t="shared" si="165"/>
        <v>0</v>
      </c>
      <c r="AE135" s="19">
        <v>0</v>
      </c>
      <c r="AF135" s="364">
        <v>0</v>
      </c>
      <c r="AG135" s="16">
        <f t="shared" si="166"/>
        <v>0</v>
      </c>
      <c r="AH135" s="19">
        <f t="shared" si="167"/>
        <v>317926400</v>
      </c>
      <c r="AI135" s="15">
        <f t="shared" si="168"/>
        <v>350000000</v>
      </c>
      <c r="AJ135" s="16">
        <f t="shared" si="169"/>
        <v>350000000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29"/>
      <c r="B136" s="643"/>
      <c r="N136" s="9"/>
      <c r="R136" s="9"/>
      <c r="S136" s="688" t="s">
        <v>272</v>
      </c>
      <c r="T136" s="667"/>
      <c r="U136" s="388">
        <v>0</v>
      </c>
      <c r="V136" s="15">
        <f t="shared" si="161"/>
        <v>0</v>
      </c>
      <c r="W136" s="15">
        <f t="shared" si="162"/>
        <v>0</v>
      </c>
      <c r="X136" s="16">
        <f t="shared" si="163"/>
        <v>0</v>
      </c>
      <c r="Y136" s="19">
        <v>0</v>
      </c>
      <c r="Z136" s="364">
        <v>0</v>
      </c>
      <c r="AA136" s="16">
        <f t="shared" si="164"/>
        <v>0</v>
      </c>
      <c r="AB136" s="19">
        <v>0</v>
      </c>
      <c r="AC136" s="364">
        <v>0</v>
      </c>
      <c r="AD136" s="18">
        <f t="shared" si="165"/>
        <v>0</v>
      </c>
      <c r="AE136" s="19">
        <v>0</v>
      </c>
      <c r="AF136" s="364">
        <v>0</v>
      </c>
      <c r="AG136" s="16">
        <f t="shared" si="166"/>
        <v>0</v>
      </c>
      <c r="AH136" s="19">
        <f t="shared" si="167"/>
        <v>0</v>
      </c>
      <c r="AI136" s="15">
        <f t="shared" si="168"/>
        <v>0</v>
      </c>
      <c r="AJ136" s="16">
        <f t="shared" si="169"/>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29"/>
      <c r="B137" s="643"/>
      <c r="N137" s="9"/>
      <c r="R137" s="9"/>
      <c r="S137" s="688" t="s">
        <v>273</v>
      </c>
      <c r="T137" s="667"/>
      <c r="U137" s="388">
        <v>0</v>
      </c>
      <c r="V137" s="15">
        <f t="shared" si="161"/>
        <v>0</v>
      </c>
      <c r="W137" s="15">
        <f t="shared" si="162"/>
        <v>0</v>
      </c>
      <c r="X137" s="16">
        <f t="shared" si="163"/>
        <v>0</v>
      </c>
      <c r="Y137" s="19">
        <v>0</v>
      </c>
      <c r="Z137" s="364">
        <v>0</v>
      </c>
      <c r="AA137" s="16">
        <f t="shared" si="164"/>
        <v>0</v>
      </c>
      <c r="AB137" s="19">
        <v>0</v>
      </c>
      <c r="AC137" s="364">
        <v>0</v>
      </c>
      <c r="AD137" s="18">
        <f t="shared" si="165"/>
        <v>0</v>
      </c>
      <c r="AE137" s="19">
        <v>0</v>
      </c>
      <c r="AF137" s="364">
        <v>0</v>
      </c>
      <c r="AG137" s="16">
        <f t="shared" si="166"/>
        <v>0</v>
      </c>
      <c r="AH137" s="19">
        <f t="shared" si="167"/>
        <v>0</v>
      </c>
      <c r="AI137" s="15">
        <f t="shared" si="168"/>
        <v>0</v>
      </c>
      <c r="AJ137" s="16">
        <f t="shared" si="169"/>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29"/>
      <c r="B138" s="643"/>
      <c r="N138" s="9"/>
      <c r="R138" s="9"/>
      <c r="S138" s="688" t="s">
        <v>274</v>
      </c>
      <c r="T138" s="667"/>
      <c r="U138" s="388">
        <v>0</v>
      </c>
      <c r="V138" s="15">
        <f t="shared" si="161"/>
        <v>0</v>
      </c>
      <c r="W138" s="15">
        <f t="shared" si="162"/>
        <v>0</v>
      </c>
      <c r="X138" s="16">
        <f t="shared" si="163"/>
        <v>0</v>
      </c>
      <c r="Y138" s="19">
        <v>0</v>
      </c>
      <c r="Z138" s="364">
        <v>0</v>
      </c>
      <c r="AA138" s="16">
        <f t="shared" si="164"/>
        <v>0</v>
      </c>
      <c r="AB138" s="19">
        <v>0</v>
      </c>
      <c r="AC138" s="364">
        <v>0</v>
      </c>
      <c r="AD138" s="18">
        <f t="shared" si="165"/>
        <v>0</v>
      </c>
      <c r="AE138" s="19">
        <v>0</v>
      </c>
      <c r="AF138" s="364">
        <v>0</v>
      </c>
      <c r="AG138" s="16">
        <f t="shared" si="166"/>
        <v>0</v>
      </c>
      <c r="AH138" s="19">
        <f t="shared" si="167"/>
        <v>0</v>
      </c>
      <c r="AI138" s="15">
        <f t="shared" si="168"/>
        <v>0</v>
      </c>
      <c r="AJ138" s="16">
        <f t="shared" si="169"/>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29"/>
      <c r="B139" s="643"/>
      <c r="N139" s="9"/>
      <c r="R139" s="9"/>
      <c r="S139" s="688">
        <v>2010299</v>
      </c>
      <c r="T139" s="664" t="s">
        <v>127</v>
      </c>
      <c r="U139" s="388">
        <v>100000000</v>
      </c>
      <c r="V139" s="15">
        <f t="shared" si="161"/>
        <v>0</v>
      </c>
      <c r="W139" s="15">
        <f t="shared" si="162"/>
        <v>100000000</v>
      </c>
      <c r="X139" s="16">
        <f t="shared" si="163"/>
        <v>200000000</v>
      </c>
      <c r="Y139" s="19">
        <v>0</v>
      </c>
      <c r="Z139" s="364">
        <v>54954668</v>
      </c>
      <c r="AA139" s="16">
        <f t="shared" si="164"/>
        <v>54954668</v>
      </c>
      <c r="AB139" s="19">
        <v>0</v>
      </c>
      <c r="AC139" s="364">
        <v>54954668</v>
      </c>
      <c r="AD139" s="18">
        <f t="shared" si="165"/>
        <v>54954668</v>
      </c>
      <c r="AE139" s="19">
        <v>0</v>
      </c>
      <c r="AF139" s="364">
        <v>54954668</v>
      </c>
      <c r="AG139" s="16">
        <f t="shared" si="166"/>
        <v>54954668</v>
      </c>
      <c r="AH139" s="19">
        <f t="shared" si="167"/>
        <v>145045332</v>
      </c>
      <c r="AI139" s="15">
        <f t="shared" si="168"/>
        <v>145045332</v>
      </c>
      <c r="AJ139" s="16">
        <f t="shared" si="169"/>
        <v>145045332</v>
      </c>
      <c r="AK139" s="9"/>
      <c r="AL139" s="362">
        <v>0</v>
      </c>
      <c r="AM139" s="365">
        <v>100000000</v>
      </c>
      <c r="AN139" s="9"/>
      <c r="AO139" s="284"/>
      <c r="AP139" s="284"/>
      <c r="AQ139" s="284"/>
    </row>
    <row r="140" spans="1:52" s="372" customFormat="1" ht="24.95" customHeight="1">
      <c r="A140" s="729"/>
      <c r="B140" s="643"/>
      <c r="N140" s="9"/>
      <c r="R140" s="9"/>
      <c r="S140" s="356"/>
      <c r="T140" s="660"/>
      <c r="U140" s="161"/>
      <c r="V140" s="161"/>
      <c r="W140" s="161"/>
      <c r="X140" s="166"/>
      <c r="Y140" s="357"/>
      <c r="Z140" s="161"/>
      <c r="AA140" s="166"/>
      <c r="AB140" s="357"/>
      <c r="AC140" s="161"/>
      <c r="AD140" s="161"/>
      <c r="AE140" s="357"/>
      <c r="AF140" s="161"/>
      <c r="AG140" s="166"/>
      <c r="AH140" s="357"/>
      <c r="AI140" s="161"/>
      <c r="AJ140" s="166"/>
      <c r="AK140" s="10"/>
      <c r="AL140" s="172"/>
      <c r="AM140" s="173"/>
      <c r="AN140" s="9"/>
    </row>
    <row r="141" spans="1:52" s="372" customFormat="1" ht="24.95" customHeight="1">
      <c r="A141" s="729"/>
      <c r="B141" s="643"/>
      <c r="N141" s="9"/>
      <c r="R141" s="9"/>
      <c r="S141" s="687">
        <v>2010300</v>
      </c>
      <c r="T141" s="663" t="s">
        <v>275</v>
      </c>
      <c r="U141" s="132">
        <f t="shared" ref="U141:AJ141" si="172">U142+U143</f>
        <v>527082264</v>
      </c>
      <c r="V141" s="122">
        <f t="shared" si="172"/>
        <v>0</v>
      </c>
      <c r="W141" s="122">
        <f t="shared" si="172"/>
        <v>0</v>
      </c>
      <c r="X141" s="130">
        <f t="shared" si="172"/>
        <v>527082264</v>
      </c>
      <c r="Y141" s="128">
        <f t="shared" si="172"/>
        <v>0</v>
      </c>
      <c r="Z141" s="122">
        <f t="shared" si="172"/>
        <v>93827545</v>
      </c>
      <c r="AA141" s="130">
        <f t="shared" si="172"/>
        <v>93827545</v>
      </c>
      <c r="AB141" s="128">
        <f t="shared" si="172"/>
        <v>0</v>
      </c>
      <c r="AC141" s="122">
        <f t="shared" si="172"/>
        <v>75569127</v>
      </c>
      <c r="AD141" s="129">
        <f t="shared" si="172"/>
        <v>75569127</v>
      </c>
      <c r="AE141" s="128">
        <f t="shared" si="172"/>
        <v>0</v>
      </c>
      <c r="AF141" s="122">
        <f t="shared" si="172"/>
        <v>29287270</v>
      </c>
      <c r="AG141" s="130">
        <f t="shared" si="172"/>
        <v>29287270</v>
      </c>
      <c r="AH141" s="128">
        <f t="shared" si="172"/>
        <v>433254719</v>
      </c>
      <c r="AI141" s="122">
        <f t="shared" si="172"/>
        <v>451513137</v>
      </c>
      <c r="AJ141" s="130">
        <f t="shared" si="172"/>
        <v>497794994</v>
      </c>
      <c r="AK141" s="10"/>
      <c r="AL141" s="128">
        <f>AL142+AL143</f>
        <v>0</v>
      </c>
      <c r="AM141" s="130">
        <f>AM142+AM143</f>
        <v>0</v>
      </c>
      <c r="AN141" s="9"/>
    </row>
    <row r="142" spans="1:52" s="372" customFormat="1" ht="24.95" customHeight="1">
      <c r="A142" s="729"/>
      <c r="B142" s="643"/>
      <c r="N142" s="9"/>
      <c r="R142" s="9"/>
      <c r="S142" s="688" t="s">
        <v>276</v>
      </c>
      <c r="T142" s="664" t="s">
        <v>277</v>
      </c>
      <c r="U142" s="388">
        <v>527082264</v>
      </c>
      <c r="V142" s="15">
        <f>AL142</f>
        <v>0</v>
      </c>
      <c r="W142" s="15">
        <f>AM142</f>
        <v>0</v>
      </c>
      <c r="X142" s="16">
        <f>SUM(U142:W142)</f>
        <v>527082264</v>
      </c>
      <c r="Y142" s="19">
        <v>0</v>
      </c>
      <c r="Z142" s="364">
        <v>93827545</v>
      </c>
      <c r="AA142" s="16">
        <f>SUM(Y142:Z142)</f>
        <v>93827545</v>
      </c>
      <c r="AB142" s="19">
        <v>0</v>
      </c>
      <c r="AC142" s="364">
        <v>75569127</v>
      </c>
      <c r="AD142" s="18">
        <f>SUM(AB142:AC142)</f>
        <v>75569127</v>
      </c>
      <c r="AE142" s="19">
        <v>0</v>
      </c>
      <c r="AF142" s="364">
        <v>29287270</v>
      </c>
      <c r="AG142" s="16">
        <f>SUM(AE142:AF142)</f>
        <v>29287270</v>
      </c>
      <c r="AH142" s="19">
        <f>X142-AA142</f>
        <v>433254719</v>
      </c>
      <c r="AI142" s="15">
        <f>X142-AD142</f>
        <v>451513137</v>
      </c>
      <c r="AJ142" s="16">
        <f>X142-AG142</f>
        <v>497794994</v>
      </c>
      <c r="AK142" s="9"/>
      <c r="AL142" s="362">
        <v>0</v>
      </c>
      <c r="AM142" s="365">
        <v>0</v>
      </c>
      <c r="AN142" s="9"/>
    </row>
    <row r="143" spans="1:52" s="372" customFormat="1" ht="24.95" customHeight="1">
      <c r="A143" s="729"/>
      <c r="B143" s="643"/>
      <c r="N143" s="9"/>
      <c r="R143" s="9"/>
      <c r="S143" s="688">
        <v>2010399</v>
      </c>
      <c r="T143" s="664" t="s">
        <v>127</v>
      </c>
      <c r="U143" s="388">
        <v>0</v>
      </c>
      <c r="V143" s="15">
        <f>AL143</f>
        <v>0</v>
      </c>
      <c r="W143" s="15">
        <f>AM143</f>
        <v>0</v>
      </c>
      <c r="X143" s="16">
        <f>SUM(U143:W143)</f>
        <v>0</v>
      </c>
      <c r="Y143" s="19">
        <v>0</v>
      </c>
      <c r="Z143" s="364">
        <v>0</v>
      </c>
      <c r="AA143" s="16">
        <f>SUM(Y143:Z143)</f>
        <v>0</v>
      </c>
      <c r="AB143" s="19">
        <v>0</v>
      </c>
      <c r="AC143" s="364">
        <v>0</v>
      </c>
      <c r="AD143" s="18">
        <f>SUM(AB143:AC143)</f>
        <v>0</v>
      </c>
      <c r="AE143" s="19">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c r="A144" s="729"/>
      <c r="B144" s="643"/>
      <c r="N144" s="9"/>
      <c r="R144" s="9"/>
      <c r="S144" s="356"/>
      <c r="T144" s="660"/>
      <c r="U144" s="161"/>
      <c r="V144" s="161"/>
      <c r="W144" s="161"/>
      <c r="X144" s="166"/>
      <c r="Y144" s="357"/>
      <c r="Z144" s="161"/>
      <c r="AA144" s="166"/>
      <c r="AB144" s="357"/>
      <c r="AC144" s="161"/>
      <c r="AD144" s="161"/>
      <c r="AE144" s="357"/>
      <c r="AF144" s="161"/>
      <c r="AG144" s="166"/>
      <c r="AH144" s="357"/>
      <c r="AI144" s="161"/>
      <c r="AJ144" s="166"/>
      <c r="AK144" s="9"/>
      <c r="AL144" s="172"/>
      <c r="AM144" s="173"/>
      <c r="AN144" s="9"/>
    </row>
    <row r="145" spans="1:40" s="372" customFormat="1" ht="24.95" customHeight="1">
      <c r="A145" s="729"/>
      <c r="B145" s="643"/>
      <c r="N145" s="9"/>
      <c r="R145" s="9"/>
      <c r="S145" s="686">
        <v>2020010</v>
      </c>
      <c r="T145" s="662" t="s">
        <v>187</v>
      </c>
      <c r="U145" s="132">
        <f t="shared" ref="U145:AJ145" si="173">U147+U155</f>
        <v>5923637263</v>
      </c>
      <c r="V145" s="122">
        <f t="shared" si="173"/>
        <v>0</v>
      </c>
      <c r="W145" s="122">
        <f t="shared" si="173"/>
        <v>300000000</v>
      </c>
      <c r="X145" s="130">
        <f t="shared" si="173"/>
        <v>6223637263</v>
      </c>
      <c r="Y145" s="128">
        <f t="shared" si="173"/>
        <v>0</v>
      </c>
      <c r="Z145" s="122">
        <f t="shared" si="173"/>
        <v>3514013341</v>
      </c>
      <c r="AA145" s="130">
        <f t="shared" si="173"/>
        <v>3514013341</v>
      </c>
      <c r="AB145" s="128">
        <f t="shared" si="173"/>
        <v>0</v>
      </c>
      <c r="AC145" s="122">
        <f t="shared" si="173"/>
        <v>725077845</v>
      </c>
      <c r="AD145" s="129">
        <f t="shared" si="173"/>
        <v>725077845</v>
      </c>
      <c r="AE145" s="128">
        <f t="shared" si="173"/>
        <v>0</v>
      </c>
      <c r="AF145" s="122">
        <f t="shared" si="173"/>
        <v>393935108</v>
      </c>
      <c r="AG145" s="130">
        <f t="shared" si="173"/>
        <v>393935108</v>
      </c>
      <c r="AH145" s="128">
        <f t="shared" si="173"/>
        <v>2709623922</v>
      </c>
      <c r="AI145" s="122">
        <f t="shared" si="173"/>
        <v>5498559418</v>
      </c>
      <c r="AJ145" s="130">
        <f t="shared" si="173"/>
        <v>5829702155</v>
      </c>
      <c r="AK145" s="10"/>
      <c r="AL145" s="128">
        <f>AL147+AL155</f>
        <v>0</v>
      </c>
      <c r="AM145" s="130">
        <f>AM147+AM155</f>
        <v>300000000</v>
      </c>
      <c r="AN145" s="9"/>
    </row>
    <row r="146" spans="1:40" s="372" customFormat="1" ht="24.95" customHeight="1">
      <c r="A146" s="729"/>
      <c r="B146" s="643"/>
      <c r="N146" s="9"/>
      <c r="R146" s="9"/>
      <c r="S146" s="689"/>
      <c r="T146" s="665"/>
      <c r="U146" s="17"/>
      <c r="V146" s="15"/>
      <c r="W146" s="15"/>
      <c r="X146" s="16"/>
      <c r="Y146" s="19"/>
      <c r="Z146" s="15"/>
      <c r="AA146" s="16"/>
      <c r="AB146" s="19"/>
      <c r="AC146" s="15"/>
      <c r="AD146" s="18"/>
      <c r="AE146" s="19"/>
      <c r="AF146" s="15"/>
      <c r="AG146" s="16"/>
      <c r="AH146" s="19"/>
      <c r="AI146" s="15"/>
      <c r="AJ146" s="16"/>
      <c r="AK146" s="9"/>
      <c r="AL146" s="172"/>
      <c r="AM146" s="173"/>
      <c r="AN146" s="9"/>
    </row>
    <row r="147" spans="1:40" s="372" customFormat="1" ht="24.95" customHeight="1">
      <c r="A147" s="729"/>
      <c r="B147" s="643"/>
      <c r="N147" s="9"/>
      <c r="R147" s="9"/>
      <c r="S147" s="687">
        <v>2020100</v>
      </c>
      <c r="T147" s="663" t="s">
        <v>236</v>
      </c>
      <c r="U147" s="132">
        <f t="shared" ref="U147:AJ147" si="174">SUM(U148:U149)+U153</f>
        <v>1211000000</v>
      </c>
      <c r="V147" s="122">
        <f t="shared" si="174"/>
        <v>0</v>
      </c>
      <c r="W147" s="122">
        <f t="shared" si="174"/>
        <v>100000000</v>
      </c>
      <c r="X147" s="130">
        <f t="shared" si="174"/>
        <v>1311000000</v>
      </c>
      <c r="Y147" s="128">
        <f t="shared" si="174"/>
        <v>0</v>
      </c>
      <c r="Z147" s="122">
        <f t="shared" si="174"/>
        <v>144099225</v>
      </c>
      <c r="AA147" s="130">
        <f t="shared" si="174"/>
        <v>144099225</v>
      </c>
      <c r="AB147" s="128">
        <f t="shared" si="174"/>
        <v>0</v>
      </c>
      <c r="AC147" s="122">
        <f t="shared" si="174"/>
        <v>126955984</v>
      </c>
      <c r="AD147" s="129">
        <f t="shared" si="174"/>
        <v>126955984</v>
      </c>
      <c r="AE147" s="128">
        <f t="shared" si="174"/>
        <v>0</v>
      </c>
      <c r="AF147" s="122">
        <f t="shared" si="174"/>
        <v>115636585</v>
      </c>
      <c r="AG147" s="130">
        <f t="shared" si="174"/>
        <v>115636585</v>
      </c>
      <c r="AH147" s="128">
        <f t="shared" si="174"/>
        <v>1166900775</v>
      </c>
      <c r="AI147" s="122">
        <f t="shared" si="174"/>
        <v>1184044016</v>
      </c>
      <c r="AJ147" s="130">
        <f t="shared" si="174"/>
        <v>1195363415</v>
      </c>
      <c r="AK147" s="9"/>
      <c r="AL147" s="128">
        <f>SUM(AL148:AL149)+AL153</f>
        <v>0</v>
      </c>
      <c r="AM147" s="130">
        <f>SUM(AM148:AM149)+AM153</f>
        <v>100000000</v>
      </c>
      <c r="AN147" s="9"/>
    </row>
    <row r="148" spans="1:40" s="372" customFormat="1" ht="24.95" customHeight="1">
      <c r="A148" s="729"/>
      <c r="B148" s="643"/>
      <c r="N148" s="9"/>
      <c r="R148" s="9"/>
      <c r="S148" s="688">
        <v>2020101</v>
      </c>
      <c r="T148" s="664" t="s">
        <v>278</v>
      </c>
      <c r="U148" s="388">
        <v>1000000000</v>
      </c>
      <c r="V148" s="15">
        <f>AL148</f>
        <v>0</v>
      </c>
      <c r="W148" s="15">
        <f>AM148</f>
        <v>0</v>
      </c>
      <c r="X148" s="16">
        <f>SUM(U148:W148)</f>
        <v>1000000000</v>
      </c>
      <c r="Y148" s="19">
        <v>0</v>
      </c>
      <c r="Z148" s="364">
        <v>33658241</v>
      </c>
      <c r="AA148" s="16">
        <f>SUM(Y148:Z148)</f>
        <v>33658241</v>
      </c>
      <c r="AB148" s="19">
        <v>0</v>
      </c>
      <c r="AC148" s="364">
        <v>16515000</v>
      </c>
      <c r="AD148" s="18">
        <f>SUM(AB148:AC148)</f>
        <v>16515000</v>
      </c>
      <c r="AE148" s="19">
        <v>0</v>
      </c>
      <c r="AF148" s="364">
        <v>16515000</v>
      </c>
      <c r="AG148" s="16">
        <f>SUM(AE148:AF148)</f>
        <v>16515000</v>
      </c>
      <c r="AH148" s="19">
        <f>X148-AA148</f>
        <v>966341759</v>
      </c>
      <c r="AI148" s="15">
        <f>X148-AD148</f>
        <v>983485000</v>
      </c>
      <c r="AJ148" s="16">
        <f>X148-AG148</f>
        <v>983485000</v>
      </c>
      <c r="AK148" s="9"/>
      <c r="AL148" s="362">
        <v>0</v>
      </c>
      <c r="AM148" s="365">
        <v>0</v>
      </c>
      <c r="AN148" s="9"/>
    </row>
    <row r="149" spans="1:40" s="372" customFormat="1" ht="24.95" customHeight="1">
      <c r="A149" s="729"/>
      <c r="B149" s="643"/>
      <c r="N149" s="9"/>
      <c r="R149" s="9"/>
      <c r="S149" s="688">
        <v>2020102</v>
      </c>
      <c r="T149" s="664" t="s">
        <v>80</v>
      </c>
      <c r="U149" s="17">
        <f t="shared" ref="U149:AJ149" si="175">SUM(U150:U152)</f>
        <v>150000000</v>
      </c>
      <c r="V149" s="15">
        <f t="shared" si="175"/>
        <v>0</v>
      </c>
      <c r="W149" s="15">
        <f t="shared" si="175"/>
        <v>0</v>
      </c>
      <c r="X149" s="16">
        <f t="shared" si="175"/>
        <v>150000000</v>
      </c>
      <c r="Y149" s="19">
        <f t="shared" si="175"/>
        <v>0</v>
      </c>
      <c r="Z149" s="142">
        <f t="shared" si="175"/>
        <v>11319399</v>
      </c>
      <c r="AA149" s="16">
        <f t="shared" si="175"/>
        <v>11319399</v>
      </c>
      <c r="AB149" s="19">
        <f t="shared" si="175"/>
        <v>0</v>
      </c>
      <c r="AC149" s="142">
        <f t="shared" si="175"/>
        <v>11319399</v>
      </c>
      <c r="AD149" s="18">
        <f t="shared" si="175"/>
        <v>11319399</v>
      </c>
      <c r="AE149" s="19">
        <f t="shared" si="175"/>
        <v>0</v>
      </c>
      <c r="AF149" s="142">
        <f t="shared" si="175"/>
        <v>0</v>
      </c>
      <c r="AG149" s="16">
        <f t="shared" si="175"/>
        <v>0</v>
      </c>
      <c r="AH149" s="19">
        <f t="shared" si="175"/>
        <v>138680601</v>
      </c>
      <c r="AI149" s="15">
        <f t="shared" si="175"/>
        <v>138680601</v>
      </c>
      <c r="AJ149" s="16">
        <f t="shared" si="175"/>
        <v>150000000</v>
      </c>
      <c r="AK149" s="9"/>
      <c r="AL149" s="29">
        <f>SUM(AL150:AL152)</f>
        <v>0</v>
      </c>
      <c r="AM149" s="26">
        <f>SUM(AM150:AM152)</f>
        <v>0</v>
      </c>
      <c r="AN149" s="9"/>
    </row>
    <row r="150" spans="1:40" s="372" customFormat="1" ht="24.95" customHeight="1">
      <c r="A150" s="729"/>
      <c r="B150" s="643"/>
      <c r="N150" s="9"/>
      <c r="R150" s="9"/>
      <c r="S150" s="689" t="s">
        <v>279</v>
      </c>
      <c r="T150" s="665" t="s">
        <v>401</v>
      </c>
      <c r="U150" s="388">
        <v>150000000</v>
      </c>
      <c r="V150" s="15">
        <f t="shared" ref="V150:W153" si="176">AL150</f>
        <v>0</v>
      </c>
      <c r="W150" s="15">
        <f t="shared" si="176"/>
        <v>0</v>
      </c>
      <c r="X150" s="16">
        <f>SUM(U150:W150)</f>
        <v>150000000</v>
      </c>
      <c r="Y150" s="19">
        <v>0</v>
      </c>
      <c r="Z150" s="364">
        <v>11319399</v>
      </c>
      <c r="AA150" s="16">
        <f>SUM(Y150:Z150)</f>
        <v>11319399</v>
      </c>
      <c r="AB150" s="19">
        <v>0</v>
      </c>
      <c r="AC150" s="364">
        <v>11319399</v>
      </c>
      <c r="AD150" s="18">
        <f>SUM(AB150:AC150)</f>
        <v>11319399</v>
      </c>
      <c r="AE150" s="19">
        <v>0</v>
      </c>
      <c r="AF150" s="364">
        <v>0</v>
      </c>
      <c r="AG150" s="16">
        <f>SUM(AE150:AF150)</f>
        <v>0</v>
      </c>
      <c r="AH150" s="19">
        <f>X150-AA150</f>
        <v>138680601</v>
      </c>
      <c r="AI150" s="15">
        <f>X150-AD150</f>
        <v>138680601</v>
      </c>
      <c r="AJ150" s="16">
        <f>X150-AG150</f>
        <v>150000000</v>
      </c>
      <c r="AK150" s="9"/>
      <c r="AL150" s="362">
        <v>0</v>
      </c>
      <c r="AM150" s="365">
        <v>0</v>
      </c>
      <c r="AN150" s="9"/>
    </row>
    <row r="151" spans="1:40" s="372" customFormat="1" ht="24.95" customHeight="1">
      <c r="A151" s="729"/>
      <c r="B151" s="643"/>
      <c r="N151" s="9"/>
      <c r="R151" s="9"/>
      <c r="S151" s="689" t="s">
        <v>280</v>
      </c>
      <c r="T151" s="665" t="s">
        <v>241</v>
      </c>
      <c r="U151" s="388">
        <v>0</v>
      </c>
      <c r="V151" s="15">
        <f t="shared" si="176"/>
        <v>0</v>
      </c>
      <c r="W151" s="15">
        <f t="shared" si="176"/>
        <v>0</v>
      </c>
      <c r="X151" s="16">
        <f>SUM(U151:W151)</f>
        <v>0</v>
      </c>
      <c r="Y151" s="19">
        <v>0</v>
      </c>
      <c r="Z151" s="364">
        <v>0</v>
      </c>
      <c r="AA151" s="16">
        <f>SUM(Y151:Z151)</f>
        <v>0</v>
      </c>
      <c r="AB151" s="19">
        <v>0</v>
      </c>
      <c r="AC151" s="364">
        <v>0</v>
      </c>
      <c r="AD151" s="18">
        <f>SUM(AB151:AC151)</f>
        <v>0</v>
      </c>
      <c r="AE151" s="19">
        <v>0</v>
      </c>
      <c r="AF151" s="364">
        <v>0</v>
      </c>
      <c r="AG151" s="16">
        <f>SUM(AE151:AF151)</f>
        <v>0</v>
      </c>
      <c r="AH151" s="19">
        <f>X151-AA151</f>
        <v>0</v>
      </c>
      <c r="AI151" s="15">
        <f>X151-AD151</f>
        <v>0</v>
      </c>
      <c r="AJ151" s="16">
        <f>X151-AG151</f>
        <v>0</v>
      </c>
      <c r="AK151" s="9"/>
      <c r="AL151" s="362">
        <v>0</v>
      </c>
      <c r="AM151" s="365">
        <v>0</v>
      </c>
      <c r="AN151" s="9"/>
    </row>
    <row r="152" spans="1:40" s="372" customFormat="1" ht="24.95" customHeight="1">
      <c r="A152" s="729"/>
      <c r="B152" s="643"/>
      <c r="N152" s="9"/>
      <c r="R152" s="9"/>
      <c r="S152" s="689" t="s">
        <v>281</v>
      </c>
      <c r="T152" s="666"/>
      <c r="U152" s="388">
        <v>0</v>
      </c>
      <c r="V152" s="15">
        <f t="shared" si="176"/>
        <v>0</v>
      </c>
      <c r="W152" s="15">
        <f t="shared" si="176"/>
        <v>0</v>
      </c>
      <c r="X152" s="16">
        <f>SUM(U152:W152)</f>
        <v>0</v>
      </c>
      <c r="Y152" s="19">
        <v>0</v>
      </c>
      <c r="Z152" s="364">
        <v>0</v>
      </c>
      <c r="AA152" s="16">
        <f>SUM(Y152:Z152)</f>
        <v>0</v>
      </c>
      <c r="AB152" s="19">
        <v>0</v>
      </c>
      <c r="AC152" s="364">
        <v>0</v>
      </c>
      <c r="AD152" s="18">
        <f>SUM(AB152:AC152)</f>
        <v>0</v>
      </c>
      <c r="AE152" s="19">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c r="A153" s="729"/>
      <c r="B153" s="643"/>
      <c r="N153" s="9"/>
      <c r="R153" s="9"/>
      <c r="S153" s="688">
        <v>2020199</v>
      </c>
      <c r="T153" s="664" t="s">
        <v>127</v>
      </c>
      <c r="U153" s="388">
        <v>61000000</v>
      </c>
      <c r="V153" s="15">
        <f t="shared" si="176"/>
        <v>0</v>
      </c>
      <c r="W153" s="15">
        <f t="shared" si="176"/>
        <v>100000000</v>
      </c>
      <c r="X153" s="16">
        <f>SUM(U153:W153)</f>
        <v>161000000</v>
      </c>
      <c r="Y153" s="19">
        <v>0</v>
      </c>
      <c r="Z153" s="364">
        <v>99121585</v>
      </c>
      <c r="AA153" s="16">
        <f>SUM(Y153:Z153)</f>
        <v>99121585</v>
      </c>
      <c r="AB153" s="19">
        <v>0</v>
      </c>
      <c r="AC153" s="364">
        <v>99121585</v>
      </c>
      <c r="AD153" s="18">
        <f>SUM(AB153:AC153)</f>
        <v>99121585</v>
      </c>
      <c r="AE153" s="19">
        <v>0</v>
      </c>
      <c r="AF153" s="364">
        <v>99121585</v>
      </c>
      <c r="AG153" s="16">
        <f>SUM(AE153:AF153)</f>
        <v>99121585</v>
      </c>
      <c r="AH153" s="19">
        <f>X153-AA153</f>
        <v>61878415</v>
      </c>
      <c r="AI153" s="15">
        <f>X153-AD153</f>
        <v>61878415</v>
      </c>
      <c r="AJ153" s="16">
        <f>X153-AG153</f>
        <v>61878415</v>
      </c>
      <c r="AK153" s="9"/>
      <c r="AL153" s="362">
        <v>0</v>
      </c>
      <c r="AM153" s="365">
        <v>100000000</v>
      </c>
      <c r="AN153" s="9"/>
    </row>
    <row r="154" spans="1:40" s="372" customFormat="1" ht="24.95" customHeight="1">
      <c r="A154" s="729"/>
      <c r="B154" s="643"/>
      <c r="N154" s="9"/>
      <c r="R154" s="9"/>
      <c r="S154" s="356"/>
      <c r="T154" s="660"/>
      <c r="U154" s="161"/>
      <c r="V154" s="161"/>
      <c r="W154" s="161"/>
      <c r="X154" s="166"/>
      <c r="Y154" s="357"/>
      <c r="Z154" s="161"/>
      <c r="AA154" s="166"/>
      <c r="AB154" s="357"/>
      <c r="AC154" s="161"/>
      <c r="AD154" s="161"/>
      <c r="AE154" s="357"/>
      <c r="AF154" s="161"/>
      <c r="AG154" s="166"/>
      <c r="AH154" s="357"/>
      <c r="AI154" s="161"/>
      <c r="AJ154" s="166"/>
      <c r="AK154" s="9"/>
      <c r="AL154" s="172"/>
      <c r="AM154" s="173"/>
      <c r="AN154" s="9"/>
    </row>
    <row r="155" spans="1:40" s="372" customFormat="1" ht="24.95" customHeight="1">
      <c r="A155" s="729"/>
      <c r="B155" s="643"/>
      <c r="N155" s="9"/>
      <c r="R155" s="9"/>
      <c r="S155" s="687">
        <v>2020200</v>
      </c>
      <c r="T155" s="663" t="s">
        <v>249</v>
      </c>
      <c r="U155" s="132">
        <f t="shared" ref="U155:AJ155" si="177">SUM(U156:U157)+U168</f>
        <v>4712637263</v>
      </c>
      <c r="V155" s="122">
        <f t="shared" si="177"/>
        <v>0</v>
      </c>
      <c r="W155" s="122">
        <f t="shared" si="177"/>
        <v>200000000</v>
      </c>
      <c r="X155" s="130">
        <f t="shared" si="177"/>
        <v>4912637263</v>
      </c>
      <c r="Y155" s="128">
        <f t="shared" si="177"/>
        <v>0</v>
      </c>
      <c r="Z155" s="122">
        <f t="shared" si="177"/>
        <v>3369914116</v>
      </c>
      <c r="AA155" s="130">
        <f t="shared" si="177"/>
        <v>3369914116</v>
      </c>
      <c r="AB155" s="128">
        <f t="shared" si="177"/>
        <v>0</v>
      </c>
      <c r="AC155" s="122">
        <f t="shared" si="177"/>
        <v>598121861</v>
      </c>
      <c r="AD155" s="129">
        <f t="shared" si="177"/>
        <v>598121861</v>
      </c>
      <c r="AE155" s="128">
        <f t="shared" si="177"/>
        <v>0</v>
      </c>
      <c r="AF155" s="122">
        <f t="shared" si="177"/>
        <v>278298523</v>
      </c>
      <c r="AG155" s="130">
        <f t="shared" si="177"/>
        <v>278298523</v>
      </c>
      <c r="AH155" s="128">
        <f t="shared" si="177"/>
        <v>1542723147</v>
      </c>
      <c r="AI155" s="122">
        <f t="shared" si="177"/>
        <v>4314515402</v>
      </c>
      <c r="AJ155" s="130">
        <f t="shared" si="177"/>
        <v>4634338740</v>
      </c>
      <c r="AK155" s="9"/>
      <c r="AL155" s="128">
        <f>SUM(AL156:AL157)+AL168</f>
        <v>0</v>
      </c>
      <c r="AM155" s="130">
        <f>SUM(AM156:AM157)+AM168</f>
        <v>200000000</v>
      </c>
      <c r="AN155" s="9"/>
    </row>
    <row r="156" spans="1:40" s="372" customFormat="1" ht="24.95" customHeight="1">
      <c r="A156" s="729"/>
      <c r="B156" s="643"/>
      <c r="N156" s="9"/>
      <c r="P156" s="9"/>
      <c r="Q156" s="9"/>
      <c r="R156" s="9"/>
      <c r="S156" s="688">
        <v>2020201</v>
      </c>
      <c r="T156" s="664" t="s">
        <v>278</v>
      </c>
      <c r="U156" s="388">
        <v>2002025000</v>
      </c>
      <c r="V156" s="15">
        <f>AL156</f>
        <v>0</v>
      </c>
      <c r="W156" s="15">
        <f>AM156</f>
        <v>0</v>
      </c>
      <c r="X156" s="16">
        <f>SUM(U156:W156)</f>
        <v>2002025000</v>
      </c>
      <c r="Y156" s="19">
        <v>0</v>
      </c>
      <c r="Z156" s="364">
        <v>1362729334</v>
      </c>
      <c r="AA156" s="16">
        <f>SUM(Y156:Z156)</f>
        <v>1362729334</v>
      </c>
      <c r="AB156" s="19">
        <v>0</v>
      </c>
      <c r="AC156" s="364">
        <v>117659367</v>
      </c>
      <c r="AD156" s="18">
        <f>SUM(AB156:AC156)</f>
        <v>117659367</v>
      </c>
      <c r="AE156" s="19">
        <v>0</v>
      </c>
      <c r="AF156" s="364">
        <v>1070000</v>
      </c>
      <c r="AG156" s="16">
        <f>SUM(AE156:AF156)</f>
        <v>1070000</v>
      </c>
      <c r="AH156" s="19">
        <f>X156-AA156</f>
        <v>639295666</v>
      </c>
      <c r="AI156" s="15">
        <f>X156-AD156</f>
        <v>1884365633</v>
      </c>
      <c r="AJ156" s="16">
        <f>X156-AG156</f>
        <v>2000955000</v>
      </c>
      <c r="AK156" s="9"/>
      <c r="AL156" s="362">
        <v>0</v>
      </c>
      <c r="AM156" s="365">
        <v>0</v>
      </c>
      <c r="AN156" s="9"/>
    </row>
    <row r="157" spans="1:40" s="372" customFormat="1" ht="24.95" customHeight="1">
      <c r="A157" s="729"/>
      <c r="B157" s="643"/>
      <c r="N157" s="9"/>
      <c r="P157" s="9"/>
      <c r="Q157" s="9"/>
      <c r="R157" s="9"/>
      <c r="S157" s="688">
        <v>2020202</v>
      </c>
      <c r="T157" s="664" t="s">
        <v>80</v>
      </c>
      <c r="U157" s="27">
        <f>SUM(U158:U167)</f>
        <v>2609712263</v>
      </c>
      <c r="V157" s="27">
        <f t="shared" ref="V157:AJ157" si="178">SUM(V158:V167)</f>
        <v>0</v>
      </c>
      <c r="W157" s="27">
        <f t="shared" si="178"/>
        <v>0</v>
      </c>
      <c r="X157" s="16">
        <f t="shared" si="178"/>
        <v>2609712263</v>
      </c>
      <c r="Y157" s="29">
        <f t="shared" si="178"/>
        <v>0</v>
      </c>
      <c r="Z157" s="27">
        <f t="shared" si="178"/>
        <v>1730668759</v>
      </c>
      <c r="AA157" s="171">
        <f t="shared" si="178"/>
        <v>1730668759</v>
      </c>
      <c r="AB157" s="190">
        <f t="shared" si="178"/>
        <v>0</v>
      </c>
      <c r="AC157" s="206">
        <f t="shared" si="178"/>
        <v>203946471</v>
      </c>
      <c r="AD157" s="18">
        <f t="shared" si="178"/>
        <v>203946471</v>
      </c>
      <c r="AE157" s="29">
        <f t="shared" si="178"/>
        <v>0</v>
      </c>
      <c r="AF157" s="27">
        <f t="shared" si="178"/>
        <v>712500</v>
      </c>
      <c r="AG157" s="171">
        <f t="shared" si="178"/>
        <v>712500</v>
      </c>
      <c r="AH157" s="29">
        <f t="shared" si="178"/>
        <v>879043504</v>
      </c>
      <c r="AI157" s="27">
        <f t="shared" si="178"/>
        <v>2405765792</v>
      </c>
      <c r="AJ157" s="171">
        <f t="shared" si="178"/>
        <v>2608999763</v>
      </c>
      <c r="AK157" s="10"/>
      <c r="AL157" s="29">
        <f>SUM(AL158:AL167)</f>
        <v>0</v>
      </c>
      <c r="AM157" s="26">
        <f>SUM(AM158:AM167)</f>
        <v>0</v>
      </c>
      <c r="AN157" s="9"/>
    </row>
    <row r="158" spans="1:40" s="372" customFormat="1" ht="24.95" customHeight="1">
      <c r="A158" s="729"/>
      <c r="B158" s="643"/>
      <c r="N158" s="9"/>
      <c r="P158" s="9"/>
      <c r="Q158" s="9"/>
      <c r="R158" s="9"/>
      <c r="S158" s="689" t="s">
        <v>282</v>
      </c>
      <c r="T158" s="666" t="s">
        <v>251</v>
      </c>
      <c r="U158" s="388">
        <v>200000000</v>
      </c>
      <c r="V158" s="15">
        <f t="shared" ref="V158:V168" si="179">AL158</f>
        <v>0</v>
      </c>
      <c r="W158" s="15">
        <f t="shared" ref="W158:W168" si="180">AM158</f>
        <v>0</v>
      </c>
      <c r="X158" s="16">
        <f t="shared" ref="X158:X168" si="181">SUM(U158:W158)</f>
        <v>200000000</v>
      </c>
      <c r="Y158" s="19">
        <v>0</v>
      </c>
      <c r="Z158" s="364">
        <v>21558821</v>
      </c>
      <c r="AA158" s="16">
        <f t="shared" ref="AA158:AA168" si="182">SUM(Y158:Z158)</f>
        <v>21558821</v>
      </c>
      <c r="AB158" s="19">
        <v>0</v>
      </c>
      <c r="AC158" s="364">
        <v>21000000</v>
      </c>
      <c r="AD158" s="18">
        <f t="shared" ref="AD158:AD168" si="183">SUM(AB158:AC158)</f>
        <v>21000000</v>
      </c>
      <c r="AE158" s="19">
        <v>0</v>
      </c>
      <c r="AF158" s="364">
        <v>0</v>
      </c>
      <c r="AG158" s="16">
        <f t="shared" ref="AG158:AG168" si="184">SUM(AE158:AF158)</f>
        <v>0</v>
      </c>
      <c r="AH158" s="19">
        <f t="shared" ref="AH158:AH168" si="185">X158-AA158</f>
        <v>178441179</v>
      </c>
      <c r="AI158" s="15">
        <f t="shared" ref="AI158:AI168" si="186">X158-AD158</f>
        <v>179000000</v>
      </c>
      <c r="AJ158" s="16">
        <f t="shared" ref="AJ158:AJ168" si="187">X158-AG158</f>
        <v>200000000</v>
      </c>
      <c r="AK158" s="9"/>
      <c r="AL158" s="362">
        <v>0</v>
      </c>
      <c r="AM158" s="365">
        <v>0</v>
      </c>
      <c r="AN158" s="9"/>
    </row>
    <row r="159" spans="1:40" s="372" customFormat="1" ht="24.95" customHeight="1">
      <c r="A159" s="729"/>
      <c r="B159" s="643"/>
      <c r="N159" s="9"/>
      <c r="P159" s="9"/>
      <c r="Q159" s="9"/>
      <c r="R159" s="9"/>
      <c r="S159" s="689" t="s">
        <v>283</v>
      </c>
      <c r="T159" s="666" t="s">
        <v>253</v>
      </c>
      <c r="U159" s="388">
        <v>40000000</v>
      </c>
      <c r="V159" s="15">
        <f t="shared" si="179"/>
        <v>0</v>
      </c>
      <c r="W159" s="15">
        <f t="shared" si="180"/>
        <v>0</v>
      </c>
      <c r="X159" s="16">
        <f t="shared" si="181"/>
        <v>40000000</v>
      </c>
      <c r="Y159" s="19">
        <v>0</v>
      </c>
      <c r="Z159" s="364">
        <v>0</v>
      </c>
      <c r="AA159" s="16">
        <f t="shared" si="182"/>
        <v>0</v>
      </c>
      <c r="AB159" s="19">
        <v>0</v>
      </c>
      <c r="AC159" s="364">
        <v>0</v>
      </c>
      <c r="AD159" s="18">
        <f t="shared" si="183"/>
        <v>0</v>
      </c>
      <c r="AE159" s="19">
        <v>0</v>
      </c>
      <c r="AF159" s="364">
        <v>0</v>
      </c>
      <c r="AG159" s="16">
        <f t="shared" si="184"/>
        <v>0</v>
      </c>
      <c r="AH159" s="19">
        <f t="shared" si="185"/>
        <v>40000000</v>
      </c>
      <c r="AI159" s="15">
        <f t="shared" si="186"/>
        <v>40000000</v>
      </c>
      <c r="AJ159" s="16">
        <f t="shared" si="187"/>
        <v>40000000</v>
      </c>
      <c r="AK159" s="9"/>
      <c r="AL159" s="362">
        <v>0</v>
      </c>
      <c r="AM159" s="365">
        <v>0</v>
      </c>
      <c r="AN159" s="9"/>
    </row>
    <row r="160" spans="1:40" s="372" customFormat="1" ht="24.95" customHeight="1">
      <c r="A160" s="729"/>
      <c r="B160" s="643"/>
      <c r="N160" s="9"/>
      <c r="P160" s="9"/>
      <c r="Q160" s="9"/>
      <c r="R160" s="9"/>
      <c r="S160" s="689" t="s">
        <v>284</v>
      </c>
      <c r="T160" s="666" t="s">
        <v>444</v>
      </c>
      <c r="U160" s="388">
        <v>0</v>
      </c>
      <c r="V160" s="15">
        <f t="shared" si="179"/>
        <v>0</v>
      </c>
      <c r="W160" s="15">
        <f t="shared" si="180"/>
        <v>0</v>
      </c>
      <c r="X160" s="16">
        <f t="shared" si="181"/>
        <v>0</v>
      </c>
      <c r="Y160" s="19">
        <v>0</v>
      </c>
      <c r="Z160" s="364">
        <v>0</v>
      </c>
      <c r="AA160" s="16">
        <f t="shared" si="182"/>
        <v>0</v>
      </c>
      <c r="AB160" s="19">
        <v>0</v>
      </c>
      <c r="AC160" s="364">
        <v>0</v>
      </c>
      <c r="AD160" s="18">
        <f t="shared" si="183"/>
        <v>0</v>
      </c>
      <c r="AE160" s="19">
        <v>0</v>
      </c>
      <c r="AF160" s="364">
        <v>0</v>
      </c>
      <c r="AG160" s="16">
        <f t="shared" si="184"/>
        <v>0</v>
      </c>
      <c r="AH160" s="19">
        <f t="shared" si="185"/>
        <v>0</v>
      </c>
      <c r="AI160" s="15">
        <f t="shared" si="186"/>
        <v>0</v>
      </c>
      <c r="AJ160" s="16">
        <f t="shared" si="187"/>
        <v>0</v>
      </c>
      <c r="AK160" s="9"/>
      <c r="AL160" s="362">
        <v>0</v>
      </c>
      <c r="AM160" s="365">
        <v>0</v>
      </c>
      <c r="AN160" s="9"/>
    </row>
    <row r="161" spans="1:40" s="372" customFormat="1" ht="24.95" customHeight="1">
      <c r="A161" s="729"/>
      <c r="B161" s="643"/>
      <c r="N161" s="9"/>
      <c r="P161" s="9"/>
      <c r="Q161" s="9"/>
      <c r="R161" s="9"/>
      <c r="S161" s="689" t="s">
        <v>285</v>
      </c>
      <c r="T161" s="666" t="s">
        <v>257</v>
      </c>
      <c r="U161" s="388">
        <v>5000000</v>
      </c>
      <c r="V161" s="15">
        <f t="shared" si="179"/>
        <v>0</v>
      </c>
      <c r="W161" s="15">
        <f t="shared" si="180"/>
        <v>0</v>
      </c>
      <c r="X161" s="16">
        <f t="shared" si="181"/>
        <v>5000000</v>
      </c>
      <c r="Y161" s="19">
        <v>0</v>
      </c>
      <c r="Z161" s="364">
        <v>0</v>
      </c>
      <c r="AA161" s="16">
        <f t="shared" si="182"/>
        <v>0</v>
      </c>
      <c r="AB161" s="19">
        <v>0</v>
      </c>
      <c r="AC161" s="364">
        <v>0</v>
      </c>
      <c r="AD161" s="18">
        <f t="shared" si="183"/>
        <v>0</v>
      </c>
      <c r="AE161" s="19">
        <v>0</v>
      </c>
      <c r="AF161" s="364">
        <v>0</v>
      </c>
      <c r="AG161" s="16">
        <f t="shared" si="184"/>
        <v>0</v>
      </c>
      <c r="AH161" s="19">
        <f t="shared" si="185"/>
        <v>5000000</v>
      </c>
      <c r="AI161" s="15">
        <f t="shared" si="186"/>
        <v>5000000</v>
      </c>
      <c r="AJ161" s="16">
        <f t="shared" si="187"/>
        <v>5000000</v>
      </c>
      <c r="AK161" s="9"/>
      <c r="AL161" s="362">
        <v>0</v>
      </c>
      <c r="AM161" s="365">
        <v>0</v>
      </c>
      <c r="AN161" s="9"/>
    </row>
    <row r="162" spans="1:40" s="372" customFormat="1" ht="24.95" customHeight="1">
      <c r="A162" s="729"/>
      <c r="B162" s="643"/>
      <c r="N162" s="9"/>
      <c r="P162" s="9"/>
      <c r="Q162" s="9"/>
      <c r="R162" s="9"/>
      <c r="S162" s="689" t="s">
        <v>286</v>
      </c>
      <c r="T162" s="666" t="s">
        <v>259</v>
      </c>
      <c r="U162" s="388">
        <v>5000000</v>
      </c>
      <c r="V162" s="15">
        <f t="shared" si="179"/>
        <v>0</v>
      </c>
      <c r="W162" s="15">
        <f t="shared" si="180"/>
        <v>0</v>
      </c>
      <c r="X162" s="16">
        <f t="shared" si="181"/>
        <v>5000000</v>
      </c>
      <c r="Y162" s="19">
        <v>0</v>
      </c>
      <c r="Z162" s="364">
        <v>712500</v>
      </c>
      <c r="AA162" s="16">
        <f t="shared" si="182"/>
        <v>712500</v>
      </c>
      <c r="AB162" s="19">
        <v>0</v>
      </c>
      <c r="AC162" s="364">
        <v>712500</v>
      </c>
      <c r="AD162" s="18">
        <f t="shared" si="183"/>
        <v>712500</v>
      </c>
      <c r="AE162" s="19">
        <v>0</v>
      </c>
      <c r="AF162" s="364">
        <v>712500</v>
      </c>
      <c r="AG162" s="16">
        <f t="shared" si="184"/>
        <v>712500</v>
      </c>
      <c r="AH162" s="19">
        <f t="shared" si="185"/>
        <v>4287500</v>
      </c>
      <c r="AI162" s="15">
        <f t="shared" si="186"/>
        <v>4287500</v>
      </c>
      <c r="AJ162" s="16">
        <f t="shared" si="187"/>
        <v>4287500</v>
      </c>
      <c r="AK162" s="9"/>
      <c r="AL162" s="362">
        <v>0</v>
      </c>
      <c r="AM162" s="365">
        <v>0</v>
      </c>
      <c r="AN162" s="9"/>
    </row>
    <row r="163" spans="1:40" s="372" customFormat="1" ht="24.95" customHeight="1">
      <c r="A163" s="729"/>
      <c r="B163" s="643"/>
      <c r="N163" s="9"/>
      <c r="P163" s="9"/>
      <c r="Q163" s="9"/>
      <c r="R163" s="9"/>
      <c r="S163" s="689" t="s">
        <v>287</v>
      </c>
      <c r="T163" s="666" t="s">
        <v>288</v>
      </c>
      <c r="U163" s="388">
        <v>300000000</v>
      </c>
      <c r="V163" s="15">
        <f t="shared" si="179"/>
        <v>0</v>
      </c>
      <c r="W163" s="15">
        <f t="shared" si="180"/>
        <v>0</v>
      </c>
      <c r="X163" s="16">
        <f t="shared" si="181"/>
        <v>300000000</v>
      </c>
      <c r="Y163" s="19">
        <v>0</v>
      </c>
      <c r="Z163" s="364">
        <v>129480175</v>
      </c>
      <c r="AA163" s="16">
        <f t="shared" si="182"/>
        <v>129480175</v>
      </c>
      <c r="AB163" s="19">
        <v>0</v>
      </c>
      <c r="AC163" s="364">
        <v>18920257</v>
      </c>
      <c r="AD163" s="18">
        <f t="shared" si="183"/>
        <v>18920257</v>
      </c>
      <c r="AE163" s="19">
        <v>0</v>
      </c>
      <c r="AF163" s="364">
        <v>0</v>
      </c>
      <c r="AG163" s="16">
        <f t="shared" si="184"/>
        <v>0</v>
      </c>
      <c r="AH163" s="19">
        <f t="shared" si="185"/>
        <v>170519825</v>
      </c>
      <c r="AI163" s="15">
        <f t="shared" si="186"/>
        <v>281079743</v>
      </c>
      <c r="AJ163" s="16">
        <f t="shared" si="187"/>
        <v>300000000</v>
      </c>
      <c r="AK163" s="9"/>
      <c r="AL163" s="362">
        <v>0</v>
      </c>
      <c r="AM163" s="365">
        <v>0</v>
      </c>
      <c r="AN163" s="9"/>
    </row>
    <row r="164" spans="1:40" s="372" customFormat="1" ht="24.95" customHeight="1">
      <c r="A164" s="729"/>
      <c r="B164" s="643"/>
      <c r="N164" s="9"/>
      <c r="P164" s="9"/>
      <c r="Q164" s="9"/>
      <c r="R164" s="9"/>
      <c r="S164" s="689" t="s">
        <v>289</v>
      </c>
      <c r="T164" s="666" t="s">
        <v>290</v>
      </c>
      <c r="U164" s="388">
        <v>778712263</v>
      </c>
      <c r="V164" s="15">
        <f t="shared" si="179"/>
        <v>0</v>
      </c>
      <c r="W164" s="15">
        <f t="shared" si="180"/>
        <v>0</v>
      </c>
      <c r="X164" s="16">
        <f t="shared" si="181"/>
        <v>778712263</v>
      </c>
      <c r="Y164" s="19">
        <v>0</v>
      </c>
      <c r="Z164" s="364">
        <v>483917263</v>
      </c>
      <c r="AA164" s="16">
        <f t="shared" si="182"/>
        <v>483917263</v>
      </c>
      <c r="AB164" s="19">
        <v>0</v>
      </c>
      <c r="AC164" s="364">
        <v>133982054</v>
      </c>
      <c r="AD164" s="18">
        <f t="shared" si="183"/>
        <v>133982054</v>
      </c>
      <c r="AE164" s="19">
        <v>0</v>
      </c>
      <c r="AF164" s="364">
        <v>0</v>
      </c>
      <c r="AG164" s="16">
        <f t="shared" si="184"/>
        <v>0</v>
      </c>
      <c r="AH164" s="19">
        <f t="shared" si="185"/>
        <v>294795000</v>
      </c>
      <c r="AI164" s="15">
        <f t="shared" si="186"/>
        <v>644730209</v>
      </c>
      <c r="AJ164" s="16">
        <f t="shared" si="187"/>
        <v>778712263</v>
      </c>
      <c r="AK164" s="9"/>
      <c r="AL164" s="362">
        <v>0</v>
      </c>
      <c r="AM164" s="365">
        <v>0</v>
      </c>
      <c r="AN164" s="9"/>
    </row>
    <row r="165" spans="1:40" s="372" customFormat="1" ht="24.95" customHeight="1">
      <c r="A165" s="729"/>
      <c r="B165" s="643"/>
      <c r="N165" s="9"/>
      <c r="P165" s="9"/>
      <c r="Q165" s="9"/>
      <c r="R165" s="9"/>
      <c r="S165" s="689" t="s">
        <v>291</v>
      </c>
      <c r="T165" s="666" t="s">
        <v>292</v>
      </c>
      <c r="U165" s="388">
        <v>1116000000</v>
      </c>
      <c r="V165" s="15">
        <f t="shared" si="179"/>
        <v>0</v>
      </c>
      <c r="W165" s="15">
        <f t="shared" si="180"/>
        <v>0</v>
      </c>
      <c r="X165" s="16">
        <f t="shared" si="181"/>
        <v>1116000000</v>
      </c>
      <c r="Y165" s="19">
        <v>0</v>
      </c>
      <c r="Z165" s="364">
        <v>1095000000</v>
      </c>
      <c r="AA165" s="16">
        <f t="shared" si="182"/>
        <v>1095000000</v>
      </c>
      <c r="AB165" s="19">
        <v>0</v>
      </c>
      <c r="AC165" s="364">
        <v>29331660</v>
      </c>
      <c r="AD165" s="18">
        <f t="shared" si="183"/>
        <v>29331660</v>
      </c>
      <c r="AE165" s="19">
        <v>0</v>
      </c>
      <c r="AF165" s="364">
        <v>0</v>
      </c>
      <c r="AG165" s="16">
        <f t="shared" si="184"/>
        <v>0</v>
      </c>
      <c r="AH165" s="19">
        <f t="shared" si="185"/>
        <v>21000000</v>
      </c>
      <c r="AI165" s="15">
        <f t="shared" si="186"/>
        <v>1086668340</v>
      </c>
      <c r="AJ165" s="16">
        <f t="shared" si="187"/>
        <v>1116000000</v>
      </c>
      <c r="AK165" s="9"/>
      <c r="AL165" s="362">
        <v>0</v>
      </c>
      <c r="AM165" s="365">
        <v>0</v>
      </c>
      <c r="AN165" s="9"/>
    </row>
    <row r="166" spans="1:40" s="372" customFormat="1" ht="24.95" customHeight="1">
      <c r="A166" s="729"/>
      <c r="B166" s="643"/>
      <c r="N166" s="9"/>
      <c r="P166" s="9"/>
      <c r="Q166" s="9"/>
      <c r="R166" s="9"/>
      <c r="S166" s="689" t="s">
        <v>293</v>
      </c>
      <c r="T166" s="666" t="s">
        <v>261</v>
      </c>
      <c r="U166" s="388">
        <v>165000000</v>
      </c>
      <c r="V166" s="15">
        <f t="shared" si="179"/>
        <v>0</v>
      </c>
      <c r="W166" s="15">
        <f t="shared" si="180"/>
        <v>0</v>
      </c>
      <c r="X166" s="16">
        <f t="shared" si="181"/>
        <v>165000000</v>
      </c>
      <c r="Y166" s="19">
        <v>0</v>
      </c>
      <c r="Z166" s="364">
        <v>0</v>
      </c>
      <c r="AA166" s="16">
        <f t="shared" si="182"/>
        <v>0</v>
      </c>
      <c r="AB166" s="19">
        <v>0</v>
      </c>
      <c r="AC166" s="364">
        <v>0</v>
      </c>
      <c r="AD166" s="18">
        <f t="shared" si="183"/>
        <v>0</v>
      </c>
      <c r="AE166" s="19">
        <v>0</v>
      </c>
      <c r="AF166" s="364">
        <v>0</v>
      </c>
      <c r="AG166" s="16">
        <f t="shared" si="184"/>
        <v>0</v>
      </c>
      <c r="AH166" s="19">
        <f t="shared" si="185"/>
        <v>165000000</v>
      </c>
      <c r="AI166" s="15">
        <f t="shared" si="186"/>
        <v>165000000</v>
      </c>
      <c r="AJ166" s="16">
        <f t="shared" si="187"/>
        <v>165000000</v>
      </c>
      <c r="AK166" s="9"/>
      <c r="AL166" s="362">
        <v>0</v>
      </c>
      <c r="AM166" s="365">
        <v>0</v>
      </c>
      <c r="AN166" s="9"/>
    </row>
    <row r="167" spans="1:40" s="372" customFormat="1" ht="24.95" customHeight="1">
      <c r="A167" s="729"/>
      <c r="B167" s="643"/>
      <c r="N167" s="9"/>
      <c r="P167" s="9"/>
      <c r="Q167" s="9"/>
      <c r="R167" s="9"/>
      <c r="S167" s="689" t="s">
        <v>464</v>
      </c>
      <c r="T167" s="665" t="s">
        <v>465</v>
      </c>
      <c r="U167" s="388">
        <v>0</v>
      </c>
      <c r="V167" s="15">
        <f t="shared" si="179"/>
        <v>0</v>
      </c>
      <c r="W167" s="15">
        <f t="shared" si="180"/>
        <v>0</v>
      </c>
      <c r="X167" s="16">
        <f t="shared" si="181"/>
        <v>0</v>
      </c>
      <c r="Y167" s="19"/>
      <c r="Z167" s="364">
        <v>0</v>
      </c>
      <c r="AA167" s="16">
        <f t="shared" si="182"/>
        <v>0</v>
      </c>
      <c r="AB167" s="19">
        <v>0</v>
      </c>
      <c r="AC167" s="364">
        <v>0</v>
      </c>
      <c r="AD167" s="18">
        <f t="shared" si="183"/>
        <v>0</v>
      </c>
      <c r="AE167" s="19">
        <v>0</v>
      </c>
      <c r="AF167" s="364">
        <v>0</v>
      </c>
      <c r="AG167" s="16">
        <f t="shared" si="184"/>
        <v>0</v>
      </c>
      <c r="AH167" s="19">
        <f t="shared" si="185"/>
        <v>0</v>
      </c>
      <c r="AI167" s="15">
        <f t="shared" si="186"/>
        <v>0</v>
      </c>
      <c r="AJ167" s="16">
        <f t="shared" si="187"/>
        <v>0</v>
      </c>
      <c r="AK167" s="9"/>
      <c r="AL167" s="362">
        <v>0</v>
      </c>
      <c r="AM167" s="365">
        <v>0</v>
      </c>
      <c r="AN167" s="9"/>
    </row>
    <row r="168" spans="1:40" s="372" customFormat="1" ht="24.95" customHeight="1">
      <c r="A168" s="729"/>
      <c r="B168" s="643"/>
      <c r="N168" s="9"/>
      <c r="P168" s="9"/>
      <c r="Q168" s="9"/>
      <c r="R168" s="9"/>
      <c r="S168" s="688">
        <v>2020299</v>
      </c>
      <c r="T168" s="664" t="s">
        <v>127</v>
      </c>
      <c r="U168" s="388">
        <v>100900000</v>
      </c>
      <c r="V168" s="15">
        <f t="shared" si="179"/>
        <v>0</v>
      </c>
      <c r="W168" s="15">
        <f t="shared" si="180"/>
        <v>200000000</v>
      </c>
      <c r="X168" s="16">
        <f t="shared" si="181"/>
        <v>300900000</v>
      </c>
      <c r="Y168" s="19">
        <v>0</v>
      </c>
      <c r="Z168" s="364">
        <v>276516023</v>
      </c>
      <c r="AA168" s="16">
        <f t="shared" si="182"/>
        <v>276516023</v>
      </c>
      <c r="AB168" s="19">
        <v>0</v>
      </c>
      <c r="AC168" s="364">
        <v>276516023</v>
      </c>
      <c r="AD168" s="18">
        <f t="shared" si="183"/>
        <v>276516023</v>
      </c>
      <c r="AE168" s="19">
        <v>0</v>
      </c>
      <c r="AF168" s="364">
        <v>276516023</v>
      </c>
      <c r="AG168" s="16">
        <f t="shared" si="184"/>
        <v>276516023</v>
      </c>
      <c r="AH168" s="19">
        <f t="shared" si="185"/>
        <v>24383977</v>
      </c>
      <c r="AI168" s="15">
        <f t="shared" si="186"/>
        <v>24383977</v>
      </c>
      <c r="AJ168" s="16">
        <f t="shared" si="187"/>
        <v>24383977</v>
      </c>
      <c r="AK168" s="9"/>
      <c r="AL168" s="362">
        <v>0</v>
      </c>
      <c r="AM168" s="365">
        <v>200000000</v>
      </c>
      <c r="AN168" s="9"/>
    </row>
    <row r="169" spans="1:40" s="372" customFormat="1" ht="24.95" customHeight="1">
      <c r="A169" s="729"/>
      <c r="B169" s="643"/>
      <c r="N169" s="9"/>
      <c r="P169" s="9"/>
      <c r="Q169" s="9"/>
      <c r="R169" s="9"/>
      <c r="S169" s="356"/>
      <c r="T169" s="660"/>
      <c r="U169" s="161"/>
      <c r="V169" s="161"/>
      <c r="W169" s="161"/>
      <c r="X169" s="166"/>
      <c r="Y169" s="357"/>
      <c r="Z169" s="161"/>
      <c r="AA169" s="166"/>
      <c r="AB169" s="357"/>
      <c r="AC169" s="161"/>
      <c r="AD169" s="161"/>
      <c r="AE169" s="357"/>
      <c r="AF169" s="161">
        <v>0</v>
      </c>
      <c r="AG169" s="166"/>
      <c r="AH169" s="357"/>
      <c r="AI169" s="161"/>
      <c r="AJ169" s="166"/>
      <c r="AK169" s="9"/>
      <c r="AL169" s="172"/>
      <c r="AM169" s="173"/>
      <c r="AN169" s="9"/>
    </row>
    <row r="170" spans="1:40" s="372" customFormat="1" ht="24.95" customHeight="1">
      <c r="A170" s="729"/>
      <c r="B170" s="643"/>
      <c r="N170" s="9"/>
      <c r="P170" s="9"/>
      <c r="Q170" s="9"/>
      <c r="R170" s="9"/>
      <c r="S170" s="686">
        <v>3000000</v>
      </c>
      <c r="T170" s="668" t="s">
        <v>294</v>
      </c>
      <c r="U170" s="460">
        <f t="shared" ref="U170:AJ170" si="188">U172+U176+U185</f>
        <v>1240354144</v>
      </c>
      <c r="V170" s="461">
        <f t="shared" si="188"/>
        <v>0</v>
      </c>
      <c r="W170" s="461">
        <f t="shared" si="188"/>
        <v>0</v>
      </c>
      <c r="X170" s="370">
        <f t="shared" si="188"/>
        <v>1240354144</v>
      </c>
      <c r="Y170" s="369">
        <f t="shared" si="188"/>
        <v>0</v>
      </c>
      <c r="Z170" s="461">
        <f t="shared" si="188"/>
        <v>139850897</v>
      </c>
      <c r="AA170" s="370">
        <f t="shared" si="188"/>
        <v>139850897</v>
      </c>
      <c r="AB170" s="369">
        <f t="shared" si="188"/>
        <v>0</v>
      </c>
      <c r="AC170" s="461">
        <f t="shared" si="188"/>
        <v>134279754</v>
      </c>
      <c r="AD170" s="462">
        <f t="shared" si="188"/>
        <v>134279754</v>
      </c>
      <c r="AE170" s="369">
        <f t="shared" si="188"/>
        <v>0</v>
      </c>
      <c r="AF170" s="461">
        <f t="shared" si="188"/>
        <v>111894244</v>
      </c>
      <c r="AG170" s="370">
        <f t="shared" si="188"/>
        <v>111894244</v>
      </c>
      <c r="AH170" s="369">
        <f t="shared" si="188"/>
        <v>1100503247</v>
      </c>
      <c r="AI170" s="461">
        <f t="shared" si="188"/>
        <v>1106074390</v>
      </c>
      <c r="AJ170" s="370">
        <f t="shared" si="188"/>
        <v>1128459900</v>
      </c>
      <c r="AK170" s="9"/>
      <c r="AL170" s="128">
        <f>AL172+AL176+AL185</f>
        <v>0</v>
      </c>
      <c r="AM170" s="130">
        <f>AM172+AM176+AM185</f>
        <v>0</v>
      </c>
      <c r="AN170" s="9"/>
    </row>
    <row r="171" spans="1:40" s="372" customFormat="1" ht="24.95" customHeight="1">
      <c r="A171" s="729"/>
      <c r="B171" s="643"/>
      <c r="N171" s="9"/>
      <c r="P171" s="9"/>
      <c r="Q171" s="9"/>
      <c r="R171" s="9"/>
      <c r="S171" s="356"/>
      <c r="T171" s="660"/>
      <c r="U171" s="161"/>
      <c r="V171" s="161"/>
      <c r="W171" s="161"/>
      <c r="X171" s="166"/>
      <c r="Y171" s="357"/>
      <c r="Z171" s="161"/>
      <c r="AA171" s="166"/>
      <c r="AB171" s="357"/>
      <c r="AC171" s="161"/>
      <c r="AD171" s="161"/>
      <c r="AE171" s="357"/>
      <c r="AF171" s="161"/>
      <c r="AG171" s="166"/>
      <c r="AH171" s="357"/>
      <c r="AI171" s="161"/>
      <c r="AJ171" s="166"/>
      <c r="AK171" s="9"/>
      <c r="AL171" s="172"/>
      <c r="AM171" s="173"/>
      <c r="AN171" s="9"/>
    </row>
    <row r="172" spans="1:40" s="372" customFormat="1" ht="24.95" customHeight="1">
      <c r="A172" s="729"/>
      <c r="B172" s="643"/>
      <c r="N172" s="9"/>
      <c r="P172" s="9"/>
      <c r="Q172" s="9"/>
      <c r="R172" s="9"/>
      <c r="S172" s="687">
        <v>3100000</v>
      </c>
      <c r="T172" s="663" t="s">
        <v>295</v>
      </c>
      <c r="U172" s="132">
        <f t="shared" ref="U172:AJ172" si="189">SUM(U173:U174)</f>
        <v>50000000</v>
      </c>
      <c r="V172" s="122">
        <f t="shared" si="189"/>
        <v>0</v>
      </c>
      <c r="W172" s="122">
        <f t="shared" si="189"/>
        <v>0</v>
      </c>
      <c r="X172" s="130">
        <f t="shared" si="189"/>
        <v>50000000</v>
      </c>
      <c r="Y172" s="128">
        <f t="shared" si="189"/>
        <v>0</v>
      </c>
      <c r="Z172" s="122">
        <f t="shared" si="189"/>
        <v>36288652</v>
      </c>
      <c r="AA172" s="130">
        <f t="shared" si="189"/>
        <v>36288652</v>
      </c>
      <c r="AB172" s="128">
        <f t="shared" si="189"/>
        <v>0</v>
      </c>
      <c r="AC172" s="122">
        <f t="shared" si="189"/>
        <v>36288652</v>
      </c>
      <c r="AD172" s="129">
        <f t="shared" si="189"/>
        <v>36288652</v>
      </c>
      <c r="AE172" s="128">
        <f t="shared" si="189"/>
        <v>0</v>
      </c>
      <c r="AF172" s="122">
        <f t="shared" si="189"/>
        <v>13903142</v>
      </c>
      <c r="AG172" s="130">
        <f t="shared" si="189"/>
        <v>13903142</v>
      </c>
      <c r="AH172" s="128">
        <f t="shared" si="189"/>
        <v>13711348</v>
      </c>
      <c r="AI172" s="122">
        <f t="shared" si="189"/>
        <v>13711348</v>
      </c>
      <c r="AJ172" s="130">
        <f t="shared" si="189"/>
        <v>36096858</v>
      </c>
      <c r="AK172" s="9"/>
      <c r="AL172" s="128">
        <f>SUM(AL173:AL174)</f>
        <v>0</v>
      </c>
      <c r="AM172" s="130">
        <f>SUM(AM173:AM174)</f>
        <v>0</v>
      </c>
      <c r="AN172" s="9"/>
    </row>
    <row r="173" spans="1:40" s="372" customFormat="1" ht="24.95" customHeight="1">
      <c r="A173" s="729"/>
      <c r="B173" s="643"/>
      <c r="N173" s="9"/>
      <c r="P173" s="9"/>
      <c r="Q173" s="9"/>
      <c r="R173" s="9"/>
      <c r="S173" s="688">
        <v>3100003</v>
      </c>
      <c r="T173" s="664" t="s">
        <v>296</v>
      </c>
      <c r="U173" s="388">
        <v>50000000</v>
      </c>
      <c r="V173" s="15">
        <f>AL173</f>
        <v>0</v>
      </c>
      <c r="W173" s="15">
        <f>AM173</f>
        <v>0</v>
      </c>
      <c r="X173" s="16">
        <f>SUM(U173:W173)</f>
        <v>50000000</v>
      </c>
      <c r="Y173" s="19">
        <v>0</v>
      </c>
      <c r="Z173" s="364">
        <v>36288652</v>
      </c>
      <c r="AA173" s="16">
        <f>SUM(Y173:Z173)</f>
        <v>36288652</v>
      </c>
      <c r="AB173" s="19">
        <v>0</v>
      </c>
      <c r="AC173" s="364">
        <v>36288652</v>
      </c>
      <c r="AD173" s="18">
        <f>SUM(AB173:AC173)</f>
        <v>36288652</v>
      </c>
      <c r="AE173" s="19">
        <v>0</v>
      </c>
      <c r="AF173" s="364">
        <v>13903142</v>
      </c>
      <c r="AG173" s="16">
        <f>SUM(AE173:AF173)</f>
        <v>13903142</v>
      </c>
      <c r="AH173" s="19">
        <f>X173-AA173</f>
        <v>13711348</v>
      </c>
      <c r="AI173" s="15">
        <f>X173-AD173</f>
        <v>13711348</v>
      </c>
      <c r="AJ173" s="16">
        <f>X173-AG173</f>
        <v>36096858</v>
      </c>
      <c r="AK173" s="9"/>
      <c r="AL173" s="362">
        <v>0</v>
      </c>
      <c r="AM173" s="365">
        <v>0</v>
      </c>
      <c r="AN173" s="9"/>
    </row>
    <row r="174" spans="1:40" s="372" customFormat="1" ht="24.95" customHeight="1">
      <c r="A174" s="729"/>
      <c r="B174" s="643"/>
      <c r="N174" s="9"/>
      <c r="P174" s="9"/>
      <c r="Q174" s="9"/>
      <c r="R174" s="9"/>
      <c r="S174" s="688">
        <v>3199999</v>
      </c>
      <c r="T174" s="664" t="s">
        <v>127</v>
      </c>
      <c r="U174" s="388">
        <v>0</v>
      </c>
      <c r="V174" s="15">
        <f>AL174</f>
        <v>0</v>
      </c>
      <c r="W174" s="15">
        <f>AM174</f>
        <v>0</v>
      </c>
      <c r="X174" s="16">
        <f>SUM(U174:W174)</f>
        <v>0</v>
      </c>
      <c r="Y174" s="19">
        <v>0</v>
      </c>
      <c r="Z174" s="364">
        <v>0</v>
      </c>
      <c r="AA174" s="16">
        <f>SUM(Y174:Z174)</f>
        <v>0</v>
      </c>
      <c r="AB174" s="19">
        <v>0</v>
      </c>
      <c r="AC174" s="364">
        <v>0</v>
      </c>
      <c r="AD174" s="18">
        <f>SUM(AB174:AC174)</f>
        <v>0</v>
      </c>
      <c r="AE174" s="19">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c r="A175" s="729"/>
      <c r="B175" s="643"/>
      <c r="N175" s="9"/>
      <c r="P175" s="9"/>
      <c r="Q175" s="9"/>
      <c r="R175" s="9"/>
      <c r="S175" s="356"/>
      <c r="T175" s="660"/>
      <c r="U175" s="200"/>
      <c r="V175" s="161"/>
      <c r="W175" s="161"/>
      <c r="X175" s="166"/>
      <c r="Y175" s="357"/>
      <c r="Z175" s="200"/>
      <c r="AA175" s="166"/>
      <c r="AB175" s="357"/>
      <c r="AC175" s="200"/>
      <c r="AD175" s="161"/>
      <c r="AE175" s="357"/>
      <c r="AF175" s="200"/>
      <c r="AG175" s="166"/>
      <c r="AH175" s="357"/>
      <c r="AI175" s="161"/>
      <c r="AJ175" s="166"/>
      <c r="AK175" s="10"/>
      <c r="AL175" s="172"/>
      <c r="AM175" s="173"/>
      <c r="AN175" s="9"/>
    </row>
    <row r="176" spans="1:40" s="372" customFormat="1" ht="24.95" customHeight="1">
      <c r="A176" s="729"/>
      <c r="B176" s="643"/>
      <c r="N176" s="9"/>
      <c r="P176" s="9"/>
      <c r="Q176" s="9"/>
      <c r="R176" s="9"/>
      <c r="S176" s="687">
        <v>320000</v>
      </c>
      <c r="T176" s="663" t="s">
        <v>297</v>
      </c>
      <c r="U176" s="132">
        <f t="shared" ref="U176:AJ176" si="190">SUM(U177:U183)</f>
        <v>1110354144</v>
      </c>
      <c r="V176" s="122">
        <f t="shared" si="190"/>
        <v>0</v>
      </c>
      <c r="W176" s="122">
        <f t="shared" si="190"/>
        <v>0</v>
      </c>
      <c r="X176" s="130">
        <f t="shared" si="190"/>
        <v>1110354144</v>
      </c>
      <c r="Y176" s="128">
        <f t="shared" si="190"/>
        <v>0</v>
      </c>
      <c r="Z176" s="122">
        <f t="shared" si="190"/>
        <v>103339245</v>
      </c>
      <c r="AA176" s="130">
        <f t="shared" si="190"/>
        <v>103339245</v>
      </c>
      <c r="AB176" s="128">
        <f t="shared" si="190"/>
        <v>0</v>
      </c>
      <c r="AC176" s="122">
        <f t="shared" si="190"/>
        <v>97768102</v>
      </c>
      <c r="AD176" s="129">
        <f t="shared" si="190"/>
        <v>97768102</v>
      </c>
      <c r="AE176" s="128">
        <f t="shared" si="190"/>
        <v>0</v>
      </c>
      <c r="AF176" s="122">
        <f t="shared" si="190"/>
        <v>97768102</v>
      </c>
      <c r="AG176" s="130">
        <f t="shared" si="190"/>
        <v>97768102</v>
      </c>
      <c r="AH176" s="128">
        <f t="shared" si="190"/>
        <v>1007014899</v>
      </c>
      <c r="AI176" s="122">
        <f t="shared" si="190"/>
        <v>1012586042</v>
      </c>
      <c r="AJ176" s="130">
        <f t="shared" si="190"/>
        <v>1012586042</v>
      </c>
      <c r="AK176" s="9"/>
      <c r="AL176" s="128">
        <f>SUM(AL177:AL183)</f>
        <v>0</v>
      </c>
      <c r="AM176" s="130">
        <f>SUM(AM177:AM183)</f>
        <v>0</v>
      </c>
      <c r="AN176" s="9"/>
    </row>
    <row r="177" spans="1:40" s="372" customFormat="1" ht="24.95" customHeight="1">
      <c r="A177" s="729"/>
      <c r="B177" s="643"/>
      <c r="N177" s="9"/>
      <c r="P177" s="9"/>
      <c r="Q177" s="9"/>
      <c r="R177" s="9"/>
      <c r="S177" s="688">
        <v>3200100</v>
      </c>
      <c r="T177" s="664" t="s">
        <v>298</v>
      </c>
      <c r="U177" s="388">
        <v>965336472</v>
      </c>
      <c r="V177" s="15">
        <f t="shared" ref="V177:W183" si="191">AL177</f>
        <v>0</v>
      </c>
      <c r="W177" s="15">
        <f t="shared" si="191"/>
        <v>0</v>
      </c>
      <c r="X177" s="16">
        <f t="shared" ref="X177:X183" si="192">SUM(U177:W177)</f>
        <v>965336472</v>
      </c>
      <c r="Y177" s="19">
        <v>0</v>
      </c>
      <c r="Z177" s="364">
        <v>62152617</v>
      </c>
      <c r="AA177" s="16">
        <f t="shared" ref="AA177:AA183" si="193">SUM(Y177:Z177)</f>
        <v>62152617</v>
      </c>
      <c r="AB177" s="19">
        <v>0</v>
      </c>
      <c r="AC177" s="364">
        <v>62152617</v>
      </c>
      <c r="AD177" s="18">
        <f t="shared" ref="AD177:AD183" si="194">SUM(AB177:AC177)</f>
        <v>62152617</v>
      </c>
      <c r="AE177" s="19">
        <v>0</v>
      </c>
      <c r="AF177" s="364">
        <v>62152617</v>
      </c>
      <c r="AG177" s="16">
        <f t="shared" ref="AG177:AG183" si="195">SUM(AE177:AF177)</f>
        <v>62152617</v>
      </c>
      <c r="AH177" s="19">
        <f t="shared" ref="AH177:AH183" si="196">X177-AA177</f>
        <v>903183855</v>
      </c>
      <c r="AI177" s="15">
        <f t="shared" ref="AI177:AI183" si="197">X177-AD177</f>
        <v>903183855</v>
      </c>
      <c r="AJ177" s="16">
        <f t="shared" ref="AJ177:AJ183" si="198">X177-AG177</f>
        <v>903183855</v>
      </c>
      <c r="AK177" s="9"/>
      <c r="AL177" s="362">
        <v>0</v>
      </c>
      <c r="AM177" s="365">
        <v>0</v>
      </c>
      <c r="AN177" s="9"/>
    </row>
    <row r="178" spans="1:40" s="372" customFormat="1" ht="24.95" customHeight="1">
      <c r="A178" s="729"/>
      <c r="B178" s="643"/>
      <c r="N178" s="9"/>
      <c r="P178" s="9"/>
      <c r="Q178" s="9"/>
      <c r="R178" s="9"/>
      <c r="S178" s="688">
        <v>3200200</v>
      </c>
      <c r="T178" s="664" t="s">
        <v>299</v>
      </c>
      <c r="U178" s="388">
        <v>20000000</v>
      </c>
      <c r="V178" s="15">
        <f t="shared" si="191"/>
        <v>0</v>
      </c>
      <c r="W178" s="15">
        <f t="shared" si="191"/>
        <v>0</v>
      </c>
      <c r="X178" s="16">
        <f t="shared" si="192"/>
        <v>20000000</v>
      </c>
      <c r="Y178" s="19">
        <v>0</v>
      </c>
      <c r="Z178" s="364">
        <v>5571143</v>
      </c>
      <c r="AA178" s="16">
        <f t="shared" si="193"/>
        <v>5571143</v>
      </c>
      <c r="AB178" s="19">
        <v>0</v>
      </c>
      <c r="AC178" s="364">
        <v>0</v>
      </c>
      <c r="AD178" s="18">
        <f t="shared" si="194"/>
        <v>0</v>
      </c>
      <c r="AE178" s="19">
        <v>0</v>
      </c>
      <c r="AF178" s="364">
        <v>0</v>
      </c>
      <c r="AG178" s="16">
        <f t="shared" si="195"/>
        <v>0</v>
      </c>
      <c r="AH178" s="19">
        <f t="shared" si="196"/>
        <v>14428857</v>
      </c>
      <c r="AI178" s="15">
        <f t="shared" si="197"/>
        <v>20000000</v>
      </c>
      <c r="AJ178" s="16">
        <f t="shared" si="198"/>
        <v>20000000</v>
      </c>
      <c r="AK178" s="9"/>
      <c r="AL178" s="362">
        <v>0</v>
      </c>
      <c r="AM178" s="365">
        <v>0</v>
      </c>
      <c r="AN178" s="9"/>
    </row>
    <row r="179" spans="1:40" s="372" customFormat="1" ht="24.95" customHeight="1">
      <c r="A179" s="729"/>
      <c r="B179" s="643"/>
      <c r="N179" s="9"/>
      <c r="P179" s="9"/>
      <c r="Q179" s="9"/>
      <c r="R179" s="9"/>
      <c r="S179" s="688">
        <v>3200300</v>
      </c>
      <c r="T179" s="664" t="s">
        <v>300</v>
      </c>
      <c r="U179" s="388">
        <v>20000000</v>
      </c>
      <c r="V179" s="15">
        <f t="shared" si="191"/>
        <v>0</v>
      </c>
      <c r="W179" s="15">
        <f t="shared" si="191"/>
        <v>0</v>
      </c>
      <c r="X179" s="16">
        <f t="shared" si="192"/>
        <v>20000000</v>
      </c>
      <c r="Y179" s="19">
        <v>0</v>
      </c>
      <c r="Z179" s="364">
        <v>0</v>
      </c>
      <c r="AA179" s="16">
        <f t="shared" si="193"/>
        <v>0</v>
      </c>
      <c r="AB179" s="19">
        <v>0</v>
      </c>
      <c r="AC179" s="364">
        <v>0</v>
      </c>
      <c r="AD179" s="18">
        <f t="shared" si="194"/>
        <v>0</v>
      </c>
      <c r="AE179" s="19">
        <v>0</v>
      </c>
      <c r="AF179" s="364">
        <v>0</v>
      </c>
      <c r="AG179" s="16">
        <f t="shared" si="195"/>
        <v>0</v>
      </c>
      <c r="AH179" s="19">
        <f t="shared" si="196"/>
        <v>20000000</v>
      </c>
      <c r="AI179" s="15">
        <f t="shared" si="197"/>
        <v>20000000</v>
      </c>
      <c r="AJ179" s="16">
        <f t="shared" si="198"/>
        <v>20000000</v>
      </c>
      <c r="AK179" s="9"/>
      <c r="AL179" s="362">
        <v>0</v>
      </c>
      <c r="AM179" s="365">
        <v>0</v>
      </c>
      <c r="AN179" s="9"/>
    </row>
    <row r="180" spans="1:40" s="372" customFormat="1" ht="24.95" customHeight="1">
      <c r="A180" s="729"/>
      <c r="B180" s="643"/>
      <c r="N180" s="9"/>
      <c r="P180" s="9"/>
      <c r="Q180" s="9"/>
      <c r="R180" s="9"/>
      <c r="S180" s="688">
        <v>3200400</v>
      </c>
      <c r="T180" s="664" t="s">
        <v>301</v>
      </c>
      <c r="U180" s="388">
        <v>105017672</v>
      </c>
      <c r="V180" s="15">
        <f t="shared" si="191"/>
        <v>0</v>
      </c>
      <c r="W180" s="15">
        <f t="shared" si="191"/>
        <v>0</v>
      </c>
      <c r="X180" s="16">
        <f t="shared" si="192"/>
        <v>105017672</v>
      </c>
      <c r="Y180" s="19">
        <v>0</v>
      </c>
      <c r="Z180" s="364">
        <v>35615485</v>
      </c>
      <c r="AA180" s="16">
        <f t="shared" si="193"/>
        <v>35615485</v>
      </c>
      <c r="AB180" s="19">
        <v>0</v>
      </c>
      <c r="AC180" s="364">
        <v>35615485</v>
      </c>
      <c r="AD180" s="18">
        <f t="shared" si="194"/>
        <v>35615485</v>
      </c>
      <c r="AE180" s="19">
        <v>0</v>
      </c>
      <c r="AF180" s="364">
        <v>35615485</v>
      </c>
      <c r="AG180" s="16">
        <f t="shared" si="195"/>
        <v>35615485</v>
      </c>
      <c r="AH180" s="19">
        <f t="shared" si="196"/>
        <v>69402187</v>
      </c>
      <c r="AI180" s="15">
        <f t="shared" si="197"/>
        <v>69402187</v>
      </c>
      <c r="AJ180" s="16">
        <f t="shared" si="198"/>
        <v>69402187</v>
      </c>
      <c r="AK180" s="9"/>
      <c r="AL180" s="362">
        <v>0</v>
      </c>
      <c r="AM180" s="365">
        <v>0</v>
      </c>
      <c r="AN180" s="9"/>
    </row>
    <row r="181" spans="1:40" s="372" customFormat="1" ht="24.95" customHeight="1">
      <c r="A181" s="729"/>
      <c r="B181" s="643"/>
      <c r="N181" s="9"/>
      <c r="P181" s="9"/>
      <c r="Q181" s="9"/>
      <c r="R181" s="9"/>
      <c r="S181" s="688">
        <v>3200500</v>
      </c>
      <c r="T181" s="667"/>
      <c r="U181" s="388">
        <v>0</v>
      </c>
      <c r="V181" s="15">
        <f>AL181</f>
        <v>0</v>
      </c>
      <c r="W181" s="15">
        <f>AM181</f>
        <v>0</v>
      </c>
      <c r="X181" s="16">
        <f t="shared" si="192"/>
        <v>0</v>
      </c>
      <c r="Y181" s="19">
        <v>0</v>
      </c>
      <c r="Z181" s="364">
        <v>0</v>
      </c>
      <c r="AA181" s="16">
        <f t="shared" si="193"/>
        <v>0</v>
      </c>
      <c r="AB181" s="19">
        <v>0</v>
      </c>
      <c r="AC181" s="364">
        <v>0</v>
      </c>
      <c r="AD181" s="18">
        <f t="shared" si="194"/>
        <v>0</v>
      </c>
      <c r="AE181" s="19">
        <v>0</v>
      </c>
      <c r="AF181" s="364">
        <v>0</v>
      </c>
      <c r="AG181" s="16">
        <f t="shared" si="195"/>
        <v>0</v>
      </c>
      <c r="AH181" s="19">
        <f t="shared" si="196"/>
        <v>0</v>
      </c>
      <c r="AI181" s="15">
        <f t="shared" si="197"/>
        <v>0</v>
      </c>
      <c r="AJ181" s="16">
        <f t="shared" si="198"/>
        <v>0</v>
      </c>
      <c r="AK181" s="9"/>
      <c r="AL181" s="362">
        <v>0</v>
      </c>
      <c r="AM181" s="365">
        <v>0</v>
      </c>
      <c r="AN181" s="9"/>
    </row>
    <row r="182" spans="1:40" s="372" customFormat="1" ht="24.95" customHeight="1">
      <c r="A182" s="729"/>
      <c r="B182" s="643"/>
      <c r="N182" s="9"/>
      <c r="P182" s="9"/>
      <c r="Q182" s="9"/>
      <c r="R182" s="9"/>
      <c r="S182" s="688">
        <v>3200600</v>
      </c>
      <c r="T182" s="667"/>
      <c r="U182" s="388">
        <v>0</v>
      </c>
      <c r="V182" s="15">
        <f>AL182</f>
        <v>0</v>
      </c>
      <c r="W182" s="15">
        <f>AM182</f>
        <v>0</v>
      </c>
      <c r="X182" s="16">
        <f t="shared" si="192"/>
        <v>0</v>
      </c>
      <c r="Y182" s="19">
        <v>0</v>
      </c>
      <c r="Z182" s="364">
        <v>0</v>
      </c>
      <c r="AA182" s="16">
        <f t="shared" si="193"/>
        <v>0</v>
      </c>
      <c r="AB182" s="19">
        <v>0</v>
      </c>
      <c r="AC182" s="364">
        <v>0</v>
      </c>
      <c r="AD182" s="18">
        <f t="shared" si="194"/>
        <v>0</v>
      </c>
      <c r="AE182" s="19">
        <v>0</v>
      </c>
      <c r="AF182" s="364">
        <v>0</v>
      </c>
      <c r="AG182" s="16">
        <f t="shared" si="195"/>
        <v>0</v>
      </c>
      <c r="AH182" s="19">
        <f t="shared" si="196"/>
        <v>0</v>
      </c>
      <c r="AI182" s="15">
        <f t="shared" si="197"/>
        <v>0</v>
      </c>
      <c r="AJ182" s="16">
        <f t="shared" si="198"/>
        <v>0</v>
      </c>
      <c r="AK182" s="9"/>
      <c r="AL182" s="362">
        <v>0</v>
      </c>
      <c r="AM182" s="365">
        <v>0</v>
      </c>
      <c r="AN182" s="9"/>
    </row>
    <row r="183" spans="1:40" s="372" customFormat="1" ht="24.95" customHeight="1">
      <c r="A183" s="729"/>
      <c r="B183" s="643"/>
      <c r="N183" s="9"/>
      <c r="P183" s="9"/>
      <c r="Q183" s="9"/>
      <c r="R183" s="9"/>
      <c r="S183" s="688">
        <v>3299999</v>
      </c>
      <c r="T183" s="664" t="s">
        <v>127</v>
      </c>
      <c r="U183" s="388">
        <v>0</v>
      </c>
      <c r="V183" s="15">
        <f t="shared" si="191"/>
        <v>0</v>
      </c>
      <c r="W183" s="15">
        <f t="shared" si="191"/>
        <v>0</v>
      </c>
      <c r="X183" s="16">
        <f t="shared" si="192"/>
        <v>0</v>
      </c>
      <c r="Y183" s="19">
        <v>0</v>
      </c>
      <c r="Z183" s="364">
        <v>0</v>
      </c>
      <c r="AA183" s="16">
        <f t="shared" si="193"/>
        <v>0</v>
      </c>
      <c r="AB183" s="19">
        <v>0</v>
      </c>
      <c r="AC183" s="364">
        <v>0</v>
      </c>
      <c r="AD183" s="18">
        <f t="shared" si="194"/>
        <v>0</v>
      </c>
      <c r="AE183" s="19">
        <v>0</v>
      </c>
      <c r="AF183" s="364">
        <v>0</v>
      </c>
      <c r="AG183" s="16">
        <f t="shared" si="195"/>
        <v>0</v>
      </c>
      <c r="AH183" s="19">
        <f t="shared" si="196"/>
        <v>0</v>
      </c>
      <c r="AI183" s="15">
        <f t="shared" si="197"/>
        <v>0</v>
      </c>
      <c r="AJ183" s="16">
        <f t="shared" si="198"/>
        <v>0</v>
      </c>
      <c r="AK183" s="9"/>
      <c r="AL183" s="362">
        <v>0</v>
      </c>
      <c r="AM183" s="365">
        <v>0</v>
      </c>
      <c r="AN183" s="9"/>
    </row>
    <row r="184" spans="1:40" s="372" customFormat="1" ht="24.95" customHeight="1">
      <c r="A184" s="729"/>
      <c r="B184" s="643"/>
      <c r="N184" s="9"/>
      <c r="P184" s="9"/>
      <c r="Q184" s="9"/>
      <c r="R184" s="9"/>
      <c r="S184" s="356"/>
      <c r="T184" s="660"/>
      <c r="U184" s="200"/>
      <c r="V184" s="161"/>
      <c r="W184" s="161"/>
      <c r="X184" s="166"/>
      <c r="Y184" s="357"/>
      <c r="Z184" s="200"/>
      <c r="AA184" s="166"/>
      <c r="AB184" s="357"/>
      <c r="AC184" s="200"/>
      <c r="AD184" s="161"/>
      <c r="AE184" s="357"/>
      <c r="AF184" s="200"/>
      <c r="AG184" s="166"/>
      <c r="AH184" s="357"/>
      <c r="AI184" s="161"/>
      <c r="AJ184" s="166"/>
      <c r="AK184" s="9"/>
      <c r="AL184" s="172"/>
      <c r="AM184" s="173"/>
      <c r="AN184" s="9"/>
    </row>
    <row r="185" spans="1:40" s="372" customFormat="1" ht="24.95" customHeight="1">
      <c r="A185" s="729"/>
      <c r="B185" s="643"/>
      <c r="N185" s="9"/>
      <c r="P185" s="9"/>
      <c r="Q185" s="9"/>
      <c r="R185" s="9"/>
      <c r="S185" s="687">
        <v>3300000</v>
      </c>
      <c r="T185" s="663" t="s">
        <v>302</v>
      </c>
      <c r="U185" s="132">
        <f t="shared" ref="U185:AJ185" si="199">U186+U187+U191</f>
        <v>80000000</v>
      </c>
      <c r="V185" s="122">
        <f t="shared" si="199"/>
        <v>0</v>
      </c>
      <c r="W185" s="122">
        <f t="shared" si="199"/>
        <v>0</v>
      </c>
      <c r="X185" s="130">
        <f t="shared" si="199"/>
        <v>80000000</v>
      </c>
      <c r="Y185" s="128">
        <f t="shared" si="199"/>
        <v>0</v>
      </c>
      <c r="Z185" s="122">
        <f t="shared" si="199"/>
        <v>223000</v>
      </c>
      <c r="AA185" s="130">
        <f t="shared" si="199"/>
        <v>223000</v>
      </c>
      <c r="AB185" s="128">
        <f t="shared" si="199"/>
        <v>0</v>
      </c>
      <c r="AC185" s="122">
        <f t="shared" si="199"/>
        <v>223000</v>
      </c>
      <c r="AD185" s="129">
        <f t="shared" si="199"/>
        <v>223000</v>
      </c>
      <c r="AE185" s="128">
        <f t="shared" si="199"/>
        <v>0</v>
      </c>
      <c r="AF185" s="122">
        <f t="shared" si="199"/>
        <v>223000</v>
      </c>
      <c r="AG185" s="130">
        <f t="shared" si="199"/>
        <v>223000</v>
      </c>
      <c r="AH185" s="128">
        <f t="shared" si="199"/>
        <v>79777000</v>
      </c>
      <c r="AI185" s="122">
        <f t="shared" si="199"/>
        <v>79777000</v>
      </c>
      <c r="AJ185" s="130">
        <f t="shared" si="199"/>
        <v>79777000</v>
      </c>
      <c r="AK185" s="9"/>
      <c r="AL185" s="128">
        <f>AL186+AL187+AL191</f>
        <v>0</v>
      </c>
      <c r="AM185" s="130">
        <f>AM186+AM187+AM191</f>
        <v>0</v>
      </c>
      <c r="AN185" s="9"/>
    </row>
    <row r="186" spans="1:40" s="372" customFormat="1" ht="24.95" customHeight="1">
      <c r="A186" s="729"/>
      <c r="B186" s="643"/>
      <c r="N186" s="9"/>
      <c r="P186" s="9"/>
      <c r="Q186" s="9"/>
      <c r="R186" s="9"/>
      <c r="S186" s="688">
        <v>3300100</v>
      </c>
      <c r="T186" s="664" t="s">
        <v>303</v>
      </c>
      <c r="U186" s="388">
        <v>60000000</v>
      </c>
      <c r="V186" s="15">
        <f>AL186</f>
        <v>0</v>
      </c>
      <c r="W186" s="15">
        <f>AM186</f>
        <v>0</v>
      </c>
      <c r="X186" s="16">
        <f>SUM(U186:W186)</f>
        <v>60000000</v>
      </c>
      <c r="Y186" s="19">
        <v>0</v>
      </c>
      <c r="Z186" s="364">
        <v>0</v>
      </c>
      <c r="AA186" s="16">
        <f>SUM(Y186:Z186)</f>
        <v>0</v>
      </c>
      <c r="AB186" s="19">
        <v>0</v>
      </c>
      <c r="AC186" s="364">
        <v>0</v>
      </c>
      <c r="AD186" s="18">
        <f>SUM(AB186:AC186)</f>
        <v>0</v>
      </c>
      <c r="AE186" s="19">
        <v>0</v>
      </c>
      <c r="AF186" s="364">
        <v>0</v>
      </c>
      <c r="AG186" s="16">
        <f>SUM(AE186:AF186)</f>
        <v>0</v>
      </c>
      <c r="AH186" s="19">
        <f>X186-AA186</f>
        <v>60000000</v>
      </c>
      <c r="AI186" s="15">
        <f>X186-AD186</f>
        <v>60000000</v>
      </c>
      <c r="AJ186" s="16">
        <f>X186-AG186</f>
        <v>60000000</v>
      </c>
      <c r="AK186" s="9"/>
      <c r="AL186" s="362">
        <v>0</v>
      </c>
      <c r="AM186" s="365">
        <v>0</v>
      </c>
      <c r="AN186" s="9"/>
    </row>
    <row r="187" spans="1:40" s="372" customFormat="1" ht="24.95" customHeight="1">
      <c r="A187" s="729"/>
      <c r="B187" s="643"/>
      <c r="N187" s="9"/>
      <c r="P187" s="9"/>
      <c r="Q187" s="9"/>
      <c r="R187" s="9"/>
      <c r="S187" s="688">
        <v>3300200</v>
      </c>
      <c r="T187" s="664" t="s">
        <v>304</v>
      </c>
      <c r="U187" s="17">
        <f t="shared" ref="U187:AM187" si="200">SUM(U188:U190)</f>
        <v>20000000</v>
      </c>
      <c r="V187" s="15">
        <f t="shared" si="200"/>
        <v>0</v>
      </c>
      <c r="W187" s="15">
        <f t="shared" si="200"/>
        <v>0</v>
      </c>
      <c r="X187" s="16">
        <f t="shared" si="200"/>
        <v>20000000</v>
      </c>
      <c r="Y187" s="19">
        <f t="shared" si="200"/>
        <v>0</v>
      </c>
      <c r="Z187" s="142">
        <f t="shared" si="200"/>
        <v>223000</v>
      </c>
      <c r="AA187" s="16">
        <f t="shared" si="200"/>
        <v>223000</v>
      </c>
      <c r="AB187" s="19">
        <f t="shared" si="200"/>
        <v>0</v>
      </c>
      <c r="AC187" s="142">
        <f t="shared" si="200"/>
        <v>223000</v>
      </c>
      <c r="AD187" s="18">
        <f t="shared" si="200"/>
        <v>223000</v>
      </c>
      <c r="AE187" s="19">
        <f t="shared" si="200"/>
        <v>0</v>
      </c>
      <c r="AF187" s="142">
        <f t="shared" si="200"/>
        <v>223000</v>
      </c>
      <c r="AG187" s="16">
        <f t="shared" si="200"/>
        <v>223000</v>
      </c>
      <c r="AH187" s="19">
        <f t="shared" si="200"/>
        <v>19777000</v>
      </c>
      <c r="AI187" s="15">
        <f t="shared" si="200"/>
        <v>19777000</v>
      </c>
      <c r="AJ187" s="16">
        <f t="shared" si="200"/>
        <v>19777000</v>
      </c>
      <c r="AK187" s="9"/>
      <c r="AL187" s="29">
        <f t="shared" si="200"/>
        <v>0</v>
      </c>
      <c r="AM187" s="26">
        <f t="shared" si="200"/>
        <v>0</v>
      </c>
      <c r="AN187" s="9"/>
    </row>
    <row r="188" spans="1:40" s="372" customFormat="1" ht="24.95" customHeight="1">
      <c r="A188" s="729"/>
      <c r="B188" s="644"/>
      <c r="N188" s="9"/>
      <c r="P188" s="9"/>
      <c r="Q188" s="9"/>
      <c r="R188" s="9"/>
      <c r="S188" s="689" t="s">
        <v>305</v>
      </c>
      <c r="T188" s="665" t="s">
        <v>402</v>
      </c>
      <c r="U188" s="388">
        <v>10000000</v>
      </c>
      <c r="V188" s="15">
        <f t="shared" ref="V188:W191" si="201">AL188</f>
        <v>0</v>
      </c>
      <c r="W188" s="15">
        <f t="shared" si="201"/>
        <v>0</v>
      </c>
      <c r="X188" s="16">
        <f>SUM(U188:W188)</f>
        <v>10000000</v>
      </c>
      <c r="Y188" s="19">
        <v>0</v>
      </c>
      <c r="Z188" s="364">
        <v>0</v>
      </c>
      <c r="AA188" s="16">
        <f>SUM(Y188:Z188)</f>
        <v>0</v>
      </c>
      <c r="AB188" s="19">
        <v>0</v>
      </c>
      <c r="AC188" s="364">
        <v>0</v>
      </c>
      <c r="AD188" s="18">
        <f>SUM(AB188:AC188)</f>
        <v>0</v>
      </c>
      <c r="AE188" s="19">
        <v>0</v>
      </c>
      <c r="AF188" s="364">
        <v>0</v>
      </c>
      <c r="AG188" s="16">
        <f>SUM(AE188:AF188)</f>
        <v>0</v>
      </c>
      <c r="AH188" s="19">
        <f>X188-AA188</f>
        <v>10000000</v>
      </c>
      <c r="AI188" s="15">
        <f>X188-AD188</f>
        <v>10000000</v>
      </c>
      <c r="AJ188" s="16">
        <f>X188-AG188</f>
        <v>10000000</v>
      </c>
      <c r="AK188" s="9"/>
      <c r="AL188" s="362">
        <v>0</v>
      </c>
      <c r="AM188" s="365">
        <v>0</v>
      </c>
      <c r="AN188" s="9"/>
    </row>
    <row r="189" spans="1:40" s="372" customFormat="1" ht="24.95" customHeight="1">
      <c r="A189" s="729"/>
      <c r="B189" s="644"/>
      <c r="N189" s="9"/>
      <c r="P189" s="9"/>
      <c r="Q189" s="9"/>
      <c r="R189" s="9"/>
      <c r="S189" s="689" t="s">
        <v>306</v>
      </c>
      <c r="T189" s="665" t="s">
        <v>403</v>
      </c>
      <c r="U189" s="388">
        <v>5000000</v>
      </c>
      <c r="V189" s="15">
        <f t="shared" si="201"/>
        <v>0</v>
      </c>
      <c r="W189" s="15">
        <f t="shared" si="201"/>
        <v>0</v>
      </c>
      <c r="X189" s="16">
        <f>SUM(U189:W189)</f>
        <v>5000000</v>
      </c>
      <c r="Y189" s="19">
        <v>0</v>
      </c>
      <c r="Z189" s="364">
        <v>0</v>
      </c>
      <c r="AA189" s="16">
        <f>SUM(Y189:Z189)</f>
        <v>0</v>
      </c>
      <c r="AB189" s="19">
        <v>0</v>
      </c>
      <c r="AC189" s="364">
        <v>0</v>
      </c>
      <c r="AD189" s="18">
        <f>SUM(AB189:AC189)</f>
        <v>0</v>
      </c>
      <c r="AE189" s="19">
        <v>0</v>
      </c>
      <c r="AF189" s="364">
        <v>0</v>
      </c>
      <c r="AG189" s="16">
        <f>SUM(AE189:AF189)</f>
        <v>0</v>
      </c>
      <c r="AH189" s="19">
        <f>X189-AA189</f>
        <v>5000000</v>
      </c>
      <c r="AI189" s="15">
        <f>X189-AD189</f>
        <v>5000000</v>
      </c>
      <c r="AJ189" s="16">
        <f>X189-AG189</f>
        <v>5000000</v>
      </c>
      <c r="AK189" s="9"/>
      <c r="AL189" s="362">
        <v>0</v>
      </c>
      <c r="AM189" s="365">
        <v>0</v>
      </c>
      <c r="AN189" s="9"/>
    </row>
    <row r="190" spans="1:40" s="372" customFormat="1" ht="24.95" customHeight="1">
      <c r="A190" s="729"/>
      <c r="B190" s="644"/>
      <c r="N190" s="9"/>
      <c r="P190" s="9"/>
      <c r="Q190" s="9"/>
      <c r="R190" s="9"/>
      <c r="S190" s="689" t="s">
        <v>307</v>
      </c>
      <c r="T190" s="665" t="s">
        <v>404</v>
      </c>
      <c r="U190" s="388">
        <v>5000000</v>
      </c>
      <c r="V190" s="15">
        <f t="shared" si="201"/>
        <v>0</v>
      </c>
      <c r="W190" s="15">
        <f t="shared" si="201"/>
        <v>0</v>
      </c>
      <c r="X190" s="16">
        <f>SUM(U190:W190)</f>
        <v>5000000</v>
      </c>
      <c r="Y190" s="19">
        <v>0</v>
      </c>
      <c r="Z190" s="364">
        <v>223000</v>
      </c>
      <c r="AA190" s="16">
        <f>SUM(Y190:Z190)</f>
        <v>223000</v>
      </c>
      <c r="AB190" s="19">
        <v>0</v>
      </c>
      <c r="AC190" s="364">
        <v>223000</v>
      </c>
      <c r="AD190" s="18">
        <f>SUM(AB190:AC190)</f>
        <v>223000</v>
      </c>
      <c r="AE190" s="19">
        <v>0</v>
      </c>
      <c r="AF190" s="364">
        <v>223000</v>
      </c>
      <c r="AG190" s="16">
        <f>SUM(AE190:AF190)</f>
        <v>223000</v>
      </c>
      <c r="AH190" s="19">
        <f>X190-AA190</f>
        <v>4777000</v>
      </c>
      <c r="AI190" s="15">
        <f>X190-AD190</f>
        <v>4777000</v>
      </c>
      <c r="AJ190" s="16">
        <f>X190-AG190</f>
        <v>4777000</v>
      </c>
      <c r="AK190" s="9"/>
      <c r="AL190" s="362">
        <v>0</v>
      </c>
      <c r="AM190" s="365">
        <v>0</v>
      </c>
      <c r="AN190" s="9"/>
    </row>
    <row r="191" spans="1:40" s="372" customFormat="1" ht="24.95" customHeight="1" thickBot="1">
      <c r="A191" s="729"/>
      <c r="B191" s="644"/>
      <c r="N191" s="9"/>
      <c r="P191" s="9"/>
      <c r="Q191" s="9"/>
      <c r="R191" s="9"/>
      <c r="S191" s="688">
        <v>3399999</v>
      </c>
      <c r="T191" s="664" t="s">
        <v>127</v>
      </c>
      <c r="U191" s="388">
        <v>0</v>
      </c>
      <c r="V191" s="15">
        <f t="shared" si="201"/>
        <v>0</v>
      </c>
      <c r="W191" s="15">
        <f t="shared" si="201"/>
        <v>0</v>
      </c>
      <c r="X191" s="16">
        <f>SUM(U191:W191)</f>
        <v>0</v>
      </c>
      <c r="Y191" s="19">
        <v>0</v>
      </c>
      <c r="Z191" s="364">
        <v>0</v>
      </c>
      <c r="AA191" s="16">
        <f>SUM(Y191:Z191)</f>
        <v>0</v>
      </c>
      <c r="AB191" s="19">
        <v>0</v>
      </c>
      <c r="AC191" s="364">
        <v>0</v>
      </c>
      <c r="AD191" s="18">
        <f>SUM(AB191:AC191)</f>
        <v>0</v>
      </c>
      <c r="AE191" s="19">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c r="A192" s="729"/>
      <c r="B192" s="644"/>
      <c r="N192" s="9"/>
      <c r="P192" s="9"/>
      <c r="Q192" s="9"/>
      <c r="R192" s="9"/>
      <c r="S192" s="479"/>
      <c r="T192" s="671"/>
      <c r="U192" s="204"/>
      <c r="V192" s="167"/>
      <c r="W192" s="167"/>
      <c r="X192" s="168"/>
      <c r="Y192" s="480"/>
      <c r="Z192" s="204"/>
      <c r="AA192" s="168"/>
      <c r="AB192" s="167"/>
      <c r="AC192" s="204"/>
      <c r="AD192" s="167"/>
      <c r="AE192" s="480"/>
      <c r="AF192" s="204"/>
      <c r="AG192" s="168"/>
      <c r="AH192" s="480"/>
      <c r="AI192" s="167"/>
      <c r="AJ192" s="168"/>
      <c r="AK192" s="9"/>
      <c r="AL192" s="481"/>
      <c r="AM192" s="482"/>
      <c r="AN192" s="9"/>
    </row>
    <row r="193" spans="1:40" s="372" customFormat="1" ht="36.75" customHeight="1" thickBot="1">
      <c r="A193" s="729"/>
      <c r="B193" s="644"/>
      <c r="N193" s="9"/>
      <c r="P193" s="9"/>
      <c r="Q193" s="9"/>
      <c r="R193" s="9"/>
      <c r="S193" s="483" t="s">
        <v>318</v>
      </c>
      <c r="T193" s="672" t="s">
        <v>561</v>
      </c>
      <c r="U193" s="460">
        <f>U195+U209</f>
        <v>10282942055</v>
      </c>
      <c r="V193" s="461">
        <f t="shared" ref="V193:AJ193" si="202">V195+V209</f>
        <v>0</v>
      </c>
      <c r="W193" s="461">
        <f t="shared" si="202"/>
        <v>566348969</v>
      </c>
      <c r="X193" s="370">
        <f t="shared" si="202"/>
        <v>10849291024</v>
      </c>
      <c r="Y193" s="369">
        <f t="shared" si="202"/>
        <v>0</v>
      </c>
      <c r="Z193" s="484">
        <f t="shared" si="202"/>
        <v>6321291302</v>
      </c>
      <c r="AA193" s="370">
        <f t="shared" si="202"/>
        <v>6321291302</v>
      </c>
      <c r="AB193" s="460">
        <f t="shared" si="202"/>
        <v>0</v>
      </c>
      <c r="AC193" s="484">
        <f t="shared" si="202"/>
        <v>2995381812</v>
      </c>
      <c r="AD193" s="462">
        <f t="shared" si="202"/>
        <v>2995381812</v>
      </c>
      <c r="AE193" s="369">
        <f t="shared" si="202"/>
        <v>0</v>
      </c>
      <c r="AF193" s="484">
        <f t="shared" si="202"/>
        <v>1087305294</v>
      </c>
      <c r="AG193" s="370">
        <f t="shared" si="202"/>
        <v>1087305294</v>
      </c>
      <c r="AH193" s="369">
        <f t="shared" si="202"/>
        <v>4527999722</v>
      </c>
      <c r="AI193" s="461">
        <f t="shared" si="202"/>
        <v>7853909212</v>
      </c>
      <c r="AJ193" s="370">
        <f t="shared" si="202"/>
        <v>9761985730</v>
      </c>
      <c r="AK193" s="9"/>
      <c r="AL193" s="369">
        <f>AL195+AL209</f>
        <v>0</v>
      </c>
      <c r="AM193" s="370">
        <f>AM195+AM209</f>
        <v>566348969</v>
      </c>
      <c r="AN193" s="9"/>
    </row>
    <row r="194" spans="1:40" s="372" customFormat="1" ht="24.95" customHeight="1">
      <c r="A194" s="729"/>
      <c r="B194" s="644"/>
      <c r="N194" s="9"/>
      <c r="P194" s="9"/>
      <c r="Q194" s="9"/>
      <c r="R194" s="9"/>
      <c r="S194" s="479"/>
      <c r="T194" s="671"/>
      <c r="U194" s="204"/>
      <c r="V194" s="167"/>
      <c r="W194" s="167"/>
      <c r="X194" s="168"/>
      <c r="Y194" s="480"/>
      <c r="Z194" s="204"/>
      <c r="AA194" s="168"/>
      <c r="AB194" s="167"/>
      <c r="AC194" s="204"/>
      <c r="AD194" s="167"/>
      <c r="AE194" s="480"/>
      <c r="AF194" s="204"/>
      <c r="AG194" s="168"/>
      <c r="AH194" s="480"/>
      <c r="AI194" s="167"/>
      <c r="AJ194" s="168"/>
      <c r="AK194" s="9"/>
      <c r="AL194" s="481"/>
      <c r="AM194" s="482"/>
      <c r="AN194" s="9"/>
    </row>
    <row r="195" spans="1:40" s="372" customFormat="1" ht="24.95" customHeight="1">
      <c r="A195" s="729"/>
      <c r="B195" s="644"/>
      <c r="N195" s="9"/>
      <c r="P195" s="9"/>
      <c r="Q195" s="9"/>
      <c r="R195" s="9"/>
      <c r="S195" s="686">
        <v>4000000</v>
      </c>
      <c r="T195" s="668" t="s">
        <v>308</v>
      </c>
      <c r="U195" s="460">
        <f t="shared" ref="U195:AJ195" si="203">U196</f>
        <v>10282942055</v>
      </c>
      <c r="V195" s="461">
        <f t="shared" si="203"/>
        <v>0</v>
      </c>
      <c r="W195" s="461">
        <f t="shared" si="203"/>
        <v>566348969</v>
      </c>
      <c r="X195" s="370">
        <f t="shared" si="203"/>
        <v>10849291024</v>
      </c>
      <c r="Y195" s="369">
        <f t="shared" si="203"/>
        <v>0</v>
      </c>
      <c r="Z195" s="461">
        <f t="shared" si="203"/>
        <v>6321291302</v>
      </c>
      <c r="AA195" s="370">
        <f t="shared" si="203"/>
        <v>6321291302</v>
      </c>
      <c r="AB195" s="369">
        <f t="shared" si="203"/>
        <v>0</v>
      </c>
      <c r="AC195" s="461">
        <f t="shared" si="203"/>
        <v>2995381812</v>
      </c>
      <c r="AD195" s="462">
        <f t="shared" si="203"/>
        <v>2995381812</v>
      </c>
      <c r="AE195" s="369">
        <f t="shared" si="203"/>
        <v>0</v>
      </c>
      <c r="AF195" s="461">
        <f t="shared" si="203"/>
        <v>1087305294</v>
      </c>
      <c r="AG195" s="370">
        <f t="shared" si="203"/>
        <v>1087305294</v>
      </c>
      <c r="AH195" s="369">
        <f t="shared" si="203"/>
        <v>4527999722</v>
      </c>
      <c r="AI195" s="461">
        <f t="shared" si="203"/>
        <v>7853909212</v>
      </c>
      <c r="AJ195" s="370">
        <f t="shared" si="203"/>
        <v>9761985730</v>
      </c>
      <c r="AK195" s="9"/>
      <c r="AL195" s="128">
        <f>AL196</f>
        <v>0</v>
      </c>
      <c r="AM195" s="130">
        <f>AM196</f>
        <v>566348969</v>
      </c>
      <c r="AN195" s="9"/>
    </row>
    <row r="196" spans="1:40" s="372" customFormat="1" ht="24.95" customHeight="1">
      <c r="A196" s="729"/>
      <c r="B196" s="644"/>
      <c r="N196" s="9"/>
      <c r="P196" s="9"/>
      <c r="Q196" s="9"/>
      <c r="R196" s="9"/>
      <c r="S196" s="687">
        <v>4100000</v>
      </c>
      <c r="T196" s="663" t="s">
        <v>309</v>
      </c>
      <c r="U196" s="132">
        <f t="shared" ref="U196:AJ196" si="204">U197+U205+U207</f>
        <v>10282942055</v>
      </c>
      <c r="V196" s="122">
        <f t="shared" si="204"/>
        <v>0</v>
      </c>
      <c r="W196" s="122">
        <f t="shared" si="204"/>
        <v>566348969</v>
      </c>
      <c r="X196" s="130">
        <f t="shared" si="204"/>
        <v>10849291024</v>
      </c>
      <c r="Y196" s="128">
        <f t="shared" si="204"/>
        <v>0</v>
      </c>
      <c r="Z196" s="122">
        <f t="shared" si="204"/>
        <v>6321291302</v>
      </c>
      <c r="AA196" s="130">
        <f t="shared" si="204"/>
        <v>6321291302</v>
      </c>
      <c r="AB196" s="128">
        <f t="shared" si="204"/>
        <v>0</v>
      </c>
      <c r="AC196" s="122">
        <f t="shared" si="204"/>
        <v>2995381812</v>
      </c>
      <c r="AD196" s="129">
        <f t="shared" si="204"/>
        <v>2995381812</v>
      </c>
      <c r="AE196" s="128">
        <f t="shared" si="204"/>
        <v>0</v>
      </c>
      <c r="AF196" s="122">
        <f t="shared" si="204"/>
        <v>1087305294</v>
      </c>
      <c r="AG196" s="130">
        <f t="shared" si="204"/>
        <v>1087305294</v>
      </c>
      <c r="AH196" s="128">
        <f t="shared" si="204"/>
        <v>4527999722</v>
      </c>
      <c r="AI196" s="122">
        <f t="shared" si="204"/>
        <v>7853909212</v>
      </c>
      <c r="AJ196" s="130">
        <f t="shared" si="204"/>
        <v>9761985730</v>
      </c>
      <c r="AK196" s="10"/>
      <c r="AL196" s="128">
        <f>AL197+AL205+AL207</f>
        <v>0</v>
      </c>
      <c r="AM196" s="130">
        <f>AM197+AM205+AM207</f>
        <v>566348969</v>
      </c>
      <c r="AN196" s="9"/>
    </row>
    <row r="197" spans="1:40" s="372" customFormat="1" ht="24.95" customHeight="1">
      <c r="A197" s="729"/>
      <c r="B197" s="644"/>
      <c r="N197" s="9"/>
      <c r="P197" s="9"/>
      <c r="Q197" s="9"/>
      <c r="R197" s="9"/>
      <c r="S197" s="688">
        <v>4100100</v>
      </c>
      <c r="T197" s="664" t="s">
        <v>310</v>
      </c>
      <c r="U197" s="17">
        <f t="shared" ref="U197:AJ197" si="205">SUM(U198:U204)</f>
        <v>8084311192</v>
      </c>
      <c r="V197" s="15">
        <f t="shared" si="205"/>
        <v>0</v>
      </c>
      <c r="W197" s="15">
        <f t="shared" si="205"/>
        <v>200000000</v>
      </c>
      <c r="X197" s="16">
        <f t="shared" si="205"/>
        <v>8284311192</v>
      </c>
      <c r="Y197" s="19">
        <f t="shared" si="205"/>
        <v>0</v>
      </c>
      <c r="Z197" s="142">
        <f t="shared" si="205"/>
        <v>4106896266</v>
      </c>
      <c r="AA197" s="16">
        <f t="shared" si="205"/>
        <v>4106896266</v>
      </c>
      <c r="AB197" s="19">
        <f t="shared" si="205"/>
        <v>0</v>
      </c>
      <c r="AC197" s="142">
        <f t="shared" si="205"/>
        <v>1831684933</v>
      </c>
      <c r="AD197" s="18">
        <f t="shared" si="205"/>
        <v>1831684933</v>
      </c>
      <c r="AE197" s="19">
        <f t="shared" si="205"/>
        <v>0</v>
      </c>
      <c r="AF197" s="142">
        <f t="shared" si="205"/>
        <v>22910258</v>
      </c>
      <c r="AG197" s="16">
        <f t="shared" si="205"/>
        <v>22910258</v>
      </c>
      <c r="AH197" s="19">
        <f t="shared" si="205"/>
        <v>4177414926</v>
      </c>
      <c r="AI197" s="15">
        <f t="shared" si="205"/>
        <v>6452626259</v>
      </c>
      <c r="AJ197" s="16">
        <f t="shared" si="205"/>
        <v>8261400934</v>
      </c>
      <c r="AK197" s="9"/>
      <c r="AL197" s="29">
        <f>SUM(AL198:AL204)</f>
        <v>0</v>
      </c>
      <c r="AM197" s="26">
        <f>SUM(AM198:AM204)</f>
        <v>200000000</v>
      </c>
      <c r="AN197" s="9"/>
    </row>
    <row r="198" spans="1:40" s="372" customFormat="1" ht="24.95" customHeight="1">
      <c r="A198" s="729"/>
      <c r="B198" s="644"/>
      <c r="N198" s="9"/>
      <c r="P198" s="9"/>
      <c r="Q198" s="9"/>
      <c r="R198" s="9"/>
      <c r="S198" s="689" t="s">
        <v>311</v>
      </c>
      <c r="T198" s="665" t="s">
        <v>405</v>
      </c>
      <c r="U198" s="388">
        <v>4000000000</v>
      </c>
      <c r="V198" s="15">
        <f t="shared" ref="V198:W202" si="206">AL198</f>
        <v>0</v>
      </c>
      <c r="W198" s="15">
        <f t="shared" si="206"/>
        <v>0</v>
      </c>
      <c r="X198" s="771">
        <f t="shared" ref="X198:X204" si="207">SUM(U198:W198)</f>
        <v>4000000000</v>
      </c>
      <c r="Y198" s="19">
        <v>0</v>
      </c>
      <c r="Z198" s="364">
        <v>1703146438</v>
      </c>
      <c r="AA198" s="16">
        <f t="shared" ref="AA198:AA204" si="208">SUM(Y198:Z198)</f>
        <v>1703146438</v>
      </c>
      <c r="AB198" s="19">
        <v>0</v>
      </c>
      <c r="AC198" s="364">
        <v>702598799</v>
      </c>
      <c r="AD198" s="18">
        <f t="shared" ref="AD198:AD204" si="209">SUM(AB198:AC198)</f>
        <v>702598799</v>
      </c>
      <c r="AE198" s="19">
        <v>0</v>
      </c>
      <c r="AF198" s="364">
        <v>22910258</v>
      </c>
      <c r="AG198" s="16">
        <f t="shared" ref="AG198:AG204" si="210">SUM(AE198:AF198)</f>
        <v>22910258</v>
      </c>
      <c r="AH198" s="19">
        <f t="shared" ref="AH198:AH204" si="211">X198-AA198</f>
        <v>2296853562</v>
      </c>
      <c r="AI198" s="15">
        <f t="shared" ref="AI198:AI204" si="212">X198-AD198</f>
        <v>3297401201</v>
      </c>
      <c r="AJ198" s="16">
        <f t="shared" ref="AJ198:AJ204" si="213">X198-AG198</f>
        <v>3977089742</v>
      </c>
      <c r="AK198" s="9"/>
      <c r="AL198" s="362">
        <v>0</v>
      </c>
      <c r="AM198" s="365">
        <v>0</v>
      </c>
      <c r="AN198" s="9"/>
    </row>
    <row r="199" spans="1:40" s="372" customFormat="1" ht="24.95" customHeight="1">
      <c r="A199" s="729"/>
      <c r="B199" s="644"/>
      <c r="N199" s="9"/>
      <c r="P199" s="9"/>
      <c r="Q199" s="9"/>
      <c r="R199" s="9"/>
      <c r="S199" s="689" t="s">
        <v>312</v>
      </c>
      <c r="T199" s="665" t="s">
        <v>406</v>
      </c>
      <c r="U199" s="388">
        <v>3244311192</v>
      </c>
      <c r="V199" s="15">
        <f t="shared" si="206"/>
        <v>0</v>
      </c>
      <c r="W199" s="15">
        <f t="shared" si="206"/>
        <v>200000000</v>
      </c>
      <c r="X199" s="16">
        <f t="shared" si="207"/>
        <v>3444311192</v>
      </c>
      <c r="Y199" s="19">
        <v>0</v>
      </c>
      <c r="Z199" s="364">
        <v>2392498110</v>
      </c>
      <c r="AA199" s="16">
        <f t="shared" si="208"/>
        <v>2392498110</v>
      </c>
      <c r="AB199" s="19">
        <v>0</v>
      </c>
      <c r="AC199" s="364">
        <v>1117834416</v>
      </c>
      <c r="AD199" s="18">
        <f t="shared" si="209"/>
        <v>1117834416</v>
      </c>
      <c r="AE199" s="19">
        <v>0</v>
      </c>
      <c r="AF199" s="364">
        <v>0</v>
      </c>
      <c r="AG199" s="16">
        <f t="shared" si="210"/>
        <v>0</v>
      </c>
      <c r="AH199" s="19">
        <f t="shared" si="211"/>
        <v>1051813082</v>
      </c>
      <c r="AI199" s="15">
        <f t="shared" si="212"/>
        <v>2326476776</v>
      </c>
      <c r="AJ199" s="16">
        <f t="shared" si="213"/>
        <v>3444311192</v>
      </c>
      <c r="AK199" s="9"/>
      <c r="AL199" s="362">
        <v>0</v>
      </c>
      <c r="AM199" s="365">
        <v>200000000</v>
      </c>
      <c r="AN199" s="9"/>
    </row>
    <row r="200" spans="1:40" s="372" customFormat="1" ht="24.95" customHeight="1">
      <c r="A200" s="729"/>
      <c r="B200" s="644"/>
      <c r="N200" s="9"/>
      <c r="P200" s="9"/>
      <c r="Q200" s="9"/>
      <c r="R200" s="9"/>
      <c r="S200" s="689" t="s">
        <v>313</v>
      </c>
      <c r="T200" s="665" t="s">
        <v>407</v>
      </c>
      <c r="U200" s="388">
        <v>840000000</v>
      </c>
      <c r="V200" s="15">
        <f t="shared" si="206"/>
        <v>0</v>
      </c>
      <c r="W200" s="15">
        <f t="shared" si="206"/>
        <v>0</v>
      </c>
      <c r="X200" s="16">
        <f t="shared" si="207"/>
        <v>840000000</v>
      </c>
      <c r="Y200" s="19">
        <v>0</v>
      </c>
      <c r="Z200" s="364">
        <v>11251718</v>
      </c>
      <c r="AA200" s="16">
        <f t="shared" si="208"/>
        <v>11251718</v>
      </c>
      <c r="AB200" s="19">
        <v>0</v>
      </c>
      <c r="AC200" s="364">
        <v>11251718</v>
      </c>
      <c r="AD200" s="18">
        <f t="shared" si="209"/>
        <v>11251718</v>
      </c>
      <c r="AE200" s="19">
        <v>0</v>
      </c>
      <c r="AF200" s="364">
        <v>0</v>
      </c>
      <c r="AG200" s="16">
        <f t="shared" si="210"/>
        <v>0</v>
      </c>
      <c r="AH200" s="19">
        <f t="shared" si="211"/>
        <v>828748282</v>
      </c>
      <c r="AI200" s="15">
        <f t="shared" si="212"/>
        <v>828748282</v>
      </c>
      <c r="AJ200" s="16">
        <f t="shared" si="213"/>
        <v>840000000</v>
      </c>
      <c r="AK200" s="9"/>
      <c r="AL200" s="362">
        <v>0</v>
      </c>
      <c r="AM200" s="365">
        <v>0</v>
      </c>
      <c r="AN200" s="9"/>
    </row>
    <row r="201" spans="1:40" s="372" customFormat="1" ht="24.95" customHeight="1">
      <c r="A201" s="729"/>
      <c r="B201" s="644"/>
      <c r="N201" s="9"/>
      <c r="P201" s="9"/>
      <c r="Q201" s="9"/>
      <c r="R201" s="9"/>
      <c r="S201" s="689" t="s">
        <v>314</v>
      </c>
      <c r="T201" s="665" t="s">
        <v>408</v>
      </c>
      <c r="U201" s="388">
        <v>0</v>
      </c>
      <c r="V201" s="15">
        <f t="shared" si="206"/>
        <v>0</v>
      </c>
      <c r="W201" s="15">
        <f t="shared" si="206"/>
        <v>0</v>
      </c>
      <c r="X201" s="16">
        <f t="shared" si="207"/>
        <v>0</v>
      </c>
      <c r="Y201" s="19">
        <v>0</v>
      </c>
      <c r="Z201" s="364">
        <v>0</v>
      </c>
      <c r="AA201" s="16">
        <f t="shared" si="208"/>
        <v>0</v>
      </c>
      <c r="AB201" s="19">
        <v>0</v>
      </c>
      <c r="AC201" s="364">
        <v>0</v>
      </c>
      <c r="AD201" s="18">
        <f t="shared" si="209"/>
        <v>0</v>
      </c>
      <c r="AE201" s="19">
        <v>0</v>
      </c>
      <c r="AF201" s="364">
        <v>0</v>
      </c>
      <c r="AG201" s="16">
        <f t="shared" si="210"/>
        <v>0</v>
      </c>
      <c r="AH201" s="19">
        <f t="shared" si="211"/>
        <v>0</v>
      </c>
      <c r="AI201" s="15">
        <f t="shared" si="212"/>
        <v>0</v>
      </c>
      <c r="AJ201" s="16">
        <f t="shared" si="213"/>
        <v>0</v>
      </c>
      <c r="AK201" s="9"/>
      <c r="AL201" s="362">
        <v>0</v>
      </c>
      <c r="AM201" s="365">
        <v>0</v>
      </c>
      <c r="AN201" s="9"/>
    </row>
    <row r="202" spans="1:40" s="372" customFormat="1" ht="24.95" customHeight="1">
      <c r="A202" s="729"/>
      <c r="B202" s="644"/>
      <c r="N202" s="9"/>
      <c r="P202" s="9"/>
      <c r="Q202" s="9"/>
      <c r="R202" s="9"/>
      <c r="S202" s="689" t="s">
        <v>315</v>
      </c>
      <c r="T202" s="665" t="s">
        <v>409</v>
      </c>
      <c r="U202" s="388">
        <v>0</v>
      </c>
      <c r="V202" s="15">
        <f t="shared" si="206"/>
        <v>0</v>
      </c>
      <c r="W202" s="15">
        <f t="shared" si="206"/>
        <v>0</v>
      </c>
      <c r="X202" s="16">
        <f t="shared" si="207"/>
        <v>0</v>
      </c>
      <c r="Y202" s="19">
        <v>0</v>
      </c>
      <c r="Z202" s="364">
        <v>0</v>
      </c>
      <c r="AA202" s="16">
        <f t="shared" si="208"/>
        <v>0</v>
      </c>
      <c r="AB202" s="19">
        <v>0</v>
      </c>
      <c r="AC202" s="364">
        <v>0</v>
      </c>
      <c r="AD202" s="18">
        <f t="shared" si="209"/>
        <v>0</v>
      </c>
      <c r="AE202" s="19">
        <v>0</v>
      </c>
      <c r="AF202" s="364">
        <v>0</v>
      </c>
      <c r="AG202" s="16">
        <f t="shared" si="210"/>
        <v>0</v>
      </c>
      <c r="AH202" s="19">
        <f t="shared" si="211"/>
        <v>0</v>
      </c>
      <c r="AI202" s="15">
        <f t="shared" si="212"/>
        <v>0</v>
      </c>
      <c r="AJ202" s="16">
        <f t="shared" si="213"/>
        <v>0</v>
      </c>
      <c r="AK202" s="9"/>
      <c r="AL202" s="362">
        <v>0</v>
      </c>
      <c r="AM202" s="365">
        <v>0</v>
      </c>
      <c r="AN202" s="9"/>
    </row>
    <row r="203" spans="1:40" s="372" customFormat="1" ht="24.95" customHeight="1">
      <c r="A203" s="729"/>
      <c r="B203" s="644"/>
      <c r="N203" s="9"/>
      <c r="P203" s="9"/>
      <c r="Q203" s="9"/>
      <c r="R203" s="9"/>
      <c r="S203" s="689" t="s">
        <v>614</v>
      </c>
      <c r="T203" s="666"/>
      <c r="U203" s="388">
        <v>0</v>
      </c>
      <c r="V203" s="15">
        <f>AL203</f>
        <v>0</v>
      </c>
      <c r="W203" s="15">
        <f>AM203</f>
        <v>0</v>
      </c>
      <c r="X203" s="16">
        <f t="shared" si="207"/>
        <v>0</v>
      </c>
      <c r="Y203" s="19">
        <v>0</v>
      </c>
      <c r="Z203" s="364">
        <v>0</v>
      </c>
      <c r="AA203" s="16">
        <f t="shared" si="208"/>
        <v>0</v>
      </c>
      <c r="AB203" s="19">
        <v>0</v>
      </c>
      <c r="AC203" s="364">
        <v>0</v>
      </c>
      <c r="AD203" s="18">
        <f t="shared" si="209"/>
        <v>0</v>
      </c>
      <c r="AE203" s="19">
        <v>0</v>
      </c>
      <c r="AF203" s="364">
        <v>0</v>
      </c>
      <c r="AG203" s="16">
        <f t="shared" si="210"/>
        <v>0</v>
      </c>
      <c r="AH203" s="19">
        <f t="shared" si="211"/>
        <v>0</v>
      </c>
      <c r="AI203" s="15">
        <f t="shared" si="212"/>
        <v>0</v>
      </c>
      <c r="AJ203" s="16">
        <f t="shared" si="213"/>
        <v>0</v>
      </c>
      <c r="AK203" s="9"/>
      <c r="AL203" s="362">
        <v>0</v>
      </c>
      <c r="AM203" s="365">
        <v>0</v>
      </c>
      <c r="AN203" s="9"/>
    </row>
    <row r="204" spans="1:40" s="372" customFormat="1" ht="24.95" customHeight="1">
      <c r="A204" s="729"/>
      <c r="B204" s="644"/>
      <c r="N204" s="9"/>
      <c r="P204" s="9"/>
      <c r="Q204" s="9"/>
      <c r="R204" s="9"/>
      <c r="S204" s="689" t="s">
        <v>615</v>
      </c>
      <c r="T204" s="666"/>
      <c r="U204" s="388">
        <v>0</v>
      </c>
      <c r="V204" s="15">
        <f>AL204</f>
        <v>0</v>
      </c>
      <c r="W204" s="15">
        <f>AM204</f>
        <v>0</v>
      </c>
      <c r="X204" s="16">
        <f t="shared" si="207"/>
        <v>0</v>
      </c>
      <c r="Y204" s="19">
        <v>0</v>
      </c>
      <c r="Z204" s="364">
        <v>0</v>
      </c>
      <c r="AA204" s="16">
        <f t="shared" si="208"/>
        <v>0</v>
      </c>
      <c r="AB204" s="19">
        <v>0</v>
      </c>
      <c r="AC204" s="364">
        <v>0</v>
      </c>
      <c r="AD204" s="18">
        <f t="shared" si="209"/>
        <v>0</v>
      </c>
      <c r="AE204" s="19">
        <v>0</v>
      </c>
      <c r="AF204" s="364">
        <v>0</v>
      </c>
      <c r="AG204" s="16">
        <f t="shared" si="210"/>
        <v>0</v>
      </c>
      <c r="AH204" s="19">
        <f t="shared" si="211"/>
        <v>0</v>
      </c>
      <c r="AI204" s="15">
        <f t="shared" si="212"/>
        <v>0</v>
      </c>
      <c r="AJ204" s="16">
        <f t="shared" si="213"/>
        <v>0</v>
      </c>
      <c r="AK204" s="9"/>
      <c r="AL204" s="362">
        <v>0</v>
      </c>
      <c r="AM204" s="365">
        <v>0</v>
      </c>
      <c r="AN204" s="9"/>
    </row>
    <row r="205" spans="1:40" s="372" customFormat="1" ht="24.95" customHeight="1">
      <c r="A205" s="729"/>
      <c r="B205" s="644"/>
      <c r="N205" s="9"/>
      <c r="P205" s="9"/>
      <c r="Q205" s="9"/>
      <c r="R205" s="9"/>
      <c r="S205" s="688">
        <v>4100200</v>
      </c>
      <c r="T205" s="664" t="s">
        <v>316</v>
      </c>
      <c r="U205" s="17">
        <f t="shared" ref="U205:AJ205" si="214">U206</f>
        <v>1200000000</v>
      </c>
      <c r="V205" s="15">
        <f t="shared" si="214"/>
        <v>0</v>
      </c>
      <c r="W205" s="15">
        <f t="shared" si="214"/>
        <v>0</v>
      </c>
      <c r="X205" s="16">
        <f t="shared" si="214"/>
        <v>1200000000</v>
      </c>
      <c r="Y205" s="19">
        <f t="shared" si="214"/>
        <v>0</v>
      </c>
      <c r="Z205" s="142">
        <f t="shared" si="214"/>
        <v>1150307400</v>
      </c>
      <c r="AA205" s="16">
        <f t="shared" si="214"/>
        <v>1150307400</v>
      </c>
      <c r="AB205" s="19">
        <f t="shared" si="214"/>
        <v>0</v>
      </c>
      <c r="AC205" s="142">
        <f t="shared" si="214"/>
        <v>99609243</v>
      </c>
      <c r="AD205" s="18">
        <f t="shared" si="214"/>
        <v>99609243</v>
      </c>
      <c r="AE205" s="19">
        <f t="shared" si="214"/>
        <v>0</v>
      </c>
      <c r="AF205" s="142">
        <f t="shared" si="214"/>
        <v>307400</v>
      </c>
      <c r="AG205" s="16">
        <f t="shared" si="214"/>
        <v>307400</v>
      </c>
      <c r="AH205" s="19">
        <f t="shared" si="214"/>
        <v>49692600</v>
      </c>
      <c r="AI205" s="15">
        <f t="shared" si="214"/>
        <v>1100390757</v>
      </c>
      <c r="AJ205" s="16">
        <f t="shared" si="214"/>
        <v>1199692600</v>
      </c>
      <c r="AK205" s="9"/>
      <c r="AL205" s="29">
        <f>AL206</f>
        <v>0</v>
      </c>
      <c r="AM205" s="26">
        <f>AM206</f>
        <v>0</v>
      </c>
      <c r="AN205" s="9"/>
    </row>
    <row r="206" spans="1:40" s="372" customFormat="1" ht="24.95" customHeight="1">
      <c r="A206" s="729"/>
      <c r="B206" s="644"/>
      <c r="N206" s="9"/>
      <c r="P206" s="9"/>
      <c r="Q206" s="9"/>
      <c r="R206" s="9"/>
      <c r="S206" s="689" t="s">
        <v>317</v>
      </c>
      <c r="T206" s="665" t="s">
        <v>410</v>
      </c>
      <c r="U206" s="388">
        <v>1200000000</v>
      </c>
      <c r="V206" s="15">
        <f>AL206</f>
        <v>0</v>
      </c>
      <c r="W206" s="15">
        <f>AM206</f>
        <v>0</v>
      </c>
      <c r="X206" s="16">
        <f>SUM(U206:W206)</f>
        <v>1200000000</v>
      </c>
      <c r="Y206" s="19">
        <v>0</v>
      </c>
      <c r="Z206" s="364">
        <v>1150307400</v>
      </c>
      <c r="AA206" s="16">
        <f>SUM(Y206:Z206)</f>
        <v>1150307400</v>
      </c>
      <c r="AB206" s="19">
        <v>0</v>
      </c>
      <c r="AC206" s="364">
        <v>99609243</v>
      </c>
      <c r="AD206" s="18">
        <f>SUM(AB206:AC206)</f>
        <v>99609243</v>
      </c>
      <c r="AE206" s="19">
        <v>0</v>
      </c>
      <c r="AF206" s="364">
        <v>307400</v>
      </c>
      <c r="AG206" s="16">
        <f>SUM(AE206:AF206)</f>
        <v>307400</v>
      </c>
      <c r="AH206" s="19">
        <f>X206-AA206</f>
        <v>49692600</v>
      </c>
      <c r="AI206" s="15">
        <f>X206-AD206</f>
        <v>1100390757</v>
      </c>
      <c r="AJ206" s="16">
        <f>X206-AG206</f>
        <v>1199692600</v>
      </c>
      <c r="AK206" s="9"/>
      <c r="AL206" s="362">
        <v>0</v>
      </c>
      <c r="AM206" s="365">
        <v>0</v>
      </c>
      <c r="AN206" s="9"/>
    </row>
    <row r="207" spans="1:40" s="372" customFormat="1" ht="24.95" customHeight="1" thickBot="1">
      <c r="A207" s="729"/>
      <c r="B207" s="644"/>
      <c r="N207" s="9"/>
      <c r="P207" s="9"/>
      <c r="Q207" s="9"/>
      <c r="R207" s="9"/>
      <c r="S207" s="691">
        <v>4199999</v>
      </c>
      <c r="T207" s="670" t="s">
        <v>127</v>
      </c>
      <c r="U207" s="478">
        <v>998630863</v>
      </c>
      <c r="V207" s="121">
        <f>AL207</f>
        <v>0</v>
      </c>
      <c r="W207" s="121">
        <f>AM207</f>
        <v>366348969</v>
      </c>
      <c r="X207" s="125">
        <f>SUM(U207:W207)</f>
        <v>1364979832</v>
      </c>
      <c r="Y207" s="124">
        <v>0</v>
      </c>
      <c r="Z207" s="378">
        <v>1064087636</v>
      </c>
      <c r="AA207" s="125">
        <f>SUM(Y207:Z207)</f>
        <v>1064087636</v>
      </c>
      <c r="AB207" s="124">
        <v>0</v>
      </c>
      <c r="AC207" s="378">
        <v>1064087636</v>
      </c>
      <c r="AD207" s="126">
        <f>SUM(AB207:AC207)</f>
        <v>1064087636</v>
      </c>
      <c r="AE207" s="124">
        <v>0</v>
      </c>
      <c r="AF207" s="378">
        <v>1064087636</v>
      </c>
      <c r="AG207" s="125">
        <f>SUM(AE207:AF207)</f>
        <v>1064087636</v>
      </c>
      <c r="AH207" s="124">
        <f>X207-AA207</f>
        <v>300892196</v>
      </c>
      <c r="AI207" s="121">
        <f>X207-AD207</f>
        <v>300892196</v>
      </c>
      <c r="AJ207" s="125">
        <f>X207-AG207</f>
        <v>300892196</v>
      </c>
      <c r="AK207" s="9"/>
      <c r="AL207" s="374">
        <v>0</v>
      </c>
      <c r="AM207" s="379">
        <f>191570412+174778557</f>
        <v>366348969</v>
      </c>
      <c r="AN207" s="9"/>
    </row>
    <row r="208" spans="1:40" s="372" customFormat="1" ht="24.95" customHeight="1">
      <c r="A208" s="729"/>
      <c r="B208" s="644"/>
      <c r="N208" s="9"/>
      <c r="P208" s="9"/>
      <c r="Q208" s="9"/>
      <c r="R208" s="9"/>
      <c r="S208" s="479"/>
      <c r="T208" s="671"/>
      <c r="U208" s="204"/>
      <c r="V208" s="167"/>
      <c r="W208" s="167"/>
      <c r="X208" s="168"/>
      <c r="Y208" s="480"/>
      <c r="Z208" s="204"/>
      <c r="AA208" s="168"/>
      <c r="AB208" s="167"/>
      <c r="AC208" s="204"/>
      <c r="AD208" s="167"/>
      <c r="AE208" s="480"/>
      <c r="AF208" s="204"/>
      <c r="AG208" s="168"/>
      <c r="AH208" s="480"/>
      <c r="AI208" s="167"/>
      <c r="AJ208" s="168"/>
      <c r="AK208" s="9"/>
      <c r="AL208" s="481"/>
      <c r="AM208" s="482"/>
      <c r="AN208" s="9"/>
    </row>
    <row r="209" spans="1:40" s="372" customFormat="1" ht="24.95" customHeight="1">
      <c r="A209" s="729"/>
      <c r="B209" s="644"/>
      <c r="N209" s="9"/>
      <c r="P209" s="9"/>
      <c r="Q209" s="9"/>
      <c r="R209" s="9"/>
      <c r="S209" s="692">
        <v>5000000</v>
      </c>
      <c r="T209" s="673" t="s">
        <v>435</v>
      </c>
      <c r="U209" s="460">
        <f t="shared" ref="U209:AJ209" si="215">U210</f>
        <v>0</v>
      </c>
      <c r="V209" s="461">
        <f t="shared" si="215"/>
        <v>0</v>
      </c>
      <c r="W209" s="461">
        <f t="shared" si="215"/>
        <v>0</v>
      </c>
      <c r="X209" s="370">
        <f t="shared" si="215"/>
        <v>0</v>
      </c>
      <c r="Y209" s="369">
        <f t="shared" si="215"/>
        <v>0</v>
      </c>
      <c r="Z209" s="484">
        <f t="shared" si="215"/>
        <v>0</v>
      </c>
      <c r="AA209" s="370">
        <f t="shared" si="215"/>
        <v>0</v>
      </c>
      <c r="AB209" s="460">
        <f t="shared" si="215"/>
        <v>0</v>
      </c>
      <c r="AC209" s="484">
        <f t="shared" si="215"/>
        <v>0</v>
      </c>
      <c r="AD209" s="462">
        <f t="shared" si="215"/>
        <v>0</v>
      </c>
      <c r="AE209" s="369">
        <f t="shared" si="215"/>
        <v>0</v>
      </c>
      <c r="AF209" s="484">
        <f t="shared" si="215"/>
        <v>0</v>
      </c>
      <c r="AG209" s="370">
        <f t="shared" si="215"/>
        <v>0</v>
      </c>
      <c r="AH209" s="369">
        <f t="shared" si="215"/>
        <v>0</v>
      </c>
      <c r="AI209" s="461">
        <f t="shared" si="215"/>
        <v>0</v>
      </c>
      <c r="AJ209" s="370">
        <f t="shared" si="215"/>
        <v>0</v>
      </c>
      <c r="AK209" s="9"/>
      <c r="AL209" s="128">
        <f>AL210</f>
        <v>0</v>
      </c>
      <c r="AM209" s="130">
        <f>AM210</f>
        <v>0</v>
      </c>
      <c r="AN209" s="9"/>
    </row>
    <row r="210" spans="1:40" s="372" customFormat="1" ht="24.95" customHeight="1">
      <c r="A210" s="729"/>
      <c r="B210" s="644"/>
      <c r="N210" s="9"/>
      <c r="P210" s="9"/>
      <c r="Q210" s="9"/>
      <c r="R210" s="9"/>
      <c r="S210" s="693">
        <v>5100000</v>
      </c>
      <c r="T210" s="674" t="s">
        <v>319</v>
      </c>
      <c r="U210" s="132">
        <f t="shared" ref="U210:AJ210" si="216">U211+U218</f>
        <v>0</v>
      </c>
      <c r="V210" s="122">
        <f t="shared" si="216"/>
        <v>0</v>
      </c>
      <c r="W210" s="122">
        <f t="shared" si="216"/>
        <v>0</v>
      </c>
      <c r="X210" s="130">
        <f t="shared" si="216"/>
        <v>0</v>
      </c>
      <c r="Y210" s="128">
        <f t="shared" si="216"/>
        <v>0</v>
      </c>
      <c r="Z210" s="202">
        <f t="shared" si="216"/>
        <v>0</v>
      </c>
      <c r="AA210" s="130">
        <f t="shared" si="216"/>
        <v>0</v>
      </c>
      <c r="AB210" s="132">
        <f t="shared" si="216"/>
        <v>0</v>
      </c>
      <c r="AC210" s="202">
        <f t="shared" si="216"/>
        <v>0</v>
      </c>
      <c r="AD210" s="129">
        <f t="shared" si="216"/>
        <v>0</v>
      </c>
      <c r="AE210" s="128">
        <f t="shared" si="216"/>
        <v>0</v>
      </c>
      <c r="AF210" s="202">
        <f t="shared" si="216"/>
        <v>0</v>
      </c>
      <c r="AG210" s="130">
        <f t="shared" si="216"/>
        <v>0</v>
      </c>
      <c r="AH210" s="128">
        <f t="shared" si="216"/>
        <v>0</v>
      </c>
      <c r="AI210" s="122">
        <f t="shared" si="216"/>
        <v>0</v>
      </c>
      <c r="AJ210" s="130">
        <f t="shared" si="216"/>
        <v>0</v>
      </c>
      <c r="AK210" s="9"/>
      <c r="AL210" s="128">
        <f>AL211+AL218</f>
        <v>0</v>
      </c>
      <c r="AM210" s="130">
        <f>AM211+AM218</f>
        <v>0</v>
      </c>
      <c r="AN210" s="9"/>
    </row>
    <row r="211" spans="1:40" s="372" customFormat="1" ht="24.95" customHeight="1">
      <c r="A211" s="729"/>
      <c r="B211" s="644"/>
      <c r="N211" s="9"/>
      <c r="P211" s="9"/>
      <c r="Q211" s="9"/>
      <c r="R211" s="9"/>
      <c r="S211" s="694">
        <v>5100100</v>
      </c>
      <c r="T211" s="675" t="s">
        <v>320</v>
      </c>
      <c r="U211" s="17">
        <f t="shared" ref="U211:AJ211" si="217">SUM(U212:U217)</f>
        <v>0</v>
      </c>
      <c r="V211" s="15">
        <f t="shared" si="217"/>
        <v>0</v>
      </c>
      <c r="W211" s="15">
        <f t="shared" si="217"/>
        <v>0</v>
      </c>
      <c r="X211" s="16">
        <f t="shared" si="217"/>
        <v>0</v>
      </c>
      <c r="Y211" s="19">
        <f t="shared" si="217"/>
        <v>0</v>
      </c>
      <c r="Z211" s="142">
        <f t="shared" si="217"/>
        <v>0</v>
      </c>
      <c r="AA211" s="16">
        <f t="shared" si="217"/>
        <v>0</v>
      </c>
      <c r="AB211" s="17">
        <f t="shared" si="217"/>
        <v>0</v>
      </c>
      <c r="AC211" s="142">
        <f t="shared" si="217"/>
        <v>0</v>
      </c>
      <c r="AD211" s="18">
        <f t="shared" si="217"/>
        <v>0</v>
      </c>
      <c r="AE211" s="19">
        <f t="shared" si="217"/>
        <v>0</v>
      </c>
      <c r="AF211" s="142">
        <f t="shared" si="217"/>
        <v>0</v>
      </c>
      <c r="AG211" s="16">
        <f t="shared" si="217"/>
        <v>0</v>
      </c>
      <c r="AH211" s="19">
        <f t="shared" si="217"/>
        <v>0</v>
      </c>
      <c r="AI211" s="15">
        <f t="shared" si="217"/>
        <v>0</v>
      </c>
      <c r="AJ211" s="16">
        <f t="shared" si="217"/>
        <v>0</v>
      </c>
      <c r="AK211" s="10"/>
      <c r="AL211" s="29">
        <f>SUM(AL212:AL217)</f>
        <v>0</v>
      </c>
      <c r="AM211" s="26">
        <f>SUM(AM212:AM217)</f>
        <v>0</v>
      </c>
      <c r="AN211" s="9"/>
    </row>
    <row r="212" spans="1:40" s="372" customFormat="1" ht="24.95" customHeight="1">
      <c r="A212" s="729"/>
      <c r="B212" s="644"/>
      <c r="N212" s="9"/>
      <c r="P212" s="9"/>
      <c r="Q212" s="9"/>
      <c r="R212" s="9"/>
      <c r="S212" s="695" t="s">
        <v>321</v>
      </c>
      <c r="T212" s="676" t="s">
        <v>405</v>
      </c>
      <c r="U212" s="388">
        <v>0</v>
      </c>
      <c r="V212" s="15">
        <f t="shared" ref="V212:W218" si="218">AL212</f>
        <v>0</v>
      </c>
      <c r="W212" s="15">
        <f t="shared" si="218"/>
        <v>0</v>
      </c>
      <c r="X212" s="771">
        <f t="shared" ref="X212:X218" si="219">SUM(U212:W212)</f>
        <v>0</v>
      </c>
      <c r="Y212" s="19">
        <v>0</v>
      </c>
      <c r="Z212" s="364">
        <v>0</v>
      </c>
      <c r="AA212" s="16">
        <f t="shared" ref="AA212:AA218" si="220">SUM(Y212:Z212)</f>
        <v>0</v>
      </c>
      <c r="AB212" s="17">
        <v>0</v>
      </c>
      <c r="AC212" s="364">
        <v>0</v>
      </c>
      <c r="AD212" s="18">
        <f t="shared" ref="AD212:AD218" si="221">SUM(AB212:AC212)</f>
        <v>0</v>
      </c>
      <c r="AE212" s="19">
        <v>0</v>
      </c>
      <c r="AF212" s="364">
        <v>0</v>
      </c>
      <c r="AG212" s="16">
        <f t="shared" ref="AG212:AG218" si="222">SUM(AE212:AF212)</f>
        <v>0</v>
      </c>
      <c r="AH212" s="19">
        <f t="shared" ref="AH212:AH218" si="223">X212-AA212</f>
        <v>0</v>
      </c>
      <c r="AI212" s="15">
        <f t="shared" ref="AI212:AI218" si="224">X212-AD212</f>
        <v>0</v>
      </c>
      <c r="AJ212" s="16">
        <f t="shared" ref="AJ212:AJ218" si="225">X212-AG212</f>
        <v>0</v>
      </c>
      <c r="AK212" s="9"/>
      <c r="AL212" s="362">
        <v>0</v>
      </c>
      <c r="AM212" s="365">
        <v>0</v>
      </c>
      <c r="AN212" s="9"/>
    </row>
    <row r="213" spans="1:40" s="372" customFormat="1" ht="24.95" customHeight="1">
      <c r="A213" s="729"/>
      <c r="B213" s="644"/>
      <c r="N213" s="9"/>
      <c r="P213" s="9"/>
      <c r="Q213" s="9"/>
      <c r="R213" s="9"/>
      <c r="S213" s="695" t="s">
        <v>322</v>
      </c>
      <c r="T213" s="676" t="s">
        <v>406</v>
      </c>
      <c r="U213" s="388">
        <v>0</v>
      </c>
      <c r="V213" s="15">
        <f t="shared" si="218"/>
        <v>0</v>
      </c>
      <c r="W213" s="15">
        <f t="shared" si="218"/>
        <v>0</v>
      </c>
      <c r="X213" s="16">
        <f t="shared" si="219"/>
        <v>0</v>
      </c>
      <c r="Y213" s="19">
        <v>0</v>
      </c>
      <c r="Z213" s="364">
        <v>0</v>
      </c>
      <c r="AA213" s="16">
        <f t="shared" si="220"/>
        <v>0</v>
      </c>
      <c r="AB213" s="17">
        <v>0</v>
      </c>
      <c r="AC213" s="364">
        <v>0</v>
      </c>
      <c r="AD213" s="18">
        <f t="shared" si="221"/>
        <v>0</v>
      </c>
      <c r="AE213" s="19">
        <v>0</v>
      </c>
      <c r="AF213" s="364">
        <v>0</v>
      </c>
      <c r="AG213" s="16">
        <f t="shared" si="222"/>
        <v>0</v>
      </c>
      <c r="AH213" s="19">
        <f t="shared" si="223"/>
        <v>0</v>
      </c>
      <c r="AI213" s="15">
        <f t="shared" si="224"/>
        <v>0</v>
      </c>
      <c r="AJ213" s="16">
        <f t="shared" si="225"/>
        <v>0</v>
      </c>
      <c r="AK213" s="9"/>
      <c r="AL213" s="362">
        <v>0</v>
      </c>
      <c r="AM213" s="365">
        <v>0</v>
      </c>
      <c r="AN213" s="9"/>
    </row>
    <row r="214" spans="1:40" s="372" customFormat="1" ht="24.95" customHeight="1">
      <c r="A214" s="729"/>
      <c r="B214" s="644"/>
      <c r="N214" s="9"/>
      <c r="P214" s="9"/>
      <c r="Q214" s="9"/>
      <c r="R214" s="9"/>
      <c r="S214" s="695" t="s">
        <v>323</v>
      </c>
      <c r="T214" s="676" t="s">
        <v>407</v>
      </c>
      <c r="U214" s="388">
        <v>0</v>
      </c>
      <c r="V214" s="15">
        <f t="shared" si="218"/>
        <v>0</v>
      </c>
      <c r="W214" s="15">
        <f t="shared" si="218"/>
        <v>0</v>
      </c>
      <c r="X214" s="16">
        <f t="shared" si="219"/>
        <v>0</v>
      </c>
      <c r="Y214" s="19">
        <v>0</v>
      </c>
      <c r="Z214" s="364">
        <v>0</v>
      </c>
      <c r="AA214" s="16">
        <f t="shared" si="220"/>
        <v>0</v>
      </c>
      <c r="AB214" s="17">
        <v>0</v>
      </c>
      <c r="AC214" s="364">
        <v>0</v>
      </c>
      <c r="AD214" s="18">
        <f t="shared" si="221"/>
        <v>0</v>
      </c>
      <c r="AE214" s="19">
        <v>0</v>
      </c>
      <c r="AF214" s="364">
        <v>0</v>
      </c>
      <c r="AG214" s="16">
        <f t="shared" si="222"/>
        <v>0</v>
      </c>
      <c r="AH214" s="19">
        <f t="shared" si="223"/>
        <v>0</v>
      </c>
      <c r="AI214" s="15">
        <f t="shared" si="224"/>
        <v>0</v>
      </c>
      <c r="AJ214" s="16">
        <f t="shared" si="225"/>
        <v>0</v>
      </c>
      <c r="AK214" s="9"/>
      <c r="AL214" s="362">
        <v>0</v>
      </c>
      <c r="AM214" s="365">
        <v>0</v>
      </c>
      <c r="AN214" s="9"/>
    </row>
    <row r="215" spans="1:40" s="372" customFormat="1" ht="24.95" customHeight="1">
      <c r="A215" s="729"/>
      <c r="B215" s="644"/>
      <c r="N215" s="9"/>
      <c r="P215" s="9"/>
      <c r="Q215" s="9"/>
      <c r="R215" s="9"/>
      <c r="S215" s="695" t="s">
        <v>324</v>
      </c>
      <c r="T215" s="676" t="s">
        <v>408</v>
      </c>
      <c r="U215" s="388">
        <v>0</v>
      </c>
      <c r="V215" s="15">
        <f t="shared" si="218"/>
        <v>0</v>
      </c>
      <c r="W215" s="15">
        <f t="shared" si="218"/>
        <v>0</v>
      </c>
      <c r="X215" s="16">
        <f t="shared" si="219"/>
        <v>0</v>
      </c>
      <c r="Y215" s="19">
        <v>0</v>
      </c>
      <c r="Z215" s="364">
        <v>0</v>
      </c>
      <c r="AA215" s="16">
        <f t="shared" si="220"/>
        <v>0</v>
      </c>
      <c r="AB215" s="17">
        <v>0</v>
      </c>
      <c r="AC215" s="364">
        <v>0</v>
      </c>
      <c r="AD215" s="18">
        <f t="shared" si="221"/>
        <v>0</v>
      </c>
      <c r="AE215" s="19">
        <v>0</v>
      </c>
      <c r="AF215" s="364">
        <v>0</v>
      </c>
      <c r="AG215" s="16">
        <f t="shared" si="222"/>
        <v>0</v>
      </c>
      <c r="AH215" s="19">
        <f t="shared" si="223"/>
        <v>0</v>
      </c>
      <c r="AI215" s="15">
        <f t="shared" si="224"/>
        <v>0</v>
      </c>
      <c r="AJ215" s="16">
        <f t="shared" si="225"/>
        <v>0</v>
      </c>
      <c r="AK215" s="9"/>
      <c r="AL215" s="362">
        <v>0</v>
      </c>
      <c r="AM215" s="365">
        <v>0</v>
      </c>
      <c r="AN215" s="9"/>
    </row>
    <row r="216" spans="1:40" s="372" customFormat="1" ht="24.95" customHeight="1">
      <c r="A216" s="729"/>
      <c r="B216" s="644"/>
      <c r="N216" s="9"/>
      <c r="P216" s="9"/>
      <c r="Q216" s="9"/>
      <c r="R216" s="9"/>
      <c r="S216" s="695" t="s">
        <v>325</v>
      </c>
      <c r="T216" s="676" t="s">
        <v>409</v>
      </c>
      <c r="U216" s="388">
        <v>0</v>
      </c>
      <c r="V216" s="15">
        <f t="shared" si="218"/>
        <v>0</v>
      </c>
      <c r="W216" s="15">
        <f t="shared" si="218"/>
        <v>0</v>
      </c>
      <c r="X216" s="16">
        <f t="shared" si="219"/>
        <v>0</v>
      </c>
      <c r="Y216" s="19">
        <v>0</v>
      </c>
      <c r="Z216" s="364">
        <v>0</v>
      </c>
      <c r="AA216" s="16">
        <f t="shared" si="220"/>
        <v>0</v>
      </c>
      <c r="AB216" s="17">
        <v>0</v>
      </c>
      <c r="AC216" s="364">
        <v>0</v>
      </c>
      <c r="AD216" s="18">
        <f t="shared" si="221"/>
        <v>0</v>
      </c>
      <c r="AE216" s="19">
        <v>0</v>
      </c>
      <c r="AF216" s="364">
        <v>0</v>
      </c>
      <c r="AG216" s="16">
        <f t="shared" si="222"/>
        <v>0</v>
      </c>
      <c r="AH216" s="19">
        <f t="shared" si="223"/>
        <v>0</v>
      </c>
      <c r="AI216" s="15">
        <f t="shared" si="224"/>
        <v>0</v>
      </c>
      <c r="AJ216" s="16">
        <f t="shared" si="225"/>
        <v>0</v>
      </c>
      <c r="AK216" s="9"/>
      <c r="AL216" s="362">
        <v>0</v>
      </c>
      <c r="AM216" s="365">
        <v>0</v>
      </c>
      <c r="AN216" s="9"/>
    </row>
    <row r="217" spans="1:40" s="372" customFormat="1" ht="24.95" customHeight="1">
      <c r="A217" s="729"/>
      <c r="B217" s="644"/>
      <c r="N217" s="9"/>
      <c r="P217" s="9"/>
      <c r="Q217" s="9"/>
      <c r="R217" s="9"/>
      <c r="S217" s="695" t="s">
        <v>326</v>
      </c>
      <c r="T217" s="676" t="s">
        <v>411</v>
      </c>
      <c r="U217" s="388">
        <v>0</v>
      </c>
      <c r="V217" s="15">
        <f t="shared" si="218"/>
        <v>0</v>
      </c>
      <c r="W217" s="15">
        <f t="shared" si="218"/>
        <v>0</v>
      </c>
      <c r="X217" s="16">
        <f t="shared" si="219"/>
        <v>0</v>
      </c>
      <c r="Y217" s="19">
        <v>0</v>
      </c>
      <c r="Z217" s="364">
        <v>0</v>
      </c>
      <c r="AA217" s="16">
        <f t="shared" si="220"/>
        <v>0</v>
      </c>
      <c r="AB217" s="17">
        <v>0</v>
      </c>
      <c r="AC217" s="364">
        <v>0</v>
      </c>
      <c r="AD217" s="18">
        <f t="shared" si="221"/>
        <v>0</v>
      </c>
      <c r="AE217" s="19">
        <v>0</v>
      </c>
      <c r="AF217" s="364">
        <v>0</v>
      </c>
      <c r="AG217" s="16">
        <f t="shared" si="222"/>
        <v>0</v>
      </c>
      <c r="AH217" s="19">
        <f t="shared" si="223"/>
        <v>0</v>
      </c>
      <c r="AI217" s="15">
        <f t="shared" si="224"/>
        <v>0</v>
      </c>
      <c r="AJ217" s="16">
        <f t="shared" si="225"/>
        <v>0</v>
      </c>
      <c r="AK217" s="9"/>
      <c r="AL217" s="362">
        <v>0</v>
      </c>
      <c r="AM217" s="365">
        <v>0</v>
      </c>
      <c r="AN217" s="9"/>
    </row>
    <row r="218" spans="1:40" s="372" customFormat="1" ht="24.95" customHeight="1" thickBot="1">
      <c r="A218" s="729"/>
      <c r="B218" s="644"/>
      <c r="N218" s="9"/>
      <c r="P218" s="9"/>
      <c r="Q218" s="9"/>
      <c r="R218" s="9"/>
      <c r="S218" s="696">
        <v>5199999</v>
      </c>
      <c r="T218" s="676" t="s">
        <v>127</v>
      </c>
      <c r="U218" s="478">
        <v>0</v>
      </c>
      <c r="V218" s="121">
        <f t="shared" si="218"/>
        <v>0</v>
      </c>
      <c r="W218" s="121">
        <f t="shared" si="218"/>
        <v>0</v>
      </c>
      <c r="X218" s="125">
        <f t="shared" si="219"/>
        <v>0</v>
      </c>
      <c r="Y218" s="124">
        <v>0</v>
      </c>
      <c r="Z218" s="378">
        <v>0</v>
      </c>
      <c r="AA218" s="125">
        <f t="shared" si="220"/>
        <v>0</v>
      </c>
      <c r="AB218" s="189">
        <v>0</v>
      </c>
      <c r="AC218" s="378">
        <v>0</v>
      </c>
      <c r="AD218" s="126">
        <f t="shared" si="221"/>
        <v>0</v>
      </c>
      <c r="AE218" s="124">
        <v>0</v>
      </c>
      <c r="AF218" s="378">
        <v>0</v>
      </c>
      <c r="AG218" s="125">
        <f t="shared" si="222"/>
        <v>0</v>
      </c>
      <c r="AH218" s="124">
        <f t="shared" si="223"/>
        <v>0</v>
      </c>
      <c r="AI218" s="121">
        <f t="shared" si="224"/>
        <v>0</v>
      </c>
      <c r="AJ218" s="125">
        <f t="shared" si="225"/>
        <v>0</v>
      </c>
      <c r="AK218" s="9"/>
      <c r="AL218" s="362">
        <v>0</v>
      </c>
      <c r="AM218" s="365">
        <v>0</v>
      </c>
      <c r="AN218" s="9"/>
    </row>
    <row r="219" spans="1:40" s="372" customFormat="1" ht="24.95" customHeight="1" thickBot="1">
      <c r="A219" s="729"/>
      <c r="B219" s="644"/>
      <c r="N219" s="9"/>
      <c r="P219" s="9"/>
      <c r="Q219" s="9"/>
      <c r="R219" s="9"/>
      <c r="S219" s="485"/>
      <c r="T219" s="677"/>
      <c r="U219" s="205"/>
      <c r="V219" s="160"/>
      <c r="W219" s="160"/>
      <c r="X219" s="160"/>
      <c r="Y219" s="160"/>
      <c r="Z219" s="205"/>
      <c r="AA219" s="160"/>
      <c r="AB219" s="160"/>
      <c r="AC219" s="205"/>
      <c r="AD219" s="160"/>
      <c r="AE219" s="160"/>
      <c r="AF219" s="205"/>
      <c r="AG219" s="160"/>
      <c r="AH219" s="486"/>
      <c r="AI219" s="160"/>
      <c r="AJ219" s="169"/>
      <c r="AK219" s="10"/>
      <c r="AL219" s="487"/>
      <c r="AM219" s="488"/>
      <c r="AN219" s="9"/>
    </row>
    <row r="220" spans="1:40" s="372" customFormat="1" ht="24.95" customHeight="1">
      <c r="A220" s="729"/>
      <c r="B220" s="644"/>
      <c r="N220" s="9"/>
      <c r="P220" s="9"/>
      <c r="Q220" s="9"/>
      <c r="R220" s="9"/>
      <c r="S220" s="347" t="s">
        <v>327</v>
      </c>
      <c r="T220" s="659" t="s">
        <v>328</v>
      </c>
      <c r="U220" s="348">
        <f t="shared" ref="U220:AJ220" si="226">U222+U227</f>
        <v>262344980</v>
      </c>
      <c r="V220" s="349">
        <f t="shared" si="226"/>
        <v>0</v>
      </c>
      <c r="W220" s="349">
        <f t="shared" si="226"/>
        <v>27000000</v>
      </c>
      <c r="X220" s="352">
        <f t="shared" si="226"/>
        <v>289344980</v>
      </c>
      <c r="Y220" s="351">
        <f t="shared" si="226"/>
        <v>0</v>
      </c>
      <c r="Z220" s="489">
        <f t="shared" si="226"/>
        <v>52129663</v>
      </c>
      <c r="AA220" s="352">
        <f t="shared" si="226"/>
        <v>52129663</v>
      </c>
      <c r="AB220" s="351">
        <f t="shared" si="226"/>
        <v>0</v>
      </c>
      <c r="AC220" s="489">
        <f t="shared" si="226"/>
        <v>52129663</v>
      </c>
      <c r="AD220" s="352">
        <f t="shared" si="226"/>
        <v>52129663</v>
      </c>
      <c r="AE220" s="351">
        <f t="shared" si="226"/>
        <v>0</v>
      </c>
      <c r="AF220" s="489">
        <f t="shared" si="226"/>
        <v>26272654</v>
      </c>
      <c r="AG220" s="352">
        <f t="shared" si="226"/>
        <v>26272654</v>
      </c>
      <c r="AH220" s="351">
        <f t="shared" si="226"/>
        <v>237215317</v>
      </c>
      <c r="AI220" s="349">
        <f t="shared" si="226"/>
        <v>237215317</v>
      </c>
      <c r="AJ220" s="350">
        <f t="shared" si="226"/>
        <v>263072326</v>
      </c>
      <c r="AK220" s="490"/>
      <c r="AL220" s="351">
        <f>AL222+AL227</f>
        <v>0</v>
      </c>
      <c r="AM220" s="350">
        <f>AM222+AM227</f>
        <v>27000000</v>
      </c>
      <c r="AN220" s="9"/>
    </row>
    <row r="221" spans="1:40" s="372" customFormat="1" ht="24.95" customHeight="1">
      <c r="A221" s="729"/>
      <c r="B221" s="644"/>
      <c r="N221" s="9"/>
      <c r="P221" s="9"/>
      <c r="Q221" s="9"/>
      <c r="R221" s="9"/>
      <c r="S221" s="356"/>
      <c r="T221" s="678"/>
      <c r="U221" s="200"/>
      <c r="V221" s="161"/>
      <c r="W221" s="161"/>
      <c r="X221" s="161"/>
      <c r="Y221" s="161"/>
      <c r="Z221" s="200"/>
      <c r="AA221" s="161"/>
      <c r="AB221" s="161"/>
      <c r="AC221" s="200"/>
      <c r="AD221" s="161"/>
      <c r="AE221" s="161"/>
      <c r="AF221" s="200"/>
      <c r="AG221" s="161"/>
      <c r="AH221" s="357"/>
      <c r="AI221" s="161"/>
      <c r="AJ221" s="166"/>
      <c r="AK221" s="9"/>
      <c r="AL221" s="172"/>
      <c r="AM221" s="173"/>
      <c r="AN221" s="9"/>
    </row>
    <row r="222" spans="1:40" s="372" customFormat="1" ht="24.95" customHeight="1">
      <c r="A222" s="729"/>
      <c r="B222" s="644"/>
      <c r="N222" s="9"/>
      <c r="P222" s="9"/>
      <c r="Q222" s="9"/>
      <c r="R222" s="9"/>
      <c r="S222" s="687">
        <v>7001000</v>
      </c>
      <c r="T222" s="663" t="s">
        <v>329</v>
      </c>
      <c r="U222" s="201">
        <f t="shared" ref="U222:AJ222" si="227">SUM(U223:U225)</f>
        <v>262344980</v>
      </c>
      <c r="V222" s="122">
        <f t="shared" si="227"/>
        <v>0</v>
      </c>
      <c r="W222" s="122">
        <f t="shared" si="227"/>
        <v>27000000</v>
      </c>
      <c r="X222" s="129">
        <f t="shared" si="227"/>
        <v>289344980</v>
      </c>
      <c r="Y222" s="128">
        <f t="shared" si="227"/>
        <v>0</v>
      </c>
      <c r="Z222" s="202">
        <f t="shared" si="227"/>
        <v>52129663</v>
      </c>
      <c r="AA222" s="129">
        <f t="shared" si="227"/>
        <v>52129663</v>
      </c>
      <c r="AB222" s="128">
        <f t="shared" si="227"/>
        <v>0</v>
      </c>
      <c r="AC222" s="202">
        <f t="shared" si="227"/>
        <v>52129663</v>
      </c>
      <c r="AD222" s="129">
        <f t="shared" si="227"/>
        <v>52129663</v>
      </c>
      <c r="AE222" s="128">
        <f t="shared" si="227"/>
        <v>0</v>
      </c>
      <c r="AF222" s="202">
        <f t="shared" si="227"/>
        <v>26272654</v>
      </c>
      <c r="AG222" s="129">
        <f t="shared" si="227"/>
        <v>26272654</v>
      </c>
      <c r="AH222" s="128">
        <f t="shared" si="227"/>
        <v>237215317</v>
      </c>
      <c r="AI222" s="122">
        <f t="shared" si="227"/>
        <v>237215317</v>
      </c>
      <c r="AJ222" s="130">
        <f t="shared" si="227"/>
        <v>263072326</v>
      </c>
      <c r="AK222" s="9"/>
      <c r="AL222" s="128">
        <f>SUM(AL223:AL225)</f>
        <v>0</v>
      </c>
      <c r="AM222" s="130">
        <f>SUM(AM223:AM225)</f>
        <v>27000000</v>
      </c>
      <c r="AN222" s="9"/>
    </row>
    <row r="223" spans="1:40" s="372" customFormat="1" ht="24.95" customHeight="1">
      <c r="A223" s="729"/>
      <c r="B223" s="644"/>
      <c r="N223" s="9"/>
      <c r="P223" s="9"/>
      <c r="Q223" s="9"/>
      <c r="R223" s="9"/>
      <c r="S223" s="688">
        <v>7001100</v>
      </c>
      <c r="T223" s="664" t="s">
        <v>330</v>
      </c>
      <c r="U223" s="388">
        <v>250000000</v>
      </c>
      <c r="V223" s="15">
        <f t="shared" ref="V223:W225" si="228">AL223</f>
        <v>0</v>
      </c>
      <c r="W223" s="15">
        <f t="shared" si="228"/>
        <v>0</v>
      </c>
      <c r="X223" s="18">
        <f>SUM(U223:W223)</f>
        <v>250000000</v>
      </c>
      <c r="Y223" s="19">
        <v>0</v>
      </c>
      <c r="Z223" s="364">
        <v>25000000</v>
      </c>
      <c r="AA223" s="18">
        <f>SUM(Y223:Z223)</f>
        <v>25000000</v>
      </c>
      <c r="AB223" s="19">
        <v>0</v>
      </c>
      <c r="AC223" s="364">
        <v>25000000</v>
      </c>
      <c r="AD223" s="18">
        <f>SUM(AB223:AC223)</f>
        <v>25000000</v>
      </c>
      <c r="AE223" s="19">
        <v>0</v>
      </c>
      <c r="AF223" s="364">
        <v>0</v>
      </c>
      <c r="AG223" s="18">
        <f>SUM(AE223:AF223)</f>
        <v>0</v>
      </c>
      <c r="AH223" s="19">
        <f>X223-AA223</f>
        <v>225000000</v>
      </c>
      <c r="AI223" s="15">
        <f>X223-AD223</f>
        <v>225000000</v>
      </c>
      <c r="AJ223" s="16">
        <f>X223-AG223</f>
        <v>250000000</v>
      </c>
      <c r="AK223" s="9"/>
      <c r="AL223" s="362">
        <v>0</v>
      </c>
      <c r="AM223" s="365">
        <v>0</v>
      </c>
      <c r="AN223" s="9"/>
    </row>
    <row r="224" spans="1:40" s="372" customFormat="1" ht="24.95" customHeight="1">
      <c r="A224" s="729"/>
      <c r="B224" s="644"/>
      <c r="N224" s="9"/>
      <c r="P224" s="9"/>
      <c r="Q224" s="9"/>
      <c r="R224" s="9"/>
      <c r="S224" s="688">
        <v>7001200</v>
      </c>
      <c r="T224" s="664" t="s">
        <v>331</v>
      </c>
      <c r="U224" s="388">
        <v>12344980</v>
      </c>
      <c r="V224" s="15">
        <f t="shared" si="228"/>
        <v>0</v>
      </c>
      <c r="W224" s="15">
        <f t="shared" si="228"/>
        <v>0</v>
      </c>
      <c r="X224" s="18">
        <f>SUM(U224:W224)</f>
        <v>12344980</v>
      </c>
      <c r="Y224" s="19">
        <v>0</v>
      </c>
      <c r="Z224" s="364">
        <v>857009</v>
      </c>
      <c r="AA224" s="18">
        <f>SUM(Y224:Z224)</f>
        <v>857009</v>
      </c>
      <c r="AB224" s="19">
        <v>0</v>
      </c>
      <c r="AC224" s="364">
        <v>857009</v>
      </c>
      <c r="AD224" s="18">
        <f>SUM(AB224:AC224)</f>
        <v>857009</v>
      </c>
      <c r="AE224" s="19">
        <v>0</v>
      </c>
      <c r="AF224" s="364">
        <v>0</v>
      </c>
      <c r="AG224" s="18">
        <f>SUM(AE224:AF224)</f>
        <v>0</v>
      </c>
      <c r="AH224" s="19">
        <f>X224-AA224</f>
        <v>11487971</v>
      </c>
      <c r="AI224" s="15">
        <f>X224-AD224</f>
        <v>11487971</v>
      </c>
      <c r="AJ224" s="16">
        <f>X224-AG224</f>
        <v>12344980</v>
      </c>
      <c r="AK224" s="9"/>
      <c r="AL224" s="362">
        <v>0</v>
      </c>
      <c r="AM224" s="365">
        <v>0</v>
      </c>
      <c r="AN224" s="9"/>
    </row>
    <row r="225" spans="1:70" s="372" customFormat="1" ht="24.95" customHeight="1">
      <c r="A225" s="729"/>
      <c r="B225" s="644"/>
      <c r="N225" s="9"/>
      <c r="P225" s="9"/>
      <c r="Q225" s="9"/>
      <c r="R225" s="9"/>
      <c r="S225" s="688">
        <v>7001999</v>
      </c>
      <c r="T225" s="664" t="s">
        <v>127</v>
      </c>
      <c r="U225" s="388">
        <v>0</v>
      </c>
      <c r="V225" s="15">
        <f t="shared" si="228"/>
        <v>0</v>
      </c>
      <c r="W225" s="15">
        <f t="shared" si="228"/>
        <v>27000000</v>
      </c>
      <c r="X225" s="18">
        <f>SUM(U225:W225)</f>
        <v>27000000</v>
      </c>
      <c r="Y225" s="19">
        <v>0</v>
      </c>
      <c r="Z225" s="364">
        <v>26272654</v>
      </c>
      <c r="AA225" s="18">
        <f>SUM(Y225:Z225)</f>
        <v>26272654</v>
      </c>
      <c r="AB225" s="19">
        <v>0</v>
      </c>
      <c r="AC225" s="364">
        <v>26272654</v>
      </c>
      <c r="AD225" s="18">
        <f>SUM(AB225:AC225)</f>
        <v>26272654</v>
      </c>
      <c r="AE225" s="19">
        <v>0</v>
      </c>
      <c r="AF225" s="364">
        <v>26272654</v>
      </c>
      <c r="AG225" s="18">
        <f>SUM(AE225:AF225)</f>
        <v>26272654</v>
      </c>
      <c r="AH225" s="19">
        <f>X225-AA225</f>
        <v>727346</v>
      </c>
      <c r="AI225" s="15">
        <f>X225-AD225</f>
        <v>727346</v>
      </c>
      <c r="AJ225" s="16">
        <f>X225-AG225</f>
        <v>727346</v>
      </c>
      <c r="AK225" s="9"/>
      <c r="AL225" s="362">
        <v>0</v>
      </c>
      <c r="AM225" s="365">
        <v>27000000</v>
      </c>
      <c r="AN225" s="9"/>
    </row>
    <row r="226" spans="1:70" s="372" customFormat="1" ht="24.95" customHeight="1">
      <c r="A226" s="729"/>
      <c r="B226" s="644"/>
      <c r="N226" s="9"/>
      <c r="P226" s="9"/>
      <c r="Q226" s="9"/>
      <c r="R226" s="9"/>
      <c r="S226" s="356"/>
      <c r="T226" s="678"/>
      <c r="U226" s="200"/>
      <c r="V226" s="161"/>
      <c r="W226" s="161"/>
      <c r="X226" s="161"/>
      <c r="Y226" s="161"/>
      <c r="Z226" s="200"/>
      <c r="AA226" s="161"/>
      <c r="AB226" s="161"/>
      <c r="AC226" s="200"/>
      <c r="AD226" s="161"/>
      <c r="AE226" s="161"/>
      <c r="AF226" s="200"/>
      <c r="AG226" s="161"/>
      <c r="AH226" s="357"/>
      <c r="AI226" s="161"/>
      <c r="AJ226" s="166"/>
      <c r="AK226" s="10"/>
      <c r="AL226" s="172"/>
      <c r="AM226" s="173"/>
      <c r="AN226" s="9"/>
    </row>
    <row r="227" spans="1:70" s="372" customFormat="1" ht="24.95" customHeight="1">
      <c r="A227" s="729"/>
      <c r="B227" s="644"/>
      <c r="N227" s="9"/>
      <c r="P227" s="9"/>
      <c r="Q227" s="9"/>
      <c r="R227" s="9"/>
      <c r="S227" s="687">
        <v>7002001</v>
      </c>
      <c r="T227" s="663" t="s">
        <v>332</v>
      </c>
      <c r="U227" s="201">
        <f t="shared" ref="U227:AJ227" si="229">SUM(U228:U230)</f>
        <v>0</v>
      </c>
      <c r="V227" s="122">
        <f t="shared" si="229"/>
        <v>0</v>
      </c>
      <c r="W227" s="122">
        <f t="shared" si="229"/>
        <v>0</v>
      </c>
      <c r="X227" s="129">
        <f t="shared" si="229"/>
        <v>0</v>
      </c>
      <c r="Y227" s="128">
        <f t="shared" si="229"/>
        <v>0</v>
      </c>
      <c r="Z227" s="202">
        <f t="shared" si="229"/>
        <v>0</v>
      </c>
      <c r="AA227" s="129">
        <f t="shared" si="229"/>
        <v>0</v>
      </c>
      <c r="AB227" s="128">
        <f t="shared" si="229"/>
        <v>0</v>
      </c>
      <c r="AC227" s="202">
        <f t="shared" si="229"/>
        <v>0</v>
      </c>
      <c r="AD227" s="129">
        <f t="shared" si="229"/>
        <v>0</v>
      </c>
      <c r="AE227" s="128">
        <f t="shared" si="229"/>
        <v>0</v>
      </c>
      <c r="AF227" s="202">
        <f t="shared" si="229"/>
        <v>0</v>
      </c>
      <c r="AG227" s="129">
        <f t="shared" si="229"/>
        <v>0</v>
      </c>
      <c r="AH227" s="128">
        <f t="shared" si="229"/>
        <v>0</v>
      </c>
      <c r="AI227" s="122">
        <f t="shared" si="229"/>
        <v>0</v>
      </c>
      <c r="AJ227" s="130">
        <f t="shared" si="229"/>
        <v>0</v>
      </c>
      <c r="AK227" s="10"/>
      <c r="AL227" s="128">
        <f>SUM(AL228:AL230)</f>
        <v>0</v>
      </c>
      <c r="AM227" s="130">
        <f>SUM(AM228:AM230)</f>
        <v>0</v>
      </c>
      <c r="AN227" s="9"/>
    </row>
    <row r="228" spans="1:70" s="372" customFormat="1" ht="24.95" customHeight="1">
      <c r="A228" s="729"/>
      <c r="B228" s="644"/>
      <c r="N228" s="9"/>
      <c r="P228" s="9"/>
      <c r="Q228" s="9"/>
      <c r="R228" s="9"/>
      <c r="S228" s="688">
        <v>7002100</v>
      </c>
      <c r="T228" s="664" t="s">
        <v>333</v>
      </c>
      <c r="U228" s="388">
        <v>0</v>
      </c>
      <c r="V228" s="15">
        <f t="shared" ref="V228:W230" si="230">AL228</f>
        <v>0</v>
      </c>
      <c r="W228" s="15">
        <f t="shared" si="230"/>
        <v>0</v>
      </c>
      <c r="X228" s="18">
        <f>SUM(U228:W228)</f>
        <v>0</v>
      </c>
      <c r="Y228" s="19">
        <v>0</v>
      </c>
      <c r="Z228" s="364">
        <v>0</v>
      </c>
      <c r="AA228" s="18">
        <f>SUM(Y228:Z228)</f>
        <v>0</v>
      </c>
      <c r="AB228" s="19">
        <v>0</v>
      </c>
      <c r="AC228" s="364">
        <v>0</v>
      </c>
      <c r="AD228" s="18">
        <f>SUM(AB228:AC228)</f>
        <v>0</v>
      </c>
      <c r="AE228" s="19">
        <v>0</v>
      </c>
      <c r="AF228" s="364">
        <v>0</v>
      </c>
      <c r="AG228" s="18">
        <f>SUM(AE228:AF228)</f>
        <v>0</v>
      </c>
      <c r="AH228" s="19">
        <f>X228-AA228</f>
        <v>0</v>
      </c>
      <c r="AI228" s="15">
        <f>X228-AD228</f>
        <v>0</v>
      </c>
      <c r="AJ228" s="16">
        <f>X228-AG228</f>
        <v>0</v>
      </c>
      <c r="AK228" s="9"/>
      <c r="AL228" s="362">
        <v>0</v>
      </c>
      <c r="AM228" s="365">
        <v>0</v>
      </c>
      <c r="AN228" s="9"/>
    </row>
    <row r="229" spans="1:70" s="372" customFormat="1" ht="24.95" customHeight="1">
      <c r="A229" s="729"/>
      <c r="B229" s="644"/>
      <c r="N229" s="9"/>
      <c r="P229" s="9"/>
      <c r="Q229" s="9"/>
      <c r="R229" s="9"/>
      <c r="S229" s="688">
        <v>7002200</v>
      </c>
      <c r="T229" s="664" t="s">
        <v>331</v>
      </c>
      <c r="U229" s="388">
        <v>0</v>
      </c>
      <c r="V229" s="15">
        <f t="shared" si="230"/>
        <v>0</v>
      </c>
      <c r="W229" s="15">
        <f t="shared" si="230"/>
        <v>0</v>
      </c>
      <c r="X229" s="18">
        <f>SUM(U229:W229)</f>
        <v>0</v>
      </c>
      <c r="Y229" s="19">
        <v>0</v>
      </c>
      <c r="Z229" s="364">
        <v>0</v>
      </c>
      <c r="AA229" s="18">
        <f>SUM(Y229:Z229)</f>
        <v>0</v>
      </c>
      <c r="AB229" s="19">
        <v>0</v>
      </c>
      <c r="AC229" s="364">
        <v>0</v>
      </c>
      <c r="AD229" s="18">
        <f>SUM(AB229:AC229)</f>
        <v>0</v>
      </c>
      <c r="AE229" s="19">
        <v>0</v>
      </c>
      <c r="AF229" s="364">
        <v>0</v>
      </c>
      <c r="AG229" s="18">
        <f>SUM(AE229:AF229)</f>
        <v>0</v>
      </c>
      <c r="AH229" s="19">
        <f>X229-AA229</f>
        <v>0</v>
      </c>
      <c r="AI229" s="15">
        <f>X229-AD229</f>
        <v>0</v>
      </c>
      <c r="AJ229" s="16">
        <f>X229-AG229</f>
        <v>0</v>
      </c>
      <c r="AK229" s="9"/>
      <c r="AL229" s="362">
        <v>0</v>
      </c>
      <c r="AM229" s="365">
        <v>0</v>
      </c>
      <c r="AN229" s="9"/>
    </row>
    <row r="230" spans="1:70" s="372" customFormat="1" ht="24.95" customHeight="1" thickBot="1">
      <c r="A230" s="729"/>
      <c r="B230" s="644"/>
      <c r="N230" s="9"/>
      <c r="P230" s="9"/>
      <c r="Q230" s="9"/>
      <c r="R230" s="9"/>
      <c r="S230" s="691">
        <v>7002999</v>
      </c>
      <c r="T230" s="670" t="s">
        <v>127</v>
      </c>
      <c r="U230" s="478">
        <v>0</v>
      </c>
      <c r="V230" s="121">
        <f t="shared" si="230"/>
        <v>0</v>
      </c>
      <c r="W230" s="121">
        <f t="shared" si="230"/>
        <v>0</v>
      </c>
      <c r="X230" s="126">
        <f>SUM(U230:W230)</f>
        <v>0</v>
      </c>
      <c r="Y230" s="124">
        <v>0</v>
      </c>
      <c r="Z230" s="378">
        <v>0</v>
      </c>
      <c r="AA230" s="126">
        <f>SUM(Y230:Z230)</f>
        <v>0</v>
      </c>
      <c r="AB230" s="124">
        <v>0</v>
      </c>
      <c r="AC230" s="378">
        <v>0</v>
      </c>
      <c r="AD230" s="126">
        <f>SUM(AB230:AC230)</f>
        <v>0</v>
      </c>
      <c r="AE230" s="124">
        <v>0</v>
      </c>
      <c r="AF230" s="378">
        <v>0</v>
      </c>
      <c r="AG230" s="126">
        <f>SUM(AE230:AF230)</f>
        <v>0</v>
      </c>
      <c r="AH230" s="124">
        <f>X230-AA230</f>
        <v>0</v>
      </c>
      <c r="AI230" s="121">
        <f>X230-AD230</f>
        <v>0</v>
      </c>
      <c r="AJ230" s="125">
        <f>X230-AG230</f>
        <v>0</v>
      </c>
      <c r="AK230" s="9"/>
      <c r="AL230" s="491">
        <v>0</v>
      </c>
      <c r="AM230" s="492">
        <v>0</v>
      </c>
      <c r="AN230" s="9"/>
    </row>
    <row r="231" spans="1:70" s="372" customFormat="1" ht="24.95" customHeight="1">
      <c r="A231" s="729"/>
      <c r="B231" s="644"/>
      <c r="N231" s="9"/>
      <c r="P231" s="9"/>
      <c r="Q231" s="9"/>
      <c r="R231" s="9"/>
      <c r="S231" s="479"/>
      <c r="T231" s="671"/>
      <c r="U231" s="204"/>
      <c r="V231" s="167"/>
      <c r="W231" s="167"/>
      <c r="X231" s="167"/>
      <c r="Y231" s="167"/>
      <c r="Z231" s="204"/>
      <c r="AA231" s="167"/>
      <c r="AB231" s="167"/>
      <c r="AC231" s="204"/>
      <c r="AD231" s="167"/>
      <c r="AE231" s="167"/>
      <c r="AF231" s="204"/>
      <c r="AG231" s="167"/>
      <c r="AH231" s="480"/>
      <c r="AI231" s="167"/>
      <c r="AJ231" s="168"/>
      <c r="AK231" s="9"/>
      <c r="AL231" s="493"/>
      <c r="AM231" s="494"/>
      <c r="AN231" s="9"/>
    </row>
    <row r="232" spans="1:70" s="372" customFormat="1" ht="24.95" customHeight="1">
      <c r="A232" s="729"/>
      <c r="B232" s="644"/>
      <c r="N232" s="9"/>
      <c r="P232" s="9"/>
      <c r="Q232" s="9"/>
      <c r="R232" s="9"/>
      <c r="S232" s="495" t="s">
        <v>334</v>
      </c>
      <c r="T232" s="679" t="s">
        <v>70</v>
      </c>
      <c r="U232" s="460">
        <f>U234+U243</f>
        <v>5765730053</v>
      </c>
      <c r="V232" s="461">
        <f t="shared" ref="V232:AJ232" si="231">V234+V243</f>
        <v>0</v>
      </c>
      <c r="W232" s="461">
        <f t="shared" si="231"/>
        <v>8445422335</v>
      </c>
      <c r="X232" s="462">
        <f t="shared" si="231"/>
        <v>14211152388</v>
      </c>
      <c r="Y232" s="369">
        <f t="shared" si="231"/>
        <v>0</v>
      </c>
      <c r="Z232" s="484">
        <f t="shared" si="231"/>
        <v>5647738707</v>
      </c>
      <c r="AA232" s="462">
        <f t="shared" si="231"/>
        <v>5647738707</v>
      </c>
      <c r="AB232" s="369">
        <f t="shared" si="231"/>
        <v>0</v>
      </c>
      <c r="AC232" s="484">
        <f t="shared" si="231"/>
        <v>559720914</v>
      </c>
      <c r="AD232" s="462">
        <f t="shared" si="231"/>
        <v>559720914</v>
      </c>
      <c r="AE232" s="369">
        <f t="shared" si="231"/>
        <v>0</v>
      </c>
      <c r="AF232" s="484">
        <f t="shared" si="231"/>
        <v>310797252</v>
      </c>
      <c r="AG232" s="462">
        <f t="shared" si="231"/>
        <v>310797252</v>
      </c>
      <c r="AH232" s="369">
        <f t="shared" si="231"/>
        <v>8563413681</v>
      </c>
      <c r="AI232" s="461">
        <f t="shared" si="231"/>
        <v>13651431474</v>
      </c>
      <c r="AJ232" s="370">
        <f t="shared" si="231"/>
        <v>13900355136</v>
      </c>
      <c r="AK232" s="490"/>
      <c r="AL232" s="369">
        <f>AL234+AL243</f>
        <v>0</v>
      </c>
      <c r="AM232" s="370">
        <f>AM234+AM243</f>
        <v>8445422335</v>
      </c>
      <c r="AN232" s="9"/>
    </row>
    <row r="233" spans="1:70" s="372" customFormat="1" ht="24.95" customHeight="1">
      <c r="A233" s="729"/>
      <c r="B233" s="644"/>
      <c r="N233" s="9"/>
      <c r="P233" s="9"/>
      <c r="Q233" s="9"/>
      <c r="R233" s="9"/>
      <c r="S233" s="356"/>
      <c r="T233" s="678"/>
      <c r="U233" s="200"/>
      <c r="V233" s="161"/>
      <c r="W233" s="161"/>
      <c r="X233" s="161"/>
      <c r="Y233" s="161"/>
      <c r="Z233" s="200"/>
      <c r="AA233" s="161"/>
      <c r="AB233" s="161"/>
      <c r="AC233" s="200"/>
      <c r="AD233" s="161"/>
      <c r="AE233" s="161"/>
      <c r="AF233" s="200"/>
      <c r="AG233" s="161"/>
      <c r="AH233" s="357"/>
      <c r="AI233" s="161"/>
      <c r="AJ233" s="166"/>
      <c r="AK233" s="9"/>
      <c r="AL233" s="172"/>
      <c r="AM233" s="173"/>
      <c r="AN233" s="9"/>
    </row>
    <row r="234" spans="1:70" s="372" customFormat="1" ht="24.95" customHeight="1">
      <c r="A234" s="729"/>
      <c r="B234" s="644"/>
      <c r="N234" s="9"/>
      <c r="P234" s="9"/>
      <c r="Q234" s="9"/>
      <c r="R234" s="9"/>
      <c r="S234" s="687">
        <v>8000000</v>
      </c>
      <c r="T234" s="663" t="s">
        <v>335</v>
      </c>
      <c r="U234" s="132">
        <f>U235</f>
        <v>5265730053</v>
      </c>
      <c r="V234" s="122">
        <f t="shared" ref="V234:AJ234" si="232">V235</f>
        <v>0</v>
      </c>
      <c r="W234" s="122">
        <f t="shared" si="232"/>
        <v>5752626782</v>
      </c>
      <c r="X234" s="129">
        <f t="shared" si="232"/>
        <v>11018356835</v>
      </c>
      <c r="Y234" s="128">
        <f t="shared" si="232"/>
        <v>0</v>
      </c>
      <c r="Z234" s="202">
        <f t="shared" si="232"/>
        <v>4875659115</v>
      </c>
      <c r="AA234" s="129">
        <f t="shared" si="232"/>
        <v>4875659115</v>
      </c>
      <c r="AB234" s="128">
        <f t="shared" si="232"/>
        <v>0</v>
      </c>
      <c r="AC234" s="202">
        <f t="shared" si="232"/>
        <v>220561322</v>
      </c>
      <c r="AD234" s="129">
        <f t="shared" si="232"/>
        <v>220561322</v>
      </c>
      <c r="AE234" s="128">
        <f t="shared" si="232"/>
        <v>0</v>
      </c>
      <c r="AF234" s="202">
        <f t="shared" si="232"/>
        <v>142187310</v>
      </c>
      <c r="AG234" s="129">
        <f t="shared" si="232"/>
        <v>142187310</v>
      </c>
      <c r="AH234" s="128">
        <f t="shared" si="232"/>
        <v>6142697720</v>
      </c>
      <c r="AI234" s="122">
        <f t="shared" si="232"/>
        <v>10797795513</v>
      </c>
      <c r="AJ234" s="130">
        <f t="shared" si="232"/>
        <v>10876169525</v>
      </c>
      <c r="AK234" s="9"/>
      <c r="AL234" s="128">
        <f>AL235</f>
        <v>0</v>
      </c>
      <c r="AM234" s="130">
        <f>AM235</f>
        <v>5752626782</v>
      </c>
      <c r="AN234" s="9"/>
    </row>
    <row r="235" spans="1:70" s="372" customFormat="1" ht="24.95" customHeight="1">
      <c r="A235" s="729"/>
      <c r="B235" s="644"/>
      <c r="N235" s="9"/>
      <c r="P235" s="9"/>
      <c r="Q235" s="9"/>
      <c r="R235" s="9"/>
      <c r="S235" s="688">
        <v>8001000</v>
      </c>
      <c r="T235" s="664" t="s">
        <v>336</v>
      </c>
      <c r="U235" s="207">
        <f t="shared" ref="U235:AJ235" si="233">SUM(U236:U241)</f>
        <v>5265730053</v>
      </c>
      <c r="V235" s="15">
        <f t="shared" si="233"/>
        <v>0</v>
      </c>
      <c r="W235" s="15">
        <f t="shared" si="233"/>
        <v>5752626782</v>
      </c>
      <c r="X235" s="18">
        <f t="shared" si="233"/>
        <v>11018356835</v>
      </c>
      <c r="Y235" s="19">
        <f t="shared" si="233"/>
        <v>0</v>
      </c>
      <c r="Z235" s="203">
        <f t="shared" si="233"/>
        <v>4875659115</v>
      </c>
      <c r="AA235" s="18">
        <f t="shared" si="233"/>
        <v>4875659115</v>
      </c>
      <c r="AB235" s="19">
        <f t="shared" si="233"/>
        <v>0</v>
      </c>
      <c r="AC235" s="203">
        <f t="shared" si="233"/>
        <v>220561322</v>
      </c>
      <c r="AD235" s="18">
        <f t="shared" si="233"/>
        <v>220561322</v>
      </c>
      <c r="AE235" s="19">
        <f t="shared" si="233"/>
        <v>0</v>
      </c>
      <c r="AF235" s="203">
        <f t="shared" si="233"/>
        <v>142187310</v>
      </c>
      <c r="AG235" s="18">
        <f t="shared" si="233"/>
        <v>142187310</v>
      </c>
      <c r="AH235" s="19">
        <f t="shared" si="233"/>
        <v>6142697720</v>
      </c>
      <c r="AI235" s="15">
        <f t="shared" si="233"/>
        <v>10797795513</v>
      </c>
      <c r="AJ235" s="16">
        <f t="shared" si="233"/>
        <v>10876169525</v>
      </c>
      <c r="AK235" s="9"/>
      <c r="AL235" s="29">
        <f>SUM(AL236:AL241)</f>
        <v>0</v>
      </c>
      <c r="AM235" s="26">
        <f>SUM(AM236:AM241)</f>
        <v>5752626782</v>
      </c>
      <c r="AN235" s="9"/>
    </row>
    <row r="236" spans="1:70" s="372" customFormat="1" ht="24.95" customHeight="1">
      <c r="A236" s="729"/>
      <c r="B236" s="644"/>
      <c r="N236" s="9"/>
      <c r="P236" s="9"/>
      <c r="Q236" s="9"/>
      <c r="R236" s="9"/>
      <c r="S236" s="689" t="s">
        <v>337</v>
      </c>
      <c r="T236" s="666" t="s">
        <v>338</v>
      </c>
      <c r="U236" s="388">
        <v>4765730053</v>
      </c>
      <c r="V236" s="15">
        <f t="shared" ref="V236:W241" si="234">AL236</f>
        <v>0</v>
      </c>
      <c r="W236" s="15">
        <f t="shared" si="234"/>
        <v>0</v>
      </c>
      <c r="X236" s="18">
        <f t="shared" ref="X236:X241" si="235">SUM(U236:W236)</f>
        <v>4765730053</v>
      </c>
      <c r="Y236" s="19">
        <v>0</v>
      </c>
      <c r="Z236" s="364">
        <v>4727619032</v>
      </c>
      <c r="AA236" s="18">
        <f t="shared" ref="AA236:AA241" si="236">SUM(Y236:Z236)</f>
        <v>4727619032</v>
      </c>
      <c r="AB236" s="19">
        <v>0</v>
      </c>
      <c r="AC236" s="364">
        <v>72521239</v>
      </c>
      <c r="AD236" s="18">
        <f t="shared" ref="AD236:AD241" si="237">SUM(AB236:AC236)</f>
        <v>72521239</v>
      </c>
      <c r="AE236" s="19">
        <v>0</v>
      </c>
      <c r="AF236" s="364">
        <v>18507227</v>
      </c>
      <c r="AG236" s="18">
        <f t="shared" ref="AG236:AG241" si="238">SUM(AE236:AF236)</f>
        <v>18507227</v>
      </c>
      <c r="AH236" s="19">
        <f t="shared" ref="AH236:AH241" si="239">X236-AA236</f>
        <v>38111021</v>
      </c>
      <c r="AI236" s="15">
        <f t="shared" ref="AI236:AI241" si="240">X236-AD236</f>
        <v>4693208814</v>
      </c>
      <c r="AJ236" s="16">
        <f t="shared" ref="AJ236:AJ241" si="241">X236-AG236</f>
        <v>4747222826</v>
      </c>
      <c r="AK236" s="9"/>
      <c r="AL236" s="362">
        <v>0</v>
      </c>
      <c r="AM236" s="365">
        <v>0</v>
      </c>
      <c r="AN236" s="9"/>
    </row>
    <row r="237" spans="1:70" s="372" customFormat="1" ht="24.95" customHeight="1">
      <c r="A237" s="729"/>
      <c r="B237" s="644"/>
      <c r="N237" s="9"/>
      <c r="P237" s="9"/>
      <c r="Q237" s="9"/>
      <c r="R237" s="9"/>
      <c r="S237" s="689" t="s">
        <v>339</v>
      </c>
      <c r="T237" s="666" t="s">
        <v>340</v>
      </c>
      <c r="U237" s="388">
        <v>500000000</v>
      </c>
      <c r="V237" s="15">
        <f t="shared" si="234"/>
        <v>0</v>
      </c>
      <c r="W237" s="15">
        <f t="shared" si="234"/>
        <v>719283217</v>
      </c>
      <c r="X237" s="18">
        <f t="shared" si="235"/>
        <v>1219283217</v>
      </c>
      <c r="Y237" s="19">
        <v>0</v>
      </c>
      <c r="Z237" s="364">
        <v>0</v>
      </c>
      <c r="AA237" s="18">
        <f t="shared" si="236"/>
        <v>0</v>
      </c>
      <c r="AB237" s="19">
        <v>0</v>
      </c>
      <c r="AC237" s="364">
        <v>0</v>
      </c>
      <c r="AD237" s="18">
        <f t="shared" si="237"/>
        <v>0</v>
      </c>
      <c r="AE237" s="19">
        <v>0</v>
      </c>
      <c r="AF237" s="364">
        <v>0</v>
      </c>
      <c r="AG237" s="18">
        <f t="shared" si="238"/>
        <v>0</v>
      </c>
      <c r="AH237" s="19">
        <f t="shared" si="239"/>
        <v>1219283217</v>
      </c>
      <c r="AI237" s="15">
        <f t="shared" si="240"/>
        <v>1219283217</v>
      </c>
      <c r="AJ237" s="16">
        <f t="shared" si="241"/>
        <v>1219283217</v>
      </c>
      <c r="AK237" s="9"/>
      <c r="AL237" s="362">
        <v>0</v>
      </c>
      <c r="AM237" s="365">
        <v>719283217</v>
      </c>
      <c r="AN237" s="9"/>
    </row>
    <row r="238" spans="1:70" s="372" customFormat="1" ht="24.95" customHeight="1">
      <c r="A238" s="729"/>
      <c r="B238" s="644"/>
      <c r="N238" s="9"/>
      <c r="P238" s="9"/>
      <c r="Q238" s="9"/>
      <c r="R238" s="9"/>
      <c r="S238" s="689" t="s">
        <v>341</v>
      </c>
      <c r="T238" s="666" t="s">
        <v>342</v>
      </c>
      <c r="U238" s="388">
        <v>0</v>
      </c>
      <c r="V238" s="15">
        <f t="shared" si="234"/>
        <v>0</v>
      </c>
      <c r="W238" s="15">
        <f t="shared" si="234"/>
        <v>0</v>
      </c>
      <c r="X238" s="18">
        <f t="shared" si="235"/>
        <v>0</v>
      </c>
      <c r="Y238" s="19">
        <v>0</v>
      </c>
      <c r="Z238" s="364">
        <v>0</v>
      </c>
      <c r="AA238" s="18">
        <f t="shared" si="236"/>
        <v>0</v>
      </c>
      <c r="AB238" s="19">
        <v>0</v>
      </c>
      <c r="AC238" s="364">
        <v>0</v>
      </c>
      <c r="AD238" s="18">
        <f t="shared" si="237"/>
        <v>0</v>
      </c>
      <c r="AE238" s="19">
        <v>0</v>
      </c>
      <c r="AF238" s="364">
        <v>0</v>
      </c>
      <c r="AG238" s="18">
        <f t="shared" si="238"/>
        <v>0</v>
      </c>
      <c r="AH238" s="19">
        <f t="shared" si="239"/>
        <v>0</v>
      </c>
      <c r="AI238" s="15">
        <f t="shared" si="240"/>
        <v>0</v>
      </c>
      <c r="AJ238" s="16">
        <f t="shared" si="241"/>
        <v>0</v>
      </c>
      <c r="AK238" s="9"/>
      <c r="AL238" s="362">
        <v>0</v>
      </c>
      <c r="AM238" s="365">
        <v>0</v>
      </c>
      <c r="AN238" s="9"/>
    </row>
    <row r="239" spans="1:70" s="372" customFormat="1" ht="24.95" customHeight="1">
      <c r="A239" s="729"/>
      <c r="B239" s="644"/>
      <c r="N239" s="9"/>
      <c r="P239" s="9"/>
      <c r="Q239" s="9"/>
      <c r="S239" s="689" t="s">
        <v>343</v>
      </c>
      <c r="T239" s="666" t="s">
        <v>344</v>
      </c>
      <c r="U239" s="388">
        <v>0</v>
      </c>
      <c r="V239" s="15">
        <f t="shared" si="234"/>
        <v>0</v>
      </c>
      <c r="W239" s="15">
        <f t="shared" si="234"/>
        <v>0</v>
      </c>
      <c r="X239" s="18">
        <f t="shared" si="235"/>
        <v>0</v>
      </c>
      <c r="Y239" s="19">
        <v>0</v>
      </c>
      <c r="Z239" s="364">
        <v>0</v>
      </c>
      <c r="AA239" s="18">
        <f t="shared" si="236"/>
        <v>0</v>
      </c>
      <c r="AB239" s="19">
        <v>0</v>
      </c>
      <c r="AC239" s="364">
        <v>0</v>
      </c>
      <c r="AD239" s="18">
        <f t="shared" si="237"/>
        <v>0</v>
      </c>
      <c r="AE239" s="19">
        <v>0</v>
      </c>
      <c r="AF239" s="364">
        <v>0</v>
      </c>
      <c r="AG239" s="18">
        <f t="shared" si="238"/>
        <v>0</v>
      </c>
      <c r="AH239" s="19">
        <f t="shared" si="239"/>
        <v>0</v>
      </c>
      <c r="AI239" s="15">
        <f t="shared" si="240"/>
        <v>0</v>
      </c>
      <c r="AJ239" s="16">
        <f t="shared" si="241"/>
        <v>0</v>
      </c>
      <c r="AK239" s="9"/>
      <c r="AL239" s="362">
        <v>0</v>
      </c>
      <c r="AM239" s="365">
        <v>0</v>
      </c>
      <c r="AN239" s="9"/>
    </row>
    <row r="240" spans="1:70" ht="24.95" customHeight="1">
      <c r="A240" s="729"/>
      <c r="B240" s="644"/>
      <c r="C240" s="372"/>
      <c r="D240" s="372"/>
      <c r="E240" s="372"/>
      <c r="F240" s="372"/>
      <c r="G240" s="372"/>
      <c r="H240" s="372"/>
      <c r="I240" s="372"/>
      <c r="J240" s="372"/>
      <c r="K240" s="372"/>
      <c r="L240" s="372"/>
      <c r="M240" s="372"/>
      <c r="N240" s="9"/>
      <c r="O240" s="372"/>
      <c r="P240" s="9"/>
      <c r="Q240" s="9"/>
      <c r="S240" s="689" t="s">
        <v>613</v>
      </c>
      <c r="T240" s="666" t="s">
        <v>345</v>
      </c>
      <c r="U240" s="388">
        <v>0</v>
      </c>
      <c r="V240" s="15">
        <f t="shared" si="234"/>
        <v>0</v>
      </c>
      <c r="W240" s="15">
        <f t="shared" si="234"/>
        <v>0</v>
      </c>
      <c r="X240" s="18">
        <f t="shared" si="235"/>
        <v>0</v>
      </c>
      <c r="Y240" s="19">
        <v>0</v>
      </c>
      <c r="Z240" s="364">
        <v>0</v>
      </c>
      <c r="AA240" s="18">
        <f t="shared" si="236"/>
        <v>0</v>
      </c>
      <c r="AB240" s="19">
        <v>0</v>
      </c>
      <c r="AC240" s="364">
        <v>0</v>
      </c>
      <c r="AD240" s="18">
        <f t="shared" si="237"/>
        <v>0</v>
      </c>
      <c r="AE240" s="19">
        <v>0</v>
      </c>
      <c r="AF240" s="364">
        <v>0</v>
      </c>
      <c r="AG240" s="18">
        <f t="shared" si="238"/>
        <v>0</v>
      </c>
      <c r="AH240" s="19">
        <f t="shared" si="239"/>
        <v>0</v>
      </c>
      <c r="AI240" s="15">
        <f t="shared" si="240"/>
        <v>0</v>
      </c>
      <c r="AJ240" s="16">
        <f t="shared" si="241"/>
        <v>0</v>
      </c>
      <c r="AK240" s="9"/>
      <c r="AL240" s="362">
        <v>0</v>
      </c>
      <c r="AM240" s="365">
        <v>0</v>
      </c>
      <c r="BB240" s="372"/>
      <c r="BC240" s="372"/>
      <c r="BD240" s="372"/>
      <c r="BE240" s="372"/>
      <c r="BM240" s="372"/>
      <c r="BN240" s="372"/>
      <c r="BO240" s="372"/>
      <c r="BP240" s="372"/>
      <c r="BQ240" s="372"/>
      <c r="BR240" s="372"/>
    </row>
    <row r="241" spans="1:70" ht="24.95" customHeight="1">
      <c r="A241" s="729"/>
      <c r="B241" s="644"/>
      <c r="C241" s="372"/>
      <c r="D241" s="372"/>
      <c r="E241" s="372"/>
      <c r="F241" s="372"/>
      <c r="G241" s="372"/>
      <c r="H241" s="372"/>
      <c r="I241" s="372"/>
      <c r="J241" s="372"/>
      <c r="K241" s="372"/>
      <c r="L241" s="372"/>
      <c r="M241" s="372"/>
      <c r="N241" s="9"/>
      <c r="O241" s="372"/>
      <c r="P241" s="9"/>
      <c r="Q241" s="9"/>
      <c r="S241" s="697">
        <v>8001999</v>
      </c>
      <c r="T241" s="665" t="s">
        <v>127</v>
      </c>
      <c r="U241" s="388">
        <v>0</v>
      </c>
      <c r="V241" s="15">
        <f t="shared" si="234"/>
        <v>0</v>
      </c>
      <c r="W241" s="15">
        <f t="shared" si="234"/>
        <v>5033343565</v>
      </c>
      <c r="X241" s="18">
        <f t="shared" si="235"/>
        <v>5033343565</v>
      </c>
      <c r="Y241" s="19">
        <v>0</v>
      </c>
      <c r="Z241" s="364">
        <v>148040083</v>
      </c>
      <c r="AA241" s="18">
        <f t="shared" si="236"/>
        <v>148040083</v>
      </c>
      <c r="AB241" s="19">
        <v>0</v>
      </c>
      <c r="AC241" s="364">
        <v>148040083</v>
      </c>
      <c r="AD241" s="18">
        <f t="shared" si="237"/>
        <v>148040083</v>
      </c>
      <c r="AE241" s="19">
        <v>0</v>
      </c>
      <c r="AF241" s="364">
        <v>123680083</v>
      </c>
      <c r="AG241" s="18">
        <f t="shared" si="238"/>
        <v>123680083</v>
      </c>
      <c r="AH241" s="19">
        <f t="shared" si="239"/>
        <v>4885303482</v>
      </c>
      <c r="AI241" s="15">
        <f t="shared" si="240"/>
        <v>4885303482</v>
      </c>
      <c r="AJ241" s="16">
        <f t="shared" si="241"/>
        <v>4909663482</v>
      </c>
      <c r="AK241" s="9"/>
      <c r="AL241" s="362">
        <v>0</v>
      </c>
      <c r="AM241" s="365">
        <f>4927343565+106000000</f>
        <v>5033343565</v>
      </c>
      <c r="BM241" s="372"/>
      <c r="BN241" s="372"/>
      <c r="BO241" s="372"/>
      <c r="BP241" s="372"/>
      <c r="BQ241" s="372"/>
      <c r="BR241" s="372"/>
    </row>
    <row r="242" spans="1:70" ht="24.95" customHeight="1">
      <c r="A242" s="729"/>
      <c r="B242" s="644"/>
      <c r="C242" s="372"/>
      <c r="D242" s="372"/>
      <c r="E242" s="372"/>
      <c r="F242" s="372"/>
      <c r="G242" s="372"/>
      <c r="H242" s="372"/>
      <c r="I242" s="372"/>
      <c r="J242" s="372"/>
      <c r="K242" s="372"/>
      <c r="L242" s="372"/>
      <c r="M242" s="372"/>
      <c r="N242" s="9"/>
      <c r="O242" s="372"/>
      <c r="P242" s="9"/>
      <c r="Q242" s="9"/>
      <c r="S242" s="356"/>
      <c r="T242" s="678"/>
      <c r="U242" s="200"/>
      <c r="V242" s="161"/>
      <c r="W242" s="161"/>
      <c r="X242" s="161"/>
      <c r="Y242" s="161"/>
      <c r="Z242" s="200"/>
      <c r="AA242" s="161"/>
      <c r="AB242" s="161"/>
      <c r="AC242" s="200"/>
      <c r="AD242" s="161"/>
      <c r="AE242" s="161"/>
      <c r="AF242" s="200"/>
      <c r="AG242" s="161"/>
      <c r="AH242" s="357"/>
      <c r="AI242" s="161"/>
      <c r="AJ242" s="166"/>
      <c r="AK242" s="9"/>
      <c r="AL242" s="172"/>
      <c r="AM242" s="173"/>
    </row>
    <row r="243" spans="1:70" ht="24.95" customHeight="1">
      <c r="A243" s="729"/>
      <c r="B243" s="644"/>
      <c r="C243" s="372"/>
      <c r="D243" s="372"/>
      <c r="E243" s="372"/>
      <c r="F243" s="372"/>
      <c r="G243" s="372"/>
      <c r="H243" s="372"/>
      <c r="I243" s="372"/>
      <c r="J243" s="372"/>
      <c r="K243" s="372"/>
      <c r="L243" s="372"/>
      <c r="M243" s="372"/>
      <c r="N243" s="9"/>
      <c r="O243" s="372"/>
      <c r="P243" s="9"/>
      <c r="Q243" s="9"/>
      <c r="S243" s="792">
        <v>8002001</v>
      </c>
      <c r="T243" s="793" t="s">
        <v>346</v>
      </c>
      <c r="U243" s="794">
        <f t="shared" ref="U243:AJ243" si="242">SUM(U244:U256)</f>
        <v>500000000</v>
      </c>
      <c r="V243" s="794">
        <f t="shared" si="242"/>
        <v>0</v>
      </c>
      <c r="W243" s="794">
        <f t="shared" si="242"/>
        <v>2692795553</v>
      </c>
      <c r="X243" s="794">
        <f t="shared" si="242"/>
        <v>3192795553</v>
      </c>
      <c r="Y243" s="794">
        <f t="shared" si="242"/>
        <v>0</v>
      </c>
      <c r="Z243" s="794">
        <f t="shared" si="242"/>
        <v>772079592</v>
      </c>
      <c r="AA243" s="794">
        <f t="shared" si="242"/>
        <v>772079592</v>
      </c>
      <c r="AB243" s="794">
        <f t="shared" si="242"/>
        <v>0</v>
      </c>
      <c r="AC243" s="794">
        <f t="shared" si="242"/>
        <v>339159592</v>
      </c>
      <c r="AD243" s="794">
        <f t="shared" si="242"/>
        <v>339159592</v>
      </c>
      <c r="AE243" s="794">
        <f t="shared" si="242"/>
        <v>0</v>
      </c>
      <c r="AF243" s="794">
        <f t="shared" si="242"/>
        <v>168609942</v>
      </c>
      <c r="AG243" s="794">
        <f t="shared" si="242"/>
        <v>168609942</v>
      </c>
      <c r="AH243" s="794">
        <f t="shared" si="242"/>
        <v>2420715961</v>
      </c>
      <c r="AI243" s="794">
        <f t="shared" si="242"/>
        <v>2853635961</v>
      </c>
      <c r="AJ243" s="794">
        <f t="shared" si="242"/>
        <v>3024185611</v>
      </c>
      <c r="AK243" s="9"/>
      <c r="AL243" s="794">
        <f>SUM(AL244:AL256)</f>
        <v>0</v>
      </c>
      <c r="AM243" s="794">
        <f>SUM(AM244:AM256)</f>
        <v>2692795553</v>
      </c>
    </row>
    <row r="244" spans="1:70" ht="24.95" customHeight="1">
      <c r="A244" s="729"/>
      <c r="B244" s="644"/>
      <c r="C244" s="372"/>
      <c r="D244" s="372"/>
      <c r="E244" s="372"/>
      <c r="F244" s="372"/>
      <c r="G244" s="372"/>
      <c r="H244" s="372"/>
      <c r="I244" s="372"/>
      <c r="J244" s="372"/>
      <c r="K244" s="372"/>
      <c r="L244" s="372"/>
      <c r="M244" s="372"/>
      <c r="N244" s="9"/>
      <c r="O244" s="372"/>
      <c r="P244" s="9"/>
      <c r="Q244" s="9"/>
      <c r="S244" s="689" t="s">
        <v>347</v>
      </c>
      <c r="T244" s="666" t="s">
        <v>348</v>
      </c>
      <c r="U244" s="388">
        <v>0</v>
      </c>
      <c r="V244" s="15">
        <f t="shared" ref="V244:W256" si="243">AL244</f>
        <v>0</v>
      </c>
      <c r="W244" s="15">
        <f t="shared" si="243"/>
        <v>0</v>
      </c>
      <c r="X244" s="18">
        <f t="shared" ref="X244:X256" si="244">SUM(U244:W244)</f>
        <v>0</v>
      </c>
      <c r="Y244" s="19">
        <v>0</v>
      </c>
      <c r="Z244" s="364">
        <v>0</v>
      </c>
      <c r="AA244" s="18">
        <f t="shared" ref="AA244:AA256" si="245">SUM(Y244:Z244)</f>
        <v>0</v>
      </c>
      <c r="AB244" s="19">
        <v>0</v>
      </c>
      <c r="AC244" s="364">
        <v>0</v>
      </c>
      <c r="AD244" s="18">
        <f t="shared" ref="AD244:AD256" si="246">SUM(AB244:AC244)</f>
        <v>0</v>
      </c>
      <c r="AE244" s="19">
        <v>0</v>
      </c>
      <c r="AF244" s="364">
        <v>0</v>
      </c>
      <c r="AG244" s="18">
        <f t="shared" ref="AG244:AG256" si="247">SUM(AE244:AF244)</f>
        <v>0</v>
      </c>
      <c r="AH244" s="19">
        <f t="shared" ref="AH244:AH256" si="248">X244-AA244</f>
        <v>0</v>
      </c>
      <c r="AI244" s="15">
        <f t="shared" ref="AI244:AI256" si="249">X244-AD244</f>
        <v>0</v>
      </c>
      <c r="AJ244" s="16">
        <f t="shared" ref="AJ244:AJ256" si="250">X244-AG244</f>
        <v>0</v>
      </c>
      <c r="AK244" s="9"/>
      <c r="AL244" s="362">
        <v>0</v>
      </c>
      <c r="AM244" s="365">
        <v>0</v>
      </c>
    </row>
    <row r="245" spans="1:70" ht="24.95" customHeight="1">
      <c r="A245" s="729"/>
      <c r="B245" s="644"/>
      <c r="C245" s="372"/>
      <c r="D245" s="372"/>
      <c r="E245" s="372"/>
      <c r="F245" s="372"/>
      <c r="G245" s="372"/>
      <c r="H245" s="372"/>
      <c r="I245" s="372"/>
      <c r="J245" s="372"/>
      <c r="K245" s="372"/>
      <c r="L245" s="372"/>
      <c r="M245" s="372"/>
      <c r="N245" s="9"/>
      <c r="O245" s="372"/>
      <c r="P245" s="9"/>
      <c r="Q245" s="9"/>
      <c r="S245" s="689" t="s">
        <v>349</v>
      </c>
      <c r="T245" s="666" t="s">
        <v>453</v>
      </c>
      <c r="U245" s="388">
        <v>0</v>
      </c>
      <c r="V245" s="15">
        <f t="shared" si="243"/>
        <v>0</v>
      </c>
      <c r="W245" s="15">
        <f t="shared" si="243"/>
        <v>152517826</v>
      </c>
      <c r="X245" s="18">
        <f t="shared" si="244"/>
        <v>152517826</v>
      </c>
      <c r="Y245" s="19">
        <v>0</v>
      </c>
      <c r="Z245" s="364">
        <v>0</v>
      </c>
      <c r="AA245" s="18">
        <f t="shared" si="245"/>
        <v>0</v>
      </c>
      <c r="AB245" s="19">
        <v>0</v>
      </c>
      <c r="AC245" s="364">
        <v>0</v>
      </c>
      <c r="AD245" s="18">
        <f t="shared" si="246"/>
        <v>0</v>
      </c>
      <c r="AE245" s="19">
        <v>0</v>
      </c>
      <c r="AF245" s="364">
        <v>0</v>
      </c>
      <c r="AG245" s="18">
        <f t="shared" si="247"/>
        <v>0</v>
      </c>
      <c r="AH245" s="19">
        <f t="shared" si="248"/>
        <v>152517826</v>
      </c>
      <c r="AI245" s="15">
        <f t="shared" si="249"/>
        <v>152517826</v>
      </c>
      <c r="AJ245" s="16">
        <f t="shared" si="250"/>
        <v>152517826</v>
      </c>
      <c r="AK245" s="9"/>
      <c r="AL245" s="362">
        <v>0</v>
      </c>
      <c r="AM245" s="365">
        <v>152517826</v>
      </c>
    </row>
    <row r="246" spans="1:70" ht="24.95" customHeight="1">
      <c r="A246" s="729"/>
      <c r="B246" s="644"/>
      <c r="C246" s="372"/>
      <c r="D246" s="372"/>
      <c r="E246" s="372"/>
      <c r="F246" s="372"/>
      <c r="G246" s="372"/>
      <c r="H246" s="372"/>
      <c r="I246" s="372"/>
      <c r="J246" s="372"/>
      <c r="K246" s="372"/>
      <c r="L246" s="372"/>
      <c r="M246" s="372"/>
      <c r="N246" s="9"/>
      <c r="O246" s="372"/>
      <c r="P246" s="9"/>
      <c r="Q246" s="9"/>
      <c r="S246" s="689" t="s">
        <v>350</v>
      </c>
      <c r="T246" s="666" t="s">
        <v>454</v>
      </c>
      <c r="U246" s="388">
        <v>0</v>
      </c>
      <c r="V246" s="15">
        <f t="shared" si="243"/>
        <v>0</v>
      </c>
      <c r="W246" s="15">
        <f t="shared" si="243"/>
        <v>0</v>
      </c>
      <c r="X246" s="18">
        <f t="shared" si="244"/>
        <v>0</v>
      </c>
      <c r="Y246" s="19">
        <v>0</v>
      </c>
      <c r="Z246" s="364">
        <v>0</v>
      </c>
      <c r="AA246" s="18">
        <f t="shared" si="245"/>
        <v>0</v>
      </c>
      <c r="AB246" s="19">
        <v>0</v>
      </c>
      <c r="AC246" s="364">
        <v>0</v>
      </c>
      <c r="AD246" s="18">
        <f t="shared" si="246"/>
        <v>0</v>
      </c>
      <c r="AE246" s="19">
        <v>0</v>
      </c>
      <c r="AF246" s="364">
        <v>0</v>
      </c>
      <c r="AG246" s="18">
        <f t="shared" si="247"/>
        <v>0</v>
      </c>
      <c r="AH246" s="19">
        <f t="shared" si="248"/>
        <v>0</v>
      </c>
      <c r="AI246" s="15">
        <f t="shared" si="249"/>
        <v>0</v>
      </c>
      <c r="AJ246" s="16">
        <f t="shared" si="250"/>
        <v>0</v>
      </c>
      <c r="AK246" s="9"/>
      <c r="AL246" s="362">
        <v>0</v>
      </c>
      <c r="AM246" s="365">
        <v>0</v>
      </c>
    </row>
    <row r="247" spans="1:70" ht="24.95" customHeight="1">
      <c r="A247" s="729"/>
      <c r="B247" s="644"/>
      <c r="C247" s="372"/>
      <c r="D247" s="372"/>
      <c r="E247" s="372"/>
      <c r="F247" s="372"/>
      <c r="G247" s="372"/>
      <c r="H247" s="372"/>
      <c r="I247" s="372"/>
      <c r="J247" s="372"/>
      <c r="K247" s="372"/>
      <c r="L247" s="372"/>
      <c r="M247" s="372"/>
      <c r="N247" s="9"/>
      <c r="O247" s="372"/>
      <c r="P247" s="9"/>
      <c r="Q247" s="9"/>
      <c r="S247" s="689" t="s">
        <v>351</v>
      </c>
      <c r="T247" s="666" t="s">
        <v>455</v>
      </c>
      <c r="U247" s="388">
        <v>0</v>
      </c>
      <c r="V247" s="15">
        <f t="shared" si="243"/>
        <v>0</v>
      </c>
      <c r="W247" s="15">
        <f t="shared" si="243"/>
        <v>193911300</v>
      </c>
      <c r="X247" s="18">
        <f t="shared" si="244"/>
        <v>193911300</v>
      </c>
      <c r="Y247" s="19">
        <v>0</v>
      </c>
      <c r="Z247" s="364">
        <v>124425000</v>
      </c>
      <c r="AA247" s="18">
        <f t="shared" si="245"/>
        <v>124425000</v>
      </c>
      <c r="AB247" s="19">
        <v>0</v>
      </c>
      <c r="AC247" s="364">
        <v>0</v>
      </c>
      <c r="AD247" s="18">
        <f t="shared" si="246"/>
        <v>0</v>
      </c>
      <c r="AE247" s="19">
        <v>0</v>
      </c>
      <c r="AF247" s="364">
        <v>0</v>
      </c>
      <c r="AG247" s="18">
        <f t="shared" si="247"/>
        <v>0</v>
      </c>
      <c r="AH247" s="19">
        <f t="shared" si="248"/>
        <v>69486300</v>
      </c>
      <c r="AI247" s="15">
        <f t="shared" si="249"/>
        <v>193911300</v>
      </c>
      <c r="AJ247" s="16">
        <f t="shared" si="250"/>
        <v>193911300</v>
      </c>
      <c r="AK247" s="9"/>
      <c r="AL247" s="362">
        <v>0</v>
      </c>
      <c r="AM247" s="365">
        <v>193911300</v>
      </c>
    </row>
    <row r="248" spans="1:70" ht="24.95" customHeight="1">
      <c r="A248" s="729"/>
      <c r="B248" s="644"/>
      <c r="C248" s="372"/>
      <c r="D248" s="372"/>
      <c r="E248" s="372"/>
      <c r="F248" s="372"/>
      <c r="G248" s="372"/>
      <c r="H248" s="372"/>
      <c r="I248" s="372"/>
      <c r="J248" s="372"/>
      <c r="K248" s="372"/>
      <c r="L248" s="372"/>
      <c r="M248" s="372"/>
      <c r="N248" s="9"/>
      <c r="O248" s="372"/>
      <c r="P248" s="9"/>
      <c r="Q248" s="9"/>
      <c r="S248" s="689" t="s">
        <v>352</v>
      </c>
      <c r="T248" s="666" t="s">
        <v>456</v>
      </c>
      <c r="U248" s="388">
        <v>500000000</v>
      </c>
      <c r="V248" s="15">
        <f t="shared" si="243"/>
        <v>0</v>
      </c>
      <c r="W248" s="15">
        <f t="shared" si="243"/>
        <v>1899550000</v>
      </c>
      <c r="X248" s="18">
        <f t="shared" si="244"/>
        <v>2399550000</v>
      </c>
      <c r="Y248" s="19">
        <v>0</v>
      </c>
      <c r="Z248" s="364">
        <v>602605430</v>
      </c>
      <c r="AA248" s="18">
        <f t="shared" si="245"/>
        <v>602605430</v>
      </c>
      <c r="AB248" s="19">
        <v>0</v>
      </c>
      <c r="AC248" s="364">
        <v>294110430</v>
      </c>
      <c r="AD248" s="18">
        <f t="shared" si="246"/>
        <v>294110430</v>
      </c>
      <c r="AE248" s="19">
        <v>0</v>
      </c>
      <c r="AF248" s="364">
        <v>123560780</v>
      </c>
      <c r="AG248" s="18">
        <f t="shared" si="247"/>
        <v>123560780</v>
      </c>
      <c r="AH248" s="19">
        <f t="shared" si="248"/>
        <v>1796944570</v>
      </c>
      <c r="AI248" s="15">
        <f t="shared" si="249"/>
        <v>2105439570</v>
      </c>
      <c r="AJ248" s="16">
        <f t="shared" si="250"/>
        <v>2275989220</v>
      </c>
      <c r="AK248" s="9"/>
      <c r="AL248" s="362">
        <v>0</v>
      </c>
      <c r="AM248" s="365">
        <v>1899550000</v>
      </c>
    </row>
    <row r="249" spans="1:70" ht="24.95" customHeight="1">
      <c r="A249" s="729"/>
      <c r="B249" s="644"/>
      <c r="C249" s="372"/>
      <c r="D249" s="372"/>
      <c r="E249" s="372"/>
      <c r="F249" s="372"/>
      <c r="G249" s="372"/>
      <c r="H249" s="372"/>
      <c r="I249" s="372"/>
      <c r="J249" s="372"/>
      <c r="K249" s="372"/>
      <c r="L249" s="372"/>
      <c r="M249" s="372"/>
      <c r="N249" s="9"/>
      <c r="O249" s="372"/>
      <c r="P249" s="9"/>
      <c r="Q249" s="9"/>
      <c r="S249" s="689" t="s">
        <v>353</v>
      </c>
      <c r="T249" s="666" t="s">
        <v>457</v>
      </c>
      <c r="U249" s="388">
        <v>0</v>
      </c>
      <c r="V249" s="15">
        <f t="shared" si="243"/>
        <v>0</v>
      </c>
      <c r="W249" s="15">
        <f t="shared" si="243"/>
        <v>0</v>
      </c>
      <c r="X249" s="18">
        <f t="shared" si="244"/>
        <v>0</v>
      </c>
      <c r="Y249" s="19">
        <v>0</v>
      </c>
      <c r="Z249" s="364">
        <v>0</v>
      </c>
      <c r="AA249" s="18">
        <f t="shared" si="245"/>
        <v>0</v>
      </c>
      <c r="AB249" s="19">
        <v>0</v>
      </c>
      <c r="AC249" s="364">
        <v>0</v>
      </c>
      <c r="AD249" s="18">
        <f t="shared" si="246"/>
        <v>0</v>
      </c>
      <c r="AE249" s="19">
        <v>0</v>
      </c>
      <c r="AF249" s="364">
        <v>0</v>
      </c>
      <c r="AG249" s="18">
        <f t="shared" si="247"/>
        <v>0</v>
      </c>
      <c r="AH249" s="19">
        <f t="shared" si="248"/>
        <v>0</v>
      </c>
      <c r="AI249" s="15">
        <f t="shared" si="249"/>
        <v>0</v>
      </c>
      <c r="AJ249" s="16">
        <f t="shared" si="250"/>
        <v>0</v>
      </c>
      <c r="AK249" s="9"/>
      <c r="AL249" s="362">
        <v>0</v>
      </c>
      <c r="AM249" s="365">
        <v>0</v>
      </c>
    </row>
    <row r="250" spans="1:70" ht="24.95" customHeight="1">
      <c r="A250" s="729"/>
      <c r="B250" s="644"/>
      <c r="C250" s="372"/>
      <c r="D250" s="372"/>
      <c r="E250" s="372"/>
      <c r="F250" s="372"/>
      <c r="G250" s="372"/>
      <c r="H250" s="372"/>
      <c r="I250" s="372"/>
      <c r="J250" s="372"/>
      <c r="K250" s="372"/>
      <c r="L250" s="372"/>
      <c r="M250" s="372"/>
      <c r="N250" s="9"/>
      <c r="O250" s="372"/>
      <c r="P250" s="9"/>
      <c r="Q250" s="9"/>
      <c r="S250" s="689" t="s">
        <v>354</v>
      </c>
      <c r="T250" s="666" t="s">
        <v>458</v>
      </c>
      <c r="U250" s="388">
        <v>0</v>
      </c>
      <c r="V250" s="15">
        <f t="shared" ref="V250:W254" si="251">AL250</f>
        <v>0</v>
      </c>
      <c r="W250" s="15">
        <f t="shared" si="251"/>
        <v>0</v>
      </c>
      <c r="X250" s="18">
        <f>SUM(U250:W250)</f>
        <v>0</v>
      </c>
      <c r="Y250" s="19">
        <v>0</v>
      </c>
      <c r="Z250" s="364">
        <v>0</v>
      </c>
      <c r="AA250" s="18">
        <f>SUM(Y250:Z250)</f>
        <v>0</v>
      </c>
      <c r="AB250" s="19">
        <v>0</v>
      </c>
      <c r="AC250" s="364">
        <v>0</v>
      </c>
      <c r="AD250" s="18">
        <f>SUM(AB250:AC250)</f>
        <v>0</v>
      </c>
      <c r="AE250" s="19">
        <v>0</v>
      </c>
      <c r="AF250" s="364">
        <v>0</v>
      </c>
      <c r="AG250" s="18">
        <f>SUM(AE250:AF250)</f>
        <v>0</v>
      </c>
      <c r="AH250" s="19">
        <f>X250-AA250</f>
        <v>0</v>
      </c>
      <c r="AI250" s="15">
        <f>X250-AD250</f>
        <v>0</v>
      </c>
      <c r="AJ250" s="16">
        <f>X250-AG250</f>
        <v>0</v>
      </c>
      <c r="AK250" s="9"/>
      <c r="AL250" s="362">
        <v>0</v>
      </c>
      <c r="AM250" s="365">
        <v>0</v>
      </c>
    </row>
    <row r="251" spans="1:70" ht="24.95" customHeight="1">
      <c r="A251" s="729"/>
      <c r="B251" s="644"/>
      <c r="C251" s="372"/>
      <c r="D251" s="372"/>
      <c r="E251" s="372"/>
      <c r="F251" s="372"/>
      <c r="G251" s="372"/>
      <c r="H251" s="372"/>
      <c r="I251" s="372"/>
      <c r="J251" s="372"/>
      <c r="K251" s="372"/>
      <c r="L251" s="372"/>
      <c r="M251" s="372"/>
      <c r="N251" s="9"/>
      <c r="O251" s="372"/>
      <c r="P251" s="9"/>
      <c r="Q251" s="9"/>
      <c r="S251" s="689" t="s">
        <v>437</v>
      </c>
      <c r="T251" s="666" t="s">
        <v>459</v>
      </c>
      <c r="U251" s="388">
        <v>0</v>
      </c>
      <c r="V251" s="15">
        <f t="shared" si="251"/>
        <v>0</v>
      </c>
      <c r="W251" s="15">
        <f t="shared" si="251"/>
        <v>0</v>
      </c>
      <c r="X251" s="18">
        <f>SUM(U251:W251)</f>
        <v>0</v>
      </c>
      <c r="Y251" s="19">
        <v>0</v>
      </c>
      <c r="Z251" s="364">
        <v>0</v>
      </c>
      <c r="AA251" s="18">
        <f>SUM(Y251:Z251)</f>
        <v>0</v>
      </c>
      <c r="AB251" s="19">
        <v>0</v>
      </c>
      <c r="AC251" s="364">
        <v>0</v>
      </c>
      <c r="AD251" s="18">
        <f>SUM(AB251:AC251)</f>
        <v>0</v>
      </c>
      <c r="AE251" s="19">
        <v>0</v>
      </c>
      <c r="AF251" s="364">
        <v>0</v>
      </c>
      <c r="AG251" s="18">
        <f>SUM(AE251:AF251)</f>
        <v>0</v>
      </c>
      <c r="AH251" s="19">
        <f>X251-AA251</f>
        <v>0</v>
      </c>
      <c r="AI251" s="15">
        <f>X251-AD251</f>
        <v>0</v>
      </c>
      <c r="AJ251" s="16">
        <f>X251-AG251</f>
        <v>0</v>
      </c>
      <c r="AK251" s="9"/>
      <c r="AL251" s="362">
        <v>0</v>
      </c>
      <c r="AM251" s="365">
        <v>0</v>
      </c>
    </row>
    <row r="252" spans="1:70" ht="24.95" customHeight="1">
      <c r="A252" s="729"/>
      <c r="B252" s="644"/>
      <c r="C252" s="372"/>
      <c r="D252" s="372"/>
      <c r="E252" s="372"/>
      <c r="F252" s="372"/>
      <c r="G252" s="372"/>
      <c r="H252" s="372"/>
      <c r="I252" s="372"/>
      <c r="J252" s="372"/>
      <c r="K252" s="372"/>
      <c r="L252" s="372"/>
      <c r="M252" s="372"/>
      <c r="N252" s="9"/>
      <c r="O252" s="372"/>
      <c r="P252" s="9"/>
      <c r="Q252" s="9"/>
      <c r="S252" s="689" t="s">
        <v>438</v>
      </c>
      <c r="T252" s="666" t="s">
        <v>460</v>
      </c>
      <c r="U252" s="388">
        <v>0</v>
      </c>
      <c r="V252" s="15">
        <f t="shared" si="251"/>
        <v>0</v>
      </c>
      <c r="W252" s="15">
        <f t="shared" si="251"/>
        <v>0</v>
      </c>
      <c r="X252" s="18">
        <f>SUM(U252:W252)</f>
        <v>0</v>
      </c>
      <c r="Y252" s="19">
        <v>0</v>
      </c>
      <c r="Z252" s="364">
        <v>0</v>
      </c>
      <c r="AA252" s="18">
        <f>SUM(Y252:Z252)</f>
        <v>0</v>
      </c>
      <c r="AB252" s="19">
        <v>0</v>
      </c>
      <c r="AC252" s="364">
        <v>0</v>
      </c>
      <c r="AD252" s="18">
        <f>SUM(AB252:AC252)</f>
        <v>0</v>
      </c>
      <c r="AE252" s="19">
        <v>0</v>
      </c>
      <c r="AF252" s="364">
        <v>0</v>
      </c>
      <c r="AG252" s="18">
        <f>SUM(AE252:AF252)</f>
        <v>0</v>
      </c>
      <c r="AH252" s="19">
        <f>X252-AA252</f>
        <v>0</v>
      </c>
      <c r="AI252" s="15">
        <f>X252-AD252</f>
        <v>0</v>
      </c>
      <c r="AJ252" s="16">
        <f>X252-AG252</f>
        <v>0</v>
      </c>
      <c r="AK252" s="9"/>
      <c r="AL252" s="362">
        <v>0</v>
      </c>
      <c r="AM252" s="365">
        <v>0</v>
      </c>
    </row>
    <row r="253" spans="1:70" ht="24.95" customHeight="1">
      <c r="A253" s="729"/>
      <c r="B253" s="644"/>
      <c r="C253" s="372"/>
      <c r="D253" s="372"/>
      <c r="E253" s="372"/>
      <c r="F253" s="372"/>
      <c r="G253" s="372"/>
      <c r="H253" s="372"/>
      <c r="I253" s="372"/>
      <c r="J253" s="372"/>
      <c r="K253" s="372"/>
      <c r="L253" s="372"/>
      <c r="M253" s="372"/>
      <c r="N253" s="9"/>
      <c r="O253" s="372"/>
      <c r="P253" s="9"/>
      <c r="Q253" s="9"/>
      <c r="S253" s="689" t="s">
        <v>439</v>
      </c>
      <c r="T253" s="666" t="s">
        <v>461</v>
      </c>
      <c r="U253" s="388">
        <v>0</v>
      </c>
      <c r="V253" s="15">
        <f t="shared" si="251"/>
        <v>0</v>
      </c>
      <c r="W253" s="15">
        <f t="shared" si="251"/>
        <v>0</v>
      </c>
      <c r="X253" s="18">
        <f>SUM(U253:W253)</f>
        <v>0</v>
      </c>
      <c r="Y253" s="19">
        <v>0</v>
      </c>
      <c r="Z253" s="364">
        <v>0</v>
      </c>
      <c r="AA253" s="18">
        <f>SUM(Y253:Z253)</f>
        <v>0</v>
      </c>
      <c r="AB253" s="19">
        <v>0</v>
      </c>
      <c r="AC253" s="364">
        <v>0</v>
      </c>
      <c r="AD253" s="18">
        <f>SUM(AB253:AC253)</f>
        <v>0</v>
      </c>
      <c r="AE253" s="19">
        <v>0</v>
      </c>
      <c r="AF253" s="364">
        <v>0</v>
      </c>
      <c r="AG253" s="18">
        <f>SUM(AE253:AF253)</f>
        <v>0</v>
      </c>
      <c r="AH253" s="19">
        <f>X253-AA253</f>
        <v>0</v>
      </c>
      <c r="AI253" s="15">
        <f>X253-AD253</f>
        <v>0</v>
      </c>
      <c r="AJ253" s="16">
        <f>X253-AG253</f>
        <v>0</v>
      </c>
      <c r="AK253" s="9"/>
      <c r="AL253" s="362">
        <v>0</v>
      </c>
      <c r="AM253" s="365">
        <v>0</v>
      </c>
    </row>
    <row r="254" spans="1:70" ht="24.95" customHeight="1">
      <c r="A254" s="729"/>
      <c r="B254" s="644"/>
      <c r="C254" s="372"/>
      <c r="D254" s="372"/>
      <c r="E254" s="372"/>
      <c r="F254" s="372"/>
      <c r="G254" s="372"/>
      <c r="H254" s="372"/>
      <c r="I254" s="372"/>
      <c r="J254" s="372"/>
      <c r="K254" s="372"/>
      <c r="L254" s="372"/>
      <c r="M254" s="372"/>
      <c r="N254" s="9"/>
      <c r="O254" s="372"/>
      <c r="P254" s="9"/>
      <c r="Q254" s="9"/>
      <c r="S254" s="689" t="s">
        <v>440</v>
      </c>
      <c r="T254" s="666" t="s">
        <v>442</v>
      </c>
      <c r="U254" s="388">
        <v>0</v>
      </c>
      <c r="V254" s="15">
        <f t="shared" si="251"/>
        <v>0</v>
      </c>
      <c r="W254" s="15">
        <f t="shared" si="251"/>
        <v>0</v>
      </c>
      <c r="X254" s="18">
        <f>SUM(U254:W254)</f>
        <v>0</v>
      </c>
      <c r="Y254" s="19">
        <v>0</v>
      </c>
      <c r="Z254" s="364">
        <v>0</v>
      </c>
      <c r="AA254" s="18">
        <f>SUM(Y254:Z254)</f>
        <v>0</v>
      </c>
      <c r="AB254" s="19">
        <v>0</v>
      </c>
      <c r="AC254" s="364">
        <v>0</v>
      </c>
      <c r="AD254" s="18">
        <f>SUM(AB254:AC254)</f>
        <v>0</v>
      </c>
      <c r="AE254" s="19">
        <v>0</v>
      </c>
      <c r="AF254" s="364">
        <v>0</v>
      </c>
      <c r="AG254" s="18">
        <f>SUM(AE254:AF254)</f>
        <v>0</v>
      </c>
      <c r="AH254" s="19">
        <f>X254-AA254</f>
        <v>0</v>
      </c>
      <c r="AI254" s="15">
        <f>X254-AD254</f>
        <v>0</v>
      </c>
      <c r="AJ254" s="16">
        <f>X254-AG254</f>
        <v>0</v>
      </c>
      <c r="AK254" s="9"/>
      <c r="AL254" s="362">
        <v>0</v>
      </c>
      <c r="AM254" s="365">
        <v>0</v>
      </c>
    </row>
    <row r="255" spans="1:70" ht="24.95" customHeight="1">
      <c r="A255" s="729"/>
      <c r="B255" s="644"/>
      <c r="C255" s="372"/>
      <c r="D255" s="372"/>
      <c r="E255" s="372"/>
      <c r="F255" s="372"/>
      <c r="G255" s="372"/>
      <c r="H255" s="372"/>
      <c r="I255" s="372"/>
      <c r="J255" s="372"/>
      <c r="K255" s="372"/>
      <c r="L255" s="372"/>
      <c r="M255" s="372"/>
      <c r="N255" s="9"/>
      <c r="O255" s="372"/>
      <c r="P255" s="9"/>
      <c r="Q255" s="9"/>
      <c r="S255" s="689" t="s">
        <v>441</v>
      </c>
      <c r="T255" s="666" t="s">
        <v>443</v>
      </c>
      <c r="U255" s="388">
        <v>0</v>
      </c>
      <c r="V255" s="15">
        <f t="shared" si="243"/>
        <v>0</v>
      </c>
      <c r="W255" s="15">
        <f t="shared" si="243"/>
        <v>0</v>
      </c>
      <c r="X255" s="18">
        <f t="shared" si="244"/>
        <v>0</v>
      </c>
      <c r="Y255" s="19">
        <v>0</v>
      </c>
      <c r="Z255" s="364">
        <v>0</v>
      </c>
      <c r="AA255" s="18">
        <f t="shared" si="245"/>
        <v>0</v>
      </c>
      <c r="AB255" s="19">
        <v>0</v>
      </c>
      <c r="AC255" s="364">
        <v>0</v>
      </c>
      <c r="AD255" s="18">
        <f t="shared" si="246"/>
        <v>0</v>
      </c>
      <c r="AE255" s="19">
        <v>0</v>
      </c>
      <c r="AF255" s="364">
        <v>0</v>
      </c>
      <c r="AG255" s="18">
        <f t="shared" si="247"/>
        <v>0</v>
      </c>
      <c r="AH255" s="19">
        <f t="shared" si="248"/>
        <v>0</v>
      </c>
      <c r="AI255" s="15">
        <f t="shared" si="249"/>
        <v>0</v>
      </c>
      <c r="AJ255" s="16">
        <f t="shared" si="250"/>
        <v>0</v>
      </c>
      <c r="AK255" s="9"/>
      <c r="AL255" s="362">
        <v>0</v>
      </c>
      <c r="AM255" s="365">
        <v>0</v>
      </c>
    </row>
    <row r="256" spans="1:70" ht="24.95" customHeight="1" thickBot="1">
      <c r="A256" s="729"/>
      <c r="B256" s="644"/>
      <c r="C256" s="372"/>
      <c r="D256" s="372"/>
      <c r="E256" s="372"/>
      <c r="F256" s="372"/>
      <c r="G256" s="372"/>
      <c r="H256" s="372"/>
      <c r="I256" s="372"/>
      <c r="J256" s="372"/>
      <c r="K256" s="372"/>
      <c r="L256" s="372"/>
      <c r="M256" s="372"/>
      <c r="N256" s="9"/>
      <c r="O256" s="372"/>
      <c r="P256" s="9"/>
      <c r="Q256" s="9"/>
      <c r="S256" s="698">
        <v>8002999</v>
      </c>
      <c r="T256" s="680" t="s">
        <v>127</v>
      </c>
      <c r="U256" s="478">
        <v>0</v>
      </c>
      <c r="V256" s="121">
        <f t="shared" si="243"/>
        <v>0</v>
      </c>
      <c r="W256" s="121">
        <f t="shared" si="243"/>
        <v>446816427</v>
      </c>
      <c r="X256" s="126">
        <f t="shared" si="244"/>
        <v>446816427</v>
      </c>
      <c r="Y256" s="124">
        <v>0</v>
      </c>
      <c r="Z256" s="378">
        <v>45049162</v>
      </c>
      <c r="AA256" s="126">
        <f t="shared" si="245"/>
        <v>45049162</v>
      </c>
      <c r="AB256" s="124">
        <v>0</v>
      </c>
      <c r="AC256" s="378">
        <v>45049162</v>
      </c>
      <c r="AD256" s="126">
        <f t="shared" si="246"/>
        <v>45049162</v>
      </c>
      <c r="AE256" s="124">
        <v>0</v>
      </c>
      <c r="AF256" s="378">
        <v>45049162</v>
      </c>
      <c r="AG256" s="126">
        <f t="shared" si="247"/>
        <v>45049162</v>
      </c>
      <c r="AH256" s="124">
        <f t="shared" si="248"/>
        <v>401767265</v>
      </c>
      <c r="AI256" s="121">
        <f t="shared" si="249"/>
        <v>401767265</v>
      </c>
      <c r="AJ256" s="125">
        <f t="shared" si="250"/>
        <v>401767265</v>
      </c>
      <c r="AK256" s="9"/>
      <c r="AL256" s="374">
        <v>0</v>
      </c>
      <c r="AM256" s="379">
        <f>46816427+400000000</f>
        <v>446816427</v>
      </c>
    </row>
    <row r="257" spans="15:39" ht="24.95" customHeight="1" thickBot="1">
      <c r="O257" s="372"/>
      <c r="S257" s="316"/>
      <c r="T257" s="501"/>
      <c r="U257" s="164"/>
      <c r="V257" s="164"/>
      <c r="W257" s="164"/>
      <c r="X257" s="164"/>
      <c r="Y257" s="164"/>
      <c r="Z257" s="164"/>
      <c r="AA257" s="164"/>
      <c r="AB257" s="164"/>
      <c r="AC257" s="164"/>
      <c r="AD257" s="164"/>
      <c r="AE257" s="164"/>
      <c r="AF257" s="164"/>
      <c r="AG257" s="164"/>
      <c r="AH257" s="164"/>
      <c r="AI257" s="164"/>
      <c r="AJ257" s="163"/>
      <c r="AK257" s="10"/>
      <c r="AL257" s="496"/>
      <c r="AM257" s="497"/>
    </row>
    <row r="258" spans="15:39" ht="24.95" customHeight="1" thickBot="1">
      <c r="S258" s="766" t="s">
        <v>355</v>
      </c>
      <c r="T258" s="767" t="s">
        <v>131</v>
      </c>
      <c r="U258" s="330">
        <f>+(C10+C17+C113)-(U10+U193+U220+U232)</f>
        <v>0</v>
      </c>
      <c r="V258" s="330">
        <f t="shared" ref="V258:AJ258" si="252">+(D10+D17+D113)-(V10+V193+V220+V232)</f>
        <v>0</v>
      </c>
      <c r="W258" s="330">
        <f t="shared" si="252"/>
        <v>0</v>
      </c>
      <c r="X258" s="330">
        <f t="shared" si="252"/>
        <v>0</v>
      </c>
      <c r="Y258" s="330">
        <f t="shared" si="252"/>
        <v>0</v>
      </c>
      <c r="Z258" s="330">
        <f t="shared" si="252"/>
        <v>-20503399250</v>
      </c>
      <c r="AA258" s="330">
        <f t="shared" si="252"/>
        <v>-20503399250</v>
      </c>
      <c r="AB258" s="330">
        <f t="shared" si="252"/>
        <v>0</v>
      </c>
      <c r="AC258" s="330">
        <f t="shared" si="252"/>
        <v>6515191494</v>
      </c>
      <c r="AD258" s="330">
        <f t="shared" si="252"/>
        <v>6515191494</v>
      </c>
      <c r="AE258" s="330">
        <f t="shared" si="252"/>
        <v>58119370980</v>
      </c>
      <c r="AF258" s="330">
        <f t="shared" si="252"/>
        <v>59365791424</v>
      </c>
      <c r="AG258" s="330">
        <f t="shared" si="252"/>
        <v>-3169470614</v>
      </c>
      <c r="AH258" s="330">
        <f t="shared" si="252"/>
        <v>-37615971730</v>
      </c>
      <c r="AI258" s="330">
        <f t="shared" si="252"/>
        <v>-58851682228</v>
      </c>
      <c r="AJ258" s="768">
        <f t="shared" si="252"/>
        <v>-73449661295</v>
      </c>
      <c r="AK258" s="9"/>
      <c r="AL258" s="328">
        <v>0</v>
      </c>
      <c r="AM258" s="329">
        <v>0</v>
      </c>
    </row>
    <row r="259" spans="15: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49634060967</v>
      </c>
    </row>
    <row r="260" spans="15:39" ht="24.95" customHeight="1" thickBot="1">
      <c r="S260" s="785" t="s">
        <v>562</v>
      </c>
      <c r="T260" s="786"/>
      <c r="U260" s="761">
        <f>+U8-U262</f>
        <v>62391028787</v>
      </c>
      <c r="V260" s="761">
        <f t="shared" ref="V260:AJ260" si="253">+V8-V262</f>
        <v>0</v>
      </c>
      <c r="W260" s="761">
        <f t="shared" si="253"/>
        <v>3405262343</v>
      </c>
      <c r="X260" s="761">
        <f t="shared" si="253"/>
        <v>65796291130</v>
      </c>
      <c r="Y260" s="761">
        <f t="shared" si="253"/>
        <v>0</v>
      </c>
      <c r="Z260" s="761">
        <f t="shared" si="253"/>
        <v>36573513528</v>
      </c>
      <c r="AA260" s="761">
        <f t="shared" si="253"/>
        <v>36573513528</v>
      </c>
      <c r="AB260" s="761">
        <f t="shared" si="253"/>
        <v>0</v>
      </c>
      <c r="AC260" s="761">
        <f t="shared" si="253"/>
        <v>5139031726</v>
      </c>
      <c r="AD260" s="761">
        <f t="shared" si="253"/>
        <v>5139031726</v>
      </c>
      <c r="AE260" s="761">
        <f t="shared" si="253"/>
        <v>0</v>
      </c>
      <c r="AF260" s="761">
        <f t="shared" si="253"/>
        <v>764183963</v>
      </c>
      <c r="AG260" s="761">
        <f t="shared" si="253"/>
        <v>764183963</v>
      </c>
      <c r="AH260" s="761">
        <f t="shared" si="253"/>
        <v>29222777602</v>
      </c>
      <c r="AI260" s="761">
        <f t="shared" si="253"/>
        <v>60657259404</v>
      </c>
      <c r="AJ260" s="762">
        <f t="shared" si="253"/>
        <v>65032107167</v>
      </c>
    </row>
    <row r="261" spans="15: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5:39" ht="24.95" customHeight="1" thickBot="1">
      <c r="S262" s="787" t="s">
        <v>563</v>
      </c>
      <c r="T262" s="788"/>
      <c r="U262" s="765">
        <f>+SUMIF($T$8:$T$256,$T$33,U8:U256)</f>
        <v>4029331818</v>
      </c>
      <c r="V262" s="765">
        <f t="shared" ref="V262:AJ262" si="254">+SUMIF($T$8:$T$256,$T$33,V8:V256)</f>
        <v>0</v>
      </c>
      <c r="W262" s="765">
        <f t="shared" si="254"/>
        <v>6793508961</v>
      </c>
      <c r="X262" s="765">
        <f t="shared" si="254"/>
        <v>10822840779</v>
      </c>
      <c r="Y262" s="765">
        <f t="shared" si="254"/>
        <v>0</v>
      </c>
      <c r="Z262" s="765">
        <f t="shared" si="254"/>
        <v>2429646651</v>
      </c>
      <c r="AA262" s="765">
        <f t="shared" si="254"/>
        <v>2429646651</v>
      </c>
      <c r="AB262" s="765">
        <f t="shared" si="254"/>
        <v>0</v>
      </c>
      <c r="AC262" s="765">
        <f t="shared" si="254"/>
        <v>2429646651</v>
      </c>
      <c r="AD262" s="765">
        <f t="shared" si="254"/>
        <v>2429646651</v>
      </c>
      <c r="AE262" s="765">
        <f t="shared" si="254"/>
        <v>0</v>
      </c>
      <c r="AF262" s="765">
        <f t="shared" si="254"/>
        <v>2405286651</v>
      </c>
      <c r="AG262" s="765">
        <f t="shared" si="254"/>
        <v>2405286651</v>
      </c>
      <c r="AH262" s="765">
        <f t="shared" si="254"/>
        <v>8393194128</v>
      </c>
      <c r="AI262" s="765">
        <f t="shared" si="254"/>
        <v>8393194128</v>
      </c>
      <c r="AJ262" s="789">
        <f t="shared" si="254"/>
        <v>8417554128</v>
      </c>
    </row>
    <row r="263" spans="15: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5:39" ht="24.95" customHeight="1" thickBot="1">
      <c r="S264" s="763" t="s">
        <v>564</v>
      </c>
      <c r="T264" s="764"/>
      <c r="U264" s="783">
        <f>+U260+U262</f>
        <v>66420360605</v>
      </c>
      <c r="V264" s="783">
        <f t="shared" ref="V264:AJ264" si="255">+V260+V262</f>
        <v>0</v>
      </c>
      <c r="W264" s="783">
        <f t="shared" si="255"/>
        <v>10198771304</v>
      </c>
      <c r="X264" s="783">
        <f t="shared" si="255"/>
        <v>76619131909</v>
      </c>
      <c r="Y264" s="783">
        <f t="shared" si="255"/>
        <v>0</v>
      </c>
      <c r="Z264" s="783">
        <f t="shared" si="255"/>
        <v>39003160179</v>
      </c>
      <c r="AA264" s="783">
        <f t="shared" si="255"/>
        <v>39003160179</v>
      </c>
      <c r="AB264" s="783">
        <f t="shared" si="255"/>
        <v>0</v>
      </c>
      <c r="AC264" s="783">
        <f t="shared" si="255"/>
        <v>7568678377</v>
      </c>
      <c r="AD264" s="783">
        <f t="shared" si="255"/>
        <v>7568678377</v>
      </c>
      <c r="AE264" s="783">
        <f t="shared" si="255"/>
        <v>0</v>
      </c>
      <c r="AF264" s="783">
        <f t="shared" si="255"/>
        <v>3169470614</v>
      </c>
      <c r="AG264" s="783">
        <f t="shared" si="255"/>
        <v>3169470614</v>
      </c>
      <c r="AH264" s="783">
        <f t="shared" si="255"/>
        <v>37615971730</v>
      </c>
      <c r="AI264" s="783">
        <f t="shared" si="255"/>
        <v>69050453532</v>
      </c>
      <c r="AJ264" s="784">
        <f t="shared" si="255"/>
        <v>73449661295</v>
      </c>
    </row>
  </sheetData>
  <sheetProtection password="E7F6" sheet="1" objects="1" scenarios="1" formatCells="0" formatColumns="0"/>
  <mergeCells count="47">
    <mergeCell ref="S259:T259"/>
    <mergeCell ref="T3:T4"/>
    <mergeCell ref="L3:M4"/>
    <mergeCell ref="C5:F5"/>
    <mergeCell ref="G5:I5"/>
    <mergeCell ref="J5:L5"/>
    <mergeCell ref="M5:N5"/>
    <mergeCell ref="D3:E4"/>
    <mergeCell ref="T5:T6"/>
    <mergeCell ref="Q3:Q5"/>
    <mergeCell ref="BM2:BO2"/>
    <mergeCell ref="BM3:BO3"/>
    <mergeCell ref="AL3:AL5"/>
    <mergeCell ref="AM3:AM5"/>
    <mergeCell ref="BB2:BC2"/>
    <mergeCell ref="BB3:BC3"/>
    <mergeCell ref="AL2:AM2"/>
    <mergeCell ref="BG2:BI2"/>
    <mergeCell ref="BG3:BI3"/>
    <mergeCell ref="BM5:BM6"/>
    <mergeCell ref="BH5:BK5"/>
    <mergeCell ref="BG5:BG6"/>
    <mergeCell ref="A1:B1"/>
    <mergeCell ref="K1:N1"/>
    <mergeCell ref="F3:K4"/>
    <mergeCell ref="B3:B4"/>
    <mergeCell ref="N3:N4"/>
    <mergeCell ref="D2:E2"/>
    <mergeCell ref="L2:M2"/>
    <mergeCell ref="A5:A6"/>
    <mergeCell ref="B5:B6"/>
    <mergeCell ref="S5:S6"/>
    <mergeCell ref="V2:X2"/>
    <mergeCell ref="P2:Q2"/>
    <mergeCell ref="P3:P5"/>
    <mergeCell ref="AW19:AZ19"/>
    <mergeCell ref="AW4:AZ4"/>
    <mergeCell ref="U1:X1"/>
    <mergeCell ref="AB5:AD5"/>
    <mergeCell ref="AJ3:AJ4"/>
    <mergeCell ref="V3:X4"/>
    <mergeCell ref="Y3:AG4"/>
    <mergeCell ref="AH3:AI4"/>
    <mergeCell ref="AH2:AI2"/>
    <mergeCell ref="Y2:AG2"/>
    <mergeCell ref="AH5:AJ5"/>
    <mergeCell ref="AE5:AG5"/>
  </mergeCells>
  <phoneticPr fontId="1" type="noConversion"/>
  <conditionalFormatting sqref="B5:B7">
    <cfRule type="expression" dxfId="11" priority="1" stopIfTrue="1">
      <formula>$B$5="OJO - RECUERDE RECAUDAR LA DISPONIBLIDAD INICIAL EN ESTE TRIMESTRE, haga clik en H9 para ampliar la información"</formula>
    </cfRule>
  </conditionalFormatting>
  <dataValidations disablePrompts="1"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P15:Q15 C15 A15 H15"/>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Las actividades de Promoción y Prevención se manejaran en su respectivo régimen." sqref="A43:C44 P43:Q44 K43:K44 H43:H44"/>
  </dataValidations>
  <printOptions horizontalCentered="1" verticalCentered="1"/>
  <pageMargins left="0.59055118110236227" right="0.59055118110236227" top="0.43307086614173229" bottom="0.39370078740157483" header="0.23622047244094491" footer="0.23622047244094491"/>
  <pageSetup paperSize="14" scale="45" orientation="landscape" blackAndWhite="1" horizontalDpi="300" verticalDpi="300" r:id="rId1"/>
  <headerFooter alignWithMargins="0">
    <oddFooter>&amp;CPágina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S264"/>
  <sheetViews>
    <sheetView showGridLines="0" topLeftCell="A64" zoomScaleNormal="100" workbookViewId="0">
      <selection activeCell="H91" sqref="H91"/>
    </sheetView>
  </sheetViews>
  <sheetFormatPr baseColWidth="10" defaultColWidth="0" defaultRowHeight="24.95" customHeight="1"/>
  <cols>
    <col min="1" max="1" width="15.7109375" style="735" customWidth="1"/>
    <col min="2" max="2" width="51" style="645" customWidth="1"/>
    <col min="3" max="3" width="14.42578125" style="262" customWidth="1"/>
    <col min="4" max="4" width="16.140625" style="262" customWidth="1"/>
    <col min="5" max="7" width="14.42578125" style="262" customWidth="1"/>
    <col min="8" max="8" width="15.7109375" style="262" customWidth="1"/>
    <col min="9" max="10" width="14.42578125" style="262" customWidth="1"/>
    <col min="11" max="11" width="15.5703125"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7109375" style="681" customWidth="1"/>
    <col min="20" max="20" width="48.42578125" style="657" customWidth="1"/>
    <col min="21" max="21" width="18.5703125" style="262" customWidth="1"/>
    <col min="22" max="23" width="14.7109375" style="262" customWidth="1"/>
    <col min="24" max="24" width="17.7109375" style="262" customWidth="1"/>
    <col min="25" max="25" width="18.140625" style="262" customWidth="1"/>
    <col min="26" max="26" width="16.7109375" style="262" customWidth="1"/>
    <col min="27" max="27" width="17.28515625" style="262" customWidth="1"/>
    <col min="28" max="28" width="17.5703125" style="262" customWidth="1"/>
    <col min="29" max="29" width="17.42578125" style="262" customWidth="1"/>
    <col min="30" max="30" width="17.7109375" style="262" customWidth="1"/>
    <col min="31" max="31" width="16.7109375" style="262" customWidth="1"/>
    <col min="32" max="32" width="17.28515625" style="262" customWidth="1"/>
    <col min="33"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47.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731" t="str">
        <f>IF($F$8-$X$8=0," ","OJO: PRESUPUESTO DESEQUILIBRADO")</f>
        <v xml:space="preserve"> </v>
      </c>
      <c r="B1" s="646"/>
      <c r="C1" s="998" t="str">
        <f>IF(SUM(C12:C15)=0,"",IF(SUM(H12:H15)=SUM(C12:C15),"OJO - EN LA DISPONIBILIDAD INICIAL, NI EL RECONOCIMIENTO NI EL RECAUDO PUEDEN SER IGUALES AL PRESUPUESTO INICIAL, haga click en la celda B8 para mas información",""))</f>
        <v/>
      </c>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2</v>
      </c>
      <c r="AP2" s="270" t="s">
        <v>7</v>
      </c>
      <c r="AQ2" s="271"/>
      <c r="AR2" s="3"/>
      <c r="AS2" s="3"/>
      <c r="AT2" s="3"/>
      <c r="AU2" s="3"/>
      <c r="AV2" s="3"/>
      <c r="AW2" s="3"/>
      <c r="AX2" s="3"/>
      <c r="AY2" s="3"/>
      <c r="AZ2" s="4"/>
      <c r="BB2" s="941" t="s">
        <v>588</v>
      </c>
      <c r="BC2" s="958"/>
      <c r="BD2" s="51" t="s">
        <v>380</v>
      </c>
      <c r="BE2" s="268" t="str">
        <f>+L3</f>
        <v>FEBRERO</v>
      </c>
      <c r="BF2" s="263"/>
      <c r="BG2" s="941" t="s">
        <v>589</v>
      </c>
      <c r="BH2" s="958"/>
      <c r="BI2" s="958"/>
      <c r="BJ2" s="51" t="s">
        <v>380</v>
      </c>
      <c r="BK2" s="268" t="str">
        <f>+BE2</f>
        <v>FEBRERO</v>
      </c>
      <c r="BM2" s="941" t="s">
        <v>589</v>
      </c>
      <c r="BN2" s="958"/>
      <c r="BO2" s="958"/>
      <c r="BP2" s="51" t="s">
        <v>380</v>
      </c>
      <c r="BQ2" s="268" t="str">
        <f>+BK2</f>
        <v>FEBRERO</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356</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FEBRERO</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48"/>
      <c r="BJ4" s="48"/>
      <c r="BK4" s="283"/>
      <c r="BL4" s="8"/>
      <c r="BM4" s="281"/>
      <c r="BN4" s="284"/>
      <c r="BO4" s="284"/>
      <c r="BP4" s="49"/>
      <c r="BQ4" s="285"/>
    </row>
    <row r="5" spans="1:69" ht="43.5" customHeight="1" thickBot="1">
      <c r="A5" s="993" t="s">
        <v>17</v>
      </c>
      <c r="B5" s="995" t="str">
        <f>IF(SUM(C8:N125)=0,"DESCRIPCIÓN",IF(I10&gt;0,"DESCRIPCIÓN",IF(MARZO!I10=0,"OJO - RECUERDE RECAUDAR LA DISPONIBLIDAD INICIAL EN ESTE TRIMESTRE, haga clik en H9 para ampliar la información","")))</f>
        <v>DESCRIPCIÓN</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969" t="s">
        <v>32</v>
      </c>
      <c r="BH5" s="966" t="str">
        <f>+CONCATENATE("ACUMULADO ",N3)</f>
        <v>ACUMULADO 2019</v>
      </c>
      <c r="BI5" s="967"/>
      <c r="BJ5" s="967" t="str">
        <f>+BG2</f>
        <v>INFORMACION DE GASTOS CONSOLIDAR INFORMES DEL SIHO</v>
      </c>
      <c r="BK5" s="968"/>
      <c r="BM5" s="964" t="s">
        <v>32</v>
      </c>
      <c r="BN5" s="298" t="str">
        <f>+CONCATENATE("ACUMULADO ",BQ3)</f>
        <v>ACUMULADO 2019</v>
      </c>
      <c r="BO5" s="299"/>
      <c r="BP5" s="300"/>
      <c r="BQ5" s="301"/>
    </row>
    <row r="6" spans="1:69" ht="24.9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FEBRERO</v>
      </c>
      <c r="AS6" s="306" t="str">
        <f>AR6</f>
        <v>FEBRERO</v>
      </c>
      <c r="AT6" s="306" t="str">
        <f>AR6</f>
        <v>FEBRERO</v>
      </c>
      <c r="AU6" s="306" t="s">
        <v>14</v>
      </c>
      <c r="AV6" s="306" t="s">
        <v>29</v>
      </c>
      <c r="AW6" s="306"/>
      <c r="AX6" s="306"/>
      <c r="AY6" s="306" t="s">
        <v>14</v>
      </c>
      <c r="AZ6" s="307" t="s">
        <v>29</v>
      </c>
      <c r="BB6" s="308"/>
      <c r="BC6" s="309" t="s">
        <v>45</v>
      </c>
      <c r="BD6" s="310" t="s">
        <v>46</v>
      </c>
      <c r="BE6" s="311" t="s">
        <v>47</v>
      </c>
      <c r="BF6" s="312"/>
      <c r="BG6" s="970"/>
      <c r="BH6" s="313" t="s">
        <v>45</v>
      </c>
      <c r="BI6" s="313" t="s">
        <v>48</v>
      </c>
      <c r="BJ6" s="313" t="s">
        <v>49</v>
      </c>
      <c r="BK6" s="314" t="s">
        <v>50</v>
      </c>
      <c r="BM6" s="965"/>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3451641593</v>
      </c>
      <c r="AR7" s="317">
        <f>I22</f>
        <v>901837200</v>
      </c>
      <c r="AS7" s="317">
        <f>L22</f>
        <v>396471791</v>
      </c>
      <c r="AT7" s="13"/>
      <c r="AU7" s="318">
        <f t="shared" ref="AU7:AU17" si="0">IF(AQ7=0," ",AR7/AQ7)</f>
        <v>0.26127776471025971</v>
      </c>
      <c r="AV7" s="318">
        <f t="shared" ref="AV7:AV17" si="1">IF(AQ7=0," ",AS7/AQ7)</f>
        <v>0.11486470432041755</v>
      </c>
      <c r="AW7" s="317">
        <f>I23/AO$2*12+I24</f>
        <v>3428664245</v>
      </c>
      <c r="AX7" s="317">
        <f>L23/AO$2*12+L24</f>
        <v>396471791</v>
      </c>
      <c r="AY7" s="317">
        <f t="shared" ref="AY7:AY16" si="2">AW7-AQ7</f>
        <v>-22977348</v>
      </c>
      <c r="AZ7" s="319">
        <f t="shared" ref="AZ7:AZ16" si="3">AX7-AQ7</f>
        <v>-3055169802</v>
      </c>
      <c r="BB7" s="320" t="s">
        <v>53</v>
      </c>
      <c r="BC7" s="54">
        <f>F10</f>
        <v>10163682964</v>
      </c>
      <c r="BD7" s="55">
        <f>I10</f>
        <v>9883682964</v>
      </c>
      <c r="BE7" s="56">
        <f>K10</f>
        <v>0</v>
      </c>
      <c r="BF7" s="57"/>
      <c r="BG7" s="58" t="s">
        <v>54</v>
      </c>
      <c r="BH7" s="59">
        <f>+SUM(BH8:BH11)</f>
        <v>47318642562</v>
      </c>
      <c r="BI7" s="59">
        <f>+SUM(BI8:BI11)</f>
        <v>27052778949</v>
      </c>
      <c r="BJ7" s="59">
        <f>+SUM(BJ8:BJ11)</f>
        <v>5854618997</v>
      </c>
      <c r="BK7" s="60">
        <f>+SUM(BK8:BK11)</f>
        <v>883441915</v>
      </c>
      <c r="BM7" s="61" t="s">
        <v>54</v>
      </c>
      <c r="BN7" s="62">
        <f>BN8+BN15+BN22</f>
        <v>47318642562</v>
      </c>
      <c r="BO7" s="63">
        <f>BO8+BO15+BO22</f>
        <v>27052778949</v>
      </c>
      <c r="BP7" s="63">
        <f>BP8+BP15+BP22</f>
        <v>5854618997</v>
      </c>
      <c r="BQ7" s="64">
        <f>BQ8+BQ15+BQ22</f>
        <v>883441915</v>
      </c>
    </row>
    <row r="8" spans="1:69" s="9" customFormat="1" ht="24.95" customHeight="1" thickBot="1">
      <c r="A8" s="711">
        <f>+IF(ENERO!A8=0,"",ENERO!A8)</f>
        <v>1</v>
      </c>
      <c r="B8" s="618" t="str">
        <f>+IF(ENERO!B8=0,"",ENERO!B8)</f>
        <v>INGRESOS</v>
      </c>
      <c r="C8" s="321">
        <f>C10+C17+C113</f>
        <v>66420360605</v>
      </c>
      <c r="D8" s="321">
        <f t="shared" ref="D8:Q8" si="4">D10+D17+D113</f>
        <v>0</v>
      </c>
      <c r="E8" s="321">
        <f t="shared" si="4"/>
        <v>14856990195</v>
      </c>
      <c r="F8" s="321">
        <f t="shared" si="4"/>
        <v>81277350800</v>
      </c>
      <c r="G8" s="321">
        <f t="shared" si="4"/>
        <v>18499760929</v>
      </c>
      <c r="H8" s="321">
        <f t="shared" si="4"/>
        <v>9767181197</v>
      </c>
      <c r="I8" s="321">
        <f t="shared" si="4"/>
        <v>28266942126</v>
      </c>
      <c r="J8" s="321">
        <f t="shared" si="4"/>
        <v>14083869871</v>
      </c>
      <c r="K8" s="321">
        <f t="shared" si="4"/>
        <v>4190361858</v>
      </c>
      <c r="L8" s="321">
        <f t="shared" si="4"/>
        <v>18274231729</v>
      </c>
      <c r="M8" s="321">
        <f t="shared" si="4"/>
        <v>53010408674</v>
      </c>
      <c r="N8" s="321">
        <f t="shared" si="4"/>
        <v>63003119071</v>
      </c>
      <c r="O8" s="323"/>
      <c r="P8" s="324">
        <f t="shared" si="4"/>
        <v>0</v>
      </c>
      <c r="Q8" s="322">
        <f t="shared" si="4"/>
        <v>4658218891</v>
      </c>
      <c r="S8" s="684" t="str">
        <f>+IF(ENERO!S8=0,"",ENERO!S8)</f>
        <v/>
      </c>
      <c r="T8" s="658" t="str">
        <f>+IF(ENERO!T8=0,"",ENERO!T8)</f>
        <v>GASTOS</v>
      </c>
      <c r="U8" s="325">
        <f>U10+U193+U220+U232</f>
        <v>66420360605</v>
      </c>
      <c r="V8" s="326">
        <f t="shared" ref="V8:AJ8" si="5">V10+V193+V220+V232</f>
        <v>0</v>
      </c>
      <c r="W8" s="326">
        <f t="shared" si="5"/>
        <v>14856990195</v>
      </c>
      <c r="X8" s="327">
        <f t="shared" si="5"/>
        <v>81277350800</v>
      </c>
      <c r="Y8" s="328">
        <f t="shared" si="5"/>
        <v>39003160179</v>
      </c>
      <c r="Z8" s="326">
        <f t="shared" si="5"/>
        <v>6046838376</v>
      </c>
      <c r="AA8" s="327">
        <f t="shared" si="5"/>
        <v>45049998555</v>
      </c>
      <c r="AB8" s="328">
        <f t="shared" si="5"/>
        <v>7568678377</v>
      </c>
      <c r="AC8" s="326">
        <f t="shared" si="5"/>
        <v>7947312188</v>
      </c>
      <c r="AD8" s="327">
        <f t="shared" si="5"/>
        <v>15515990565</v>
      </c>
      <c r="AE8" s="328">
        <f t="shared" si="5"/>
        <v>3169470614</v>
      </c>
      <c r="AF8" s="326">
        <f t="shared" si="5"/>
        <v>4407016072</v>
      </c>
      <c r="AG8" s="327">
        <f t="shared" si="5"/>
        <v>7576486686</v>
      </c>
      <c r="AH8" s="328">
        <f t="shared" si="5"/>
        <v>36227352245</v>
      </c>
      <c r="AI8" s="326">
        <f t="shared" si="5"/>
        <v>65761360235</v>
      </c>
      <c r="AJ8" s="329">
        <f t="shared" si="5"/>
        <v>73700864114</v>
      </c>
      <c r="AL8" s="330">
        <f>AL10+AL193+AL220+AL232</f>
        <v>0</v>
      </c>
      <c r="AM8" s="331">
        <f>AM10+AM193+AM220+AM232</f>
        <v>4658218891</v>
      </c>
      <c r="AO8" s="21"/>
      <c r="AP8" s="11" t="s">
        <v>56</v>
      </c>
      <c r="AQ8" s="649">
        <f>F25</f>
        <v>37479713087</v>
      </c>
      <c r="AR8" s="12">
        <f>I25</f>
        <v>11358352219</v>
      </c>
      <c r="AS8" s="12">
        <f>L25</f>
        <v>5629854872</v>
      </c>
      <c r="AT8" s="13"/>
      <c r="AU8" s="332">
        <f t="shared" si="0"/>
        <v>0.30305333961960595</v>
      </c>
      <c r="AV8" s="332">
        <f t="shared" si="1"/>
        <v>0.15021072490420798</v>
      </c>
      <c r="AW8" s="12">
        <f>I26/AO$2*12+I27</f>
        <v>40000838954</v>
      </c>
      <c r="AX8" s="12">
        <f>L26/AO$2*12+L27</f>
        <v>5629854872</v>
      </c>
      <c r="AY8" s="12">
        <f t="shared" si="2"/>
        <v>2521125867</v>
      </c>
      <c r="AZ8" s="333">
        <f t="shared" si="3"/>
        <v>-31849858215</v>
      </c>
      <c r="BB8" s="140" t="s">
        <v>57</v>
      </c>
      <c r="BC8" s="65">
        <f>BC9+BC19</f>
        <v>64217683736</v>
      </c>
      <c r="BD8" s="66">
        <f>BD9+BD19</f>
        <v>11145578657</v>
      </c>
      <c r="BE8" s="67">
        <f>BE9+BE19</f>
        <v>1059327041</v>
      </c>
      <c r="BF8" s="57"/>
      <c r="BG8" s="68" t="s">
        <v>58</v>
      </c>
      <c r="BH8" s="69">
        <f>BN9+BN13</f>
        <v>11066915508</v>
      </c>
      <c r="BI8" s="69">
        <f>BO9+BO13</f>
        <v>715944601</v>
      </c>
      <c r="BJ8" s="69">
        <f>BP9+BP13</f>
        <v>715924601</v>
      </c>
      <c r="BK8" s="70">
        <f>BQ9+BQ13</f>
        <v>405853366</v>
      </c>
      <c r="BM8" s="71" t="s">
        <v>59</v>
      </c>
      <c r="BN8" s="72">
        <f>BN9+BN14+BN13</f>
        <v>34464468891</v>
      </c>
      <c r="BO8" s="69">
        <f>BO9+BO14+BO13</f>
        <v>21500022948</v>
      </c>
      <c r="BP8" s="69">
        <f>BP9+BP14+BP13</f>
        <v>4228046452</v>
      </c>
      <c r="BQ8" s="70">
        <f>BQ9+BQ14+BQ13</f>
        <v>520007578</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649">
        <f>F28+F75</f>
        <v>9334015220</v>
      </c>
      <c r="AR9" s="12">
        <f>I28+I75</f>
        <v>1684885944</v>
      </c>
      <c r="AS9" s="12">
        <f>L28+L75</f>
        <v>176563102</v>
      </c>
      <c r="AT9" s="13"/>
      <c r="AU9" s="340">
        <f t="shared" si="0"/>
        <v>0.1805103060459762</v>
      </c>
      <c r="AV9" s="340">
        <f t="shared" si="1"/>
        <v>1.8916093218026699E-2</v>
      </c>
      <c r="AW9" s="341">
        <f>(I30+I33+I36+I76)/AO$2*12+I31+I34+I37+I38+I39+I40+I77</f>
        <v>9405856624</v>
      </c>
      <c r="AX9" s="341">
        <f>(L30+L33+L36+L76)/AO$2*12+L31+L34+L37+L38+L39+L40+L77</f>
        <v>355919572</v>
      </c>
      <c r="AY9" s="341">
        <f t="shared" si="2"/>
        <v>71841404</v>
      </c>
      <c r="AZ9" s="342">
        <f t="shared" si="3"/>
        <v>-8978095648</v>
      </c>
      <c r="BB9" s="343" t="s">
        <v>412</v>
      </c>
      <c r="BC9" s="73">
        <f>BC10+BC18</f>
        <v>64119511613</v>
      </c>
      <c r="BD9" s="74">
        <f>BD10+BD18</f>
        <v>11123130575</v>
      </c>
      <c r="BE9" s="75">
        <f>BE10+BE18</f>
        <v>1055732147</v>
      </c>
      <c r="BF9" s="76"/>
      <c r="BG9" s="77" t="s">
        <v>62</v>
      </c>
      <c r="BH9" s="78">
        <f t="shared" ref="BH9:BK10" si="6">BN14</f>
        <v>23397553383</v>
      </c>
      <c r="BI9" s="78">
        <f t="shared" si="6"/>
        <v>20784078347</v>
      </c>
      <c r="BJ9" s="78">
        <f t="shared" si="6"/>
        <v>3512121851</v>
      </c>
      <c r="BK9" s="79">
        <f t="shared" si="6"/>
        <v>114154212</v>
      </c>
      <c r="BM9" s="137" t="s">
        <v>63</v>
      </c>
      <c r="BN9" s="80">
        <f>SUM(BN10:BN12)</f>
        <v>7152685503</v>
      </c>
      <c r="BO9" s="78">
        <f>SUM(BO10:BO12)</f>
        <v>593598706</v>
      </c>
      <c r="BP9" s="78">
        <f>SUM(BP10:BP12)</f>
        <v>593578706</v>
      </c>
      <c r="BQ9" s="79">
        <f>SUM(BQ10:BQ12)</f>
        <v>309300571</v>
      </c>
    </row>
    <row r="10" spans="1:69" s="9" customFormat="1" ht="24.95" customHeight="1">
      <c r="A10" s="712">
        <f>+IF(ENERO!A10=0,"",ENERO!A10)</f>
        <v>10</v>
      </c>
      <c r="B10" s="620" t="str">
        <f>+IF(ENERO!B10=0,"",ENERO!B10)</f>
        <v>DISPONIBILIDAD INICIAL</v>
      </c>
      <c r="C10" s="174">
        <f t="shared" ref="C10:N10" si="7">SUM(C12:C15)</f>
        <v>4845434734</v>
      </c>
      <c r="D10" s="344">
        <f t="shared" si="7"/>
        <v>0</v>
      </c>
      <c r="E10" s="344">
        <f t="shared" si="7"/>
        <v>5318248230</v>
      </c>
      <c r="F10" s="175">
        <f t="shared" si="7"/>
        <v>10163682964</v>
      </c>
      <c r="G10" s="345">
        <f t="shared" si="7"/>
        <v>9883682964</v>
      </c>
      <c r="H10" s="344">
        <f t="shared" si="7"/>
        <v>0</v>
      </c>
      <c r="I10" s="346">
        <f t="shared" si="7"/>
        <v>9883682964</v>
      </c>
      <c r="J10" s="174">
        <f t="shared" si="7"/>
        <v>9883682964</v>
      </c>
      <c r="K10" s="344">
        <f t="shared" si="7"/>
        <v>0</v>
      </c>
      <c r="L10" s="175">
        <f t="shared" si="7"/>
        <v>9883682964</v>
      </c>
      <c r="M10" s="174">
        <f t="shared" si="7"/>
        <v>280000000</v>
      </c>
      <c r="N10" s="175">
        <f t="shared" si="7"/>
        <v>280000000</v>
      </c>
      <c r="O10" s="13"/>
      <c r="P10" s="174">
        <f>SUM(P12:P15)</f>
        <v>0</v>
      </c>
      <c r="Q10" s="175">
        <f>SUM(Q12:Q15)</f>
        <v>0</v>
      </c>
      <c r="S10" s="347" t="str">
        <f>+IF(ENERO!S10=0,"",ENERO!S10)</f>
        <v>A</v>
      </c>
      <c r="T10" s="700" t="str">
        <f>+IF(ENERO!T10=0,"",ENERO!T10)</f>
        <v>GASTOS DE FUNCIONAMIENTO</v>
      </c>
      <c r="U10" s="351">
        <f>U12+U110+U170</f>
        <v>50109343517</v>
      </c>
      <c r="V10" s="349">
        <f t="shared" ref="V10:AJ10" si="8">V12+V110+V170</f>
        <v>0</v>
      </c>
      <c r="W10" s="349">
        <f t="shared" si="8"/>
        <v>2810000000</v>
      </c>
      <c r="X10" s="350">
        <f t="shared" si="8"/>
        <v>52919343517</v>
      </c>
      <c r="Y10" s="351">
        <f t="shared" si="8"/>
        <v>26982000507</v>
      </c>
      <c r="Z10" s="349">
        <f t="shared" si="8"/>
        <v>2911404792</v>
      </c>
      <c r="AA10" s="352">
        <f t="shared" si="8"/>
        <v>29893405299</v>
      </c>
      <c r="AB10" s="351">
        <f t="shared" si="8"/>
        <v>3961445988</v>
      </c>
      <c r="AC10" s="349">
        <f t="shared" si="8"/>
        <v>4733799359</v>
      </c>
      <c r="AD10" s="350">
        <f t="shared" si="8"/>
        <v>8695245347</v>
      </c>
      <c r="AE10" s="351">
        <f t="shared" si="8"/>
        <v>1745095414</v>
      </c>
      <c r="AF10" s="349">
        <f t="shared" si="8"/>
        <v>2577871149</v>
      </c>
      <c r="AG10" s="350">
        <f t="shared" si="8"/>
        <v>4322966563</v>
      </c>
      <c r="AH10" s="351">
        <f t="shared" si="8"/>
        <v>23025938218</v>
      </c>
      <c r="AI10" s="349">
        <f t="shared" si="8"/>
        <v>44224098170</v>
      </c>
      <c r="AJ10" s="350">
        <f t="shared" si="8"/>
        <v>48596376954</v>
      </c>
      <c r="AL10" s="353">
        <f>AL12+AL110+AL170</f>
        <v>0</v>
      </c>
      <c r="AM10" s="354">
        <f>AM12+AM110+AM170</f>
        <v>1650000000</v>
      </c>
      <c r="AO10" s="339"/>
      <c r="AP10" s="11" t="s">
        <v>65</v>
      </c>
      <c r="AQ10" s="649">
        <f>+F42</f>
        <v>0</v>
      </c>
      <c r="AR10" s="12">
        <f>I87</f>
        <v>0</v>
      </c>
      <c r="AS10" s="12">
        <f>L87</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56136612540</v>
      </c>
      <c r="BD10" s="74">
        <f>BD11+BD12+BD13+BD14+BD16+BD17+BD15</f>
        <v>11123130575</v>
      </c>
      <c r="BE10" s="75">
        <f>BE11+BE12+BE13+BE14+BE16+BE17+BE15</f>
        <v>1055732147</v>
      </c>
      <c r="BF10" s="76"/>
      <c r="BG10" s="68" t="s">
        <v>66</v>
      </c>
      <c r="BH10" s="81">
        <f t="shared" si="6"/>
        <v>11603819527</v>
      </c>
      <c r="BI10" s="81">
        <f t="shared" si="6"/>
        <v>5328469850</v>
      </c>
      <c r="BJ10" s="81">
        <f t="shared" si="6"/>
        <v>1408365496</v>
      </c>
      <c r="BK10" s="82">
        <f t="shared" si="6"/>
        <v>301892552</v>
      </c>
      <c r="BM10" s="134" t="s">
        <v>425</v>
      </c>
      <c r="BN10" s="83">
        <f>X17+X66</f>
        <v>5293004812</v>
      </c>
      <c r="BO10" s="81">
        <f>AA17+AA66</f>
        <v>541208435</v>
      </c>
      <c r="BP10" s="81">
        <f>AD17+AD66</f>
        <v>541188435</v>
      </c>
      <c r="BQ10" s="82">
        <f>AF17+AF66</f>
        <v>279905055</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357"/>
      <c r="V11" s="161"/>
      <c r="W11" s="161"/>
      <c r="X11" s="166"/>
      <c r="Y11" s="357"/>
      <c r="Z11" s="161"/>
      <c r="AA11" s="161"/>
      <c r="AB11" s="357"/>
      <c r="AC11" s="161"/>
      <c r="AD11" s="166"/>
      <c r="AE11" s="357"/>
      <c r="AF11" s="161"/>
      <c r="AG11" s="166"/>
      <c r="AH11" s="357"/>
      <c r="AI11" s="161"/>
      <c r="AJ11" s="166"/>
      <c r="AL11" s="358"/>
      <c r="AM11" s="359"/>
      <c r="AO11" s="360" t="s">
        <v>11</v>
      </c>
      <c r="AP11" s="517" t="s">
        <v>522</v>
      </c>
      <c r="AQ11" s="649">
        <f>F88</f>
        <v>222386275</v>
      </c>
      <c r="AR11" s="12">
        <f>I88</f>
        <v>28474975</v>
      </c>
      <c r="AS11" s="12">
        <f>L88</f>
        <v>28474975</v>
      </c>
      <c r="AT11" s="361">
        <f>AO2/12</f>
        <v>0.16666666666666666</v>
      </c>
      <c r="AU11" s="340">
        <f t="shared" si="0"/>
        <v>0.12804286145806434</v>
      </c>
      <c r="AV11" s="340">
        <f t="shared" si="1"/>
        <v>0.12804286145806434</v>
      </c>
      <c r="AW11" s="341">
        <f>I88</f>
        <v>28474975</v>
      </c>
      <c r="AX11" s="341">
        <f>L88</f>
        <v>28474975</v>
      </c>
      <c r="AY11" s="341">
        <f t="shared" si="2"/>
        <v>-193911300</v>
      </c>
      <c r="AZ11" s="342">
        <f t="shared" si="3"/>
        <v>-193911300</v>
      </c>
      <c r="BB11" s="355" t="s">
        <v>414</v>
      </c>
      <c r="BC11" s="73">
        <f>F26</f>
        <v>32167564656</v>
      </c>
      <c r="BD11" s="74">
        <f>I26</f>
        <v>5728497347</v>
      </c>
      <c r="BE11" s="75">
        <f>K26</f>
        <v>0</v>
      </c>
      <c r="BF11" s="76"/>
      <c r="BG11" s="68" t="s">
        <v>67</v>
      </c>
      <c r="BH11" s="84">
        <f>BN22</f>
        <v>1250354144</v>
      </c>
      <c r="BI11" s="84">
        <f>BO22</f>
        <v>224286151</v>
      </c>
      <c r="BJ11" s="84">
        <f>BP22</f>
        <v>218207049</v>
      </c>
      <c r="BK11" s="85">
        <f>BQ22</f>
        <v>61541785</v>
      </c>
      <c r="BM11" s="135" t="s">
        <v>426</v>
      </c>
      <c r="BN11" s="86">
        <f>X18+X67</f>
        <v>336902465</v>
      </c>
      <c r="BO11" s="84">
        <f>AA18+AA67</f>
        <v>12213669</v>
      </c>
      <c r="BP11" s="84">
        <f>AD18+AD67</f>
        <v>12213669</v>
      </c>
      <c r="BQ11" s="85">
        <f>AF18+AF67</f>
        <v>12213669</v>
      </c>
    </row>
    <row r="12" spans="1:69" s="9" customFormat="1" ht="24.95" customHeight="1">
      <c r="A12" s="593">
        <f>+IF(ENERO!A12=0,"",ENERO!A12)</f>
        <v>1001</v>
      </c>
      <c r="B12" s="621" t="str">
        <f>+IF(ENERO!B12=0,"",ENERO!B12)</f>
        <v>Bienestar Social (Caja, Bancos, Inversiones Tempor.) a Dic-31-2018</v>
      </c>
      <c r="C12" s="655">
        <f>+ENERO!C12</f>
        <v>0</v>
      </c>
      <c r="D12" s="363">
        <f>ENERO!D12+FEBRERO!P12</f>
        <v>0</v>
      </c>
      <c r="E12" s="363">
        <f>ENERO!E12+FEBRERO!Q12</f>
        <v>0</v>
      </c>
      <c r="F12" s="143">
        <f>SUM(C12:E12)</f>
        <v>0</v>
      </c>
      <c r="G12" s="216">
        <f>ENERO!I12</f>
        <v>0</v>
      </c>
      <c r="H12" s="364">
        <v>0</v>
      </c>
      <c r="I12" s="143">
        <f>SUM(G12:H12)</f>
        <v>0</v>
      </c>
      <c r="J12" s="216">
        <f>ENERO!L12</f>
        <v>0</v>
      </c>
      <c r="K12" s="131">
        <f>+H12</f>
        <v>0</v>
      </c>
      <c r="L12" s="143">
        <f>SUM(J12:K12)</f>
        <v>0</v>
      </c>
      <c r="M12" s="216">
        <f>F12-I12</f>
        <v>0</v>
      </c>
      <c r="N12" s="143">
        <f>F12-L12</f>
        <v>0</v>
      </c>
      <c r="O12" s="284"/>
      <c r="P12" s="362">
        <v>0</v>
      </c>
      <c r="Q12" s="365">
        <v>0</v>
      </c>
      <c r="S12" s="685">
        <f>+IF(ENERO!S12=0,"",ENERO!S12)</f>
        <v>1000000</v>
      </c>
      <c r="T12" s="701" t="str">
        <f>+IF(ENERO!T12=0,"",ENERO!T12)</f>
        <v>GASTOS DE PERSONAL</v>
      </c>
      <c r="U12" s="353">
        <f t="shared" ref="U12:AJ12" si="9">U14+U63</f>
        <v>36893269846</v>
      </c>
      <c r="V12" s="367">
        <f t="shared" si="9"/>
        <v>0</v>
      </c>
      <c r="W12" s="367">
        <f t="shared" si="9"/>
        <v>1860000000</v>
      </c>
      <c r="X12" s="354">
        <f t="shared" si="9"/>
        <v>38753269846</v>
      </c>
      <c r="Y12" s="353">
        <f t="shared" si="9"/>
        <v>21608055944</v>
      </c>
      <c r="Z12" s="367">
        <f t="shared" si="9"/>
        <v>1816987714</v>
      </c>
      <c r="AA12" s="368">
        <f t="shared" si="9"/>
        <v>23425043658</v>
      </c>
      <c r="AB12" s="353">
        <f t="shared" si="9"/>
        <v>2589397252</v>
      </c>
      <c r="AC12" s="367">
        <f t="shared" si="9"/>
        <v>3563669910</v>
      </c>
      <c r="AD12" s="354">
        <f t="shared" si="9"/>
        <v>6153067162</v>
      </c>
      <c r="AE12" s="353">
        <f t="shared" si="9"/>
        <v>898281690</v>
      </c>
      <c r="AF12" s="367">
        <f t="shared" si="9"/>
        <v>1925220506</v>
      </c>
      <c r="AG12" s="354">
        <f t="shared" si="9"/>
        <v>2823502196</v>
      </c>
      <c r="AH12" s="353">
        <f t="shared" si="9"/>
        <v>15328226188</v>
      </c>
      <c r="AI12" s="367">
        <f t="shared" si="9"/>
        <v>32600202684</v>
      </c>
      <c r="AJ12" s="354">
        <f t="shared" si="9"/>
        <v>35929767650</v>
      </c>
      <c r="AK12" s="10"/>
      <c r="AL12" s="369">
        <f>AL14+AL63</f>
        <v>0</v>
      </c>
      <c r="AM12" s="370">
        <f>AM14+AM63</f>
        <v>1500000000</v>
      </c>
      <c r="AO12" s="360"/>
      <c r="AP12" s="517" t="s">
        <v>523</v>
      </c>
      <c r="AQ12" s="649">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3087894380</v>
      </c>
      <c r="BD12" s="74">
        <f>I23</f>
        <v>505365409</v>
      </c>
      <c r="BE12" s="75">
        <f>K23</f>
        <v>0</v>
      </c>
      <c r="BF12" s="76"/>
      <c r="BG12" s="371" t="s">
        <v>383</v>
      </c>
      <c r="BH12" s="84">
        <f>BN25</f>
        <v>9762104083</v>
      </c>
      <c r="BI12" s="15">
        <f>BO25</f>
        <v>7135333156</v>
      </c>
      <c r="BJ12" s="84">
        <f>BP25</f>
        <v>3479146007</v>
      </c>
      <c r="BK12" s="85">
        <f>BQ25</f>
        <v>685670174</v>
      </c>
      <c r="BM12" s="136" t="s">
        <v>427</v>
      </c>
      <c r="BN12" s="86">
        <f>X16+X65-X81-X33-BN10-BN11</f>
        <v>1522778226</v>
      </c>
      <c r="BO12" s="84">
        <f>AA16+AA65-AA81-AA33-BO10-BO11</f>
        <v>40176602</v>
      </c>
      <c r="BP12" s="84">
        <f>AD16+AD65-AD81-AD33-BP10-BP11</f>
        <v>40176602</v>
      </c>
      <c r="BQ12" s="85">
        <f>AF16+AF65-AF81-AF33-BQ10-BQ11</f>
        <v>17181847</v>
      </c>
    </row>
    <row r="13" spans="1:69" s="9" customFormat="1" ht="24.95" customHeight="1">
      <c r="A13" s="593">
        <f>+IF(ENERO!A13=0,"",ENERO!A13)</f>
        <v>1002</v>
      </c>
      <c r="B13" s="621" t="str">
        <f>+IF(ENERO!B13=0,"",ENERO!B13)</f>
        <v>Fondo Vivienda (Caja, Bancos, Inversiones Tempor.) a Dic-31-2018</v>
      </c>
      <c r="C13" s="655">
        <f>+ENERO!C13</f>
        <v>0</v>
      </c>
      <c r="D13" s="363">
        <f>ENERO!D13+FEBRERO!P13</f>
        <v>0</v>
      </c>
      <c r="E13" s="363">
        <f>ENERO!E13+FEBRERO!Q13</f>
        <v>0</v>
      </c>
      <c r="F13" s="143">
        <f>SUM(C13:E13)</f>
        <v>0</v>
      </c>
      <c r="G13" s="216">
        <f>ENERO!I13</f>
        <v>0</v>
      </c>
      <c r="H13" s="364">
        <v>0</v>
      </c>
      <c r="I13" s="143">
        <f>SUM(G13:H13)</f>
        <v>0</v>
      </c>
      <c r="J13" s="216">
        <f>ENERO!L13</f>
        <v>0</v>
      </c>
      <c r="K13" s="131">
        <f>+H13</f>
        <v>0</v>
      </c>
      <c r="L13" s="143">
        <f>SUM(J13:K13)</f>
        <v>0</v>
      </c>
      <c r="M13" s="216">
        <f>F13-I13</f>
        <v>0</v>
      </c>
      <c r="N13" s="143">
        <f>F13-L13</f>
        <v>0</v>
      </c>
      <c r="O13" s="372"/>
      <c r="P13" s="362">
        <v>0</v>
      </c>
      <c r="Q13" s="365">
        <v>0</v>
      </c>
      <c r="S13" s="356"/>
      <c r="T13" s="678"/>
      <c r="U13" s="357"/>
      <c r="V13" s="161"/>
      <c r="W13" s="161"/>
      <c r="X13" s="166"/>
      <c r="Y13" s="357"/>
      <c r="Z13" s="161"/>
      <c r="AA13" s="161"/>
      <c r="AB13" s="357"/>
      <c r="AC13" s="161"/>
      <c r="AD13" s="166"/>
      <c r="AE13" s="357"/>
      <c r="AF13" s="161"/>
      <c r="AG13" s="166"/>
      <c r="AH13" s="357"/>
      <c r="AI13" s="161"/>
      <c r="AJ13" s="166"/>
      <c r="AK13" s="10"/>
      <c r="AL13" s="358"/>
      <c r="AM13" s="359"/>
      <c r="AO13" s="20"/>
      <c r="AP13" s="517" t="s">
        <v>524</v>
      </c>
      <c r="AQ13" s="649">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1522586180</v>
      </c>
      <c r="BE13" s="89">
        <f>+K30+K33+K36+K38+K39+K40</f>
        <v>110396695</v>
      </c>
      <c r="BF13" s="90"/>
      <c r="BG13" s="91" t="s">
        <v>70</v>
      </c>
      <c r="BH13" s="84">
        <f t="shared" ref="BH13:BK15" si="10">BN29</f>
        <v>9451418396</v>
      </c>
      <c r="BI13" s="84">
        <f t="shared" si="10"/>
        <v>6283115707</v>
      </c>
      <c r="BJ13" s="84">
        <f t="shared" si="10"/>
        <v>1603454818</v>
      </c>
      <c r="BK13" s="85">
        <f t="shared" si="10"/>
        <v>690499903</v>
      </c>
      <c r="BM13" s="139" t="s">
        <v>428</v>
      </c>
      <c r="BN13" s="83">
        <f>X43-X55+X57-X61+X90-X102+X104-X108</f>
        <v>3914230005</v>
      </c>
      <c r="BO13" s="81">
        <f>AA43-AA55+AA57-AA61+AA90-AA102+AA104-AA108</f>
        <v>122345895</v>
      </c>
      <c r="BP13" s="81">
        <f>AD43-AD55+AD57-AD61+AD90-AD102+AD104-AD108</f>
        <v>122345895</v>
      </c>
      <c r="BQ13" s="82">
        <f>AF43-AF55+AF57-AF61+AF90-AF102+AF104-AF108</f>
        <v>96552795</v>
      </c>
    </row>
    <row r="14" spans="1:69" s="9" customFormat="1" ht="24.95" customHeight="1">
      <c r="A14" s="593">
        <f>+IF(ENERO!A14=0,"",ENERO!A14)</f>
        <v>1003</v>
      </c>
      <c r="B14" s="621" t="str">
        <f>+IF(ENERO!B14=0,"",ENERO!B14)</f>
        <v>Fondos Comunes y Especiales (Caja, Bancos, Invers. Tempor.) a Dic-31-2018</v>
      </c>
      <c r="C14" s="655">
        <f>+ENERO!C14</f>
        <v>4565434734</v>
      </c>
      <c r="D14" s="363">
        <f>ENERO!D14+FEBRERO!P14</f>
        <v>0</v>
      </c>
      <c r="E14" s="363">
        <f>ENERO!E14+FEBRERO!Q14</f>
        <v>5318248230</v>
      </c>
      <c r="F14" s="143">
        <f>SUM(C14:E14)</f>
        <v>9883682964</v>
      </c>
      <c r="G14" s="216">
        <f>ENERO!I14</f>
        <v>9883682964</v>
      </c>
      <c r="H14" s="364">
        <v>0</v>
      </c>
      <c r="I14" s="143">
        <f>SUM(G14:H14)</f>
        <v>9883682964</v>
      </c>
      <c r="J14" s="216">
        <f>ENERO!L14</f>
        <v>9883682964</v>
      </c>
      <c r="K14" s="131">
        <f>+H14</f>
        <v>0</v>
      </c>
      <c r="L14" s="143">
        <f>SUM(J14:K14)</f>
        <v>9883682964</v>
      </c>
      <c r="M14" s="216">
        <f>F14-I14</f>
        <v>0</v>
      </c>
      <c r="N14" s="143">
        <f>F14-L14</f>
        <v>0</v>
      </c>
      <c r="O14" s="372"/>
      <c r="P14" s="362">
        <v>0</v>
      </c>
      <c r="Q14" s="365">
        <v>0</v>
      </c>
      <c r="S14" s="686">
        <f>+IF(ENERO!S14=0,"",ENERO!S14)</f>
        <v>1010000</v>
      </c>
      <c r="T14" s="702" t="str">
        <f>+IF(ENERO!T14=0,"",ENERO!T14)</f>
        <v>Gastos de Administración</v>
      </c>
      <c r="U14" s="128">
        <f t="shared" ref="U14:AJ14" si="11">U16+U35+U43+U57</f>
        <v>6899222078</v>
      </c>
      <c r="V14" s="122">
        <f t="shared" si="11"/>
        <v>0</v>
      </c>
      <c r="W14" s="122">
        <f t="shared" si="11"/>
        <v>220000000</v>
      </c>
      <c r="X14" s="130">
        <f t="shared" si="11"/>
        <v>7119222078</v>
      </c>
      <c r="Y14" s="128">
        <f t="shared" si="11"/>
        <v>4265019160</v>
      </c>
      <c r="Z14" s="122">
        <f t="shared" si="11"/>
        <v>382724154</v>
      </c>
      <c r="AA14" s="129">
        <f t="shared" si="11"/>
        <v>4647743314</v>
      </c>
      <c r="AB14" s="128">
        <f t="shared" si="11"/>
        <v>688520989</v>
      </c>
      <c r="AC14" s="122">
        <f t="shared" si="11"/>
        <v>753425374</v>
      </c>
      <c r="AD14" s="130">
        <f t="shared" si="11"/>
        <v>1441946363</v>
      </c>
      <c r="AE14" s="128">
        <f t="shared" si="11"/>
        <v>432754179</v>
      </c>
      <c r="AF14" s="122">
        <f t="shared" si="11"/>
        <v>485118199</v>
      </c>
      <c r="AG14" s="130">
        <f t="shared" si="11"/>
        <v>917872378</v>
      </c>
      <c r="AH14" s="128">
        <f t="shared" si="11"/>
        <v>2471478764</v>
      </c>
      <c r="AI14" s="122">
        <f t="shared" si="11"/>
        <v>5677275715</v>
      </c>
      <c r="AJ14" s="130">
        <f t="shared" si="11"/>
        <v>6201349700</v>
      </c>
      <c r="AK14" s="10"/>
      <c r="AL14" s="128">
        <f>AL16+AL35+AL43+AL57</f>
        <v>0</v>
      </c>
      <c r="AM14" s="130">
        <f>AM16+AM35+AM43+AM57</f>
        <v>0</v>
      </c>
      <c r="AO14" s="21"/>
      <c r="AP14" s="11" t="s">
        <v>73</v>
      </c>
      <c r="AQ14" s="649">
        <f>F19-AQ7-AQ8-AQ9-AQ10-AQ11-AQ12-AQ13</f>
        <v>12341547159</v>
      </c>
      <c r="AR14" s="12">
        <f>I19-AR7-AR8-AR9-AR10-AR11-AR12-AR13</f>
        <v>4375480468</v>
      </c>
      <c r="AS14" s="12">
        <f>L19-AS7-AS8-AS9-AS10-AS11-AS12-AS13</f>
        <v>2139518371</v>
      </c>
      <c r="AT14" s="372"/>
      <c r="AU14" s="340">
        <f t="shared" si="0"/>
        <v>0.35453257291240076</v>
      </c>
      <c r="AV14" s="340">
        <f t="shared" si="1"/>
        <v>0.1733590078647286</v>
      </c>
      <c r="AW14" s="341">
        <f>(I41+I46+I49+I52+I55+I58+I61+I64+I67+I70+I73+I78+I81+I82+I83+I85+I94+I104)/AO$2*12+I47+I50+I53+I56+I59+I62+I65+I68+I71+I74</f>
        <v>20785859125</v>
      </c>
      <c r="AX14" s="341">
        <f>(L41+L46+L49+L52+L55+L58+L61+L64+L67+L70+L73+L78+L81+L82+L83+L85+L94+L104)/AO$2*12+L47+L50+L53+L56+L59+L62+L65+L68+L71+L74</f>
        <v>7282710331</v>
      </c>
      <c r="AY14" s="341">
        <f t="shared" si="2"/>
        <v>8444311966</v>
      </c>
      <c r="AZ14" s="342">
        <f t="shared" si="3"/>
        <v>-5058836828</v>
      </c>
      <c r="BB14" s="373" t="s">
        <v>417</v>
      </c>
      <c r="BC14" s="92">
        <f>+F64</f>
        <v>8371510292</v>
      </c>
      <c r="BD14" s="93">
        <f>+I64</f>
        <v>2013083818</v>
      </c>
      <c r="BE14" s="94">
        <f>K64</f>
        <v>61647947</v>
      </c>
      <c r="BF14" s="95"/>
      <c r="BG14" s="91" t="s">
        <v>74</v>
      </c>
      <c r="BH14" s="81">
        <f t="shared" si="10"/>
        <v>262344980</v>
      </c>
      <c r="BI14" s="81">
        <f t="shared" si="10"/>
        <v>51937021</v>
      </c>
      <c r="BJ14" s="81">
        <f t="shared" si="10"/>
        <v>51937021</v>
      </c>
      <c r="BK14" s="82">
        <f t="shared" si="10"/>
        <v>25857009</v>
      </c>
      <c r="BM14" s="138" t="s">
        <v>424</v>
      </c>
      <c r="BN14" s="86">
        <f>X35-X41+X83-X88</f>
        <v>23397553383</v>
      </c>
      <c r="BO14" s="84">
        <f>AA35-AA41+AA83-AA88</f>
        <v>20784078347</v>
      </c>
      <c r="BP14" s="84">
        <f>AD35-AD41+AD83-AD88</f>
        <v>3512121851</v>
      </c>
      <c r="BQ14" s="85">
        <f>AF35-AF41+AF83-AF88</f>
        <v>114154212</v>
      </c>
    </row>
    <row r="15" spans="1:69" s="9" customFormat="1" ht="24.95" customHeight="1" thickBot="1">
      <c r="A15" s="594">
        <f>+IF(ENERO!A15=0,"",ENERO!A15)</f>
        <v>1004</v>
      </c>
      <c r="B15" s="621" t="str">
        <f>+IF(ENERO!B15=0,"",ENERO!B15)</f>
        <v>Cesantias Ley 50/1990 a Dic-31-2018</v>
      </c>
      <c r="C15" s="759">
        <f>+ENERO!C15</f>
        <v>280000000</v>
      </c>
      <c r="D15" s="375">
        <f>ENERO!D15+FEBRERO!P15</f>
        <v>0</v>
      </c>
      <c r="E15" s="375">
        <f>ENERO!E15+FEBRERO!Q15</f>
        <v>0</v>
      </c>
      <c r="F15" s="376">
        <f>SUM(C15:E15)</f>
        <v>280000000</v>
      </c>
      <c r="G15" s="377">
        <f>ENERO!I15</f>
        <v>0</v>
      </c>
      <c r="H15" s="378">
        <v>0</v>
      </c>
      <c r="I15" s="376">
        <f>SUM(G15:H15)</f>
        <v>0</v>
      </c>
      <c r="J15" s="377">
        <f>ENERO!L15</f>
        <v>0</v>
      </c>
      <c r="K15" s="165">
        <f>+H15</f>
        <v>0</v>
      </c>
      <c r="L15" s="376">
        <f>SUM(J15:K15)</f>
        <v>0</v>
      </c>
      <c r="M15" s="377">
        <f>F15-I15</f>
        <v>280000000</v>
      </c>
      <c r="N15" s="376">
        <f>F15-L15</f>
        <v>280000000</v>
      </c>
      <c r="O15" s="372"/>
      <c r="P15" s="374">
        <v>0</v>
      </c>
      <c r="Q15" s="379">
        <v>0</v>
      </c>
      <c r="S15" s="356" t="str">
        <f>+IF(ENERO!S15=0,"",ENERO!S15)</f>
        <v/>
      </c>
      <c r="T15" s="678" t="str">
        <f>+IF(ENERO!T15=0,"",ENERO!T15)</f>
        <v xml:space="preserve"> </v>
      </c>
      <c r="U15" s="357"/>
      <c r="V15" s="161"/>
      <c r="W15" s="161"/>
      <c r="X15" s="166"/>
      <c r="Y15" s="357"/>
      <c r="Z15" s="161"/>
      <c r="AA15" s="161"/>
      <c r="AB15" s="357"/>
      <c r="AC15" s="161"/>
      <c r="AD15" s="166"/>
      <c r="AE15" s="357"/>
      <c r="AF15" s="161"/>
      <c r="AG15" s="166"/>
      <c r="AH15" s="357"/>
      <c r="AI15" s="161"/>
      <c r="AJ15" s="166"/>
      <c r="AK15" s="10"/>
      <c r="AL15" s="170"/>
      <c r="AM15" s="171"/>
      <c r="AO15" s="20"/>
      <c r="AP15" s="11" t="s">
        <v>76</v>
      </c>
      <c r="AQ15" s="649">
        <f>F113</f>
        <v>203293306</v>
      </c>
      <c r="AR15" s="12">
        <f>I113</f>
        <v>11780274</v>
      </c>
      <c r="AS15" s="12">
        <f>L113</f>
        <v>11780274</v>
      </c>
      <c r="AT15" s="13"/>
      <c r="AU15" s="332">
        <f t="shared" si="0"/>
        <v>5.7947181005556569E-2</v>
      </c>
      <c r="AV15" s="332">
        <f t="shared" si="1"/>
        <v>5.7947181005556569E-2</v>
      </c>
      <c r="AW15" s="12">
        <f>+AR15</f>
        <v>11780274</v>
      </c>
      <c r="AX15" s="12">
        <f>+AS15</f>
        <v>11780274</v>
      </c>
      <c r="AY15" s="12">
        <f t="shared" si="2"/>
        <v>-191513032</v>
      </c>
      <c r="AZ15" s="333">
        <f t="shared" si="3"/>
        <v>-191513032</v>
      </c>
      <c r="BA15" s="372"/>
      <c r="BB15" s="373" t="s">
        <v>77</v>
      </c>
      <c r="BC15" s="92">
        <f>F46+F49</f>
        <v>130489617</v>
      </c>
      <c r="BD15" s="93">
        <f>I46+I49</f>
        <v>201051491</v>
      </c>
      <c r="BE15" s="94">
        <f>K46+K49</f>
        <v>0</v>
      </c>
      <c r="BF15" s="95"/>
      <c r="BG15" s="91" t="s">
        <v>78</v>
      </c>
      <c r="BH15" s="81">
        <f t="shared" si="10"/>
        <v>14482840779</v>
      </c>
      <c r="BI15" s="81">
        <f t="shared" si="10"/>
        <v>4526833722</v>
      </c>
      <c r="BJ15" s="81">
        <f t="shared" si="10"/>
        <v>4526833722</v>
      </c>
      <c r="BK15" s="82">
        <f t="shared" si="10"/>
        <v>2121547071</v>
      </c>
      <c r="BM15" s="71" t="s">
        <v>66</v>
      </c>
      <c r="BN15" s="83">
        <f>SUM(BN16:BN21)</f>
        <v>11603819527</v>
      </c>
      <c r="BO15" s="81">
        <f>SUM(BO16:BO21)</f>
        <v>5328469850</v>
      </c>
      <c r="BP15" s="81">
        <f>SUM(BP16:BP21)</f>
        <v>1408365496</v>
      </c>
      <c r="BQ15" s="82">
        <f>SUM(BQ16:BQ21)</f>
        <v>301892552</v>
      </c>
    </row>
    <row r="16" spans="1:69" s="9" customFormat="1" ht="24.95" customHeight="1" thickBot="1">
      <c r="A16" s="713" t="str">
        <f>+IF(ENERO!A16=0,"",ENERO!A16)</f>
        <v/>
      </c>
      <c r="B16" s="622" t="str">
        <f>+IF(ENERO!B16=0,"",ENERO!B16)</f>
        <v/>
      </c>
      <c r="C16" s="380"/>
      <c r="D16" s="380"/>
      <c r="E16" s="380"/>
      <c r="F16" s="380"/>
      <c r="G16" s="380"/>
      <c r="H16" s="380"/>
      <c r="I16" s="380"/>
      <c r="J16" s="380"/>
      <c r="K16" s="380"/>
      <c r="L16" s="380"/>
      <c r="M16" s="380"/>
      <c r="N16" s="381"/>
      <c r="O16" s="372"/>
      <c r="P16" s="382"/>
      <c r="Q16" s="383"/>
      <c r="S16" s="687">
        <f>+IF(ENERO!S16=0,"",ENERO!S16)</f>
        <v>1010100</v>
      </c>
      <c r="T16" s="703" t="str">
        <f>+IF(ENERO!T16=0,"",ENERO!T16)</f>
        <v>Servicios Personales Asociados a Nómina</v>
      </c>
      <c r="U16" s="128">
        <f t="shared" ref="U16:AJ16" si="12">SUM(U17:U20)+U33</f>
        <v>1868719642</v>
      </c>
      <c r="V16" s="122">
        <f t="shared" si="12"/>
        <v>-120000000</v>
      </c>
      <c r="W16" s="122">
        <f t="shared" si="12"/>
        <v>120000000</v>
      </c>
      <c r="X16" s="130">
        <f t="shared" si="12"/>
        <v>1868719642</v>
      </c>
      <c r="Y16" s="128">
        <f t="shared" si="12"/>
        <v>106005776</v>
      </c>
      <c r="Z16" s="122">
        <f t="shared" si="12"/>
        <v>114111066</v>
      </c>
      <c r="AA16" s="129">
        <f t="shared" si="12"/>
        <v>220116842</v>
      </c>
      <c r="AB16" s="128">
        <f t="shared" si="12"/>
        <v>106005776</v>
      </c>
      <c r="AC16" s="122">
        <f t="shared" si="12"/>
        <v>114111066</v>
      </c>
      <c r="AD16" s="130">
        <f t="shared" si="12"/>
        <v>220116842</v>
      </c>
      <c r="AE16" s="128">
        <f t="shared" si="12"/>
        <v>106005776</v>
      </c>
      <c r="AF16" s="122">
        <f t="shared" si="12"/>
        <v>114111066</v>
      </c>
      <c r="AG16" s="130">
        <f t="shared" si="12"/>
        <v>220116842</v>
      </c>
      <c r="AH16" s="128">
        <f t="shared" si="12"/>
        <v>1648602800</v>
      </c>
      <c r="AI16" s="122">
        <f t="shared" si="12"/>
        <v>1648602800</v>
      </c>
      <c r="AJ16" s="130">
        <f t="shared" si="12"/>
        <v>1648602800</v>
      </c>
      <c r="AK16" s="10"/>
      <c r="AL16" s="128">
        <f>SUM(AL17:AL20)+AL33</f>
        <v>-120000000</v>
      </c>
      <c r="AM16" s="130">
        <f>SUM(AM17:AM20)+AM33</f>
        <v>0</v>
      </c>
      <c r="AO16" s="21"/>
      <c r="AP16" s="384" t="s">
        <v>81</v>
      </c>
      <c r="AQ16" s="650">
        <f>F10</f>
        <v>10163682964</v>
      </c>
      <c r="AR16" s="385">
        <f>I10</f>
        <v>9883682964</v>
      </c>
      <c r="AS16" s="385">
        <f>L10</f>
        <v>9883682964</v>
      </c>
      <c r="AT16" s="372"/>
      <c r="AU16" s="386">
        <f t="shared" si="0"/>
        <v>0.97245093132167082</v>
      </c>
      <c r="AV16" s="386">
        <f t="shared" si="1"/>
        <v>0.97245093132167082</v>
      </c>
      <c r="AW16" s="385">
        <f>+AR16</f>
        <v>9883682964</v>
      </c>
      <c r="AX16" s="385">
        <f>+AS16</f>
        <v>9883682964</v>
      </c>
      <c r="AY16" s="12">
        <f t="shared" si="2"/>
        <v>-280000000</v>
      </c>
      <c r="AZ16" s="387">
        <f t="shared" si="3"/>
        <v>-280000000</v>
      </c>
      <c r="BA16" s="372"/>
      <c r="BB16" s="355" t="s">
        <v>418</v>
      </c>
      <c r="BC16" s="73">
        <f>F43</f>
        <v>0</v>
      </c>
      <c r="BD16" s="74">
        <f>I43</f>
        <v>0</v>
      </c>
      <c r="BE16" s="75">
        <f>K43</f>
        <v>0</v>
      </c>
      <c r="BF16" s="76"/>
      <c r="BG16" s="91" t="s">
        <v>82</v>
      </c>
      <c r="BH16" s="96">
        <f>BH7+BH12+BH13+BH14+BH15</f>
        <v>81277350800</v>
      </c>
      <c r="BI16" s="96">
        <f>BI7+BI12+BI13+BI14+BI15</f>
        <v>45049998555</v>
      </c>
      <c r="BJ16" s="96">
        <f>BJ7+BJ12+BJ13+BJ14+BJ15</f>
        <v>15515990565</v>
      </c>
      <c r="BK16" s="97">
        <f>BK7+BK12+BK13+BK14+BK15</f>
        <v>4407016072</v>
      </c>
      <c r="BM16" s="137" t="s">
        <v>83</v>
      </c>
      <c r="BN16" s="83">
        <f>X114-X121+X147-X148-X153</f>
        <v>2790000000</v>
      </c>
      <c r="BO16" s="81">
        <f>AA114-AA121+AA147-AA148-AA153</f>
        <v>144104652</v>
      </c>
      <c r="BP16" s="81">
        <f>AD114-AD121+AD147-AD148-AD153</f>
        <v>72243990</v>
      </c>
      <c r="BQ16" s="82">
        <f>AF114-AF121+AF147-AF148-AF153</f>
        <v>22227891</v>
      </c>
    </row>
    <row r="17" spans="1:70" s="372" customFormat="1" ht="24.95" customHeight="1" thickBot="1">
      <c r="A17" s="712">
        <f>+IF(ENERO!A17=0,"",ENERO!A17)</f>
        <v>11</v>
      </c>
      <c r="B17" s="623" t="str">
        <f>+IF(ENERO!B17=0,"",ENERO!B17)</f>
        <v>INGRESOS  CORRIENTES</v>
      </c>
      <c r="C17" s="324">
        <f>C19+C94+C104</f>
        <v>61374630552</v>
      </c>
      <c r="D17" s="321">
        <f t="shared" ref="D17:Q17" si="13">D19+D94+D104</f>
        <v>0</v>
      </c>
      <c r="E17" s="321">
        <f t="shared" si="13"/>
        <v>9535743978</v>
      </c>
      <c r="F17" s="321">
        <f t="shared" si="13"/>
        <v>70910374530</v>
      </c>
      <c r="G17" s="321">
        <f t="shared" si="13"/>
        <v>8613079978</v>
      </c>
      <c r="H17" s="321">
        <f t="shared" si="13"/>
        <v>9758398910</v>
      </c>
      <c r="I17" s="321">
        <f t="shared" si="13"/>
        <v>18371478888</v>
      </c>
      <c r="J17" s="321">
        <f t="shared" si="13"/>
        <v>4197188920</v>
      </c>
      <c r="K17" s="321">
        <f t="shared" si="13"/>
        <v>4181579571</v>
      </c>
      <c r="L17" s="321">
        <f t="shared" si="13"/>
        <v>8378768491</v>
      </c>
      <c r="M17" s="321">
        <f t="shared" si="13"/>
        <v>52538895642</v>
      </c>
      <c r="N17" s="322">
        <f t="shared" si="13"/>
        <v>62531606039</v>
      </c>
      <c r="P17" s="174">
        <f t="shared" si="13"/>
        <v>0</v>
      </c>
      <c r="Q17" s="175">
        <f t="shared" si="13"/>
        <v>4655220904</v>
      </c>
      <c r="R17" s="9"/>
      <c r="S17" s="688">
        <f>+IF(ENERO!S17=0,"",ENERO!S17)</f>
        <v>1010101</v>
      </c>
      <c r="T17" s="704" t="str">
        <f>+IF(ENERO!T17=0,"",ENERO!T17)</f>
        <v>Sueldos del Personal de nómina</v>
      </c>
      <c r="U17" s="29">
        <f>+ENERO!U17</f>
        <v>1519896974</v>
      </c>
      <c r="V17" s="15">
        <f>ENERO!V17+FEBRERO!AL17</f>
        <v>0</v>
      </c>
      <c r="W17" s="15">
        <f>ENERO!W17+FEBRERO!AM17</f>
        <v>0</v>
      </c>
      <c r="X17" s="16">
        <f>SUM(U17:W17)</f>
        <v>1519896974</v>
      </c>
      <c r="Y17" s="19">
        <f>ENERO!AA17</f>
        <v>97283409</v>
      </c>
      <c r="Z17" s="364">
        <v>108352648</v>
      </c>
      <c r="AA17" s="18">
        <f>SUM(Y17:Z17)</f>
        <v>205636057</v>
      </c>
      <c r="AB17" s="19">
        <f>ENERO!AD17</f>
        <v>97283409</v>
      </c>
      <c r="AC17" s="364">
        <v>108352648</v>
      </c>
      <c r="AD17" s="16">
        <f>SUM(AB17:AC17)</f>
        <v>205636057</v>
      </c>
      <c r="AE17" s="19">
        <f>ENERO!AG17</f>
        <v>97283409</v>
      </c>
      <c r="AF17" s="364">
        <v>108352648</v>
      </c>
      <c r="AG17" s="16">
        <f>SUM(AE17:AF17)</f>
        <v>205636057</v>
      </c>
      <c r="AH17" s="19">
        <f>X17-AA17</f>
        <v>1314260917</v>
      </c>
      <c r="AI17" s="15">
        <f>X17-AD17</f>
        <v>1314260917</v>
      </c>
      <c r="AJ17" s="16">
        <f>X17-AG17</f>
        <v>1314260917</v>
      </c>
      <c r="AK17" s="9"/>
      <c r="AL17" s="362">
        <v>0</v>
      </c>
      <c r="AM17" s="365">
        <v>0</v>
      </c>
      <c r="AN17" s="9"/>
      <c r="AO17" s="339"/>
      <c r="AP17" s="389" t="s">
        <v>85</v>
      </c>
      <c r="AQ17" s="390">
        <f>SUM(AQ7:AQ16)</f>
        <v>73196279604</v>
      </c>
      <c r="AR17" s="391">
        <f>SUM(AR7:AR16)</f>
        <v>28244494044</v>
      </c>
      <c r="AS17" s="392">
        <f>SUM(AS7:AS16)</f>
        <v>18266346349</v>
      </c>
      <c r="AT17" s="393"/>
      <c r="AU17" s="391">
        <f t="shared" si="0"/>
        <v>0.38587335581543009</v>
      </c>
      <c r="AV17" s="391">
        <f t="shared" si="1"/>
        <v>0.24955293421773569</v>
      </c>
      <c r="AW17" s="394">
        <f>SUM(AX7:AX16)</f>
        <v>23588894779</v>
      </c>
      <c r="AX17" s="394">
        <f>SUM(AX7:AX16)</f>
        <v>23588894779</v>
      </c>
      <c r="AY17" s="394">
        <f>SUM(AY7:AY16)</f>
        <v>10348877557</v>
      </c>
      <c r="AZ17" s="395">
        <f>SUM(AZ7:AZ16)</f>
        <v>-49607384825</v>
      </c>
      <c r="BA17" s="9"/>
      <c r="BB17" s="355" t="s">
        <v>419</v>
      </c>
      <c r="BC17" s="73">
        <f>F41+F52+F55+F58+F61+F67+F70+F73+F76+F79+F82+F86+F87+F88+F89+F90+F91</f>
        <v>3426792455</v>
      </c>
      <c r="BD17" s="74">
        <f>I41+I52+I55+I58+I61+I67+I70+I73+I76+I79+I82+I86+I87+I88+I89+I90+I91</f>
        <v>1152546330</v>
      </c>
      <c r="BE17" s="75">
        <f>K41+K52+K55+K58+K61+K67+K70+K73+K76+K79+K82+K86+K87+K88+K89+K90+K91</f>
        <v>883687505</v>
      </c>
      <c r="BF17" s="76"/>
      <c r="BG17" s="98" t="s">
        <v>86</v>
      </c>
      <c r="BH17" s="99">
        <f>BC23-BH16</f>
        <v>-81277350800</v>
      </c>
      <c r="BI17" s="99"/>
      <c r="BJ17" s="99"/>
      <c r="BK17" s="100"/>
      <c r="BM17" s="137" t="s">
        <v>434</v>
      </c>
      <c r="BN17" s="83">
        <f>X123-X126-X139+X155-X156-X167-X168</f>
        <v>4544712263</v>
      </c>
      <c r="BO17" s="81">
        <f>AA123-AA126-AA139+AA155-AA156-AA167-AA168</f>
        <v>3045465074</v>
      </c>
      <c r="BP17" s="81">
        <f>AD123-AD126-AD139+AD155-AD156-AD167-AD168</f>
        <v>735828000</v>
      </c>
      <c r="BQ17" s="82">
        <f>AF123-AF126-AF139+AF155-AF156-AF167-AF168</f>
        <v>72011720</v>
      </c>
      <c r="BR17" s="9"/>
    </row>
    <row r="18" spans="1:70" s="9" customFormat="1" ht="24.95" customHeight="1" thickBot="1">
      <c r="A18" s="593" t="str">
        <f>+IF(ENERO!A18=0,"",ENERO!A18)</f>
        <v/>
      </c>
      <c r="B18" s="624" t="str">
        <f>+IF(ENERO!B18=0,"",ENERO!B18)</f>
        <v/>
      </c>
      <c r="C18" s="284"/>
      <c r="D18" s="284"/>
      <c r="E18" s="284"/>
      <c r="F18" s="284"/>
      <c r="G18" s="284"/>
      <c r="H18" s="284"/>
      <c r="I18" s="284"/>
      <c r="J18" s="284"/>
      <c r="K18" s="284"/>
      <c r="L18" s="284"/>
      <c r="M18" s="284"/>
      <c r="N18" s="453"/>
      <c r="P18" s="397"/>
      <c r="Q18" s="396"/>
      <c r="S18" s="688">
        <f>+IF(ENERO!S18=0,"",ENERO!S18)</f>
        <v>1010102</v>
      </c>
      <c r="T18" s="704" t="str">
        <f>+IF(ENERO!T18=0,"",ENERO!T18)</f>
        <v>Horas Extras,Dominic.,Festivos y Rec. Nocturnos</v>
      </c>
      <c r="U18" s="29">
        <f>+ENERO!U18</f>
        <v>7017105</v>
      </c>
      <c r="V18" s="15">
        <f>ENERO!V18+FEBRERO!AL18</f>
        <v>0</v>
      </c>
      <c r="W18" s="15">
        <f>ENERO!W18+FEBRERO!AM18</f>
        <v>0</v>
      </c>
      <c r="X18" s="16">
        <f>SUM(U18:W18)</f>
        <v>7017105</v>
      </c>
      <c r="Y18" s="19">
        <f>ENERO!AA18</f>
        <v>0</v>
      </c>
      <c r="Z18" s="364">
        <v>833303</v>
      </c>
      <c r="AA18" s="18">
        <f>SUM(Y18:Z18)</f>
        <v>833303</v>
      </c>
      <c r="AB18" s="19">
        <f>ENERO!AD18</f>
        <v>0</v>
      </c>
      <c r="AC18" s="364">
        <v>833303</v>
      </c>
      <c r="AD18" s="16">
        <f>SUM(AB18:AC18)</f>
        <v>833303</v>
      </c>
      <c r="AE18" s="19">
        <f>ENERO!AG18</f>
        <v>0</v>
      </c>
      <c r="AF18" s="364">
        <v>833303</v>
      </c>
      <c r="AG18" s="16">
        <f>SUM(AE18:AF18)</f>
        <v>833303</v>
      </c>
      <c r="AH18" s="19">
        <f>X18-AA18</f>
        <v>6183802</v>
      </c>
      <c r="AI18" s="15">
        <f>X18-AD18</f>
        <v>6183802</v>
      </c>
      <c r="AJ18" s="16">
        <f>X18-AG18</f>
        <v>6183802</v>
      </c>
      <c r="AL18" s="362">
        <v>0</v>
      </c>
      <c r="AM18" s="365">
        <v>0</v>
      </c>
      <c r="AO18" s="21"/>
      <c r="AP18" s="284" t="s">
        <v>51</v>
      </c>
      <c r="AQ18" s="284"/>
      <c r="AR18" s="284"/>
      <c r="AS18" s="284"/>
      <c r="AT18" s="284"/>
      <c r="AU18" s="284"/>
      <c r="AV18" s="284"/>
      <c r="AW18" s="284"/>
      <c r="AX18" s="284"/>
      <c r="AY18" s="284"/>
      <c r="AZ18" s="284"/>
      <c r="BA18" s="372"/>
      <c r="BB18" s="373" t="s">
        <v>420</v>
      </c>
      <c r="BC18" s="73">
        <f>+F95+F96+F97+F99</f>
        <v>7982899073</v>
      </c>
      <c r="BD18" s="74">
        <f>+I95+I96+I97+I99</f>
        <v>0</v>
      </c>
      <c r="BE18" s="75">
        <f>+K95+K96+K97+K99</f>
        <v>0</v>
      </c>
      <c r="BF18" s="95"/>
      <c r="BM18" s="137" t="s">
        <v>87</v>
      </c>
      <c r="BN18" s="83">
        <f>X148+X156</f>
        <v>3002025000</v>
      </c>
      <c r="BO18" s="81">
        <f>AA148+AA156</f>
        <v>1882960789</v>
      </c>
      <c r="BP18" s="81">
        <f>AD148+AD156</f>
        <v>344354171</v>
      </c>
      <c r="BQ18" s="82">
        <f>AF148+AF156</f>
        <v>113932650</v>
      </c>
      <c r="BR18" s="372"/>
    </row>
    <row r="19" spans="1:70" s="9" customFormat="1" ht="24.95" customHeight="1" thickBot="1">
      <c r="A19" s="714">
        <f>+IF(ENERO!A19=0,"",ENERO!A19)</f>
        <v>113</v>
      </c>
      <c r="B19" s="625" t="str">
        <f>+IF(ENERO!B19=0,"",ENERO!B19)</f>
        <v>VENTA DE SERVICIOS</v>
      </c>
      <c r="C19" s="324">
        <f t="shared" ref="C19:N19" si="14">C21+C85</f>
        <v>53293559356</v>
      </c>
      <c r="D19" s="321">
        <f t="shared" si="14"/>
        <v>0</v>
      </c>
      <c r="E19" s="321">
        <f t="shared" si="14"/>
        <v>9535743978</v>
      </c>
      <c r="F19" s="322">
        <f t="shared" si="14"/>
        <v>62829303334</v>
      </c>
      <c r="G19" s="324">
        <f t="shared" si="14"/>
        <v>8608789492</v>
      </c>
      <c r="H19" s="321">
        <f t="shared" si="14"/>
        <v>9740241314</v>
      </c>
      <c r="I19" s="322">
        <f t="shared" si="14"/>
        <v>18349030806</v>
      </c>
      <c r="J19" s="324">
        <f t="shared" si="14"/>
        <v>4192898434</v>
      </c>
      <c r="K19" s="321">
        <f t="shared" si="14"/>
        <v>4177984677</v>
      </c>
      <c r="L19" s="322">
        <f t="shared" si="14"/>
        <v>8370883111</v>
      </c>
      <c r="M19" s="324">
        <f t="shared" si="14"/>
        <v>44480272528</v>
      </c>
      <c r="N19" s="322">
        <f t="shared" si="14"/>
        <v>54458420223</v>
      </c>
      <c r="O19" s="372"/>
      <c r="P19" s="43">
        <f>P21+P85</f>
        <v>0</v>
      </c>
      <c r="Q19" s="45">
        <f>Q21+Q85</f>
        <v>4655220904</v>
      </c>
      <c r="S19" s="688">
        <f>+IF(ENERO!S19=0,"",ENERO!S19)</f>
        <v>1010103</v>
      </c>
      <c r="T19" s="704" t="str">
        <f>+IF(ENERO!T19=0,"",ENERO!T19)</f>
        <v>Prima Técnica</v>
      </c>
      <c r="U19" s="29">
        <f>+ENERO!U19</f>
        <v>0</v>
      </c>
      <c r="V19" s="15">
        <f>ENERO!V19+FEBRERO!AL19</f>
        <v>0</v>
      </c>
      <c r="W19" s="15">
        <f>ENERO!W19+FEBRERO!AM19</f>
        <v>0</v>
      </c>
      <c r="X19" s="16">
        <f>SUM(U19:W19)</f>
        <v>0</v>
      </c>
      <c r="Y19" s="19">
        <f>ENERO!AA19</f>
        <v>0</v>
      </c>
      <c r="Z19" s="364">
        <v>0</v>
      </c>
      <c r="AA19" s="18">
        <f>SUM(Y19:Z19)</f>
        <v>0</v>
      </c>
      <c r="AB19" s="19">
        <f>ENERO!AD19</f>
        <v>0</v>
      </c>
      <c r="AC19" s="364">
        <v>0</v>
      </c>
      <c r="AD19" s="16">
        <f>SUM(AB19:AC19)</f>
        <v>0</v>
      </c>
      <c r="AE19" s="19">
        <f>ENERO!AG19</f>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98172123</v>
      </c>
      <c r="BD19" s="93">
        <f>+I105+I106+I107+I108+I109+I110+I98+I100+I101</f>
        <v>22448082</v>
      </c>
      <c r="BE19" s="94">
        <f>+K105+K106+K107+K108+K109+K110+K98+K100+K101+K98+K100+K101</f>
        <v>3594894</v>
      </c>
      <c r="BF19" s="57"/>
      <c r="BG19" s="372"/>
      <c r="BH19" s="372"/>
      <c r="BI19" s="372"/>
      <c r="BJ19" s="372"/>
      <c r="BK19" s="372"/>
      <c r="BM19" s="137" t="s">
        <v>94</v>
      </c>
      <c r="BN19" s="83">
        <f>X126+X167</f>
        <v>740000000</v>
      </c>
      <c r="BO19" s="81">
        <f>AA126+AA167</f>
        <v>162111790</v>
      </c>
      <c r="BP19" s="81">
        <f>AD126+AD167</f>
        <v>162111790</v>
      </c>
      <c r="BQ19" s="82">
        <f>AF126+AF167</f>
        <v>52257558</v>
      </c>
    </row>
    <row r="20" spans="1:70" s="412" customFormat="1" ht="24.95" customHeight="1" thickBot="1">
      <c r="A20" s="593" t="str">
        <f>+IF(ENERO!A20=0,"",ENERO!A20)</f>
        <v/>
      </c>
      <c r="B20" s="626" t="str">
        <f>+IF(ENERO!B20=0,"",ENERO!B20)</f>
        <v/>
      </c>
      <c r="C20" s="284"/>
      <c r="D20" s="284"/>
      <c r="E20" s="284"/>
      <c r="F20" s="284"/>
      <c r="G20" s="284"/>
      <c r="H20" s="284"/>
      <c r="I20" s="284"/>
      <c r="J20" s="284"/>
      <c r="K20" s="284"/>
      <c r="L20" s="284"/>
      <c r="M20" s="284"/>
      <c r="N20" s="453"/>
      <c r="O20" s="9"/>
      <c r="P20" s="397"/>
      <c r="Q20" s="396"/>
      <c r="R20" s="9"/>
      <c r="S20" s="688">
        <f>+IF(ENERO!S20=0,"",ENERO!S20)</f>
        <v>1010104</v>
      </c>
      <c r="T20" s="704" t="str">
        <f>+IF(ENERO!T20=0,"",ENERO!T20)</f>
        <v>Otros</v>
      </c>
      <c r="U20" s="29">
        <f t="shared" ref="U20:AJ20" si="15">SUM(U21:U32)</f>
        <v>341805563</v>
      </c>
      <c r="V20" s="15">
        <f t="shared" si="15"/>
        <v>0</v>
      </c>
      <c r="W20" s="15">
        <f t="shared" si="15"/>
        <v>0</v>
      </c>
      <c r="X20" s="16">
        <f t="shared" si="15"/>
        <v>341805563</v>
      </c>
      <c r="Y20" s="19">
        <f t="shared" si="15"/>
        <v>8722367</v>
      </c>
      <c r="Z20" s="142">
        <f t="shared" si="15"/>
        <v>4925115</v>
      </c>
      <c r="AA20" s="18">
        <f t="shared" si="15"/>
        <v>13647482</v>
      </c>
      <c r="AB20" s="19">
        <f t="shared" si="15"/>
        <v>8722367</v>
      </c>
      <c r="AC20" s="142">
        <f t="shared" si="15"/>
        <v>4925115</v>
      </c>
      <c r="AD20" s="16">
        <f t="shared" si="15"/>
        <v>13647482</v>
      </c>
      <c r="AE20" s="19">
        <f t="shared" si="15"/>
        <v>8722367</v>
      </c>
      <c r="AF20" s="142">
        <f t="shared" si="15"/>
        <v>4925115</v>
      </c>
      <c r="AG20" s="16">
        <f t="shared" si="15"/>
        <v>13647482</v>
      </c>
      <c r="AH20" s="19">
        <f t="shared" si="15"/>
        <v>328158081</v>
      </c>
      <c r="AI20" s="15">
        <f t="shared" si="15"/>
        <v>328158081</v>
      </c>
      <c r="AJ20" s="16">
        <f t="shared" si="15"/>
        <v>328158081</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203293306</v>
      </c>
      <c r="BD20" s="66">
        <f>+I115+I117+I119+I120+I121+I123+I124</f>
        <v>11780274</v>
      </c>
      <c r="BE20" s="67">
        <f>+K115+K117+K119+K120+K121+K123+K124</f>
        <v>8782287</v>
      </c>
      <c r="BF20" s="57"/>
      <c r="BG20" s="372"/>
      <c r="BH20" s="372"/>
      <c r="BI20" s="372"/>
      <c r="BJ20" s="372"/>
      <c r="BK20" s="372"/>
      <c r="BL20" s="372"/>
      <c r="BM20" s="139" t="s">
        <v>429</v>
      </c>
      <c r="BN20" s="83">
        <f>+X141-X143</f>
        <v>527082264</v>
      </c>
      <c r="BO20" s="81">
        <f>+AA141-AA143</f>
        <v>93827545</v>
      </c>
      <c r="BP20" s="81">
        <f>+AD141-AD143</f>
        <v>93827545</v>
      </c>
      <c r="BQ20" s="82">
        <f>+AF141-AF143</f>
        <v>41462733</v>
      </c>
      <c r="BR20" s="9"/>
    </row>
    <row r="21" spans="1:70" s="412" customFormat="1" ht="24.95" customHeight="1" thickBot="1">
      <c r="A21" s="715">
        <f>+IF(ENERO!A21=0,"",ENERO!A21)</f>
        <v>11301</v>
      </c>
      <c r="B21" s="627" t="str">
        <f>+IF(ENERO!B21=0,"",ENERO!B21)</f>
        <v>Venta de Servicios de Salud</v>
      </c>
      <c r="C21" s="174">
        <f t="shared" ref="C21:N21" si="16">C22+C25+C28+C41+C42+C45+C48+C51+C54+C57+C60+C63+C66+C69+C72+C75+C78+C81</f>
        <v>53293559356</v>
      </c>
      <c r="D21" s="344">
        <f t="shared" si="16"/>
        <v>0</v>
      </c>
      <c r="E21" s="344">
        <f t="shared" si="16"/>
        <v>6693381703</v>
      </c>
      <c r="F21" s="344">
        <f t="shared" si="16"/>
        <v>59986941059</v>
      </c>
      <c r="G21" s="344">
        <f t="shared" si="16"/>
        <v>8580314517</v>
      </c>
      <c r="H21" s="344">
        <f t="shared" si="16"/>
        <v>8906682314</v>
      </c>
      <c r="I21" s="344">
        <f t="shared" si="16"/>
        <v>17486996831</v>
      </c>
      <c r="J21" s="344">
        <f t="shared" si="16"/>
        <v>4164423459</v>
      </c>
      <c r="K21" s="344">
        <f t="shared" si="16"/>
        <v>3344425677</v>
      </c>
      <c r="L21" s="344">
        <f t="shared" si="16"/>
        <v>7508849136</v>
      </c>
      <c r="M21" s="344">
        <f t="shared" si="16"/>
        <v>42499944228</v>
      </c>
      <c r="N21" s="175">
        <f t="shared" si="16"/>
        <v>52478091923</v>
      </c>
      <c r="O21" s="372"/>
      <c r="P21" s="43">
        <f>P22+P25+P28+P41+P42+P45+P48+P51+P54+P57+P60+P63+P66+P69+P72+P75+P78+P81</f>
        <v>0</v>
      </c>
      <c r="Q21" s="45">
        <f>Q22+Q25+Q28+Q41+Q42+Q45+Q48+Q51+Q54+Q57+Q60+Q63+Q66+Q69+Q72+Q75+Q78+Q81</f>
        <v>3906319929</v>
      </c>
      <c r="R21" s="9"/>
      <c r="S21" s="689" t="str">
        <f>+IF(ENERO!S21=0,"",ENERO!S21)</f>
        <v>1010104-1</v>
      </c>
      <c r="T21" s="705" t="str">
        <f>+IF(ENERO!T21=0,"",ENERO!T21)</f>
        <v xml:space="preserve">Prima de Navidad </v>
      </c>
      <c r="U21" s="29">
        <f>+ENERO!U21</f>
        <v>142096948</v>
      </c>
      <c r="V21" s="15">
        <f>ENERO!V21+FEBRERO!AL21</f>
        <v>0</v>
      </c>
      <c r="W21" s="15">
        <f>ENERO!W21+FEBRERO!AM21</f>
        <v>0</v>
      </c>
      <c r="X21" s="16">
        <f t="shared" ref="X21:X33" si="17">SUM(U21:W21)</f>
        <v>142096948</v>
      </c>
      <c r="Y21" s="19">
        <f>ENERO!AA21</f>
        <v>105221</v>
      </c>
      <c r="Z21" s="364">
        <v>0</v>
      </c>
      <c r="AA21" s="18">
        <f t="shared" ref="AA21:AA33" si="18">SUM(Y21:Z21)</f>
        <v>105221</v>
      </c>
      <c r="AB21" s="19">
        <f>ENERO!AD21</f>
        <v>105221</v>
      </c>
      <c r="AC21" s="364">
        <v>0</v>
      </c>
      <c r="AD21" s="16">
        <f t="shared" ref="AD21:AD33" si="19">SUM(AB21:AC21)</f>
        <v>105221</v>
      </c>
      <c r="AE21" s="19">
        <f>ENERO!AG21</f>
        <v>105221</v>
      </c>
      <c r="AF21" s="364">
        <v>0</v>
      </c>
      <c r="AG21" s="16">
        <f t="shared" ref="AG21:AG33" si="20">SUM(AE21:AF21)</f>
        <v>105221</v>
      </c>
      <c r="AH21" s="19">
        <f t="shared" ref="AH21:AH33" si="21">X21-AA21</f>
        <v>141991727</v>
      </c>
      <c r="AI21" s="15">
        <f t="shared" ref="AI21:AI33" si="22">X21-AD21</f>
        <v>141991727</v>
      </c>
      <c r="AJ21" s="16">
        <f t="shared" ref="AJ21:AJ33" si="23">X21-AG21</f>
        <v>141991727</v>
      </c>
      <c r="AK21" s="9"/>
      <c r="AL21" s="362">
        <v>0</v>
      </c>
      <c r="AM21" s="365">
        <v>0</v>
      </c>
      <c r="AN21" s="9"/>
      <c r="AO21" s="339"/>
      <c r="AP21" s="413"/>
      <c r="AQ21" s="414"/>
      <c r="AR21" s="415" t="str">
        <f>AR6</f>
        <v>FEBRERO</v>
      </c>
      <c r="AS21" s="416" t="str">
        <f>AR6</f>
        <v>FEBRERO</v>
      </c>
      <c r="AT21" s="415" t="str">
        <f>AR6</f>
        <v>FEBRERO</v>
      </c>
      <c r="AU21" s="415" t="s">
        <v>44</v>
      </c>
      <c r="AV21" s="415" t="s">
        <v>22</v>
      </c>
      <c r="AW21" s="417"/>
      <c r="AX21" s="417"/>
      <c r="AY21" s="415" t="s">
        <v>44</v>
      </c>
      <c r="AZ21" s="418" t="s">
        <v>22</v>
      </c>
      <c r="BA21" s="9"/>
      <c r="BB21" s="101" t="s">
        <v>422</v>
      </c>
      <c r="BC21" s="65">
        <f>SUMIF($B8:B122,$B24,F8:F122)+F122</f>
        <v>6692690794</v>
      </c>
      <c r="BD21" s="66">
        <f>SUMIF($B8:B122,$B24,I8:I122)+I122</f>
        <v>7225900231</v>
      </c>
      <c r="BE21" s="67">
        <f>SUMIF($B8:B122,$B24,K8:K122)+K122</f>
        <v>3122252530</v>
      </c>
      <c r="BF21" s="57"/>
      <c r="BG21" s="372"/>
      <c r="BH21" s="372"/>
      <c r="BI21" s="372"/>
      <c r="BJ21" s="372"/>
      <c r="BK21" s="372"/>
      <c r="BL21" s="372"/>
      <c r="BM21" s="137" t="s">
        <v>99</v>
      </c>
      <c r="BN21" s="83">
        <v>0</v>
      </c>
      <c r="BO21" s="81">
        <v>0</v>
      </c>
      <c r="BP21" s="81">
        <v>0</v>
      </c>
      <c r="BQ21" s="82">
        <v>0</v>
      </c>
    </row>
    <row r="22" spans="1:70" s="9" customFormat="1" ht="24.95" customHeight="1" thickBot="1">
      <c r="A22" s="714">
        <f>+IF(ENERO!A22=0,"",ENERO!A22)</f>
        <v>1130101</v>
      </c>
      <c r="B22" s="628" t="str">
        <f>+IF(ENERO!B22=0,"",ENERO!B22)</f>
        <v>EPS - REGIMEN CONTRIBUTIVO</v>
      </c>
      <c r="C22" s="43">
        <f t="shared" ref="C22:N22" si="24">SUM(C23:C24)</f>
        <v>3087894380</v>
      </c>
      <c r="D22" s="44">
        <f t="shared" si="24"/>
        <v>0</v>
      </c>
      <c r="E22" s="44">
        <f t="shared" si="24"/>
        <v>363747213</v>
      </c>
      <c r="F22" s="44">
        <f t="shared" si="24"/>
        <v>3451641593</v>
      </c>
      <c r="G22" s="44">
        <f t="shared" si="24"/>
        <v>483563014</v>
      </c>
      <c r="H22" s="44">
        <f t="shared" si="24"/>
        <v>418274186</v>
      </c>
      <c r="I22" s="44">
        <f t="shared" si="24"/>
        <v>901837200</v>
      </c>
      <c r="J22" s="44">
        <f t="shared" si="24"/>
        <v>183201768</v>
      </c>
      <c r="K22" s="44">
        <f t="shared" si="24"/>
        <v>213270023</v>
      </c>
      <c r="L22" s="44">
        <f t="shared" si="24"/>
        <v>396471791</v>
      </c>
      <c r="M22" s="44">
        <f t="shared" si="24"/>
        <v>2549804393</v>
      </c>
      <c r="N22" s="45">
        <f t="shared" si="24"/>
        <v>3055169802</v>
      </c>
      <c r="P22" s="43">
        <f>SUM(P23:P24)</f>
        <v>0</v>
      </c>
      <c r="Q22" s="45">
        <f>SUM(Q23:Q24)</f>
        <v>192875061</v>
      </c>
      <c r="S22" s="689" t="str">
        <f>+IF(ENERO!S22=0,"",ENERO!S22)</f>
        <v>1010104-2</v>
      </c>
      <c r="T22" s="705" t="str">
        <f>+IF(ENERO!T22=0,"",ENERO!T22)</f>
        <v>Prima de Vacaciones</v>
      </c>
      <c r="U22" s="29">
        <f>+ENERO!U22</f>
        <v>72708845</v>
      </c>
      <c r="V22" s="15">
        <f>ENERO!V22+FEBRERO!AL22</f>
        <v>0</v>
      </c>
      <c r="W22" s="15">
        <f>ENERO!W22+FEBRERO!AM22</f>
        <v>0</v>
      </c>
      <c r="X22" s="16">
        <f t="shared" si="17"/>
        <v>72708845</v>
      </c>
      <c r="Y22" s="19">
        <f>ENERO!AA22</f>
        <v>464441</v>
      </c>
      <c r="Z22" s="364">
        <v>2633500</v>
      </c>
      <c r="AA22" s="18">
        <f t="shared" si="18"/>
        <v>3097941</v>
      </c>
      <c r="AB22" s="19">
        <f>ENERO!AD22</f>
        <v>464441</v>
      </c>
      <c r="AC22" s="364">
        <v>2633500</v>
      </c>
      <c r="AD22" s="16">
        <f t="shared" si="19"/>
        <v>3097941</v>
      </c>
      <c r="AE22" s="19">
        <f>ENERO!AG22</f>
        <v>464441</v>
      </c>
      <c r="AF22" s="364">
        <v>2633500</v>
      </c>
      <c r="AG22" s="16">
        <f t="shared" si="20"/>
        <v>3097941</v>
      </c>
      <c r="AH22" s="19">
        <f t="shared" si="21"/>
        <v>69610904</v>
      </c>
      <c r="AI22" s="15">
        <f t="shared" si="22"/>
        <v>69610904</v>
      </c>
      <c r="AJ22" s="16">
        <f t="shared" si="23"/>
        <v>69610904</v>
      </c>
      <c r="AL22" s="362">
        <v>0</v>
      </c>
      <c r="AM22" s="365">
        <v>0</v>
      </c>
      <c r="AO22" s="21"/>
      <c r="AP22" s="419" t="s">
        <v>104</v>
      </c>
      <c r="AQ22" s="420">
        <f>X17+X66</f>
        <v>5293004812</v>
      </c>
      <c r="AR22" s="420">
        <f>AD17+AD66</f>
        <v>541188435</v>
      </c>
      <c r="AS22" s="420">
        <f>AG17+AG66</f>
        <v>541188435</v>
      </c>
      <c r="AT22" s="421"/>
      <c r="AU22" s="422">
        <f t="shared" ref="AU22:AU32" si="25">IF(AQ22=0," ",AR22/AQ22)</f>
        <v>0.10224597449317414</v>
      </c>
      <c r="AV22" s="422">
        <f t="shared" ref="AV22:AV32" si="26">IF(AQ22=0," ",AS22/AQ22)</f>
        <v>0.10224597449317414</v>
      </c>
      <c r="AW22" s="423">
        <f>AR22/$AO$2*12</f>
        <v>3247130610</v>
      </c>
      <c r="AX22" s="423">
        <f>AS22/$AO$2*12</f>
        <v>3247130610</v>
      </c>
      <c r="AY22" s="423">
        <f t="shared" ref="AY22:AY28" si="27">AQ22-AW22</f>
        <v>2045874202</v>
      </c>
      <c r="AZ22" s="424">
        <f t="shared" ref="AZ22:AZ31" si="28">AQ22-AX22</f>
        <v>2045874202</v>
      </c>
      <c r="BA22" s="372"/>
      <c r="BB22" s="102" t="s">
        <v>109</v>
      </c>
      <c r="BC22" s="103">
        <f>BC7+BC8+BC20+BC21</f>
        <v>81277350800</v>
      </c>
      <c r="BD22" s="104">
        <f>BD7+BD8+BD20+BD21</f>
        <v>28266942126</v>
      </c>
      <c r="BE22" s="105">
        <f>BE7+BE8+BE20+BE21</f>
        <v>4190361858</v>
      </c>
      <c r="BF22" s="57"/>
      <c r="BG22" s="372"/>
      <c r="BH22" s="372"/>
      <c r="BI22" s="372"/>
      <c r="BJ22" s="372"/>
      <c r="BK22" s="372"/>
      <c r="BM22" s="71" t="s">
        <v>67</v>
      </c>
      <c r="BN22" s="83">
        <f>BN23+BN24</f>
        <v>1250354144</v>
      </c>
      <c r="BO22" s="81">
        <f>BO23+BO24</f>
        <v>224286151</v>
      </c>
      <c r="BP22" s="81">
        <f>BP23+BP24</f>
        <v>218207049</v>
      </c>
      <c r="BQ22" s="82">
        <f>BQ23+BQ24</f>
        <v>61541785</v>
      </c>
      <c r="BR22" s="412"/>
    </row>
    <row r="23" spans="1:70" s="412" customFormat="1" ht="24.95" customHeight="1">
      <c r="A23" s="593" t="str">
        <f>+IF(ENERO!A23=0,"",ENERO!A23)</f>
        <v>1130101-1</v>
      </c>
      <c r="B23" s="629" t="str">
        <f>+CONCATENATE("Vigencia ",INSTRUCCIONES!$F$3)</f>
        <v>Vigencia 2019</v>
      </c>
      <c r="C23" s="655">
        <f>+ENERO!C23</f>
        <v>3087894380</v>
      </c>
      <c r="D23" s="363">
        <f>ENERO!D23+FEBRERO!P23</f>
        <v>0</v>
      </c>
      <c r="E23" s="363">
        <f>ENERO!E23+FEBRERO!Q23</f>
        <v>0</v>
      </c>
      <c r="F23" s="363">
        <f>SUM(C23:E23)</f>
        <v>3087894380</v>
      </c>
      <c r="G23" s="363">
        <f>ENERO!I23</f>
        <v>300361246</v>
      </c>
      <c r="H23" s="364">
        <v>205004163</v>
      </c>
      <c r="I23" s="363">
        <f>SUM(G23:H23)</f>
        <v>505365409</v>
      </c>
      <c r="J23" s="363">
        <f>ENERO!L23</f>
        <v>0</v>
      </c>
      <c r="K23" s="364">
        <v>0</v>
      </c>
      <c r="L23" s="363">
        <f>SUM(J23:K23)</f>
        <v>0</v>
      </c>
      <c r="M23" s="363">
        <f>F23-I23</f>
        <v>2582528971</v>
      </c>
      <c r="N23" s="143">
        <f>F23-L23</f>
        <v>3087894380</v>
      </c>
      <c r="O23" s="9"/>
      <c r="P23" s="362">
        <v>0</v>
      </c>
      <c r="Q23" s="365">
        <v>0</v>
      </c>
      <c r="R23" s="9"/>
      <c r="S23" s="689" t="str">
        <f>+IF(ENERO!S23=0,"",ENERO!S23)</f>
        <v>1010104-3</v>
      </c>
      <c r="T23" s="705" t="str">
        <f>+IF(ENERO!T23=0,"",ENERO!T23)</f>
        <v>Bonificación  por servicios prestados</v>
      </c>
      <c r="U23" s="29">
        <f>+ENERO!U23</f>
        <v>44330324</v>
      </c>
      <c r="V23" s="15">
        <f>ENERO!V23+FEBRERO!AL23</f>
        <v>0</v>
      </c>
      <c r="W23" s="15">
        <f>ENERO!W23+FEBRERO!AM23</f>
        <v>0</v>
      </c>
      <c r="X23" s="16">
        <f t="shared" si="17"/>
        <v>44330324</v>
      </c>
      <c r="Y23" s="19">
        <f>ENERO!AA23</f>
        <v>7492502</v>
      </c>
      <c r="Z23" s="364">
        <v>1843450</v>
      </c>
      <c r="AA23" s="18">
        <f t="shared" si="18"/>
        <v>9335952</v>
      </c>
      <c r="AB23" s="19">
        <f>ENERO!AD23</f>
        <v>7492502</v>
      </c>
      <c r="AC23" s="364">
        <v>1843450</v>
      </c>
      <c r="AD23" s="16">
        <f t="shared" si="19"/>
        <v>9335952</v>
      </c>
      <c r="AE23" s="19">
        <f>ENERO!AG23</f>
        <v>7492502</v>
      </c>
      <c r="AF23" s="364">
        <v>1843450</v>
      </c>
      <c r="AG23" s="16">
        <f t="shared" si="20"/>
        <v>9335952</v>
      </c>
      <c r="AH23" s="19">
        <f t="shared" si="21"/>
        <v>34994372</v>
      </c>
      <c r="AI23" s="15">
        <f t="shared" si="22"/>
        <v>34994372</v>
      </c>
      <c r="AJ23" s="16">
        <f t="shared" si="23"/>
        <v>34994372</v>
      </c>
      <c r="AK23" s="9"/>
      <c r="AL23" s="362">
        <v>0</v>
      </c>
      <c r="AM23" s="365">
        <v>0</v>
      </c>
      <c r="AN23" s="9"/>
      <c r="AO23" s="360"/>
      <c r="AP23" s="425" t="s">
        <v>108</v>
      </c>
      <c r="AQ23" s="426">
        <f>X16+X65-AQ22</f>
        <v>1859680691</v>
      </c>
      <c r="AR23" s="426">
        <f>AD16+AD65-AR22</f>
        <v>52390271</v>
      </c>
      <c r="AS23" s="426">
        <f>AG16+AG65-AS22</f>
        <v>52390271</v>
      </c>
      <c r="AT23" s="317"/>
      <c r="AU23" s="332">
        <f t="shared" si="25"/>
        <v>2.8171648634921487E-2</v>
      </c>
      <c r="AV23" s="332">
        <f t="shared" si="26"/>
        <v>2.8171648634921487E-2</v>
      </c>
      <c r="AW23" s="426">
        <f>(AR23-AD21-AD22-AD23-AD25-AD30-AD33-AD70-AD71-AD72-AD74-AD78-AD81)/$AO$2*12+AX22/12*2.5+AD30+AD33+AD78+AD81</f>
        <v>774536283.75</v>
      </c>
      <c r="AX23" s="426">
        <f>(AS23-AG21-AG22-AG23-AG25-AG30-AG33-AG70-AG71-AG72-AG74-AG78-AG81)/$AO$2*12+AX22/12*2.5+AG30+AG33+AG78+AG81</f>
        <v>774536283.75</v>
      </c>
      <c r="AY23" s="426">
        <f t="shared" si="27"/>
        <v>1085144407.25</v>
      </c>
      <c r="AZ23" s="46">
        <f t="shared" si="28"/>
        <v>1085144407.25</v>
      </c>
      <c r="BA23" s="372"/>
      <c r="BF23" s="372"/>
      <c r="BG23" s="372"/>
      <c r="BH23" s="372"/>
      <c r="BI23" s="372"/>
      <c r="BJ23" s="372"/>
      <c r="BK23" s="372"/>
      <c r="BL23" s="372"/>
      <c r="BM23" s="137" t="s">
        <v>105</v>
      </c>
      <c r="BN23" s="83">
        <f>X177</f>
        <v>965336472</v>
      </c>
      <c r="BO23" s="81">
        <f>AA177</f>
        <v>123466155</v>
      </c>
      <c r="BP23" s="81">
        <f>AD177</f>
        <v>123466155</v>
      </c>
      <c r="BQ23" s="82">
        <f>AF177</f>
        <v>61313538</v>
      </c>
      <c r="BR23" s="9"/>
    </row>
    <row r="24" spans="1:70" s="412" customFormat="1" ht="24.95" customHeight="1">
      <c r="A24" s="593" t="str">
        <f>+IF(ENERO!A24=0,"",ENERO!A24)</f>
        <v>1130101-2</v>
      </c>
      <c r="B24" s="629" t="str">
        <f>+IF(ENERO!B24=0,"",ENERO!B24)</f>
        <v>Vigencia Anterior</v>
      </c>
      <c r="C24" s="655">
        <f>+ENERO!C24</f>
        <v>0</v>
      </c>
      <c r="D24" s="363">
        <f>ENERO!D24+FEBRERO!P24</f>
        <v>0</v>
      </c>
      <c r="E24" s="363">
        <f>ENERO!E24+FEBRERO!Q24</f>
        <v>363747213</v>
      </c>
      <c r="F24" s="363">
        <f>SUM(C24:E24)</f>
        <v>363747213</v>
      </c>
      <c r="G24" s="363">
        <f>ENERO!I24</f>
        <v>183201768</v>
      </c>
      <c r="H24" s="364">
        <v>213270023</v>
      </c>
      <c r="I24" s="363">
        <f>SUM(G24:H24)</f>
        <v>396471791</v>
      </c>
      <c r="J24" s="363">
        <f>ENERO!L24</f>
        <v>183201768</v>
      </c>
      <c r="K24" s="364">
        <v>213270023</v>
      </c>
      <c r="L24" s="363">
        <f>SUM(J24:K24)</f>
        <v>396471791</v>
      </c>
      <c r="M24" s="363">
        <f>F24-I24</f>
        <v>-32724578</v>
      </c>
      <c r="N24" s="143">
        <f>F24-L24</f>
        <v>-32724578</v>
      </c>
      <c r="O24" s="372"/>
      <c r="P24" s="362">
        <v>0</v>
      </c>
      <c r="Q24" s="365">
        <v>192875061</v>
      </c>
      <c r="R24" s="9"/>
      <c r="S24" s="689" t="str">
        <f>+IF(ENERO!S24=0,"",ENERO!S24)</f>
        <v>1010104-4</v>
      </c>
      <c r="T24" s="705" t="str">
        <f>+IF(ENERO!T24=0,"",ENERO!T24)</f>
        <v>Prima de Servicios</v>
      </c>
      <c r="U24" s="29">
        <f>+ENERO!U24</f>
        <v>67115850</v>
      </c>
      <c r="V24" s="15">
        <f>ENERO!V24+FEBRERO!AL24</f>
        <v>0</v>
      </c>
      <c r="W24" s="15">
        <f>ENERO!W24+FEBRERO!AM24</f>
        <v>0</v>
      </c>
      <c r="X24" s="16">
        <f t="shared" si="17"/>
        <v>67115850</v>
      </c>
      <c r="Y24" s="19">
        <f>ENERO!AA24</f>
        <v>507152</v>
      </c>
      <c r="Z24" s="364">
        <v>0</v>
      </c>
      <c r="AA24" s="18">
        <f t="shared" si="18"/>
        <v>507152</v>
      </c>
      <c r="AB24" s="19">
        <f>ENERO!AD24</f>
        <v>507152</v>
      </c>
      <c r="AC24" s="364">
        <v>0</v>
      </c>
      <c r="AD24" s="16">
        <f t="shared" si="19"/>
        <v>507152</v>
      </c>
      <c r="AE24" s="19">
        <f>ENERO!AG24</f>
        <v>507152</v>
      </c>
      <c r="AF24" s="364">
        <v>0</v>
      </c>
      <c r="AG24" s="16">
        <f t="shared" si="20"/>
        <v>507152</v>
      </c>
      <c r="AH24" s="19">
        <f t="shared" si="21"/>
        <v>66608698</v>
      </c>
      <c r="AI24" s="15">
        <f t="shared" si="22"/>
        <v>66608698</v>
      </c>
      <c r="AJ24" s="16">
        <f t="shared" si="23"/>
        <v>66608698</v>
      </c>
      <c r="AK24" s="9"/>
      <c r="AL24" s="362">
        <v>0</v>
      </c>
      <c r="AM24" s="365">
        <v>0</v>
      </c>
      <c r="AN24" s="9"/>
      <c r="AO24" s="360"/>
      <c r="AP24" s="405" t="s">
        <v>113</v>
      </c>
      <c r="AQ24" s="421">
        <f>X35+X83</f>
        <v>27406354338</v>
      </c>
      <c r="AR24" s="421">
        <f>AD35+AD83</f>
        <v>5437142561</v>
      </c>
      <c r="AS24" s="421">
        <f>AG35+AG83</f>
        <v>2133370695</v>
      </c>
      <c r="AT24" s="421"/>
      <c r="AU24" s="363">
        <f t="shared" si="25"/>
        <v>0.19838985127114064</v>
      </c>
      <c r="AV24" s="363">
        <f t="shared" si="26"/>
        <v>7.7842191948966979E-2</v>
      </c>
      <c r="AW24" s="363">
        <f>(AR24-AD41-AD88)/$AO$2*12+AD41+AD88</f>
        <v>22997751816</v>
      </c>
      <c r="AX24" s="363">
        <f>(AS24-AG41-AG88)/$AO$2*12+AG41+AG88</f>
        <v>3175120620</v>
      </c>
      <c r="AY24" s="363">
        <f t="shared" si="27"/>
        <v>4408602522</v>
      </c>
      <c r="AZ24" s="143">
        <f t="shared" si="28"/>
        <v>24231233718</v>
      </c>
      <c r="BA24" s="9"/>
      <c r="BB24" s="427"/>
      <c r="BC24" s="372"/>
      <c r="BD24" s="372"/>
      <c r="BE24" s="372"/>
      <c r="BF24" s="372"/>
      <c r="BG24" s="372"/>
      <c r="BH24" s="372"/>
      <c r="BI24" s="372"/>
      <c r="BJ24" s="372"/>
      <c r="BK24" s="372"/>
      <c r="BL24" s="372"/>
      <c r="BM24" s="137" t="s">
        <v>110</v>
      </c>
      <c r="BN24" s="83">
        <f>X170-X177-X174-X183-X191</f>
        <v>285017672</v>
      </c>
      <c r="BO24" s="81">
        <f>AA170-AA177-AA174-AA183-AA191</f>
        <v>100819996</v>
      </c>
      <c r="BP24" s="81">
        <f>AD170-AD177-AD174-AD183-AD191</f>
        <v>94740894</v>
      </c>
      <c r="BQ24" s="82">
        <f>AF170-AF177-AF174-AF183-AF191</f>
        <v>228247</v>
      </c>
    </row>
    <row r="25" spans="1:70" s="372" customFormat="1" ht="24.95" customHeight="1">
      <c r="A25" s="714">
        <f>+IF(ENERO!A25=0,"",ENERO!A25)</f>
        <v>1130102</v>
      </c>
      <c r="B25" s="628" t="str">
        <f>+IF(ENERO!B25=0,"",ENERO!B25)</f>
        <v>ARS - REGIMEN SUBSIDIADO</v>
      </c>
      <c r="C25" s="43">
        <f t="shared" ref="C25:N25" si="29">SUM(C26:C27)</f>
        <v>32167564656</v>
      </c>
      <c r="D25" s="44">
        <f t="shared" si="29"/>
        <v>0</v>
      </c>
      <c r="E25" s="44">
        <f t="shared" si="29"/>
        <v>5312148431</v>
      </c>
      <c r="F25" s="44">
        <f t="shared" si="29"/>
        <v>37479713087</v>
      </c>
      <c r="G25" s="44">
        <f t="shared" si="29"/>
        <v>6105022238</v>
      </c>
      <c r="H25" s="44">
        <f t="shared" si="29"/>
        <v>5253329981</v>
      </c>
      <c r="I25" s="44">
        <f t="shared" si="29"/>
        <v>11358352219</v>
      </c>
      <c r="J25" s="44">
        <f t="shared" si="29"/>
        <v>3419819194</v>
      </c>
      <c r="K25" s="44">
        <f t="shared" si="29"/>
        <v>2210035678</v>
      </c>
      <c r="L25" s="44">
        <f t="shared" si="29"/>
        <v>5629854872</v>
      </c>
      <c r="M25" s="44">
        <f t="shared" si="29"/>
        <v>26121360868</v>
      </c>
      <c r="N25" s="45">
        <f t="shared" si="29"/>
        <v>31849858215</v>
      </c>
      <c r="P25" s="43">
        <f>SUM(P26:P27)</f>
        <v>0</v>
      </c>
      <c r="Q25" s="45">
        <f>SUM(Q26:Q27)</f>
        <v>3073676188</v>
      </c>
      <c r="R25" s="9"/>
      <c r="S25" s="689" t="str">
        <f>+IF(ENERO!S25=0,"",ENERO!S25)</f>
        <v>1010104-5</v>
      </c>
      <c r="T25" s="705" t="str">
        <f>+IF(ENERO!T25=0,"",ENERO!T25)</f>
        <v>Bonificación Convencional</v>
      </c>
      <c r="U25" s="29">
        <f>+ENERO!U25</f>
        <v>0</v>
      </c>
      <c r="V25" s="15">
        <f>ENERO!V25+FEBRERO!AL25</f>
        <v>0</v>
      </c>
      <c r="W25" s="15">
        <f>ENERO!W25+FEBRERO!AM25</f>
        <v>0</v>
      </c>
      <c r="X25" s="16">
        <f t="shared" si="17"/>
        <v>0</v>
      </c>
      <c r="Y25" s="19">
        <f>ENERO!AA25</f>
        <v>0</v>
      </c>
      <c r="Z25" s="364">
        <v>0</v>
      </c>
      <c r="AA25" s="18">
        <f t="shared" si="18"/>
        <v>0</v>
      </c>
      <c r="AB25" s="19">
        <f>ENERO!AD25</f>
        <v>0</v>
      </c>
      <c r="AC25" s="364">
        <v>0</v>
      </c>
      <c r="AD25" s="16">
        <f t="shared" si="19"/>
        <v>0</v>
      </c>
      <c r="AE25" s="19">
        <f>ENERO!AG25</f>
        <v>0</v>
      </c>
      <c r="AF25" s="364">
        <v>0</v>
      </c>
      <c r="AG25" s="16">
        <f t="shared" si="20"/>
        <v>0</v>
      </c>
      <c r="AH25" s="19">
        <f t="shared" si="21"/>
        <v>0</v>
      </c>
      <c r="AI25" s="15">
        <f t="shared" si="22"/>
        <v>0</v>
      </c>
      <c r="AJ25" s="16">
        <f t="shared" si="23"/>
        <v>0</v>
      </c>
      <c r="AK25" s="9"/>
      <c r="AL25" s="362">
        <v>0</v>
      </c>
      <c r="AM25" s="365">
        <v>0</v>
      </c>
      <c r="AN25" s="9"/>
      <c r="AO25" s="21"/>
      <c r="AP25" s="428" t="s">
        <v>116</v>
      </c>
      <c r="AQ25" s="363">
        <f>X43+X57+X90+X104</f>
        <v>4194230005</v>
      </c>
      <c r="AR25" s="363">
        <f>AD43+AD57+AD90+AD104</f>
        <v>122345895</v>
      </c>
      <c r="AS25" s="363">
        <f>AG43+AG57+AG90+AG104</f>
        <v>96552795</v>
      </c>
      <c r="AT25" s="421"/>
      <c r="AU25" s="363">
        <f t="shared" si="25"/>
        <v>2.9170049056477531E-2</v>
      </c>
      <c r="AV25" s="363">
        <f t="shared" si="26"/>
        <v>2.3020386312838845E-2</v>
      </c>
      <c r="AW25" s="363">
        <f>(AR25-AD55-AD61-AD102-AD108)/$AO$2*12+AD55+AD61+AD102+AD108</f>
        <v>734075370</v>
      </c>
      <c r="AX25" s="363">
        <f>(AS25-AG55-AG61-AG102-AG108)/$AO$2*12+AG55+AG61+AG102+AG108</f>
        <v>579316770</v>
      </c>
      <c r="AY25" s="363">
        <f t="shared" si="27"/>
        <v>3460154635</v>
      </c>
      <c r="AZ25" s="143">
        <f t="shared" si="28"/>
        <v>3614913235</v>
      </c>
      <c r="BM25" s="140" t="s">
        <v>430</v>
      </c>
      <c r="BN25" s="106">
        <f>+SUM(BN26:BN28)</f>
        <v>9762104083</v>
      </c>
      <c r="BO25" s="107">
        <f>+SUM(BO26:BO28)</f>
        <v>7135333156</v>
      </c>
      <c r="BP25" s="107">
        <f>+SUM(BP26:BP28)</f>
        <v>3479146007</v>
      </c>
      <c r="BQ25" s="108">
        <f>+SUM(BQ26:BQ28)</f>
        <v>685670174</v>
      </c>
      <c r="BR25" s="412"/>
    </row>
    <row r="26" spans="1:70" s="9" customFormat="1" ht="24.95" customHeight="1">
      <c r="A26" s="593" t="str">
        <f>+IF(ENERO!A26=0,"",ENERO!A26)</f>
        <v>1130102-1</v>
      </c>
      <c r="B26" s="629" t="str">
        <f>+CONCATENATE("Vigencia ",INSTRUCCIONES!$F$3)</f>
        <v>Vigencia 2019</v>
      </c>
      <c r="C26" s="655">
        <f>+ENERO!C26</f>
        <v>32167564656</v>
      </c>
      <c r="D26" s="363">
        <f>ENERO!D26+FEBRERO!P26</f>
        <v>0</v>
      </c>
      <c r="E26" s="363">
        <f>ENERO!E26+FEBRERO!Q26</f>
        <v>0</v>
      </c>
      <c r="F26" s="363">
        <f>SUM(C26:E26)</f>
        <v>32167564656</v>
      </c>
      <c r="G26" s="363">
        <f>ENERO!I26</f>
        <v>2685203044</v>
      </c>
      <c r="H26" s="364">
        <v>3043294303</v>
      </c>
      <c r="I26" s="363">
        <f>SUM(G26:H26)</f>
        <v>5728497347</v>
      </c>
      <c r="J26" s="363">
        <f>ENERO!L26</f>
        <v>0</v>
      </c>
      <c r="K26" s="364">
        <v>0</v>
      </c>
      <c r="L26" s="363">
        <f>SUM(J26:K26)</f>
        <v>0</v>
      </c>
      <c r="M26" s="363">
        <f>F26-I26</f>
        <v>26439067309</v>
      </c>
      <c r="N26" s="143">
        <f>F26-L26</f>
        <v>32167564656</v>
      </c>
      <c r="P26" s="362">
        <v>0</v>
      </c>
      <c r="Q26" s="365">
        <v>0</v>
      </c>
      <c r="S26" s="689" t="str">
        <f>+IF(ENERO!S26=0,"",ENERO!S26)</f>
        <v>1010104-6</v>
      </c>
      <c r="T26" s="705" t="str">
        <f>+IF(ENERO!T26=0,"",ENERO!T26)</f>
        <v>Auxilio de Transporte</v>
      </c>
      <c r="U26" s="29">
        <f>+ENERO!U26</f>
        <v>7017105</v>
      </c>
      <c r="V26" s="15">
        <f>ENERO!V26+FEBRERO!AL26</f>
        <v>0</v>
      </c>
      <c r="W26" s="15">
        <f>ENERO!W26+FEBRERO!AM26</f>
        <v>0</v>
      </c>
      <c r="X26" s="16">
        <f t="shared" si="17"/>
        <v>7017105</v>
      </c>
      <c r="Y26" s="19">
        <f>ENERO!AA26</f>
        <v>97032</v>
      </c>
      <c r="Z26" s="364">
        <v>97032</v>
      </c>
      <c r="AA26" s="18">
        <f t="shared" si="18"/>
        <v>194064</v>
      </c>
      <c r="AB26" s="19">
        <f>ENERO!AD26</f>
        <v>97032</v>
      </c>
      <c r="AC26" s="364">
        <v>97032</v>
      </c>
      <c r="AD26" s="16">
        <f t="shared" si="19"/>
        <v>194064</v>
      </c>
      <c r="AE26" s="19">
        <f>ENERO!AG26</f>
        <v>97032</v>
      </c>
      <c r="AF26" s="364">
        <v>97032</v>
      </c>
      <c r="AG26" s="16">
        <f t="shared" si="20"/>
        <v>194064</v>
      </c>
      <c r="AH26" s="19">
        <f t="shared" si="21"/>
        <v>6823041</v>
      </c>
      <c r="AI26" s="15">
        <f t="shared" si="22"/>
        <v>6823041</v>
      </c>
      <c r="AJ26" s="16">
        <f t="shared" si="23"/>
        <v>6823041</v>
      </c>
      <c r="AL26" s="362">
        <v>0</v>
      </c>
      <c r="AM26" s="365">
        <v>0</v>
      </c>
      <c r="AO26" s="21"/>
      <c r="AP26" s="429" t="s">
        <v>120</v>
      </c>
      <c r="AQ26" s="317">
        <f>X110</f>
        <v>12915719527</v>
      </c>
      <c r="AR26" s="317">
        <f>AD110</f>
        <v>2323971136</v>
      </c>
      <c r="AS26" s="317">
        <f>AG110</f>
        <v>1326028338</v>
      </c>
      <c r="AT26" s="361">
        <f>AO2/12</f>
        <v>0.16666666666666666</v>
      </c>
      <c r="AU26" s="332">
        <f t="shared" si="25"/>
        <v>0.17993353998914224</v>
      </c>
      <c r="AV26" s="332">
        <f t="shared" si="26"/>
        <v>0.10266778674064343</v>
      </c>
      <c r="AW26" s="426">
        <f>(AR26-AD121-AD139-AD143-AD153-AD168)/$AO$2*12+AD121+AD139+AD143+AD153+AD168</f>
        <v>9365798616</v>
      </c>
      <c r="AX26" s="426">
        <f>(AS26-AG121-AG139-AG143-AG153-AG168)/$AO$2*12+AG121+AG139+AG143+AG153+AG168</f>
        <v>3378141828</v>
      </c>
      <c r="AY26" s="426">
        <f t="shared" si="27"/>
        <v>3549920911</v>
      </c>
      <c r="AZ26" s="46">
        <f t="shared" si="28"/>
        <v>9537577699</v>
      </c>
      <c r="BA26" s="372"/>
      <c r="BB26" s="372"/>
      <c r="BC26" s="372"/>
      <c r="BD26" s="372"/>
      <c r="BE26" s="372"/>
      <c r="BF26" s="372"/>
      <c r="BG26" s="372"/>
      <c r="BH26" s="372"/>
      <c r="BI26" s="372"/>
      <c r="BJ26" s="372"/>
      <c r="BK26" s="372"/>
      <c r="BM26" s="109" t="s">
        <v>431</v>
      </c>
      <c r="BN26" s="86">
        <f>+X198+X212</f>
        <v>3990000000</v>
      </c>
      <c r="BO26" s="84">
        <f>+AA198+AA212</f>
        <v>2913788905</v>
      </c>
      <c r="BP26" s="84">
        <f>+AD198+AD212</f>
        <v>1438224961</v>
      </c>
      <c r="BQ26" s="85">
        <f>+AF198+AF212</f>
        <v>340632155</v>
      </c>
      <c r="BR26" s="372"/>
    </row>
    <row r="27" spans="1:70" s="412" customFormat="1" ht="24.95" customHeight="1">
      <c r="A27" s="593" t="str">
        <f>+IF(ENERO!A27=0,"",ENERO!A27)</f>
        <v>1130102-2</v>
      </c>
      <c r="B27" s="629" t="str">
        <f>+IF(ENERO!B27=0,"",ENERO!B27)</f>
        <v>Vigencia Anterior</v>
      </c>
      <c r="C27" s="655">
        <f>+ENERO!C27</f>
        <v>0</v>
      </c>
      <c r="D27" s="363">
        <f>ENERO!D27+FEBRERO!P27</f>
        <v>0</v>
      </c>
      <c r="E27" s="363">
        <f>ENERO!E27+FEBRERO!Q27</f>
        <v>5312148431</v>
      </c>
      <c r="F27" s="363">
        <f>SUM(C27:E27)</f>
        <v>5312148431</v>
      </c>
      <c r="G27" s="363">
        <f>ENERO!I27</f>
        <v>3419819194</v>
      </c>
      <c r="H27" s="364">
        <v>2210035678</v>
      </c>
      <c r="I27" s="363">
        <f>SUM(G27:H27)</f>
        <v>5629854872</v>
      </c>
      <c r="J27" s="363">
        <f>ENERO!L27</f>
        <v>3419819194</v>
      </c>
      <c r="K27" s="364">
        <v>2210035678</v>
      </c>
      <c r="L27" s="363">
        <f>SUM(J27:K27)</f>
        <v>5629854872</v>
      </c>
      <c r="M27" s="363">
        <f>F27-I27</f>
        <v>-317706441</v>
      </c>
      <c r="N27" s="143">
        <f>F27-L27</f>
        <v>-317706441</v>
      </c>
      <c r="O27" s="372"/>
      <c r="P27" s="362">
        <v>0</v>
      </c>
      <c r="Q27" s="365">
        <v>3073676188</v>
      </c>
      <c r="R27" s="9"/>
      <c r="S27" s="689" t="str">
        <f>+IF(ENERO!S27=0,"",ENERO!S27)</f>
        <v>1010104-7</v>
      </c>
      <c r="T27" s="705" t="str">
        <f>+IF(ENERO!T27=0,"",ENERO!T27)</f>
        <v>Auxilio de Alimentación</v>
      </c>
      <c r="U27" s="29">
        <f>+ENERO!U27</f>
        <v>92622</v>
      </c>
      <c r="V27" s="15">
        <f>ENERO!V27+FEBRERO!AL27</f>
        <v>0</v>
      </c>
      <c r="W27" s="15">
        <f>ENERO!W27+FEBRERO!AM27</f>
        <v>0</v>
      </c>
      <c r="X27" s="16">
        <f t="shared" si="17"/>
        <v>92622</v>
      </c>
      <c r="Y27" s="19">
        <f>ENERO!AA27</f>
        <v>0</v>
      </c>
      <c r="Z27" s="364">
        <v>0</v>
      </c>
      <c r="AA27" s="18">
        <f t="shared" si="18"/>
        <v>0</v>
      </c>
      <c r="AB27" s="19">
        <f>ENERO!AD27</f>
        <v>0</v>
      </c>
      <c r="AC27" s="364">
        <v>0</v>
      </c>
      <c r="AD27" s="16">
        <f t="shared" si="19"/>
        <v>0</v>
      </c>
      <c r="AE27" s="19">
        <f>ENERO!AG27</f>
        <v>0</v>
      </c>
      <c r="AF27" s="364">
        <v>0</v>
      </c>
      <c r="AG27" s="16">
        <f t="shared" si="20"/>
        <v>0</v>
      </c>
      <c r="AH27" s="19">
        <f t="shared" si="21"/>
        <v>92622</v>
      </c>
      <c r="AI27" s="15">
        <f t="shared" si="22"/>
        <v>92622</v>
      </c>
      <c r="AJ27" s="16">
        <f t="shared" si="23"/>
        <v>92622</v>
      </c>
      <c r="AK27" s="9"/>
      <c r="AL27" s="362">
        <v>0</v>
      </c>
      <c r="AM27" s="365">
        <v>0</v>
      </c>
      <c r="AN27" s="9"/>
      <c r="AO27" s="339"/>
      <c r="AP27" s="428" t="s">
        <v>123</v>
      </c>
      <c r="AQ27" s="363">
        <f>X170</f>
        <v>1250354144</v>
      </c>
      <c r="AR27" s="363">
        <f>AD170</f>
        <v>218207049</v>
      </c>
      <c r="AS27" s="363">
        <f>AG170</f>
        <v>173436029</v>
      </c>
      <c r="AT27" s="421"/>
      <c r="AU27" s="363">
        <f t="shared" si="25"/>
        <v>0.17451619610899613</v>
      </c>
      <c r="AV27" s="363">
        <f t="shared" si="26"/>
        <v>0.13870952468327247</v>
      </c>
      <c r="AW27" s="363">
        <f>(AR27-AD174-AD183-AD191)/$AO$2*12+AD174+AD183+AD191</f>
        <v>1309242294</v>
      </c>
      <c r="AX27" s="363">
        <f>(AS27-AG174-AG183-AG191)/$AO$2*12+AG174+AG183+AG191</f>
        <v>1040616174</v>
      </c>
      <c r="AY27" s="363">
        <f t="shared" si="27"/>
        <v>-58888150</v>
      </c>
      <c r="AZ27" s="143">
        <f t="shared" si="28"/>
        <v>209737970</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+IF(ENERO!A28=0,"",ENERO!A28)</f>
        <v>1130103</v>
      </c>
      <c r="B28" s="605" t="str">
        <f>+IF(ENERO!B28=0,"",ENERO!B28)</f>
        <v>SUBSIDIO A LA OFERTA- ATENCION PERSONAS POBRES NO CUBIERTOS CON SUBSIDIO A LA DEMANDA</v>
      </c>
      <c r="C28" s="43">
        <f>C29+C32+C35+C38+C39+C40</f>
        <v>8952361140</v>
      </c>
      <c r="D28" s="44">
        <f>+D29+D32+D35+D38+D39+D40</f>
        <v>0</v>
      </c>
      <c r="E28" s="44">
        <f>+E29+E32+E35+E38+E39+E40</f>
        <v>30004490</v>
      </c>
      <c r="F28" s="44">
        <f>+F29+F32+F35+F38+F39+F40</f>
        <v>8982365630</v>
      </c>
      <c r="G28" s="44">
        <f t="shared" ref="G28:N28" si="30">G29+G32+G35+G38+G39+G40</f>
        <v>661292871</v>
      </c>
      <c r="H28" s="44">
        <f t="shared" si="30"/>
        <v>891297799</v>
      </c>
      <c r="I28" s="44">
        <f t="shared" si="30"/>
        <v>1552590670</v>
      </c>
      <c r="J28" s="44">
        <f t="shared" si="30"/>
        <v>30004490</v>
      </c>
      <c r="K28" s="44">
        <f t="shared" si="30"/>
        <v>110396695</v>
      </c>
      <c r="L28" s="44">
        <f t="shared" si="30"/>
        <v>140401185</v>
      </c>
      <c r="M28" s="44">
        <f t="shared" si="30"/>
        <v>7429774960</v>
      </c>
      <c r="N28" s="45">
        <f t="shared" si="30"/>
        <v>8841964445</v>
      </c>
      <c r="O28" s="372"/>
      <c r="P28" s="43">
        <f>P29+P32+P35+P38+P39+P940</f>
        <v>0</v>
      </c>
      <c r="Q28" s="45">
        <f>Q29+Q32+Q35+Q38+Q39+Q40</f>
        <v>30004490</v>
      </c>
      <c r="R28" s="9"/>
      <c r="S28" s="689" t="str">
        <f>+IF(ENERO!S28=0,"",ENERO!S28)</f>
        <v>1010104-8</v>
      </c>
      <c r="T28" s="705" t="str">
        <f>+IF(ENERO!T28=0,"",ENERO!T28)</f>
        <v>Indemnizaciones por Vacaciones o Supresión de Cargos por Reestructuración</v>
      </c>
      <c r="U28" s="29">
        <f>+ENERO!U28</f>
        <v>0</v>
      </c>
      <c r="V28" s="15">
        <f>ENERO!V28+FEBRERO!AL28</f>
        <v>0</v>
      </c>
      <c r="W28" s="15">
        <f>ENERO!W28+FEBRERO!AM28</f>
        <v>0</v>
      </c>
      <c r="X28" s="16">
        <f t="shared" si="17"/>
        <v>0</v>
      </c>
      <c r="Y28" s="19">
        <f>ENERO!AA28</f>
        <v>0</v>
      </c>
      <c r="Z28" s="364">
        <v>0</v>
      </c>
      <c r="AA28" s="18">
        <f t="shared" si="18"/>
        <v>0</v>
      </c>
      <c r="AB28" s="19">
        <f>ENERO!AD28</f>
        <v>0</v>
      </c>
      <c r="AC28" s="364">
        <v>0</v>
      </c>
      <c r="AD28" s="16">
        <f t="shared" si="19"/>
        <v>0</v>
      </c>
      <c r="AE28" s="19">
        <f>ENERO!AG28</f>
        <v>0</v>
      </c>
      <c r="AF28" s="364">
        <v>0</v>
      </c>
      <c r="AG28" s="16">
        <f t="shared" si="20"/>
        <v>0</v>
      </c>
      <c r="AH28" s="19">
        <f t="shared" si="21"/>
        <v>0</v>
      </c>
      <c r="AI28" s="15">
        <f t="shared" si="22"/>
        <v>0</v>
      </c>
      <c r="AJ28" s="16">
        <f t="shared" si="23"/>
        <v>0</v>
      </c>
      <c r="AK28" s="9"/>
      <c r="AL28" s="362">
        <v>0</v>
      </c>
      <c r="AM28" s="365">
        <v>0</v>
      </c>
      <c r="AN28" s="9"/>
      <c r="AO28" s="339"/>
      <c r="AP28" s="777" t="s">
        <v>566</v>
      </c>
      <c r="AQ28" s="363">
        <f>X195</f>
        <v>13108608940</v>
      </c>
      <c r="AR28" s="363">
        <f>AD195</f>
        <v>4854125839</v>
      </c>
      <c r="AS28" s="363">
        <f>AG195</f>
        <v>2083867664</v>
      </c>
      <c r="AT28" s="421"/>
      <c r="AU28" s="363">
        <f t="shared" si="25"/>
        <v>0.37030060635861795</v>
      </c>
      <c r="AV28" s="363">
        <f t="shared" si="26"/>
        <v>0.15896939740426796</v>
      </c>
      <c r="AW28" s="363">
        <f>(AR28-AD207)/$AO$2*12+AD207</f>
        <v>22249855874</v>
      </c>
      <c r="AX28" s="363">
        <f>(AS28-AG207)/$AO$2*12+AG207</f>
        <v>5628306824</v>
      </c>
      <c r="AY28" s="363">
        <f t="shared" si="27"/>
        <v>-9141246934</v>
      </c>
      <c r="AZ28" s="143">
        <f t="shared" si="28"/>
        <v>7480302116</v>
      </c>
      <c r="BA28" s="372"/>
      <c r="BB28" s="372"/>
      <c r="BC28" s="372"/>
      <c r="BD28" s="372"/>
      <c r="BE28" s="372"/>
      <c r="BF28" s="372"/>
      <c r="BG28" s="372"/>
      <c r="BH28" s="372"/>
      <c r="BI28" s="372"/>
      <c r="BJ28" s="372"/>
      <c r="BK28" s="372"/>
      <c r="BL28" s="372"/>
      <c r="BM28" s="71" t="s">
        <v>433</v>
      </c>
      <c r="BN28" s="83">
        <f>+X196-X198-X207</f>
        <v>5772104083</v>
      </c>
      <c r="BO28" s="81">
        <f>+AA196-AA198-AA207</f>
        <v>4221544251</v>
      </c>
      <c r="BP28" s="81">
        <f>+AD196-AD198-AD207</f>
        <v>2040921046</v>
      </c>
      <c r="BQ28" s="82">
        <f>+AF196-AF198-AF207</f>
        <v>345038019</v>
      </c>
      <c r="BR28" s="9"/>
    </row>
    <row r="29" spans="1:70" s="9" customFormat="1" ht="24.95" customHeight="1">
      <c r="A29" s="593" t="str">
        <f>+IF(ENERO!A29=0,"",ENERO!A29)</f>
        <v>1130103-1</v>
      </c>
      <c r="B29" s="630" t="str">
        <f>+IF(ENERO!B29=0,"",ENERO!B29)</f>
        <v>Prestación de Servicios de salud  1er Nivel</v>
      </c>
      <c r="C29" s="19">
        <f t="shared" ref="C29:N29" si="31">SUM(C30:C31)</f>
        <v>0</v>
      </c>
      <c r="D29" s="15">
        <f t="shared" si="31"/>
        <v>0</v>
      </c>
      <c r="E29" s="15">
        <f t="shared" si="31"/>
        <v>0</v>
      </c>
      <c r="F29" s="15">
        <f t="shared" si="31"/>
        <v>0</v>
      </c>
      <c r="G29" s="15">
        <f t="shared" si="31"/>
        <v>0</v>
      </c>
      <c r="H29" s="15">
        <f t="shared" si="31"/>
        <v>0</v>
      </c>
      <c r="I29" s="15">
        <f t="shared" si="31"/>
        <v>0</v>
      </c>
      <c r="J29" s="15">
        <f t="shared" si="31"/>
        <v>0</v>
      </c>
      <c r="K29" s="15">
        <f t="shared" si="31"/>
        <v>0</v>
      </c>
      <c r="L29" s="15">
        <f t="shared" si="31"/>
        <v>0</v>
      </c>
      <c r="M29" s="15">
        <f t="shared" si="31"/>
        <v>0</v>
      </c>
      <c r="N29" s="16">
        <f t="shared" si="31"/>
        <v>0</v>
      </c>
      <c r="O29" s="372"/>
      <c r="P29" s="144">
        <f>SUM(P30:P31)</f>
        <v>0</v>
      </c>
      <c r="Q29" s="145">
        <f>SUM(Q30:Q31)</f>
        <v>0</v>
      </c>
      <c r="S29" s="689" t="str">
        <f>+IF(ENERO!S29=0,"",ENERO!S29)</f>
        <v>1010104-9</v>
      </c>
      <c r="T29" s="705" t="str">
        <f>+IF(ENERO!T29=0,"",ENERO!T29)</f>
        <v>Bonificación Especial por Recreación</v>
      </c>
      <c r="U29" s="29">
        <f>+ENERO!U29</f>
        <v>8443869</v>
      </c>
      <c r="V29" s="15">
        <f>ENERO!V29+FEBRERO!AL29</f>
        <v>0</v>
      </c>
      <c r="W29" s="15">
        <f>ENERO!W29+FEBRERO!AM29</f>
        <v>0</v>
      </c>
      <c r="X29" s="16">
        <f t="shared" si="17"/>
        <v>8443869</v>
      </c>
      <c r="Y29" s="19">
        <f>ENERO!AA29</f>
        <v>56019</v>
      </c>
      <c r="Z29" s="364">
        <v>351133</v>
      </c>
      <c r="AA29" s="18">
        <f t="shared" si="18"/>
        <v>407152</v>
      </c>
      <c r="AB29" s="19">
        <f>ENERO!AD29</f>
        <v>56019</v>
      </c>
      <c r="AC29" s="364">
        <v>351133</v>
      </c>
      <c r="AD29" s="16">
        <f t="shared" si="19"/>
        <v>407152</v>
      </c>
      <c r="AE29" s="19">
        <f>ENERO!AG29</f>
        <v>56019</v>
      </c>
      <c r="AF29" s="364">
        <v>351133</v>
      </c>
      <c r="AG29" s="16">
        <f t="shared" si="20"/>
        <v>407152</v>
      </c>
      <c r="AH29" s="19">
        <f t="shared" si="21"/>
        <v>8036717</v>
      </c>
      <c r="AI29" s="15">
        <f t="shared" si="22"/>
        <v>8036717</v>
      </c>
      <c r="AJ29" s="16">
        <f t="shared" si="23"/>
        <v>8036717</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v>0</v>
      </c>
      <c r="AZ29" s="46">
        <f t="shared" si="28"/>
        <v>0</v>
      </c>
      <c r="BA29" s="372"/>
      <c r="BB29" s="412"/>
      <c r="BC29" s="412"/>
      <c r="BD29" s="412"/>
      <c r="BE29" s="412"/>
      <c r="BF29" s="412"/>
      <c r="BG29" s="372"/>
      <c r="BH29" s="372"/>
      <c r="BI29" s="372"/>
      <c r="BJ29" s="372"/>
      <c r="BK29" s="372"/>
      <c r="BM29" s="110" t="s">
        <v>70</v>
      </c>
      <c r="BN29" s="106">
        <f>X232-X256-X241</f>
        <v>9451418396</v>
      </c>
      <c r="BO29" s="107">
        <f>AA232-AA256-AA241</f>
        <v>6283115707</v>
      </c>
      <c r="BP29" s="107">
        <f>AD232-AD256-AD241</f>
        <v>1603454818</v>
      </c>
      <c r="BQ29" s="108">
        <f>AF232-AF256-AF241</f>
        <v>690499903</v>
      </c>
      <c r="BR29" s="412"/>
    </row>
    <row r="30" spans="1:70" s="412" customFormat="1" ht="24.95" customHeight="1">
      <c r="A30" s="593" t="str">
        <f>+IF(ENERO!A30=0,"",ENERO!A30)</f>
        <v>1130103-1-1</v>
      </c>
      <c r="B30" s="629" t="str">
        <f>+CONCATENATE("Vigencia ",INSTRUCCIONES!$F$3)</f>
        <v>Vigencia 2019</v>
      </c>
      <c r="C30" s="655">
        <f>+ENERO!C30</f>
        <v>0</v>
      </c>
      <c r="D30" s="363">
        <f>ENERO!D30+FEBRERO!P30</f>
        <v>0</v>
      </c>
      <c r="E30" s="363">
        <f>ENERO!E30+FEBRERO!Q30</f>
        <v>0</v>
      </c>
      <c r="F30" s="363">
        <f>SUM(C30:E30)</f>
        <v>0</v>
      </c>
      <c r="G30" s="363">
        <f>ENERO!I30</f>
        <v>0</v>
      </c>
      <c r="H30" s="364">
        <v>0</v>
      </c>
      <c r="I30" s="363">
        <f>SUM(G30:H30)</f>
        <v>0</v>
      </c>
      <c r="J30" s="363">
        <f>ENERO!L30</f>
        <v>0</v>
      </c>
      <c r="K30" s="364">
        <v>0</v>
      </c>
      <c r="L30" s="363">
        <f>SUM(J30:K30)</f>
        <v>0</v>
      </c>
      <c r="M30" s="363">
        <f>F30-I30</f>
        <v>0</v>
      </c>
      <c r="N30" s="143">
        <f>F30-L30</f>
        <v>0</v>
      </c>
      <c r="O30" s="9"/>
      <c r="P30" s="362">
        <v>0</v>
      </c>
      <c r="Q30" s="365">
        <v>0</v>
      </c>
      <c r="R30" s="9"/>
      <c r="S30" s="689" t="str">
        <f>+IF(ENERO!S30=0,"",ENERO!S30)</f>
        <v>1010104-10</v>
      </c>
      <c r="T30" s="705" t="str">
        <f>+IF(ENERO!T30=0,"",ENERO!T30)</f>
        <v>Gastos de Representación</v>
      </c>
      <c r="U30" s="29">
        <f>+ENERO!U30</f>
        <v>0</v>
      </c>
      <c r="V30" s="15">
        <f>ENERO!V30+FEBRERO!AL30</f>
        <v>0</v>
      </c>
      <c r="W30" s="15">
        <f>ENERO!W30+FEBRERO!AM30</f>
        <v>0</v>
      </c>
      <c r="X30" s="16">
        <f t="shared" si="17"/>
        <v>0</v>
      </c>
      <c r="Y30" s="19">
        <f>ENERO!AA30</f>
        <v>0</v>
      </c>
      <c r="Z30" s="364">
        <v>0</v>
      </c>
      <c r="AA30" s="18">
        <f t="shared" si="18"/>
        <v>0</v>
      </c>
      <c r="AB30" s="19">
        <f>ENERO!AD30</f>
        <v>0</v>
      </c>
      <c r="AC30" s="364">
        <v>0</v>
      </c>
      <c r="AD30" s="16">
        <f t="shared" si="19"/>
        <v>0</v>
      </c>
      <c r="AE30" s="19">
        <f>ENERO!AG30</f>
        <v>0</v>
      </c>
      <c r="AF30" s="364">
        <v>0</v>
      </c>
      <c r="AG30" s="16">
        <f t="shared" si="20"/>
        <v>0</v>
      </c>
      <c r="AH30" s="19">
        <f t="shared" si="21"/>
        <v>0</v>
      </c>
      <c r="AI30" s="15">
        <f t="shared" si="22"/>
        <v>0</v>
      </c>
      <c r="AJ30" s="16">
        <f t="shared" si="23"/>
        <v>0</v>
      </c>
      <c r="AK30" s="9"/>
      <c r="AL30" s="362">
        <v>0</v>
      </c>
      <c r="AM30" s="365">
        <v>0</v>
      </c>
      <c r="AN30" s="9"/>
      <c r="AO30" s="360" t="s">
        <v>51</v>
      </c>
      <c r="AP30" s="428" t="s">
        <v>130</v>
      </c>
      <c r="AQ30" s="363">
        <f>X220+X232</f>
        <v>15249398343</v>
      </c>
      <c r="AR30" s="363">
        <f>AD220+AD232</f>
        <v>1966619379</v>
      </c>
      <c r="AS30" s="363">
        <f>AG220+AG232</f>
        <v>1169652459</v>
      </c>
      <c r="AT30" s="421"/>
      <c r="AU30" s="363">
        <f t="shared" si="25"/>
        <v>0.12896373579897638</v>
      </c>
      <c r="AV30" s="363">
        <f t="shared" si="26"/>
        <v>7.6701548001525635E-2</v>
      </c>
      <c r="AW30" s="363">
        <f>(AR30-AD225-AD230-AD241-AD256)/$AO$2*12+AD225+AD230+AD241+AD256</f>
        <v>10243578574</v>
      </c>
      <c r="AX30" s="363">
        <f>(AS30-AG225-AG230-AG241-AG256)/$AO$2*12+AG225+AG230+AG241+AG256</f>
        <v>5461777054</v>
      </c>
      <c r="AY30" s="363">
        <f>AQ30-AW30</f>
        <v>5005819769</v>
      </c>
      <c r="AZ30" s="143">
        <f t="shared" si="28"/>
        <v>9787621289</v>
      </c>
      <c r="BA30" s="372"/>
      <c r="BG30" s="372"/>
      <c r="BH30" s="372"/>
      <c r="BI30" s="372"/>
      <c r="BJ30" s="372"/>
      <c r="BK30" s="372"/>
      <c r="BL30" s="372"/>
      <c r="BM30" s="110" t="s">
        <v>74</v>
      </c>
      <c r="BN30" s="106">
        <f>X220-X225-X230</f>
        <v>262344980</v>
      </c>
      <c r="BO30" s="107">
        <f>AA220-AA225-AA230</f>
        <v>51937021</v>
      </c>
      <c r="BP30" s="107">
        <f>AD220-AD225-AD230</f>
        <v>51937021</v>
      </c>
      <c r="BQ30" s="108">
        <f>AF220-AF225-AF230</f>
        <v>25857009</v>
      </c>
    </row>
    <row r="31" spans="1:70" s="412" customFormat="1" ht="24.95" customHeight="1">
      <c r="A31" s="593" t="str">
        <f>+IF(ENERO!A31=0,"",ENERO!A31)</f>
        <v>1130103-1-2</v>
      </c>
      <c r="B31" s="629" t="str">
        <f>+IF(ENERO!B31=0,"",ENERO!B31)</f>
        <v>Vigencia Anterior</v>
      </c>
      <c r="C31" s="655">
        <f>+ENERO!C31</f>
        <v>0</v>
      </c>
      <c r="D31" s="363">
        <f>ENERO!D31+FEBRERO!P31</f>
        <v>0</v>
      </c>
      <c r="E31" s="363">
        <f>ENERO!E31+FEBRERO!Q31</f>
        <v>0</v>
      </c>
      <c r="F31" s="363">
        <f>SUM(C31:E31)</f>
        <v>0</v>
      </c>
      <c r="G31" s="363">
        <f>ENERO!I31</f>
        <v>0</v>
      </c>
      <c r="H31" s="364">
        <v>0</v>
      </c>
      <c r="I31" s="363">
        <f>SUM(G31:H31)</f>
        <v>0</v>
      </c>
      <c r="J31" s="363">
        <f>ENERO!L31</f>
        <v>0</v>
      </c>
      <c r="K31" s="364">
        <v>0</v>
      </c>
      <c r="L31" s="363">
        <f>SUM(J31:K31)</f>
        <v>0</v>
      </c>
      <c r="M31" s="363">
        <f>F31-I31</f>
        <v>0</v>
      </c>
      <c r="N31" s="143">
        <f>F31-L31</f>
        <v>0</v>
      </c>
      <c r="O31" s="372"/>
      <c r="P31" s="362">
        <v>0</v>
      </c>
      <c r="Q31" s="365">
        <v>0</v>
      </c>
      <c r="R31" s="9"/>
      <c r="S31" s="689" t="str">
        <f>+IF(ENERO!S31=0,"",ENERO!S31)</f>
        <v>1010104-11</v>
      </c>
      <c r="T31" s="705" t="str">
        <f>+IF(ENERO!T31=0,"",ENERO!T31)</f>
        <v/>
      </c>
      <c r="U31" s="29">
        <f>+ENERO!U31</f>
        <v>0</v>
      </c>
      <c r="V31" s="15">
        <f>ENERO!V31+FEBRERO!AL31</f>
        <v>0</v>
      </c>
      <c r="W31" s="15">
        <f>ENERO!W31+FEBRERO!AM31</f>
        <v>0</v>
      </c>
      <c r="X31" s="16">
        <f t="shared" si="17"/>
        <v>0</v>
      </c>
      <c r="Y31" s="19">
        <f>ENERO!AA31</f>
        <v>0</v>
      </c>
      <c r="Z31" s="364">
        <v>0</v>
      </c>
      <c r="AA31" s="18">
        <f t="shared" si="18"/>
        <v>0</v>
      </c>
      <c r="AB31" s="19">
        <f>ENERO!AD31</f>
        <v>0</v>
      </c>
      <c r="AC31" s="364">
        <v>0</v>
      </c>
      <c r="AD31" s="16">
        <f t="shared" si="19"/>
        <v>0</v>
      </c>
      <c r="AE31" s="19">
        <f>ENERO!AG31</f>
        <v>0</v>
      </c>
      <c r="AF31" s="364">
        <v>0</v>
      </c>
      <c r="AG31" s="16">
        <f t="shared" si="20"/>
        <v>0</v>
      </c>
      <c r="AH31" s="19">
        <f t="shared" si="21"/>
        <v>0</v>
      </c>
      <c r="AI31" s="15">
        <f t="shared" si="22"/>
        <v>0</v>
      </c>
      <c r="AJ31" s="16">
        <f t="shared" si="23"/>
        <v>0</v>
      </c>
      <c r="AK31" s="9"/>
      <c r="AL31" s="362">
        <v>0</v>
      </c>
      <c r="AM31" s="365">
        <v>0</v>
      </c>
      <c r="AN31" s="9"/>
      <c r="AO31" s="339"/>
      <c r="AP31" s="405" t="s">
        <v>133</v>
      </c>
      <c r="AQ31" s="421">
        <f>X258</f>
        <v>0</v>
      </c>
      <c r="AR31" s="421">
        <f>AD258</f>
        <v>2758241164</v>
      </c>
      <c r="AS31" s="421">
        <f>AG258</f>
        <v>-7576486686</v>
      </c>
      <c r="AT31" s="421"/>
      <c r="AU31" s="363" t="str">
        <f t="shared" si="25"/>
        <v xml:space="preserve"> </v>
      </c>
      <c r="AV31" s="363" t="str">
        <f t="shared" si="26"/>
        <v xml:space="preserve"> </v>
      </c>
      <c r="AW31" s="363">
        <f>AQ31</f>
        <v>0</v>
      </c>
      <c r="AX31" s="363">
        <f>AQ31</f>
        <v>0</v>
      </c>
      <c r="AY31" s="363">
        <f>AQ31-AW31</f>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14482840779</v>
      </c>
      <c r="BO31" s="107">
        <f>AA33+AA41+AA55+AA61+AA81+AA88+AA102+AA108+AA121+AA139+AA143+AA153+AA168+AA174+AA183+AA191+AA207+AA218+AA230+AA241+AA256+AA225</f>
        <v>4526833722</v>
      </c>
      <c r="BP31" s="107">
        <f>AD33+AD41+AD55+AD61+AD81+AD88+AD102+AD108+AD121+AD139+AD143+AD153+AD168+AD174+AD183+AD191+AD207+AD218+AD230+AD241+AD256+AD225</f>
        <v>4526833722</v>
      </c>
      <c r="BQ31" s="108">
        <f>AF33+AF41+AF55+AF61+AF81+AF88+AF102+AF108+AF121+AF139+AF143+AF153+AF168+AF174+AF183+AF191+AF207+AF218+AF230+AF241+AF256+AF225</f>
        <v>2121547071</v>
      </c>
      <c r="BR31" s="9"/>
    </row>
    <row r="32" spans="1:70" s="9" customFormat="1" ht="24.95" customHeight="1" thickBot="1">
      <c r="A32" s="593" t="str">
        <f>+IF(ENERO!A32=0,"",ENERO!A32)</f>
        <v>1130103-2</v>
      </c>
      <c r="B32" s="630" t="str">
        <f>+IF(ENERO!B32=0,"",ENERO!B32)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72"/>
      <c r="P32" s="144">
        <f>SUM(P33:P34)</f>
        <v>0</v>
      </c>
      <c r="Q32" s="145">
        <f>SUM(Q33:Q34)</f>
        <v>0</v>
      </c>
      <c r="S32" s="689" t="str">
        <f>+IF(ENERO!S32=0,"",ENERO!S32)</f>
        <v>1010104-12</v>
      </c>
      <c r="T32" s="705" t="str">
        <f>+IF(ENERO!T32=0,"",ENERO!T32)</f>
        <v/>
      </c>
      <c r="U32" s="29">
        <f>+ENERO!U32</f>
        <v>0</v>
      </c>
      <c r="V32" s="15">
        <f>ENERO!V32+FEBRERO!AL32</f>
        <v>0</v>
      </c>
      <c r="W32" s="15">
        <f>ENERO!W32+FEBRERO!AM32</f>
        <v>0</v>
      </c>
      <c r="X32" s="16">
        <f t="shared" si="17"/>
        <v>0</v>
      </c>
      <c r="Y32" s="19">
        <f>ENERO!AA32</f>
        <v>0</v>
      </c>
      <c r="Z32" s="364">
        <v>0</v>
      </c>
      <c r="AA32" s="18">
        <f t="shared" si="18"/>
        <v>0</v>
      </c>
      <c r="AB32" s="19">
        <f>ENERO!AD32</f>
        <v>0</v>
      </c>
      <c r="AC32" s="364">
        <v>0</v>
      </c>
      <c r="AD32" s="16">
        <f t="shared" si="19"/>
        <v>0</v>
      </c>
      <c r="AE32" s="19">
        <f>ENERO!AG32</f>
        <v>0</v>
      </c>
      <c r="AF32" s="364">
        <v>0</v>
      </c>
      <c r="AG32" s="16">
        <f t="shared" si="20"/>
        <v>0</v>
      </c>
      <c r="AH32" s="19">
        <f t="shared" si="21"/>
        <v>0</v>
      </c>
      <c r="AI32" s="15">
        <f t="shared" si="22"/>
        <v>0</v>
      </c>
      <c r="AJ32" s="16">
        <f t="shared" si="23"/>
        <v>0</v>
      </c>
      <c r="AL32" s="362">
        <v>0</v>
      </c>
      <c r="AM32" s="365">
        <v>0</v>
      </c>
      <c r="AO32" s="21"/>
      <c r="AP32" s="430" t="s">
        <v>138</v>
      </c>
      <c r="AQ32" s="385">
        <f>SUM(AQ22:AQ31)</f>
        <v>81277350800</v>
      </c>
      <c r="AR32" s="385">
        <f>SUM(AR22:AR31)</f>
        <v>18274231729</v>
      </c>
      <c r="AS32" s="385">
        <f>SUM(AS22:AS31)</f>
        <v>0</v>
      </c>
      <c r="AT32" s="431"/>
      <c r="AU32" s="432">
        <f t="shared" si="25"/>
        <v>0.2248379351581917</v>
      </c>
      <c r="AV32" s="432">
        <f t="shared" si="26"/>
        <v>0</v>
      </c>
      <c r="AW32" s="341">
        <f>SUM(AW22:AW31)</f>
        <v>70921969437.75</v>
      </c>
      <c r="AX32" s="341">
        <f>SUM(AX22:AX31)</f>
        <v>23284946163.75</v>
      </c>
      <c r="AY32" s="341">
        <f>SUM(AY22:AY31)</f>
        <v>10355381362.25</v>
      </c>
      <c r="AZ32" s="342">
        <f>SUM(AZ22:AZ31)</f>
        <v>57992404636.25</v>
      </c>
      <c r="BA32" s="372"/>
      <c r="BB32" s="412"/>
      <c r="BC32" s="412"/>
      <c r="BD32" s="412"/>
      <c r="BE32" s="412"/>
      <c r="BF32" s="412"/>
      <c r="BG32" s="372"/>
      <c r="BH32" s="372"/>
      <c r="BI32" s="372"/>
      <c r="BJ32" s="372"/>
      <c r="BK32" s="372"/>
      <c r="BM32" s="110" t="s">
        <v>134</v>
      </c>
      <c r="BN32" s="106">
        <f>+BN7+BN25+BN29+BN30+BN31</f>
        <v>81277350800</v>
      </c>
      <c r="BO32" s="107">
        <f>+BO7+BO25+BO29+BO30+BO31</f>
        <v>45049998555</v>
      </c>
      <c r="BP32" s="107">
        <f>+BP7+BP25+BP29+BP30+BP31</f>
        <v>15515990565</v>
      </c>
      <c r="BQ32" s="108">
        <f>+BQ7+BQ25+BQ29+BQ30+BQ31</f>
        <v>4407016072</v>
      </c>
      <c r="BR32" s="412"/>
    </row>
    <row r="33" spans="1:70" s="412" customFormat="1" ht="24.95" customHeight="1" thickBot="1">
      <c r="A33" s="593" t="str">
        <f>+IF(ENERO!A33=0,"",ENERO!A33)</f>
        <v>1130103-2-1</v>
      </c>
      <c r="B33" s="629" t="str">
        <f>+CONCATENATE("Vigencia ",INSTRUCCIONES!$F$3)</f>
        <v>Vigencia 2019</v>
      </c>
      <c r="C33" s="655">
        <f>+ENERO!C33</f>
        <v>0</v>
      </c>
      <c r="D33" s="363">
        <f>ENERO!D33+FEBRERO!P33</f>
        <v>0</v>
      </c>
      <c r="E33" s="363">
        <f>ENERO!E33+FEBRERO!Q33</f>
        <v>0</v>
      </c>
      <c r="F33" s="363">
        <f>SUM(C33:E33)</f>
        <v>0</v>
      </c>
      <c r="G33" s="363">
        <f>ENERO!I33</f>
        <v>0</v>
      </c>
      <c r="H33" s="364">
        <v>0</v>
      </c>
      <c r="I33" s="363">
        <f>SUM(G33:H33)</f>
        <v>0</v>
      </c>
      <c r="J33" s="363">
        <f>ENERO!L33</f>
        <v>0</v>
      </c>
      <c r="K33" s="364">
        <v>0</v>
      </c>
      <c r="L33" s="363">
        <f>SUM(J33:K33)</f>
        <v>0</v>
      </c>
      <c r="M33" s="363">
        <f>F33-I33</f>
        <v>0</v>
      </c>
      <c r="N33" s="143">
        <f>F33-L33</f>
        <v>0</v>
      </c>
      <c r="O33" s="9"/>
      <c r="P33" s="362">
        <v>0</v>
      </c>
      <c r="Q33" s="365">
        <v>0</v>
      </c>
      <c r="R33" s="9"/>
      <c r="S33" s="688">
        <f>+IF(ENERO!S33=0,"",ENERO!S33)</f>
        <v>1010199</v>
      </c>
      <c r="T33" s="704" t="str">
        <f>+IF(ENERO!T33=0,"",ENERO!T33)</f>
        <v>Vigencias Anteriores</v>
      </c>
      <c r="U33" s="29">
        <f>+ENERO!U33</f>
        <v>0</v>
      </c>
      <c r="V33" s="15">
        <f>ENERO!V33+FEBRERO!AL33</f>
        <v>-120000000</v>
      </c>
      <c r="W33" s="15">
        <f>ENERO!W33+FEBRERO!AM33</f>
        <v>120000000</v>
      </c>
      <c r="X33" s="16">
        <f t="shared" si="17"/>
        <v>0</v>
      </c>
      <c r="Y33" s="19">
        <f>ENERO!AA33</f>
        <v>0</v>
      </c>
      <c r="Z33" s="364">
        <v>0</v>
      </c>
      <c r="AA33" s="18">
        <f t="shared" si="18"/>
        <v>0</v>
      </c>
      <c r="AB33" s="19">
        <f>ENERO!AD33</f>
        <v>0</v>
      </c>
      <c r="AC33" s="364">
        <v>0</v>
      </c>
      <c r="AD33" s="16">
        <f t="shared" si="19"/>
        <v>0</v>
      </c>
      <c r="AE33" s="19">
        <f>ENERO!AG33</f>
        <v>0</v>
      </c>
      <c r="AF33" s="364">
        <v>0</v>
      </c>
      <c r="AG33" s="16">
        <f t="shared" si="20"/>
        <v>0</v>
      </c>
      <c r="AH33" s="19">
        <f t="shared" si="21"/>
        <v>0</v>
      </c>
      <c r="AI33" s="15">
        <f t="shared" si="22"/>
        <v>0</v>
      </c>
      <c r="AJ33" s="16">
        <f t="shared" si="23"/>
        <v>0</v>
      </c>
      <c r="AK33" s="9"/>
      <c r="AL33" s="362">
        <v>-120000000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-16783056429</v>
      </c>
      <c r="BP33" s="113">
        <f>AD258</f>
        <v>2758241164</v>
      </c>
      <c r="BQ33" s="114">
        <f>AF258</f>
        <v>58596102999</v>
      </c>
    </row>
    <row r="34" spans="1:70" s="412" customFormat="1" ht="24.95" customHeight="1" thickBot="1">
      <c r="A34" s="593" t="str">
        <f>+IF(ENERO!A34=0,"",ENERO!A34)</f>
        <v>1130103-2-2</v>
      </c>
      <c r="B34" s="629" t="str">
        <f>+IF(ENERO!B34=0,"",ENERO!B34)</f>
        <v>Vigencia Anterior</v>
      </c>
      <c r="C34" s="655">
        <f>+ENERO!C34</f>
        <v>0</v>
      </c>
      <c r="D34" s="363">
        <f>ENERO!D34+FEBRERO!P34</f>
        <v>0</v>
      </c>
      <c r="E34" s="363">
        <f>ENERO!E34+FEBRERO!Q34</f>
        <v>0</v>
      </c>
      <c r="F34" s="363">
        <f>SUM(C34:E34)</f>
        <v>0</v>
      </c>
      <c r="G34" s="363">
        <f>ENERO!I34</f>
        <v>0</v>
      </c>
      <c r="H34" s="364">
        <v>0</v>
      </c>
      <c r="I34" s="363">
        <f>SUM(G34:H34)</f>
        <v>0</v>
      </c>
      <c r="J34" s="363">
        <f>ENERO!L34</f>
        <v>0</v>
      </c>
      <c r="K34" s="364">
        <v>0</v>
      </c>
      <c r="L34" s="363">
        <f>SUM(J34:K34)</f>
        <v>0</v>
      </c>
      <c r="M34" s="363">
        <f>F34-I34</f>
        <v>0</v>
      </c>
      <c r="N34" s="143">
        <f>F34-L34</f>
        <v>0</v>
      </c>
      <c r="O34" s="372"/>
      <c r="P34" s="362">
        <v>0</v>
      </c>
      <c r="Q34" s="365">
        <v>0</v>
      </c>
      <c r="R34" s="9"/>
      <c r="S34" s="356" t="str">
        <f>+IF(ENERO!S34=0,"",ENERO!S34)</f>
        <v/>
      </c>
      <c r="T34" s="678" t="str">
        <f>+IF(ENERO!T34=0,"",ENERO!T34)</f>
        <v/>
      </c>
      <c r="U34" s="357"/>
      <c r="V34" s="161"/>
      <c r="W34" s="161"/>
      <c r="X34" s="166"/>
      <c r="Y34" s="357"/>
      <c r="Z34" s="161"/>
      <c r="AA34" s="161"/>
      <c r="AB34" s="357"/>
      <c r="AC34" s="161"/>
      <c r="AD34" s="166"/>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+IF(ENERO!A35=0,"",ENERO!A35)</f>
        <v>1130103-3</v>
      </c>
      <c r="B35" s="630" t="str">
        <f>+IF(ENERO!B35=0,"",ENERO!B35)</f>
        <v>Prestación de Servicios de salud  3o. Nivel</v>
      </c>
      <c r="C35" s="19">
        <f t="shared" ref="C35:N35" si="33">SUM(C36:C37)</f>
        <v>7627600802</v>
      </c>
      <c r="D35" s="15">
        <f t="shared" si="33"/>
        <v>0</v>
      </c>
      <c r="E35" s="15">
        <f t="shared" si="33"/>
        <v>30004490</v>
      </c>
      <c r="F35" s="15">
        <f t="shared" si="33"/>
        <v>7657605292</v>
      </c>
      <c r="G35" s="15">
        <f t="shared" si="33"/>
        <v>661292871</v>
      </c>
      <c r="H35" s="15">
        <f t="shared" si="33"/>
        <v>780901104</v>
      </c>
      <c r="I35" s="15">
        <f t="shared" si="33"/>
        <v>1442193975</v>
      </c>
      <c r="J35" s="15">
        <f t="shared" si="33"/>
        <v>30004490</v>
      </c>
      <c r="K35" s="15">
        <f t="shared" si="33"/>
        <v>0</v>
      </c>
      <c r="L35" s="15">
        <f t="shared" si="33"/>
        <v>30004490</v>
      </c>
      <c r="M35" s="15">
        <f t="shared" si="33"/>
        <v>6215411317</v>
      </c>
      <c r="N35" s="16">
        <f t="shared" si="33"/>
        <v>7627600802</v>
      </c>
      <c r="P35" s="144">
        <f>SUM(P36:P37)</f>
        <v>0</v>
      </c>
      <c r="Q35" s="145">
        <f>SUM(Q36:Q37)</f>
        <v>30004490</v>
      </c>
      <c r="R35" s="9"/>
      <c r="S35" s="687">
        <f>+IF(ENERO!S35=0,"",ENERO!S35)</f>
        <v>1010200</v>
      </c>
      <c r="T35" s="703" t="str">
        <f>+IF(ENERO!T35=0,"",ENERO!T35)</f>
        <v>Servicios Personales Indirectos</v>
      </c>
      <c r="U35" s="128">
        <f t="shared" ref="U35:AJ35" si="34">SUM(U36:U41)</f>
        <v>4253886796</v>
      </c>
      <c r="V35" s="122">
        <f t="shared" si="34"/>
        <v>120000000</v>
      </c>
      <c r="W35" s="122">
        <f t="shared" si="34"/>
        <v>100000000</v>
      </c>
      <c r="X35" s="130">
        <f t="shared" si="34"/>
        <v>4473886796</v>
      </c>
      <c r="Y35" s="128">
        <f t="shared" si="34"/>
        <v>4149012314</v>
      </c>
      <c r="Z35" s="122">
        <f t="shared" si="34"/>
        <v>244489365</v>
      </c>
      <c r="AA35" s="129">
        <f t="shared" si="34"/>
        <v>4393501679</v>
      </c>
      <c r="AB35" s="128">
        <f t="shared" si="34"/>
        <v>572514143</v>
      </c>
      <c r="AC35" s="122">
        <f t="shared" si="34"/>
        <v>615190585</v>
      </c>
      <c r="AD35" s="130">
        <f t="shared" si="34"/>
        <v>1187704728</v>
      </c>
      <c r="AE35" s="128">
        <f t="shared" si="34"/>
        <v>326748403</v>
      </c>
      <c r="AF35" s="122">
        <f t="shared" si="34"/>
        <v>346665880</v>
      </c>
      <c r="AG35" s="130">
        <f t="shared" si="34"/>
        <v>673414283</v>
      </c>
      <c r="AH35" s="128">
        <f t="shared" si="34"/>
        <v>80385117</v>
      </c>
      <c r="AI35" s="122">
        <f t="shared" si="34"/>
        <v>3286182068</v>
      </c>
      <c r="AJ35" s="130">
        <f t="shared" si="34"/>
        <v>3800472513</v>
      </c>
      <c r="AK35" s="9"/>
      <c r="AL35" s="128">
        <f>SUM(AL36:AL41)</f>
        <v>120000000</v>
      </c>
      <c r="AM35" s="130">
        <f>SUM(AM36:AM41)</f>
        <v>0</v>
      </c>
      <c r="AN35" s="9"/>
      <c r="AO35" s="339"/>
      <c r="AP35" s="440"/>
      <c r="AQ35" s="282"/>
      <c r="AR35" s="441"/>
      <c r="AS35" s="441"/>
      <c r="AT35" s="441"/>
      <c r="AU35" s="442">
        <f>AR17-AR32</f>
        <v>9970262315</v>
      </c>
      <c r="AV35" s="443">
        <f>AS17-AR32</f>
        <v>-7885380</v>
      </c>
      <c r="AW35" s="443" t="s">
        <v>151</v>
      </c>
      <c r="AX35" s="444"/>
      <c r="AY35" s="443">
        <f>AY17+AY32</f>
        <v>20704258919.25</v>
      </c>
      <c r="AZ35" s="445">
        <f>AZ17+AY32</f>
        <v>-39252003462.75</v>
      </c>
      <c r="BB35" s="412"/>
      <c r="BC35" s="412"/>
      <c r="BD35" s="412"/>
      <c r="BE35" s="412"/>
      <c r="BF35" s="412"/>
      <c r="BR35" s="412"/>
    </row>
    <row r="36" spans="1:70" s="372" customFormat="1" ht="24.95" customHeight="1" thickBot="1">
      <c r="A36" s="593" t="str">
        <f>+IF(ENERO!A36=0,"",ENERO!A36)</f>
        <v>1130103-3-1</v>
      </c>
      <c r="B36" s="629" t="str">
        <f>+CONCATENATE("Vigencia ",INSTRUCCIONES!$F$3)</f>
        <v>Vigencia 2019</v>
      </c>
      <c r="C36" s="655">
        <f>+ENERO!C36</f>
        <v>7627600802</v>
      </c>
      <c r="D36" s="363">
        <f>ENERO!D36+FEBRERO!P36</f>
        <v>0</v>
      </c>
      <c r="E36" s="363">
        <f>ENERO!E36+FEBRERO!Q36</f>
        <v>0</v>
      </c>
      <c r="F36" s="363">
        <f t="shared" ref="F36:F41" si="35">SUM(C36:E36)</f>
        <v>7627600802</v>
      </c>
      <c r="G36" s="363">
        <f>ENERO!I36</f>
        <v>631288381</v>
      </c>
      <c r="H36" s="364">
        <v>780901104</v>
      </c>
      <c r="I36" s="363">
        <f t="shared" ref="I36:I41" si="36">SUM(G36:H36)</f>
        <v>1412189485</v>
      </c>
      <c r="J36" s="363">
        <f>ENERO!L36</f>
        <v>0</v>
      </c>
      <c r="K36" s="364">
        <v>0</v>
      </c>
      <c r="L36" s="363">
        <f t="shared" ref="L36:L41" si="37">SUM(J36:K36)</f>
        <v>0</v>
      </c>
      <c r="M36" s="363">
        <f t="shared" ref="M36:M41" si="38">F36-I36</f>
        <v>6215411317</v>
      </c>
      <c r="N36" s="143">
        <f t="shared" ref="N36:N41" si="39">F36-L36</f>
        <v>7627600802</v>
      </c>
      <c r="O36" s="9"/>
      <c r="P36" s="362">
        <v>0</v>
      </c>
      <c r="Q36" s="365">
        <v>0</v>
      </c>
      <c r="R36" s="9"/>
      <c r="S36" s="688" t="str">
        <f>+IF(ENERO!S36=0,"",ENERO!S36)</f>
        <v>1010200-1</v>
      </c>
      <c r="T36" s="704" t="str">
        <f>+IF(ENERO!T36=0,"",ENERO!T36)</f>
        <v>Remuneración y Honorarios por Servicios Técnicos y Profesionales</v>
      </c>
      <c r="U36" s="29">
        <f>+ENERO!U36</f>
        <v>1270340000</v>
      </c>
      <c r="V36" s="15">
        <f>ENERO!V36+FEBRERO!AL36</f>
        <v>0</v>
      </c>
      <c r="W36" s="15">
        <f>ENERO!W36+FEBRERO!AM36</f>
        <v>100000000</v>
      </c>
      <c r="X36" s="16">
        <f t="shared" ref="X36:X41" si="40">SUM(U36:W36)</f>
        <v>1370340000</v>
      </c>
      <c r="Y36" s="19">
        <f>ENERO!AA36</f>
        <v>1326300000</v>
      </c>
      <c r="Z36" s="364">
        <v>4980200</v>
      </c>
      <c r="AA36" s="18">
        <f t="shared" ref="AA36:AA41" si="41">SUM(Y36:Z36)</f>
        <v>1331280200</v>
      </c>
      <c r="AB36" s="19">
        <f>ENERO!AD36</f>
        <v>102114760</v>
      </c>
      <c r="AC36" s="364">
        <v>144568000</v>
      </c>
      <c r="AD36" s="16">
        <f t="shared" ref="AD36:AD41" si="42">SUM(AB36:AC36)</f>
        <v>246682760</v>
      </c>
      <c r="AE36" s="19">
        <f>ENERO!AG36</f>
        <v>88250000</v>
      </c>
      <c r="AF36" s="364">
        <v>101625000</v>
      </c>
      <c r="AG36" s="16">
        <f t="shared" ref="AG36:AG41" si="43">SUM(AE36:AF36)</f>
        <v>189875000</v>
      </c>
      <c r="AH36" s="19">
        <f t="shared" ref="AH36:AH41" si="44">X36-AA36</f>
        <v>39059800</v>
      </c>
      <c r="AI36" s="15">
        <f t="shared" ref="AI36:AI41" si="45">X36-AD36</f>
        <v>1123657240</v>
      </c>
      <c r="AJ36" s="16">
        <f t="shared" ref="AJ36:AJ41" si="46">X36-AG36</f>
        <v>1180465000</v>
      </c>
      <c r="AK36" s="9"/>
      <c r="AL36" s="362">
        <v>0</v>
      </c>
      <c r="AM36" s="365">
        <v>0</v>
      </c>
      <c r="AN36" s="9"/>
      <c r="AO36" s="446"/>
      <c r="AP36" s="22"/>
      <c r="AQ36" s="22"/>
      <c r="AR36" s="22"/>
      <c r="AS36" s="22"/>
      <c r="AT36" s="22"/>
      <c r="AU36" s="22"/>
      <c r="AV36" s="22"/>
      <c r="AW36" s="22"/>
      <c r="AX36" s="22"/>
      <c r="AY36" s="22"/>
      <c r="AZ36" s="23"/>
      <c r="BB36" s="412"/>
      <c r="BC36" s="412"/>
      <c r="BD36" s="412"/>
      <c r="BE36" s="412"/>
      <c r="BF36" s="412"/>
      <c r="BR36" s="412"/>
    </row>
    <row r="37" spans="1:70" s="372" customFormat="1" ht="24.95" customHeight="1">
      <c r="A37" s="593" t="str">
        <f>+IF(ENERO!A37=0,"",ENERO!A37)</f>
        <v>1130103-3-2</v>
      </c>
      <c r="B37" s="629" t="str">
        <f>+IF(ENERO!B37=0,"",ENERO!B37)</f>
        <v>Vigencia Anterior</v>
      </c>
      <c r="C37" s="655">
        <f>+ENERO!C37</f>
        <v>0</v>
      </c>
      <c r="D37" s="363">
        <f>ENERO!D37+FEBRERO!P37</f>
        <v>0</v>
      </c>
      <c r="E37" s="363">
        <f>ENERO!E37+FEBRERO!Q37</f>
        <v>30004490</v>
      </c>
      <c r="F37" s="363">
        <f t="shared" si="35"/>
        <v>30004490</v>
      </c>
      <c r="G37" s="363">
        <f>ENERO!I37</f>
        <v>30004490</v>
      </c>
      <c r="H37" s="364">
        <v>0</v>
      </c>
      <c r="I37" s="363">
        <f t="shared" si="36"/>
        <v>30004490</v>
      </c>
      <c r="J37" s="363">
        <f>ENERO!L37</f>
        <v>30004490</v>
      </c>
      <c r="K37" s="364">
        <v>0</v>
      </c>
      <c r="L37" s="363">
        <f t="shared" si="37"/>
        <v>30004490</v>
      </c>
      <c r="M37" s="363">
        <f t="shared" si="38"/>
        <v>0</v>
      </c>
      <c r="N37" s="143">
        <f t="shared" si="39"/>
        <v>0</v>
      </c>
      <c r="P37" s="362">
        <v>0</v>
      </c>
      <c r="Q37" s="365">
        <v>30004490</v>
      </c>
      <c r="R37" s="9"/>
      <c r="S37" s="688" t="str">
        <f>+IF(ENERO!S37=0,"",ENERO!S37)</f>
        <v>1010200-2</v>
      </c>
      <c r="T37" s="704" t="str">
        <f>+IF(ENERO!T37=0,"",ENERO!T37)</f>
        <v>Personal Supernumerario</v>
      </c>
      <c r="U37" s="29">
        <f>+ENERO!U37</f>
        <v>0</v>
      </c>
      <c r="V37" s="15">
        <f>ENERO!V37+FEBRERO!AL37</f>
        <v>0</v>
      </c>
      <c r="W37" s="15">
        <f>ENERO!W37+FEBRERO!AM37</f>
        <v>0</v>
      </c>
      <c r="X37" s="16">
        <f t="shared" si="40"/>
        <v>0</v>
      </c>
      <c r="Y37" s="19">
        <f>ENERO!AA37</f>
        <v>0</v>
      </c>
      <c r="Z37" s="364">
        <v>0</v>
      </c>
      <c r="AA37" s="18">
        <f t="shared" si="41"/>
        <v>0</v>
      </c>
      <c r="AB37" s="19">
        <f>ENERO!AD37</f>
        <v>0</v>
      </c>
      <c r="AC37" s="364">
        <v>0</v>
      </c>
      <c r="AD37" s="16">
        <f t="shared" si="42"/>
        <v>0</v>
      </c>
      <c r="AE37" s="19">
        <f>ENERO!AG37</f>
        <v>0</v>
      </c>
      <c r="AF37" s="364">
        <v>0</v>
      </c>
      <c r="AG37" s="16">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+IF(ENERO!A38=0,"",ENERO!A38)</f>
        <v>1130103-4</v>
      </c>
      <c r="B38" s="631" t="str">
        <f>+IF(ENERO!B38=0,"",ENERO!B38)</f>
        <v xml:space="preserve"> Aportes Patronales  1o. Nivel</v>
      </c>
      <c r="C38" s="655">
        <f>+ENERO!C38</f>
        <v>0</v>
      </c>
      <c r="D38" s="363">
        <f>ENERO!D38+FEBRERO!P38</f>
        <v>0</v>
      </c>
      <c r="E38" s="363">
        <f>ENERO!E38+FEBRERO!Q38</f>
        <v>0</v>
      </c>
      <c r="F38" s="363">
        <f t="shared" si="35"/>
        <v>0</v>
      </c>
      <c r="G38" s="363">
        <f>ENERO!I38</f>
        <v>0</v>
      </c>
      <c r="H38" s="364">
        <v>0</v>
      </c>
      <c r="I38" s="363">
        <f t="shared" si="36"/>
        <v>0</v>
      </c>
      <c r="J38" s="363">
        <f>ENERO!L38</f>
        <v>0</v>
      </c>
      <c r="K38" s="364">
        <v>0</v>
      </c>
      <c r="L38" s="363">
        <f t="shared" si="37"/>
        <v>0</v>
      </c>
      <c r="M38" s="363">
        <f t="shared" si="38"/>
        <v>0</v>
      </c>
      <c r="N38" s="143">
        <f t="shared" si="39"/>
        <v>0</v>
      </c>
      <c r="O38" s="515"/>
      <c r="P38" s="362">
        <v>0</v>
      </c>
      <c r="Q38" s="365">
        <v>0</v>
      </c>
      <c r="R38" s="9"/>
      <c r="S38" s="688" t="str">
        <f>+IF(ENERO!S38=0,"",ENERO!S38)</f>
        <v>1010200-3</v>
      </c>
      <c r="T38" s="704" t="str">
        <f>+IF(ENERO!T38=0,"",ENERO!T38)</f>
        <v>Honorarios de la Junta Directiva</v>
      </c>
      <c r="U38" s="29">
        <f>+ENERO!U38</f>
        <v>5000000</v>
      </c>
      <c r="V38" s="15">
        <f>ENERO!V38+FEBRERO!AL38</f>
        <v>0</v>
      </c>
      <c r="W38" s="15">
        <f>ENERO!W38+FEBRERO!AM38</f>
        <v>0</v>
      </c>
      <c r="X38" s="16">
        <f t="shared" si="40"/>
        <v>5000000</v>
      </c>
      <c r="Y38" s="19">
        <f>ENERO!AA38</f>
        <v>414058</v>
      </c>
      <c r="Z38" s="364">
        <v>0</v>
      </c>
      <c r="AA38" s="18">
        <f t="shared" si="41"/>
        <v>414058</v>
      </c>
      <c r="AB38" s="19">
        <f>ENERO!AD38</f>
        <v>414058</v>
      </c>
      <c r="AC38" s="364">
        <v>0</v>
      </c>
      <c r="AD38" s="16">
        <f t="shared" si="42"/>
        <v>414058</v>
      </c>
      <c r="AE38" s="19">
        <f>ENERO!AG38</f>
        <v>414058</v>
      </c>
      <c r="AF38" s="364">
        <v>0</v>
      </c>
      <c r="AG38" s="16">
        <f t="shared" si="43"/>
        <v>414058</v>
      </c>
      <c r="AH38" s="19">
        <f t="shared" si="44"/>
        <v>4585942</v>
      </c>
      <c r="AI38" s="15">
        <f t="shared" si="45"/>
        <v>4585942</v>
      </c>
      <c r="AJ38" s="16">
        <f t="shared" si="46"/>
        <v>4585942</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+IF(ENERO!A39=0,"",ENERO!A39)</f>
        <v>1130103-5</v>
      </c>
      <c r="B39" s="631" t="str">
        <f>+IF(ENERO!B39=0,"",ENERO!B39)</f>
        <v xml:space="preserve"> Aportes Patronales  2o. Nivel</v>
      </c>
      <c r="C39" s="655">
        <f>+ENERO!C39</f>
        <v>0</v>
      </c>
      <c r="D39" s="363">
        <f>ENERO!D39+FEBRERO!P39</f>
        <v>0</v>
      </c>
      <c r="E39" s="363">
        <f>ENERO!E39+FEBRERO!Q39</f>
        <v>0</v>
      </c>
      <c r="F39" s="363">
        <f t="shared" si="35"/>
        <v>0</v>
      </c>
      <c r="G39" s="363">
        <f>ENERO!I39</f>
        <v>0</v>
      </c>
      <c r="H39" s="364">
        <v>0</v>
      </c>
      <c r="I39" s="363">
        <f t="shared" si="36"/>
        <v>0</v>
      </c>
      <c r="J39" s="363">
        <f>ENERO!L39</f>
        <v>0</v>
      </c>
      <c r="K39" s="364">
        <v>0</v>
      </c>
      <c r="L39" s="363">
        <f t="shared" si="37"/>
        <v>0</v>
      </c>
      <c r="M39" s="363">
        <f t="shared" si="38"/>
        <v>0</v>
      </c>
      <c r="N39" s="143">
        <f t="shared" si="39"/>
        <v>0</v>
      </c>
      <c r="O39" s="515"/>
      <c r="P39" s="362">
        <v>0</v>
      </c>
      <c r="Q39" s="365">
        <v>0</v>
      </c>
      <c r="R39" s="9"/>
      <c r="S39" s="688" t="str">
        <f>+IF(ENERO!S39=0,"",ENERO!S39)</f>
        <v>1010200-4</v>
      </c>
      <c r="T39" s="704" t="str">
        <f>+IF(ENERO!T39=0,"",ENERO!T39)</f>
        <v>Otros Honorarios</v>
      </c>
      <c r="U39" s="29">
        <f>+ENERO!U39</f>
        <v>2589745841</v>
      </c>
      <c r="V39" s="15">
        <f>ENERO!V39+FEBRERO!AL39</f>
        <v>0</v>
      </c>
      <c r="W39" s="15">
        <f>ENERO!W39+FEBRERO!AM39</f>
        <v>0</v>
      </c>
      <c r="X39" s="16">
        <f t="shared" si="40"/>
        <v>2589745841</v>
      </c>
      <c r="Y39" s="19">
        <f>ENERO!AA39</f>
        <v>2589745626</v>
      </c>
      <c r="Z39" s="364">
        <v>0</v>
      </c>
      <c r="AA39" s="18">
        <f t="shared" si="41"/>
        <v>2589745626</v>
      </c>
      <c r="AB39" s="19">
        <f>ENERO!AD39</f>
        <v>237432695</v>
      </c>
      <c r="AC39" s="364">
        <v>231113420</v>
      </c>
      <c r="AD39" s="16">
        <f t="shared" si="42"/>
        <v>468546115</v>
      </c>
      <c r="AE39" s="19">
        <f>ENERO!AG39</f>
        <v>5531715</v>
      </c>
      <c r="AF39" s="364">
        <v>5531715</v>
      </c>
      <c r="AG39" s="16">
        <f t="shared" si="43"/>
        <v>11063430</v>
      </c>
      <c r="AH39" s="19">
        <f t="shared" si="44"/>
        <v>215</v>
      </c>
      <c r="AI39" s="15">
        <f t="shared" si="45"/>
        <v>2121199726</v>
      </c>
      <c r="AJ39" s="16">
        <f t="shared" si="46"/>
        <v>2578682411</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+IF(ENERO!A40=0,"",ENERO!A40)</f>
        <v>1130103-6</v>
      </c>
      <c r="B40" s="631" t="str">
        <f>+IF(ENERO!B40=0,"",ENERO!B40)</f>
        <v xml:space="preserve"> Aportes Patronales  3er. Nivel</v>
      </c>
      <c r="C40" s="655">
        <f>+ENERO!C40</f>
        <v>1324760338</v>
      </c>
      <c r="D40" s="363">
        <f>ENERO!D40+FEBRERO!P40</f>
        <v>0</v>
      </c>
      <c r="E40" s="363">
        <f>ENERO!E40+FEBRERO!Q40</f>
        <v>0</v>
      </c>
      <c r="F40" s="363">
        <f t="shared" si="35"/>
        <v>1324760338</v>
      </c>
      <c r="G40" s="363">
        <f>ENERO!I40</f>
        <v>0</v>
      </c>
      <c r="H40" s="364">
        <v>110396695</v>
      </c>
      <c r="I40" s="363">
        <f t="shared" si="36"/>
        <v>110396695</v>
      </c>
      <c r="J40" s="363">
        <f>ENERO!L40</f>
        <v>0</v>
      </c>
      <c r="K40" s="364">
        <v>110396695</v>
      </c>
      <c r="L40" s="363">
        <f t="shared" si="37"/>
        <v>110396695</v>
      </c>
      <c r="M40" s="363">
        <f t="shared" si="38"/>
        <v>1214363643</v>
      </c>
      <c r="N40" s="143">
        <f t="shared" si="39"/>
        <v>1214363643</v>
      </c>
      <c r="O40" s="515"/>
      <c r="P40" s="362">
        <v>0</v>
      </c>
      <c r="Q40" s="365">
        <v>0</v>
      </c>
      <c r="R40" s="9"/>
      <c r="S40" s="688" t="str">
        <f>+IF(ENERO!S40=0,"",ENERO!S40)</f>
        <v>1010200-5</v>
      </c>
      <c r="T40" s="704" t="str">
        <f>+IF(ENERO!T40=0,"",ENERO!T40)</f>
        <v>Certificación, Habilitación y Acreditación</v>
      </c>
      <c r="U40" s="29">
        <f>+ENERO!U40</f>
        <v>0</v>
      </c>
      <c r="V40" s="15">
        <f>ENERO!V40+FEBRERO!AL40</f>
        <v>0</v>
      </c>
      <c r="W40" s="15">
        <f>ENERO!W40+FEBRERO!AM40</f>
        <v>0</v>
      </c>
      <c r="X40" s="16">
        <f t="shared" si="40"/>
        <v>0</v>
      </c>
      <c r="Y40" s="19">
        <f>ENERO!AA40</f>
        <v>0</v>
      </c>
      <c r="Z40" s="364">
        <v>0</v>
      </c>
      <c r="AA40" s="18">
        <f t="shared" si="41"/>
        <v>0</v>
      </c>
      <c r="AB40" s="19">
        <f>ENERO!AD40</f>
        <v>0</v>
      </c>
      <c r="AC40" s="364">
        <v>0</v>
      </c>
      <c r="AD40" s="16">
        <f t="shared" si="42"/>
        <v>0</v>
      </c>
      <c r="AE40" s="19">
        <f>ENERO!AG40</f>
        <v>0</v>
      </c>
      <c r="AF40" s="364">
        <v>0</v>
      </c>
      <c r="AG40" s="16">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+IF(ENERO!A41=0,"",ENERO!A41)</f>
        <v>1130104</v>
      </c>
      <c r="B41" s="628" t="str">
        <f>+IF(ENERO!B41=0,"",ENERO!B41)</f>
        <v>SUBSIDIO A LA OFERTA- ACTIVIDADES NO POS-S</v>
      </c>
      <c r="C41" s="655">
        <f>+ENERO!C41</f>
        <v>0</v>
      </c>
      <c r="D41" s="122">
        <f>ENERO!D41+FEBRERO!P41</f>
        <v>0</v>
      </c>
      <c r="E41" s="122">
        <f>ENERO!E41+FEBRERO!Q41</f>
        <v>0</v>
      </c>
      <c r="F41" s="122">
        <f t="shared" si="35"/>
        <v>0</v>
      </c>
      <c r="G41" s="122">
        <f>ENERO!I41</f>
        <v>0</v>
      </c>
      <c r="H41" s="364">
        <v>0</v>
      </c>
      <c r="I41" s="122">
        <f t="shared" si="36"/>
        <v>0</v>
      </c>
      <c r="J41" s="122">
        <f>ENERO!L41</f>
        <v>0</v>
      </c>
      <c r="K41" s="364">
        <v>0</v>
      </c>
      <c r="L41" s="122">
        <f t="shared" si="37"/>
        <v>0</v>
      </c>
      <c r="M41" s="122">
        <f t="shared" si="38"/>
        <v>0</v>
      </c>
      <c r="N41" s="130">
        <f t="shared" si="39"/>
        <v>0</v>
      </c>
      <c r="O41" s="372"/>
      <c r="P41" s="364">
        <v>0</v>
      </c>
      <c r="Q41" s="365">
        <v>0</v>
      </c>
      <c r="R41" s="9"/>
      <c r="S41" s="688">
        <f>+IF(ENERO!S41=0,"",ENERO!S41)</f>
        <v>1010299</v>
      </c>
      <c r="T41" s="704" t="str">
        <f>+IF(ENERO!T41=0,"",ENERO!T41)</f>
        <v>Vigencias Anteriores</v>
      </c>
      <c r="U41" s="29">
        <f>+ENERO!U41</f>
        <v>388800955</v>
      </c>
      <c r="V41" s="15">
        <f>ENERO!V41+FEBRERO!AL41</f>
        <v>120000000</v>
      </c>
      <c r="W41" s="15">
        <f>ENERO!W41+FEBRERO!AM41</f>
        <v>0</v>
      </c>
      <c r="X41" s="16">
        <f t="shared" si="40"/>
        <v>508800955</v>
      </c>
      <c r="Y41" s="19">
        <f>ENERO!AA41</f>
        <v>232552630</v>
      </c>
      <c r="Z41" s="364">
        <v>239509165</v>
      </c>
      <c r="AA41" s="18">
        <f t="shared" si="41"/>
        <v>472061795</v>
      </c>
      <c r="AB41" s="19">
        <f>ENERO!AD41</f>
        <v>232552630</v>
      </c>
      <c r="AC41" s="364">
        <v>239509165</v>
      </c>
      <c r="AD41" s="16">
        <f t="shared" si="42"/>
        <v>472061795</v>
      </c>
      <c r="AE41" s="19">
        <f>ENERO!AG41</f>
        <v>232552630</v>
      </c>
      <c r="AF41" s="364">
        <v>239509165</v>
      </c>
      <c r="AG41" s="16">
        <f t="shared" si="43"/>
        <v>472061795</v>
      </c>
      <c r="AH41" s="19">
        <f t="shared" si="44"/>
        <v>36739160</v>
      </c>
      <c r="AI41" s="15">
        <f t="shared" si="45"/>
        <v>36739160</v>
      </c>
      <c r="AJ41" s="16">
        <f t="shared" si="46"/>
        <v>36739160</v>
      </c>
      <c r="AK41" s="9"/>
      <c r="AL41" s="362">
        <v>120000000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+IF(ENERO!A42=0,"",ENERO!A42)</f>
        <v>1130106</v>
      </c>
      <c r="B42" s="628" t="str">
        <f>+IF(ENERO!B42=0,"",ENERO!B42)</f>
        <v>SALUD PUBLICA - PLAN DE INTERVENCIONES COLECTIVAS</v>
      </c>
      <c r="C42" s="43">
        <f t="shared" ref="C42:N42" si="47">SUM(C43:C44)</f>
        <v>0</v>
      </c>
      <c r="D42" s="44">
        <f t="shared" si="47"/>
        <v>0</v>
      </c>
      <c r="E42" s="44">
        <f t="shared" si="47"/>
        <v>0</v>
      </c>
      <c r="F42" s="44">
        <f t="shared" si="47"/>
        <v>0</v>
      </c>
      <c r="G42" s="44">
        <f t="shared" si="47"/>
        <v>0</v>
      </c>
      <c r="H42" s="44">
        <f t="shared" si="47"/>
        <v>0</v>
      </c>
      <c r="I42" s="44">
        <f t="shared" si="47"/>
        <v>0</v>
      </c>
      <c r="J42" s="44">
        <f t="shared" si="47"/>
        <v>0</v>
      </c>
      <c r="K42" s="44">
        <f t="shared" si="47"/>
        <v>0</v>
      </c>
      <c r="L42" s="44">
        <f t="shared" si="47"/>
        <v>0</v>
      </c>
      <c r="M42" s="44">
        <f t="shared" si="47"/>
        <v>0</v>
      </c>
      <c r="N42" s="45">
        <f t="shared" si="47"/>
        <v>0</v>
      </c>
      <c r="P42" s="43">
        <f>SUM(P43:P44)</f>
        <v>0</v>
      </c>
      <c r="Q42" s="45">
        <f>SUM(Q43:Q44)</f>
        <v>0</v>
      </c>
      <c r="R42" s="9"/>
      <c r="S42" s="356" t="str">
        <f>+IF(ENERO!S42=0,"",ENERO!S42)</f>
        <v/>
      </c>
      <c r="T42" s="678" t="str">
        <f>+IF(ENERO!T42=0,"",ENERO!T42)</f>
        <v/>
      </c>
      <c r="U42" s="357"/>
      <c r="V42" s="161"/>
      <c r="W42" s="161"/>
      <c r="X42" s="166"/>
      <c r="Y42" s="357"/>
      <c r="Z42" s="161"/>
      <c r="AA42" s="161"/>
      <c r="AB42" s="357"/>
      <c r="AC42" s="161"/>
      <c r="AD42" s="166"/>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c r="BR42" s="412"/>
    </row>
    <row r="43" spans="1:70" s="412" customFormat="1" ht="24.95" customHeight="1">
      <c r="A43" s="593" t="str">
        <f>+IF(ENERO!A43=0,"",ENERO!A43)</f>
        <v>1130106-1</v>
      </c>
      <c r="B43" s="629" t="str">
        <f>+CONCATENATE("Vigencia ",INSTRUCCIONES!$F$3)</f>
        <v>Vigencia 2019</v>
      </c>
      <c r="C43" s="655">
        <f>+ENERO!C43</f>
        <v>0</v>
      </c>
      <c r="D43" s="363">
        <f>ENERO!D43+FEBRERO!P43</f>
        <v>0</v>
      </c>
      <c r="E43" s="363">
        <f>ENERO!E43+FEBRERO!Q43</f>
        <v>0</v>
      </c>
      <c r="F43" s="363">
        <f>SUM(C43:E43)</f>
        <v>0</v>
      </c>
      <c r="G43" s="363">
        <f>ENERO!I43</f>
        <v>0</v>
      </c>
      <c r="H43" s="364">
        <v>0</v>
      </c>
      <c r="I43" s="363">
        <f>SUM(G43:H43)</f>
        <v>0</v>
      </c>
      <c r="J43" s="363">
        <f>ENERO!L43</f>
        <v>0</v>
      </c>
      <c r="K43" s="364">
        <v>0</v>
      </c>
      <c r="L43" s="363">
        <f>SUM(J43:K43)</f>
        <v>0</v>
      </c>
      <c r="M43" s="363">
        <f>F43-I43</f>
        <v>0</v>
      </c>
      <c r="N43" s="143">
        <f>F43-L43</f>
        <v>0</v>
      </c>
      <c r="O43" s="372"/>
      <c r="P43" s="362">
        <v>0</v>
      </c>
      <c r="Q43" s="365">
        <v>0</v>
      </c>
      <c r="R43" s="9"/>
      <c r="S43" s="687">
        <f>+IF(ENERO!S43=0,"",ENERO!S43)</f>
        <v>1010300</v>
      </c>
      <c r="T43" s="703" t="str">
        <f>+IF(ENERO!T43=0,"",ENERO!T43)</f>
        <v>Contribuciones Inherentes nómina al Sector Privado</v>
      </c>
      <c r="U43" s="128">
        <f t="shared" ref="U43:AJ43" si="48">U44+U49+U55</f>
        <v>682314446</v>
      </c>
      <c r="V43" s="122">
        <f t="shared" si="48"/>
        <v>0</v>
      </c>
      <c r="W43" s="122">
        <f t="shared" si="48"/>
        <v>0</v>
      </c>
      <c r="X43" s="130">
        <f t="shared" si="48"/>
        <v>682314446</v>
      </c>
      <c r="Y43" s="128">
        <f t="shared" si="48"/>
        <v>4444920</v>
      </c>
      <c r="Z43" s="122">
        <f t="shared" si="48"/>
        <v>18688423</v>
      </c>
      <c r="AA43" s="129">
        <f t="shared" si="48"/>
        <v>23133343</v>
      </c>
      <c r="AB43" s="128">
        <f t="shared" si="48"/>
        <v>4444920</v>
      </c>
      <c r="AC43" s="122">
        <f t="shared" si="48"/>
        <v>18688423</v>
      </c>
      <c r="AD43" s="130">
        <f t="shared" si="48"/>
        <v>23133343</v>
      </c>
      <c r="AE43" s="128">
        <f t="shared" si="48"/>
        <v>0</v>
      </c>
      <c r="AF43" s="122">
        <f t="shared" si="48"/>
        <v>18785103</v>
      </c>
      <c r="AG43" s="130">
        <f t="shared" si="48"/>
        <v>18785103</v>
      </c>
      <c r="AH43" s="128">
        <f t="shared" si="48"/>
        <v>659181103</v>
      </c>
      <c r="AI43" s="122">
        <f t="shared" si="48"/>
        <v>659181103</v>
      </c>
      <c r="AJ43" s="130">
        <f t="shared" si="48"/>
        <v>663529343</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row>
    <row r="44" spans="1:70" s="412" customFormat="1" ht="24.95" customHeight="1">
      <c r="A44" s="593" t="str">
        <f>+IF(ENERO!A44=0,"",ENERO!A44)</f>
        <v>1130106-2</v>
      </c>
      <c r="B44" s="629" t="str">
        <f>+IF(ENERO!B44=0,"",ENERO!B44)</f>
        <v>Vigencia Anterior</v>
      </c>
      <c r="C44" s="655">
        <f>+ENERO!C44</f>
        <v>0</v>
      </c>
      <c r="D44" s="363">
        <f>ENERO!D44+FEBRERO!P44</f>
        <v>0</v>
      </c>
      <c r="E44" s="363">
        <f>ENERO!E44+FEBRERO!Q44</f>
        <v>0</v>
      </c>
      <c r="F44" s="363">
        <f>SUM(C44:E44)</f>
        <v>0</v>
      </c>
      <c r="G44" s="363">
        <f>ENERO!I44</f>
        <v>0</v>
      </c>
      <c r="H44" s="364">
        <v>0</v>
      </c>
      <c r="I44" s="363">
        <f>SUM(G44:H44)</f>
        <v>0</v>
      </c>
      <c r="J44" s="363">
        <f>ENERO!L44</f>
        <v>0</v>
      </c>
      <c r="K44" s="364">
        <v>0</v>
      </c>
      <c r="L44" s="363">
        <f>SUM(J44:K44)</f>
        <v>0</v>
      </c>
      <c r="M44" s="363">
        <f>F44-I44</f>
        <v>0</v>
      </c>
      <c r="N44" s="143">
        <f>F44-L44</f>
        <v>0</v>
      </c>
      <c r="O44" s="372"/>
      <c r="P44" s="362">
        <v>0</v>
      </c>
      <c r="Q44" s="365">
        <v>0</v>
      </c>
      <c r="R44" s="9"/>
      <c r="S44" s="688">
        <f>+IF(ENERO!S44=0,"",ENERO!S44)</f>
        <v>1010301</v>
      </c>
      <c r="T44" s="704" t="str">
        <f>+IF(ENERO!T44=0,"",ENERO!T44)</f>
        <v>Contribuciones - SGP - Aportes Patronales - Cuenta Maestra</v>
      </c>
      <c r="U44" s="29">
        <f t="shared" ref="U44:AJ44" si="49">SUM(U45:U48)</f>
        <v>224699564</v>
      </c>
      <c r="V44" s="15">
        <f t="shared" si="49"/>
        <v>0</v>
      </c>
      <c r="W44" s="15">
        <f t="shared" si="49"/>
        <v>0</v>
      </c>
      <c r="X44" s="16">
        <f t="shared" si="49"/>
        <v>224699564</v>
      </c>
      <c r="Y44" s="19">
        <f t="shared" si="49"/>
        <v>0</v>
      </c>
      <c r="Z44" s="142">
        <f t="shared" si="49"/>
        <v>14340183</v>
      </c>
      <c r="AA44" s="18">
        <f t="shared" si="49"/>
        <v>14340183</v>
      </c>
      <c r="AB44" s="19">
        <f t="shared" si="49"/>
        <v>0</v>
      </c>
      <c r="AC44" s="142">
        <f t="shared" si="49"/>
        <v>14340183</v>
      </c>
      <c r="AD44" s="16">
        <f t="shared" si="49"/>
        <v>14340183</v>
      </c>
      <c r="AE44" s="19">
        <f t="shared" si="49"/>
        <v>0</v>
      </c>
      <c r="AF44" s="142">
        <f t="shared" si="49"/>
        <v>14340183</v>
      </c>
      <c r="AG44" s="16">
        <f t="shared" si="49"/>
        <v>14340183</v>
      </c>
      <c r="AH44" s="19">
        <f t="shared" si="49"/>
        <v>210359381</v>
      </c>
      <c r="AI44" s="15">
        <f t="shared" si="49"/>
        <v>210359381</v>
      </c>
      <c r="AJ44" s="16">
        <f t="shared" si="49"/>
        <v>210359381</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+IF(ENERO!A45=0,"",ENERO!A45)</f>
        <v>1130107</v>
      </c>
      <c r="B45" s="628" t="str">
        <f>+IF(ENERO!B45=0,"",ENERO!B45)</f>
        <v>MINSALUD-FOSYGA-RECLAMACIONES ECAT</v>
      </c>
      <c r="C45" s="43">
        <f t="shared" ref="C45:N45" si="50">SUM(C46:C47)</f>
        <v>130489617</v>
      </c>
      <c r="D45" s="44">
        <f t="shared" si="50"/>
        <v>0</v>
      </c>
      <c r="E45" s="44">
        <f t="shared" si="50"/>
        <v>0</v>
      </c>
      <c r="F45" s="44">
        <f t="shared" si="50"/>
        <v>130489617</v>
      </c>
      <c r="G45" s="44">
        <f t="shared" si="50"/>
        <v>107772614</v>
      </c>
      <c r="H45" s="44">
        <f t="shared" si="50"/>
        <v>93278877</v>
      </c>
      <c r="I45" s="44">
        <f t="shared" si="50"/>
        <v>201051491</v>
      </c>
      <c r="J45" s="44">
        <f t="shared" si="50"/>
        <v>0</v>
      </c>
      <c r="K45" s="44">
        <f t="shared" si="50"/>
        <v>0</v>
      </c>
      <c r="L45" s="44">
        <f t="shared" si="50"/>
        <v>0</v>
      </c>
      <c r="M45" s="44">
        <f t="shared" si="50"/>
        <v>-70561874</v>
      </c>
      <c r="N45" s="45">
        <f t="shared" si="50"/>
        <v>130489617</v>
      </c>
      <c r="P45" s="43">
        <f>SUM(P46:P47)</f>
        <v>0</v>
      </c>
      <c r="Q45" s="45">
        <f>SUM(Q46:Q47)</f>
        <v>0</v>
      </c>
      <c r="R45" s="9"/>
      <c r="S45" s="689" t="str">
        <f>+IF(ENERO!S45=0,"",ENERO!S45)</f>
        <v>1010301-1</v>
      </c>
      <c r="T45" s="705" t="str">
        <f>+IF(ENERO!T45=0,"",ENERO!T45)</f>
        <v>E.P.S. - Aportes cuenta maestra</v>
      </c>
      <c r="U45" s="29">
        <f>+ENERO!U45</f>
        <v>56701284</v>
      </c>
      <c r="V45" s="15">
        <f>ENERO!V45+FEBRERO!AL45</f>
        <v>0</v>
      </c>
      <c r="W45" s="15">
        <f>ENERO!W45+FEBRERO!AM45</f>
        <v>0</v>
      </c>
      <c r="X45" s="16">
        <f>SUM(U45:W45)</f>
        <v>56701284</v>
      </c>
      <c r="Y45" s="19">
        <f>ENERO!AA45</f>
        <v>0</v>
      </c>
      <c r="Z45" s="364">
        <v>5785969</v>
      </c>
      <c r="AA45" s="18">
        <f>SUM(Y45:Z45)</f>
        <v>5785969</v>
      </c>
      <c r="AB45" s="19">
        <f>ENERO!AD45</f>
        <v>0</v>
      </c>
      <c r="AC45" s="364">
        <v>5785969</v>
      </c>
      <c r="AD45" s="16">
        <f>SUM(AB45:AC45)</f>
        <v>5785969</v>
      </c>
      <c r="AE45" s="19">
        <f>ENERO!AG45</f>
        <v>0</v>
      </c>
      <c r="AF45" s="364">
        <v>5785969</v>
      </c>
      <c r="AG45" s="16">
        <f>SUM(AE45:AF45)</f>
        <v>5785969</v>
      </c>
      <c r="AH45" s="19">
        <f>X45-AA45</f>
        <v>50915315</v>
      </c>
      <c r="AI45" s="15">
        <f>X45-AD45</f>
        <v>50915315</v>
      </c>
      <c r="AJ45" s="16">
        <f>X45-AG45</f>
        <v>50915315</v>
      </c>
      <c r="AK45" s="9"/>
      <c r="AL45" s="362">
        <v>0</v>
      </c>
      <c r="AM45" s="365">
        <v>0</v>
      </c>
      <c r="AN45" s="9"/>
      <c r="AO45" s="284"/>
      <c r="AP45" s="284"/>
      <c r="AQ45" s="284"/>
      <c r="AR45" s="284"/>
      <c r="AS45" s="284"/>
      <c r="AT45" s="284"/>
      <c r="AU45" s="284"/>
      <c r="AV45" s="284"/>
      <c r="AW45" s="284"/>
      <c r="AX45" s="284"/>
      <c r="AY45" s="284"/>
      <c r="AZ45" s="284"/>
      <c r="BR45" s="412"/>
    </row>
    <row r="46" spans="1:70" s="412" customFormat="1" ht="24.95" customHeight="1">
      <c r="A46" s="593" t="str">
        <f>+IF(ENERO!A46=0,"",ENERO!A46)</f>
        <v>1130107-1</v>
      </c>
      <c r="B46" s="629" t="str">
        <f>+CONCATENATE("Vigencia ",INSTRUCCIONES!$F$3)</f>
        <v>Vigencia 2019</v>
      </c>
      <c r="C46" s="655">
        <f>+ENERO!C46</f>
        <v>130489617</v>
      </c>
      <c r="D46" s="363">
        <f>ENERO!D46+FEBRERO!P46</f>
        <v>0</v>
      </c>
      <c r="E46" s="363">
        <f>ENERO!E46+FEBRERO!Q46</f>
        <v>0</v>
      </c>
      <c r="F46" s="363">
        <f>SUM(C46:E46)</f>
        <v>130489617</v>
      </c>
      <c r="G46" s="363">
        <f>ENERO!I46</f>
        <v>107772614</v>
      </c>
      <c r="H46" s="364">
        <v>93278877</v>
      </c>
      <c r="I46" s="363">
        <f>SUM(G46:H46)</f>
        <v>201051491</v>
      </c>
      <c r="J46" s="363">
        <f>ENERO!L46</f>
        <v>0</v>
      </c>
      <c r="K46" s="364">
        <v>0</v>
      </c>
      <c r="L46" s="363">
        <f>SUM(J46:K46)</f>
        <v>0</v>
      </c>
      <c r="M46" s="363">
        <f>F46-I46</f>
        <v>-70561874</v>
      </c>
      <c r="N46" s="143">
        <f>F46-L46</f>
        <v>130489617</v>
      </c>
      <c r="O46" s="372"/>
      <c r="P46" s="362">
        <v>0</v>
      </c>
      <c r="Q46" s="365">
        <v>0</v>
      </c>
      <c r="R46" s="9"/>
      <c r="S46" s="689" t="str">
        <f>+IF(ENERO!S46=0,"",ENERO!S46)</f>
        <v>1010301-2</v>
      </c>
      <c r="T46" s="705" t="str">
        <f>+IF(ENERO!T46=0,"",ENERO!T46)</f>
        <v>Fondos pensionales - Aportes cuenta maestra</v>
      </c>
      <c r="U46" s="29">
        <f>+ENERO!U46</f>
        <v>77319919</v>
      </c>
      <c r="V46" s="15">
        <f>ENERO!V46+FEBRERO!AL46</f>
        <v>0</v>
      </c>
      <c r="W46" s="15">
        <f>ENERO!W46+FEBRERO!AM46</f>
        <v>0</v>
      </c>
      <c r="X46" s="16">
        <f>SUM(U46:W46)</f>
        <v>77319919</v>
      </c>
      <c r="Y46" s="19">
        <f>ENERO!AA46</f>
        <v>0</v>
      </c>
      <c r="Z46" s="364">
        <v>7750774</v>
      </c>
      <c r="AA46" s="18">
        <f>SUM(Y46:Z46)</f>
        <v>7750774</v>
      </c>
      <c r="AB46" s="19">
        <f>ENERO!AD46</f>
        <v>0</v>
      </c>
      <c r="AC46" s="364">
        <v>7750774</v>
      </c>
      <c r="AD46" s="16">
        <f>SUM(AB46:AC46)</f>
        <v>7750774</v>
      </c>
      <c r="AE46" s="19">
        <f>ENERO!AG46</f>
        <v>0</v>
      </c>
      <c r="AF46" s="364">
        <v>7750774</v>
      </c>
      <c r="AG46" s="16">
        <f>SUM(AE46:AF46)</f>
        <v>7750774</v>
      </c>
      <c r="AH46" s="19">
        <f>X46-AA46</f>
        <v>69569145</v>
      </c>
      <c r="AI46" s="15">
        <f>X46-AD46</f>
        <v>69569145</v>
      </c>
      <c r="AJ46" s="16">
        <f>X46-AG46</f>
        <v>69569145</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+IF(ENERO!A47=0,"",ENERO!A47)</f>
        <v>1130107-2</v>
      </c>
      <c r="B47" s="629" t="str">
        <f>+IF(ENERO!B47=0,"",ENERO!B47)</f>
        <v>Vigencia Anterior</v>
      </c>
      <c r="C47" s="655">
        <f>+ENERO!C47</f>
        <v>0</v>
      </c>
      <c r="D47" s="363">
        <f>ENERO!D47+FEBRERO!P47</f>
        <v>0</v>
      </c>
      <c r="E47" s="363">
        <f>ENERO!E47+FEBRERO!Q47</f>
        <v>0</v>
      </c>
      <c r="F47" s="363">
        <f>SUM(C47:E47)</f>
        <v>0</v>
      </c>
      <c r="G47" s="363">
        <f>ENERO!I47</f>
        <v>0</v>
      </c>
      <c r="H47" s="364">
        <v>0</v>
      </c>
      <c r="I47" s="363">
        <f>SUM(G47:H47)</f>
        <v>0</v>
      </c>
      <c r="J47" s="363">
        <f>ENERO!L47</f>
        <v>0</v>
      </c>
      <c r="K47" s="364">
        <v>0</v>
      </c>
      <c r="L47" s="363">
        <f>SUM(J47:K47)</f>
        <v>0</v>
      </c>
      <c r="M47" s="363">
        <f>F47-I47</f>
        <v>0</v>
      </c>
      <c r="N47" s="143">
        <f>F47-L47</f>
        <v>0</v>
      </c>
      <c r="O47" s="372"/>
      <c r="P47" s="362">
        <v>0</v>
      </c>
      <c r="Q47" s="365">
        <v>0</v>
      </c>
      <c r="R47" s="9"/>
      <c r="S47" s="689" t="str">
        <f>+IF(ENERO!S47=0,"",ENERO!S47)</f>
        <v>1010301-3</v>
      </c>
      <c r="T47" s="705" t="str">
        <f>+IF(ENERO!T47=0,"",ENERO!T47)</f>
        <v>Fondos de cesantías - Aportes cuenta maestra</v>
      </c>
      <c r="U47" s="29">
        <f>+ENERO!U47</f>
        <v>87698777</v>
      </c>
      <c r="V47" s="15">
        <f>ENERO!V47+FEBRERO!AL47</f>
        <v>0</v>
      </c>
      <c r="W47" s="15">
        <f>ENERO!W47+FEBRERO!AM47</f>
        <v>0</v>
      </c>
      <c r="X47" s="16">
        <f>SUM(U47:W47)</f>
        <v>87698777</v>
      </c>
      <c r="Y47" s="19">
        <f>ENERO!AA47</f>
        <v>0</v>
      </c>
      <c r="Z47" s="364">
        <v>0</v>
      </c>
      <c r="AA47" s="18">
        <f>SUM(Y47:Z47)</f>
        <v>0</v>
      </c>
      <c r="AB47" s="19">
        <f>ENERO!AD47</f>
        <v>0</v>
      </c>
      <c r="AC47" s="364">
        <v>0</v>
      </c>
      <c r="AD47" s="16">
        <f>SUM(AB47:AC47)</f>
        <v>0</v>
      </c>
      <c r="AE47" s="19">
        <f>ENERO!AG47</f>
        <v>0</v>
      </c>
      <c r="AF47" s="364">
        <v>0</v>
      </c>
      <c r="AG47" s="16">
        <f>SUM(AE47:AF47)</f>
        <v>0</v>
      </c>
      <c r="AH47" s="19">
        <f>X47-AA47</f>
        <v>87698777</v>
      </c>
      <c r="AI47" s="15">
        <f>X47-AD47</f>
        <v>87698777</v>
      </c>
      <c r="AJ47" s="16">
        <f>X47-AG47</f>
        <v>87698777</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+IF(ENERO!A48=0,"",ENERO!A48)</f>
        <v>1130108</v>
      </c>
      <c r="B48" s="628" t="str">
        <f>+IF(ENERO!B48=0,"",ENERO!B48)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689" t="str">
        <f>+IF(ENERO!S48=0,"",ENERO!S48)</f>
        <v>1010301-4</v>
      </c>
      <c r="T48" s="705" t="str">
        <f>+IF(ENERO!T48=0,"",ENERO!T48)</f>
        <v>Riesgos laborales - Aportes cuenta maestra</v>
      </c>
      <c r="U48" s="29">
        <f>+ENERO!U48</f>
        <v>2979584</v>
      </c>
      <c r="V48" s="15">
        <f>ENERO!V48+FEBRERO!AL48</f>
        <v>0</v>
      </c>
      <c r="W48" s="15">
        <f>ENERO!W48+FEBRERO!AM48</f>
        <v>0</v>
      </c>
      <c r="X48" s="16">
        <f>SUM(U48:W48)</f>
        <v>2979584</v>
      </c>
      <c r="Y48" s="19">
        <f>ENERO!AA48</f>
        <v>0</v>
      </c>
      <c r="Z48" s="364">
        <v>803440</v>
      </c>
      <c r="AA48" s="18">
        <f>SUM(Y48:Z48)</f>
        <v>803440</v>
      </c>
      <c r="AB48" s="19">
        <f>ENERO!AD48</f>
        <v>0</v>
      </c>
      <c r="AC48" s="364">
        <v>803440</v>
      </c>
      <c r="AD48" s="16">
        <f>SUM(AB48:AC48)</f>
        <v>803440</v>
      </c>
      <c r="AE48" s="19">
        <f>ENERO!AG48</f>
        <v>0</v>
      </c>
      <c r="AF48" s="364">
        <v>803440</v>
      </c>
      <c r="AG48" s="16">
        <f>SUM(AE48:AF48)</f>
        <v>803440</v>
      </c>
      <c r="AH48" s="19">
        <f>X48-AA48</f>
        <v>2176144</v>
      </c>
      <c r="AI48" s="15">
        <f>X48-AD48</f>
        <v>2176144</v>
      </c>
      <c r="AJ48" s="16">
        <f>X48-AG48</f>
        <v>2176144</v>
      </c>
      <c r="AK48" s="9"/>
      <c r="AL48" s="362">
        <v>0</v>
      </c>
      <c r="AM48" s="365">
        <v>0</v>
      </c>
      <c r="AN48" s="9"/>
      <c r="AO48" s="284"/>
      <c r="AP48" s="284"/>
      <c r="AQ48" s="284"/>
      <c r="AR48" s="284"/>
      <c r="AS48" s="284"/>
      <c r="AT48" s="284"/>
      <c r="AU48" s="284"/>
      <c r="AV48" s="284"/>
      <c r="AW48" s="284"/>
      <c r="AX48" s="284"/>
      <c r="AY48" s="284"/>
      <c r="AZ48" s="284"/>
      <c r="BR48" s="412"/>
    </row>
    <row r="49" spans="1:70" s="412" customFormat="1" ht="24.95" customHeight="1">
      <c r="A49" s="593" t="str">
        <f>+IF(ENERO!A49=0,"",ENERO!A49)</f>
        <v>1130108-1</v>
      </c>
      <c r="B49" s="629" t="str">
        <f>+CONCATENATE("Vigencia ",INSTRUCCIONES!$F$3)</f>
        <v>Vigencia 2019</v>
      </c>
      <c r="C49" s="655">
        <f>+ENERO!C49</f>
        <v>0</v>
      </c>
      <c r="D49" s="363">
        <f>ENERO!D49+FEBRERO!P49</f>
        <v>0</v>
      </c>
      <c r="E49" s="363">
        <f>ENERO!E49+FEBRERO!Q49</f>
        <v>0</v>
      </c>
      <c r="F49" s="363">
        <f>SUM(C49:E49)</f>
        <v>0</v>
      </c>
      <c r="G49" s="363">
        <f>ENERO!I49</f>
        <v>0</v>
      </c>
      <c r="H49" s="364">
        <v>0</v>
      </c>
      <c r="I49" s="363">
        <f>SUM(G49:H49)</f>
        <v>0</v>
      </c>
      <c r="J49" s="363">
        <f>ENERO!L49</f>
        <v>0</v>
      </c>
      <c r="K49" s="364">
        <v>0</v>
      </c>
      <c r="L49" s="363">
        <f>SUM(J49:K49)</f>
        <v>0</v>
      </c>
      <c r="M49" s="363">
        <f>F49-I49</f>
        <v>0</v>
      </c>
      <c r="N49" s="143">
        <f>F49-L49</f>
        <v>0</v>
      </c>
      <c r="O49" s="372"/>
      <c r="P49" s="362">
        <v>0</v>
      </c>
      <c r="Q49" s="365">
        <v>0</v>
      </c>
      <c r="R49" s="9"/>
      <c r="S49" s="688">
        <f>+IF(ENERO!S49=0,"",ENERO!S49)</f>
        <v>1010302</v>
      </c>
      <c r="T49" s="704" t="str">
        <f>+IF(ENERO!T49=0,"",ENERO!T49)</f>
        <v>Contribuciones - Otros</v>
      </c>
      <c r="U49" s="29">
        <f t="shared" ref="U49:AJ49" si="52">SUM(U50:U54)</f>
        <v>349614882</v>
      </c>
      <c r="V49" s="15">
        <f t="shared" si="52"/>
        <v>0</v>
      </c>
      <c r="W49" s="15">
        <f t="shared" si="52"/>
        <v>0</v>
      </c>
      <c r="X49" s="16">
        <f t="shared" si="52"/>
        <v>349614882</v>
      </c>
      <c r="Y49" s="19">
        <f t="shared" si="52"/>
        <v>4444920</v>
      </c>
      <c r="Z49" s="142">
        <f t="shared" si="52"/>
        <v>4348240</v>
      </c>
      <c r="AA49" s="18">
        <f t="shared" si="52"/>
        <v>8793160</v>
      </c>
      <c r="AB49" s="19">
        <f t="shared" si="52"/>
        <v>4444920</v>
      </c>
      <c r="AC49" s="142">
        <f t="shared" si="52"/>
        <v>4348240</v>
      </c>
      <c r="AD49" s="16">
        <f t="shared" si="52"/>
        <v>8793160</v>
      </c>
      <c r="AE49" s="19">
        <f t="shared" si="52"/>
        <v>0</v>
      </c>
      <c r="AF49" s="142">
        <f t="shared" si="52"/>
        <v>4444920</v>
      </c>
      <c r="AG49" s="16">
        <f t="shared" si="52"/>
        <v>4444920</v>
      </c>
      <c r="AH49" s="19">
        <f t="shared" si="52"/>
        <v>340821722</v>
      </c>
      <c r="AI49" s="15">
        <f t="shared" si="52"/>
        <v>340821722</v>
      </c>
      <c r="AJ49" s="16">
        <f t="shared" si="52"/>
        <v>345169962</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row>
    <row r="50" spans="1:70" s="412" customFormat="1" ht="24.95" customHeight="1">
      <c r="A50" s="593" t="str">
        <f>+IF(ENERO!A50=0,"",ENERO!A50)</f>
        <v>1130108-2</v>
      </c>
      <c r="B50" s="629" t="str">
        <f>+IF(ENERO!B50=0,"",ENERO!B50)</f>
        <v>Vigencia Anterior</v>
      </c>
      <c r="C50" s="655">
        <f>+ENERO!C50</f>
        <v>0</v>
      </c>
      <c r="D50" s="363">
        <f>ENERO!D50+FEBRERO!P50</f>
        <v>0</v>
      </c>
      <c r="E50" s="363">
        <f>ENERO!E50+FEBRERO!Q50</f>
        <v>0</v>
      </c>
      <c r="F50" s="363">
        <f>SUM(C50:E50)</f>
        <v>0</v>
      </c>
      <c r="G50" s="363">
        <f>ENERO!I50</f>
        <v>0</v>
      </c>
      <c r="H50" s="364">
        <v>0</v>
      </c>
      <c r="I50" s="363">
        <f>SUM(G50:H50)</f>
        <v>0</v>
      </c>
      <c r="J50" s="363">
        <f>ENERO!L50</f>
        <v>0</v>
      </c>
      <c r="K50" s="364">
        <v>0</v>
      </c>
      <c r="L50" s="363">
        <f>SUM(J50:K50)</f>
        <v>0</v>
      </c>
      <c r="M50" s="363">
        <f>F50-I50</f>
        <v>0</v>
      </c>
      <c r="N50" s="143">
        <f>F50-L50</f>
        <v>0</v>
      </c>
      <c r="O50" s="372"/>
      <c r="P50" s="362">
        <v>0</v>
      </c>
      <c r="Q50" s="365">
        <v>0</v>
      </c>
      <c r="R50" s="9"/>
      <c r="S50" s="689" t="str">
        <f>+IF(ENERO!S50=0,"",ENERO!S50)</f>
        <v>1010302-1</v>
      </c>
      <c r="T50" s="705" t="str">
        <f>+IF(ENERO!T50=0,"",ENERO!T50)</f>
        <v>Aportes a E.P.S. - recursos propios</v>
      </c>
      <c r="U50" s="29">
        <f>+ENERO!U50</f>
        <v>79647420</v>
      </c>
      <c r="V50" s="15">
        <f>ENERO!V50+FEBRERO!AL50</f>
        <v>0</v>
      </c>
      <c r="W50" s="15">
        <f>ENERO!W50+FEBRERO!AM50</f>
        <v>0</v>
      </c>
      <c r="X50" s="16">
        <f t="shared" ref="X50:X55" si="53">SUM(U50:W50)</f>
        <v>79647420</v>
      </c>
      <c r="Y50" s="19">
        <f>ENERO!AA50</f>
        <v>0</v>
      </c>
      <c r="Z50" s="364">
        <v>0</v>
      </c>
      <c r="AA50" s="18">
        <f t="shared" ref="AA50:AA55" si="54">SUM(Y50:Z50)</f>
        <v>0</v>
      </c>
      <c r="AB50" s="19">
        <f>ENERO!AD50</f>
        <v>0</v>
      </c>
      <c r="AC50" s="364">
        <v>0</v>
      </c>
      <c r="AD50" s="16">
        <f t="shared" ref="AD50:AD55" si="55">SUM(AB50:AC50)</f>
        <v>0</v>
      </c>
      <c r="AE50" s="19">
        <f>ENERO!AG50</f>
        <v>0</v>
      </c>
      <c r="AF50" s="364">
        <v>0</v>
      </c>
      <c r="AG50" s="16">
        <f t="shared" ref="AG50:AG55" si="56">SUM(AE50:AF50)</f>
        <v>0</v>
      </c>
      <c r="AH50" s="19">
        <f t="shared" ref="AH50:AH55" si="57">X50-AA50</f>
        <v>79647420</v>
      </c>
      <c r="AI50" s="15">
        <f t="shared" ref="AI50:AI55" si="58">X50-AD50</f>
        <v>79647420</v>
      </c>
      <c r="AJ50" s="16">
        <f t="shared" ref="AJ50:AJ55" si="59">X50-AG50</f>
        <v>79647420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+IF(ENERO!A51=0,"",ENERO!A51)</f>
        <v>1130109</v>
      </c>
      <c r="B51" s="628" t="str">
        <f>+IF(ENERO!B51=0,"",ENERO!B51)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689" t="str">
        <f>+IF(ENERO!S51=0,"",ENERO!S51)</f>
        <v>1010302-2</v>
      </c>
      <c r="T51" s="705" t="str">
        <f>+IF(ENERO!T51=0,"",ENERO!T51)</f>
        <v>Aportes Fondos Pensionales - recursos propios</v>
      </c>
      <c r="U51" s="29">
        <f>+ENERO!U51</f>
        <v>115172321</v>
      </c>
      <c r="V51" s="15">
        <f>ENERO!V51+FEBRERO!AL51</f>
        <v>0</v>
      </c>
      <c r="W51" s="15">
        <f>ENERO!W51+FEBRERO!AM51</f>
        <v>0</v>
      </c>
      <c r="X51" s="16">
        <f t="shared" si="53"/>
        <v>115172321</v>
      </c>
      <c r="Y51" s="19">
        <f>ENERO!AA51</f>
        <v>0</v>
      </c>
      <c r="Z51" s="364">
        <v>0</v>
      </c>
      <c r="AA51" s="18">
        <f t="shared" si="54"/>
        <v>0</v>
      </c>
      <c r="AB51" s="19">
        <f>ENERO!AD51</f>
        <v>0</v>
      </c>
      <c r="AC51" s="364">
        <v>0</v>
      </c>
      <c r="AD51" s="16">
        <f t="shared" si="55"/>
        <v>0</v>
      </c>
      <c r="AE51" s="19">
        <f>ENERO!AG51</f>
        <v>0</v>
      </c>
      <c r="AF51" s="364">
        <v>0</v>
      </c>
      <c r="AG51" s="16">
        <f t="shared" si="56"/>
        <v>0</v>
      </c>
      <c r="AH51" s="19">
        <f t="shared" si="57"/>
        <v>115172321</v>
      </c>
      <c r="AI51" s="15">
        <f t="shared" si="58"/>
        <v>115172321</v>
      </c>
      <c r="AJ51" s="16">
        <f t="shared" si="59"/>
        <v>115172321</v>
      </c>
      <c r="AK51" s="9"/>
      <c r="AL51" s="362">
        <v>0</v>
      </c>
      <c r="AM51" s="365">
        <v>0</v>
      </c>
      <c r="AN51" s="9"/>
      <c r="AO51" s="284"/>
      <c r="AP51" s="284"/>
      <c r="AQ51" s="284"/>
      <c r="AR51" s="284"/>
      <c r="AS51" s="284"/>
      <c r="AT51" s="284"/>
      <c r="AU51" s="284"/>
      <c r="AV51" s="284"/>
      <c r="AW51" s="284"/>
      <c r="AX51" s="284"/>
      <c r="AY51" s="284"/>
      <c r="AZ51" s="284"/>
      <c r="BR51" s="412"/>
    </row>
    <row r="52" spans="1:70" s="412" customFormat="1" ht="24.95" customHeight="1">
      <c r="A52" s="593" t="str">
        <f>+IF(ENERO!A52=0,"",ENERO!A52)</f>
        <v>1130109-1</v>
      </c>
      <c r="B52" s="629" t="str">
        <f>+CONCATENATE("Vigencia ",INSTRUCCIONES!$F$3)</f>
        <v>Vigencia 2019</v>
      </c>
      <c r="C52" s="655">
        <f>+ENERO!C52</f>
        <v>0</v>
      </c>
      <c r="D52" s="363">
        <f>ENERO!D52+FEBRERO!P52</f>
        <v>0</v>
      </c>
      <c r="E52" s="363">
        <f>ENERO!E52+FEBRERO!Q52</f>
        <v>0</v>
      </c>
      <c r="F52" s="363">
        <f>SUM(C52:E52)</f>
        <v>0</v>
      </c>
      <c r="G52" s="363">
        <f>ENERO!I52</f>
        <v>0</v>
      </c>
      <c r="H52" s="364">
        <v>0</v>
      </c>
      <c r="I52" s="363">
        <f>SUM(G52:H52)</f>
        <v>0</v>
      </c>
      <c r="J52" s="363">
        <f>ENERO!L52</f>
        <v>0</v>
      </c>
      <c r="K52" s="364">
        <v>0</v>
      </c>
      <c r="L52" s="363">
        <f>SUM(J52:K52)</f>
        <v>0</v>
      </c>
      <c r="M52" s="363">
        <f>F52-I52</f>
        <v>0</v>
      </c>
      <c r="N52" s="143">
        <f>F52-L52</f>
        <v>0</v>
      </c>
      <c r="O52" s="372"/>
      <c r="P52" s="362">
        <v>0</v>
      </c>
      <c r="Q52" s="365">
        <v>0</v>
      </c>
      <c r="R52" s="9"/>
      <c r="S52" s="689" t="str">
        <f>+IF(ENERO!S52=0,"",ENERO!S52)</f>
        <v>1010302-3</v>
      </c>
      <c r="T52" s="705" t="str">
        <f>+IF(ENERO!T52=0,"",ENERO!T52)</f>
        <v>Aportes a Fondos de Cesantia - recursos propios</v>
      </c>
      <c r="U52" s="29">
        <f>+ENERO!U52</f>
        <v>73960356</v>
      </c>
      <c r="V52" s="15">
        <f>ENERO!V52+FEBRERO!AL52</f>
        <v>0</v>
      </c>
      <c r="W52" s="15">
        <f>ENERO!W52+FEBRERO!AM52</f>
        <v>0</v>
      </c>
      <c r="X52" s="16">
        <f t="shared" si="53"/>
        <v>73960356</v>
      </c>
      <c r="Y52" s="19">
        <f>ENERO!AA52</f>
        <v>0</v>
      </c>
      <c r="Z52" s="364">
        <v>0</v>
      </c>
      <c r="AA52" s="18">
        <f t="shared" si="54"/>
        <v>0</v>
      </c>
      <c r="AB52" s="19">
        <f>ENERO!AD52</f>
        <v>0</v>
      </c>
      <c r="AC52" s="364">
        <v>0</v>
      </c>
      <c r="AD52" s="16">
        <f t="shared" si="55"/>
        <v>0</v>
      </c>
      <c r="AE52" s="19">
        <f>ENERO!AG52</f>
        <v>0</v>
      </c>
      <c r="AF52" s="364">
        <v>0</v>
      </c>
      <c r="AG52" s="16">
        <f t="shared" si="56"/>
        <v>0</v>
      </c>
      <c r="AH52" s="19">
        <f t="shared" si="57"/>
        <v>73960356</v>
      </c>
      <c r="AI52" s="15">
        <f t="shared" si="58"/>
        <v>73960356</v>
      </c>
      <c r="AJ52" s="16">
        <f t="shared" si="59"/>
        <v>73960356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row>
    <row r="53" spans="1:70" s="412" customFormat="1" ht="24.95" customHeight="1">
      <c r="A53" s="593" t="str">
        <f>+IF(ENERO!A53=0,"",ENERO!A53)</f>
        <v>1130109-2</v>
      </c>
      <c r="B53" s="629" t="str">
        <f>+IF(ENERO!B53=0,"",ENERO!B53)</f>
        <v>Vigencia Anterior</v>
      </c>
      <c r="C53" s="655">
        <f>+ENERO!C53</f>
        <v>0</v>
      </c>
      <c r="D53" s="363">
        <f>ENERO!D53+FEBRERO!P53</f>
        <v>0</v>
      </c>
      <c r="E53" s="363">
        <f>ENERO!E53+FEBRERO!Q53</f>
        <v>0</v>
      </c>
      <c r="F53" s="363">
        <f>SUM(C53:E53)</f>
        <v>0</v>
      </c>
      <c r="G53" s="363">
        <f>ENERO!I53</f>
        <v>0</v>
      </c>
      <c r="H53" s="364">
        <v>0</v>
      </c>
      <c r="I53" s="363">
        <f>SUM(G53:H53)</f>
        <v>0</v>
      </c>
      <c r="J53" s="363">
        <f>ENERO!L53</f>
        <v>0</v>
      </c>
      <c r="K53" s="364">
        <v>0</v>
      </c>
      <c r="L53" s="363">
        <f>SUM(J53:K53)</f>
        <v>0</v>
      </c>
      <c r="M53" s="363">
        <f>F53-I53</f>
        <v>0</v>
      </c>
      <c r="N53" s="143">
        <f>F53-L53</f>
        <v>0</v>
      </c>
      <c r="O53" s="372"/>
      <c r="P53" s="362">
        <v>0</v>
      </c>
      <c r="Q53" s="365">
        <v>0</v>
      </c>
      <c r="R53" s="9"/>
      <c r="S53" s="689" t="str">
        <f>+IF(ENERO!S53=0,"",ENERO!S53)</f>
        <v>1010302-4</v>
      </c>
      <c r="T53" s="705" t="str">
        <f>+IF(ENERO!T53=0,"",ENERO!T53)</f>
        <v>Aporte a ARL. - recursos propios</v>
      </c>
      <c r="U53" s="29">
        <f>+ENERO!U53</f>
        <v>5393830</v>
      </c>
      <c r="V53" s="15">
        <f>ENERO!V53+FEBRERO!AL53</f>
        <v>0</v>
      </c>
      <c r="W53" s="15">
        <f>ENERO!W53+FEBRERO!AM53</f>
        <v>0</v>
      </c>
      <c r="X53" s="16">
        <f t="shared" si="53"/>
        <v>5393830</v>
      </c>
      <c r="Y53" s="19">
        <f>ENERO!AA53</f>
        <v>0</v>
      </c>
      <c r="Z53" s="364">
        <v>0</v>
      </c>
      <c r="AA53" s="18">
        <f t="shared" si="54"/>
        <v>0</v>
      </c>
      <c r="AB53" s="19">
        <f>ENERO!AD53</f>
        <v>0</v>
      </c>
      <c r="AC53" s="364">
        <v>0</v>
      </c>
      <c r="AD53" s="16">
        <f t="shared" si="55"/>
        <v>0</v>
      </c>
      <c r="AE53" s="19">
        <f>ENERO!AG53</f>
        <v>0</v>
      </c>
      <c r="AF53" s="364">
        <v>0</v>
      </c>
      <c r="AG53" s="16">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+IF(ENERO!A54=0,"",ENERO!A54)</f>
        <v>1130110</v>
      </c>
      <c r="B54" s="628" t="str">
        <f>+IF(ENERO!B54=0,"",ENERO!B54)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689" t="str">
        <f>+IF(ENERO!S54=0,"",ENERO!S54)</f>
        <v>1010302-5</v>
      </c>
      <c r="T54" s="705" t="str">
        <f>+IF(ENERO!T54=0,"",ENERO!T54)</f>
        <v>Aporte a Caja Compensación Familiar</v>
      </c>
      <c r="U54" s="29">
        <f>+ENERO!U54</f>
        <v>75440955</v>
      </c>
      <c r="V54" s="15">
        <f>ENERO!V54+FEBRERO!AL54</f>
        <v>0</v>
      </c>
      <c r="W54" s="15">
        <f>ENERO!W54+FEBRERO!AM54</f>
        <v>0</v>
      </c>
      <c r="X54" s="16">
        <f t="shared" si="53"/>
        <v>75440955</v>
      </c>
      <c r="Y54" s="19">
        <f>ENERO!AA54</f>
        <v>4444920</v>
      </c>
      <c r="Z54" s="364">
        <v>4348240</v>
      </c>
      <c r="AA54" s="18">
        <f t="shared" si="54"/>
        <v>8793160</v>
      </c>
      <c r="AB54" s="19">
        <f>ENERO!AD54</f>
        <v>4444920</v>
      </c>
      <c r="AC54" s="364">
        <v>4348240</v>
      </c>
      <c r="AD54" s="16">
        <f t="shared" si="55"/>
        <v>8793160</v>
      </c>
      <c r="AE54" s="19">
        <f>ENERO!AG54</f>
        <v>0</v>
      </c>
      <c r="AF54" s="364">
        <v>4444920</v>
      </c>
      <c r="AG54" s="16">
        <f t="shared" si="56"/>
        <v>4444920</v>
      </c>
      <c r="AH54" s="19">
        <f t="shared" si="57"/>
        <v>66647795</v>
      </c>
      <c r="AI54" s="15">
        <f t="shared" si="58"/>
        <v>66647795</v>
      </c>
      <c r="AJ54" s="16">
        <f t="shared" si="59"/>
        <v>70996035</v>
      </c>
      <c r="AK54" s="9"/>
      <c r="AL54" s="362">
        <v>0</v>
      </c>
      <c r="AM54" s="365">
        <v>0</v>
      </c>
      <c r="AN54" s="9"/>
      <c r="AO54" s="284"/>
      <c r="AP54" s="284"/>
      <c r="AQ54" s="284"/>
      <c r="AR54" s="284"/>
      <c r="AS54" s="284"/>
      <c r="AT54" s="284"/>
      <c r="AU54" s="284"/>
      <c r="AV54" s="284"/>
      <c r="AW54" s="284"/>
      <c r="AX54" s="284"/>
      <c r="AY54" s="284"/>
      <c r="AZ54" s="284"/>
      <c r="BR54" s="412"/>
    </row>
    <row r="55" spans="1:70" s="412" customFormat="1" ht="24.95" customHeight="1">
      <c r="A55" s="593" t="str">
        <f>+IF(ENERO!A55=0,"",ENERO!A55)</f>
        <v>1130110-1</v>
      </c>
      <c r="B55" s="629" t="str">
        <f>+CONCATENATE("Vigencia ",INSTRUCCIONES!$F$3)</f>
        <v>Vigencia 2019</v>
      </c>
      <c r="C55" s="655">
        <f>+ENERO!C55</f>
        <v>0</v>
      </c>
      <c r="D55" s="363">
        <f>ENERO!D55+FEBRERO!P55</f>
        <v>0</v>
      </c>
      <c r="E55" s="363">
        <f>ENERO!E55+FEBRERO!Q55</f>
        <v>0</v>
      </c>
      <c r="F55" s="363">
        <f>SUM(C55:E55)</f>
        <v>0</v>
      </c>
      <c r="G55" s="363">
        <f>ENERO!I55</f>
        <v>0</v>
      </c>
      <c r="H55" s="364">
        <v>0</v>
      </c>
      <c r="I55" s="363">
        <f>SUM(G55:H55)</f>
        <v>0</v>
      </c>
      <c r="J55" s="363">
        <f>ENERO!L55</f>
        <v>0</v>
      </c>
      <c r="K55" s="364">
        <v>0</v>
      </c>
      <c r="L55" s="363">
        <f>SUM(J55:K55)</f>
        <v>0</v>
      </c>
      <c r="M55" s="363">
        <f>F55-I55</f>
        <v>0</v>
      </c>
      <c r="N55" s="143">
        <f>F55-L55</f>
        <v>0</v>
      </c>
      <c r="O55" s="372"/>
      <c r="P55" s="362">
        <v>0</v>
      </c>
      <c r="Q55" s="365">
        <v>0</v>
      </c>
      <c r="R55" s="9"/>
      <c r="S55" s="688">
        <f>+IF(ENERO!S55=0,"",ENERO!S55)</f>
        <v>1010399</v>
      </c>
      <c r="T55" s="704" t="str">
        <f>+IF(ENERO!T55=0,"",ENERO!T55)</f>
        <v>Vigencias Anteriores</v>
      </c>
      <c r="U55" s="29">
        <f>+ENERO!U55</f>
        <v>108000000</v>
      </c>
      <c r="V55" s="15">
        <f>ENERO!V55+FEBRERO!AL55</f>
        <v>0</v>
      </c>
      <c r="W55" s="15">
        <f>ENERO!W55+FEBRERO!AM55</f>
        <v>0</v>
      </c>
      <c r="X55" s="16">
        <f t="shared" si="53"/>
        <v>108000000</v>
      </c>
      <c r="Y55" s="19">
        <f>ENERO!AA55</f>
        <v>0</v>
      </c>
      <c r="Z55" s="364">
        <v>0</v>
      </c>
      <c r="AA55" s="18">
        <f t="shared" si="54"/>
        <v>0</v>
      </c>
      <c r="AB55" s="19">
        <f>ENERO!AD55</f>
        <v>0</v>
      </c>
      <c r="AC55" s="364">
        <v>0</v>
      </c>
      <c r="AD55" s="16">
        <f t="shared" si="55"/>
        <v>0</v>
      </c>
      <c r="AE55" s="19">
        <f>ENERO!AG55</f>
        <v>0</v>
      </c>
      <c r="AF55" s="364">
        <v>0</v>
      </c>
      <c r="AG55" s="16">
        <f t="shared" si="56"/>
        <v>0</v>
      </c>
      <c r="AH55" s="19">
        <f t="shared" si="57"/>
        <v>108000000</v>
      </c>
      <c r="AI55" s="15">
        <f t="shared" si="58"/>
        <v>108000000</v>
      </c>
      <c r="AJ55" s="16">
        <f t="shared" si="59"/>
        <v>108000000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row>
    <row r="56" spans="1:70" s="412" customFormat="1" ht="24.95" customHeight="1">
      <c r="A56" s="593" t="str">
        <f>+IF(ENERO!A56=0,"",ENERO!A56)</f>
        <v>1130110-2</v>
      </c>
      <c r="B56" s="629" t="str">
        <f>+IF(ENERO!B56=0,"",ENERO!B56)</f>
        <v>Vigencia Anterior</v>
      </c>
      <c r="C56" s="655">
        <f>+ENERO!C56</f>
        <v>0</v>
      </c>
      <c r="D56" s="363">
        <f>ENERO!D56+FEBRERO!P56</f>
        <v>0</v>
      </c>
      <c r="E56" s="363">
        <f>ENERO!E56+FEBRERO!Q56</f>
        <v>0</v>
      </c>
      <c r="F56" s="363">
        <f>SUM(C56:E56)</f>
        <v>0</v>
      </c>
      <c r="G56" s="363">
        <f>ENERO!I56</f>
        <v>0</v>
      </c>
      <c r="H56" s="364">
        <v>0</v>
      </c>
      <c r="I56" s="363">
        <f>SUM(G56:H56)</f>
        <v>0</v>
      </c>
      <c r="J56" s="363">
        <f>ENERO!L56</f>
        <v>0</v>
      </c>
      <c r="K56" s="364">
        <v>0</v>
      </c>
      <c r="L56" s="363">
        <f>SUM(J56:K56)</f>
        <v>0</v>
      </c>
      <c r="M56" s="363">
        <f>F56-I56</f>
        <v>0</v>
      </c>
      <c r="N56" s="143">
        <f>F56-L56</f>
        <v>0</v>
      </c>
      <c r="O56" s="372"/>
      <c r="P56" s="362">
        <v>0</v>
      </c>
      <c r="Q56" s="365">
        <v>0</v>
      </c>
      <c r="R56" s="9"/>
      <c r="S56" s="356" t="str">
        <f>+IF(ENERO!S56=0,"",ENERO!S56)</f>
        <v/>
      </c>
      <c r="T56" s="678" t="str">
        <f>+IF(ENERO!T56=0,"",ENERO!T56)</f>
        <v/>
      </c>
      <c r="U56" s="357"/>
      <c r="V56" s="161"/>
      <c r="W56" s="161"/>
      <c r="X56" s="166"/>
      <c r="Y56" s="357"/>
      <c r="Z56" s="161"/>
      <c r="AA56" s="161"/>
      <c r="AB56" s="357"/>
      <c r="AC56" s="161"/>
      <c r="AD56" s="166"/>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+IF(ENERO!A57=0,"",ENERO!A57)</f>
        <v>1130111</v>
      </c>
      <c r="B57" s="628" t="str">
        <f>+IF(ENERO!B57=0,"",ENERO!B57)</f>
        <v>IPS PRIVADAS</v>
      </c>
      <c r="C57" s="43">
        <f t="shared" ref="C57:N57" si="62">SUM(C58:C59)</f>
        <v>205713</v>
      </c>
      <c r="D57" s="44">
        <f t="shared" si="62"/>
        <v>0</v>
      </c>
      <c r="E57" s="44">
        <f t="shared" si="62"/>
        <v>0</v>
      </c>
      <c r="F57" s="44">
        <f t="shared" si="62"/>
        <v>205713</v>
      </c>
      <c r="G57" s="44">
        <f t="shared" si="62"/>
        <v>0</v>
      </c>
      <c r="H57" s="44">
        <f t="shared" si="62"/>
        <v>0</v>
      </c>
      <c r="I57" s="44">
        <f t="shared" si="62"/>
        <v>0</v>
      </c>
      <c r="J57" s="44">
        <f t="shared" si="62"/>
        <v>0</v>
      </c>
      <c r="K57" s="44">
        <f t="shared" si="62"/>
        <v>0</v>
      </c>
      <c r="L57" s="44">
        <f t="shared" si="62"/>
        <v>0</v>
      </c>
      <c r="M57" s="44">
        <f t="shared" si="62"/>
        <v>205713</v>
      </c>
      <c r="N57" s="45">
        <f t="shared" si="62"/>
        <v>205713</v>
      </c>
      <c r="P57" s="43">
        <f>SUM(P58:P59)</f>
        <v>0</v>
      </c>
      <c r="Q57" s="45">
        <f>SUM(Q58:Q59)</f>
        <v>0</v>
      </c>
      <c r="R57" s="9"/>
      <c r="S57" s="687">
        <f>+IF(ENERO!S57=0,"",ENERO!S57)</f>
        <v>1010400</v>
      </c>
      <c r="T57" s="703" t="str">
        <f>+IF(ENERO!T57=0,"",ENERO!T57)</f>
        <v>Contribuciones Inherentes nómina del Sector Publico</v>
      </c>
      <c r="U57" s="128">
        <f t="shared" ref="U57:AJ57" si="63">U58+U61</f>
        <v>94301194</v>
      </c>
      <c r="V57" s="122">
        <f t="shared" si="63"/>
        <v>0</v>
      </c>
      <c r="W57" s="122">
        <f t="shared" si="63"/>
        <v>0</v>
      </c>
      <c r="X57" s="130">
        <f t="shared" si="63"/>
        <v>94301194</v>
      </c>
      <c r="Y57" s="128">
        <f t="shared" si="63"/>
        <v>5556150</v>
      </c>
      <c r="Z57" s="122">
        <f t="shared" si="63"/>
        <v>5435300</v>
      </c>
      <c r="AA57" s="129">
        <f t="shared" si="63"/>
        <v>10991450</v>
      </c>
      <c r="AB57" s="128">
        <f t="shared" si="63"/>
        <v>5556150</v>
      </c>
      <c r="AC57" s="122">
        <f t="shared" si="63"/>
        <v>5435300</v>
      </c>
      <c r="AD57" s="130">
        <f t="shared" si="63"/>
        <v>10991450</v>
      </c>
      <c r="AE57" s="128">
        <f t="shared" si="63"/>
        <v>0</v>
      </c>
      <c r="AF57" s="122">
        <f t="shared" si="63"/>
        <v>5556150</v>
      </c>
      <c r="AG57" s="130">
        <f t="shared" si="63"/>
        <v>5556150</v>
      </c>
      <c r="AH57" s="128">
        <f t="shared" si="63"/>
        <v>83309744</v>
      </c>
      <c r="AI57" s="122">
        <f t="shared" si="63"/>
        <v>83309744</v>
      </c>
      <c r="AJ57" s="130">
        <f t="shared" si="63"/>
        <v>88745044</v>
      </c>
      <c r="AK57" s="9"/>
      <c r="AL57" s="128">
        <f>AL58+AL61</f>
        <v>0</v>
      </c>
      <c r="AM57" s="130">
        <f>AM58+AM61</f>
        <v>0</v>
      </c>
      <c r="AN57" s="9"/>
      <c r="AO57" s="284"/>
      <c r="AP57" s="284"/>
      <c r="AQ57" s="284"/>
      <c r="AR57" s="284"/>
      <c r="AS57" s="284"/>
      <c r="AT57" s="284"/>
      <c r="AU57" s="284"/>
      <c r="AV57" s="284"/>
      <c r="AW57" s="284"/>
      <c r="AX57" s="284"/>
      <c r="AY57" s="284"/>
      <c r="AZ57" s="284"/>
      <c r="BR57" s="412"/>
    </row>
    <row r="58" spans="1:70" s="412" customFormat="1" ht="24.95" customHeight="1">
      <c r="A58" s="593" t="str">
        <f>+IF(ENERO!A58=0,"",ENERO!A58)</f>
        <v>1130111-1</v>
      </c>
      <c r="B58" s="629" t="str">
        <f>+CONCATENATE("Vigencia ",INSTRUCCIONES!$F$3)</f>
        <v>Vigencia 2019</v>
      </c>
      <c r="C58" s="655">
        <f>+ENERO!C58</f>
        <v>205713</v>
      </c>
      <c r="D58" s="363">
        <f>ENERO!D58+FEBRERO!P58</f>
        <v>0</v>
      </c>
      <c r="E58" s="363">
        <f>ENERO!E58+FEBRERO!Q58</f>
        <v>0</v>
      </c>
      <c r="F58" s="363">
        <f>SUM(C58:E58)</f>
        <v>205713</v>
      </c>
      <c r="G58" s="363">
        <f>ENERO!I58</f>
        <v>0</v>
      </c>
      <c r="H58" s="364">
        <v>0</v>
      </c>
      <c r="I58" s="363">
        <f>SUM(G58:H58)</f>
        <v>0</v>
      </c>
      <c r="J58" s="363">
        <f>ENERO!L58</f>
        <v>0</v>
      </c>
      <c r="K58" s="364">
        <v>0</v>
      </c>
      <c r="L58" s="363">
        <f>SUM(J58:K58)</f>
        <v>0</v>
      </c>
      <c r="M58" s="363">
        <f>F58-I58</f>
        <v>205713</v>
      </c>
      <c r="N58" s="143">
        <f>F58-L58</f>
        <v>205713</v>
      </c>
      <c r="O58" s="372"/>
      <c r="P58" s="362">
        <v>0</v>
      </c>
      <c r="Q58" s="365">
        <v>0</v>
      </c>
      <c r="R58" s="9"/>
      <c r="S58" s="688">
        <f>+IF(ENERO!S58=0,"",ENERO!S58)</f>
        <v>1010402</v>
      </c>
      <c r="T58" s="704" t="str">
        <f>+IF(ENERO!T58=0,"",ENERO!T58)</f>
        <v>Contribuciones - Otros</v>
      </c>
      <c r="U58" s="29">
        <f t="shared" ref="U58:AJ58" si="64">SUM(U59:U60)</f>
        <v>94301194</v>
      </c>
      <c r="V58" s="15">
        <f t="shared" si="64"/>
        <v>0</v>
      </c>
      <c r="W58" s="15">
        <f t="shared" si="64"/>
        <v>0</v>
      </c>
      <c r="X58" s="16">
        <f t="shared" si="64"/>
        <v>94301194</v>
      </c>
      <c r="Y58" s="19">
        <f t="shared" si="64"/>
        <v>5556150</v>
      </c>
      <c r="Z58" s="142">
        <f t="shared" si="64"/>
        <v>5435300</v>
      </c>
      <c r="AA58" s="18">
        <f t="shared" si="64"/>
        <v>10991450</v>
      </c>
      <c r="AB58" s="19">
        <f t="shared" si="64"/>
        <v>5556150</v>
      </c>
      <c r="AC58" s="142">
        <f t="shared" si="64"/>
        <v>5435300</v>
      </c>
      <c r="AD58" s="16">
        <f t="shared" si="64"/>
        <v>10991450</v>
      </c>
      <c r="AE58" s="19">
        <f t="shared" si="64"/>
        <v>0</v>
      </c>
      <c r="AF58" s="142">
        <f t="shared" si="64"/>
        <v>5556150</v>
      </c>
      <c r="AG58" s="16">
        <f t="shared" si="64"/>
        <v>5556150</v>
      </c>
      <c r="AH58" s="19">
        <f t="shared" si="64"/>
        <v>83309744</v>
      </c>
      <c r="AI58" s="15">
        <f t="shared" si="64"/>
        <v>83309744</v>
      </c>
      <c r="AJ58" s="16">
        <f t="shared" si="64"/>
        <v>88745044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row>
    <row r="59" spans="1:70" s="412" customFormat="1" ht="24.95" customHeight="1">
      <c r="A59" s="593" t="str">
        <f>+IF(ENERO!A59=0,"",ENERO!A59)</f>
        <v>1130111-2</v>
      </c>
      <c r="B59" s="629" t="str">
        <f>+IF(ENERO!B59=0,"",ENERO!B59)</f>
        <v>Vigencia Anterior</v>
      </c>
      <c r="C59" s="655">
        <f>+ENERO!C59</f>
        <v>0</v>
      </c>
      <c r="D59" s="363">
        <f>ENERO!D59+FEBRERO!P59</f>
        <v>0</v>
      </c>
      <c r="E59" s="363">
        <f>ENERO!E59+FEBRERO!Q59</f>
        <v>0</v>
      </c>
      <c r="F59" s="363">
        <f>SUM(C59:E59)</f>
        <v>0</v>
      </c>
      <c r="G59" s="363">
        <f>ENERO!I59</f>
        <v>0</v>
      </c>
      <c r="H59" s="364">
        <v>0</v>
      </c>
      <c r="I59" s="363">
        <f>SUM(G59:H59)</f>
        <v>0</v>
      </c>
      <c r="J59" s="363">
        <f>ENERO!L59</f>
        <v>0</v>
      </c>
      <c r="K59" s="364">
        <v>0</v>
      </c>
      <c r="L59" s="363">
        <f>SUM(J59:K59)</f>
        <v>0</v>
      </c>
      <c r="M59" s="363">
        <f>F59-I59</f>
        <v>0</v>
      </c>
      <c r="N59" s="143">
        <f>F59-L59</f>
        <v>0</v>
      </c>
      <c r="O59" s="372"/>
      <c r="P59" s="362">
        <v>0</v>
      </c>
      <c r="Q59" s="365">
        <v>0</v>
      </c>
      <c r="R59" s="9"/>
      <c r="S59" s="689" t="str">
        <f>+IF(ENERO!S59=0,"",ENERO!S59)</f>
        <v>1010402-1</v>
      </c>
      <c r="T59" s="704" t="str">
        <f>+IF(ENERO!T59=0,"",ENERO!T59)</f>
        <v>S.E.N.A.</v>
      </c>
      <c r="U59" s="29">
        <f>+ENERO!U59</f>
        <v>37720478</v>
      </c>
      <c r="V59" s="15">
        <f>ENERO!V59+FEBRERO!AL59</f>
        <v>0</v>
      </c>
      <c r="W59" s="15">
        <f>ENERO!W59+FEBRERO!AM59</f>
        <v>0</v>
      </c>
      <c r="X59" s="16">
        <f>SUM(U59:W59)</f>
        <v>37720478</v>
      </c>
      <c r="Y59" s="19">
        <f>ENERO!AA59</f>
        <v>2222460</v>
      </c>
      <c r="Z59" s="364">
        <v>2174120</v>
      </c>
      <c r="AA59" s="18">
        <f>SUM(Y59:Z59)</f>
        <v>4396580</v>
      </c>
      <c r="AB59" s="19">
        <f>ENERO!AD59</f>
        <v>2222460</v>
      </c>
      <c r="AC59" s="364">
        <v>2174120</v>
      </c>
      <c r="AD59" s="16">
        <f>SUM(AB59:AC59)</f>
        <v>4396580</v>
      </c>
      <c r="AE59" s="19">
        <f>ENERO!AG59</f>
        <v>0</v>
      </c>
      <c r="AF59" s="364">
        <v>2222460</v>
      </c>
      <c r="AG59" s="16">
        <f>SUM(AE59:AF59)</f>
        <v>2222460</v>
      </c>
      <c r="AH59" s="19">
        <f>X59-AA59</f>
        <v>33323898</v>
      </c>
      <c r="AI59" s="15">
        <f>X59-AD59</f>
        <v>33323898</v>
      </c>
      <c r="AJ59" s="16">
        <f>X59-AG59</f>
        <v>35498018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+IF(ENERO!A60=0,"",ENERO!A60)</f>
        <v>1130112</v>
      </c>
      <c r="B60" s="628" t="str">
        <f>+IF(ENERO!B60=0,"",ENERO!B60)</f>
        <v>IPS PUBLICAS</v>
      </c>
      <c r="C60" s="43">
        <f t="shared" ref="C60:N60" si="65">SUM(C61:C62)</f>
        <v>0</v>
      </c>
      <c r="D60" s="44">
        <f t="shared" si="65"/>
        <v>0</v>
      </c>
      <c r="E60" s="44">
        <f t="shared" si="65"/>
        <v>0</v>
      </c>
      <c r="F60" s="44">
        <f t="shared" si="65"/>
        <v>0</v>
      </c>
      <c r="G60" s="44">
        <f t="shared" si="65"/>
        <v>0</v>
      </c>
      <c r="H60" s="44">
        <f t="shared" si="65"/>
        <v>1287138</v>
      </c>
      <c r="I60" s="44">
        <f t="shared" si="65"/>
        <v>1287138</v>
      </c>
      <c r="J60" s="44">
        <f t="shared" si="65"/>
        <v>0</v>
      </c>
      <c r="K60" s="44">
        <f t="shared" si="65"/>
        <v>1128999</v>
      </c>
      <c r="L60" s="44">
        <f t="shared" si="65"/>
        <v>1128999</v>
      </c>
      <c r="M60" s="44">
        <f t="shared" si="65"/>
        <v>-1287138</v>
      </c>
      <c r="N60" s="45">
        <f t="shared" si="65"/>
        <v>-1128999</v>
      </c>
      <c r="P60" s="43">
        <f>SUM(P61:P62)</f>
        <v>0</v>
      </c>
      <c r="Q60" s="45">
        <f>SUM(Q61:Q62)</f>
        <v>0</v>
      </c>
      <c r="R60" s="9"/>
      <c r="S60" s="689" t="str">
        <f>+IF(ENERO!S60=0,"",ENERO!S60)</f>
        <v>1010402-2</v>
      </c>
      <c r="T60" s="704" t="str">
        <f>+IF(ENERO!T60=0,"",ENERO!T60)</f>
        <v>I.C.B.F.</v>
      </c>
      <c r="U60" s="29">
        <f>+ENERO!U60</f>
        <v>56580716</v>
      </c>
      <c r="V60" s="15">
        <f>ENERO!V60+FEBRERO!AL60</f>
        <v>0</v>
      </c>
      <c r="W60" s="15">
        <f>ENERO!W60+FEBRERO!AM60</f>
        <v>0</v>
      </c>
      <c r="X60" s="16">
        <f>SUM(U60:W60)</f>
        <v>56580716</v>
      </c>
      <c r="Y60" s="19">
        <f>ENERO!AA60</f>
        <v>3333690</v>
      </c>
      <c r="Z60" s="364">
        <v>3261180</v>
      </c>
      <c r="AA60" s="18">
        <f>SUM(Y60:Z60)</f>
        <v>6594870</v>
      </c>
      <c r="AB60" s="19">
        <f>ENERO!AD60</f>
        <v>3333690</v>
      </c>
      <c r="AC60" s="364">
        <v>3261180</v>
      </c>
      <c r="AD60" s="16">
        <f>SUM(AB60:AC60)</f>
        <v>6594870</v>
      </c>
      <c r="AE60" s="19">
        <f>ENERO!AG60</f>
        <v>0</v>
      </c>
      <c r="AF60" s="364">
        <v>3333690</v>
      </c>
      <c r="AG60" s="16">
        <f>SUM(AE60:AF60)</f>
        <v>3333690</v>
      </c>
      <c r="AH60" s="19">
        <f>X60-AA60</f>
        <v>49985846</v>
      </c>
      <c r="AI60" s="15">
        <f>X60-AD60</f>
        <v>49985846</v>
      </c>
      <c r="AJ60" s="16">
        <f>X60-AG60</f>
        <v>53247026</v>
      </c>
      <c r="AK60" s="9"/>
      <c r="AL60" s="362">
        <v>0</v>
      </c>
      <c r="AM60" s="365">
        <v>0</v>
      </c>
      <c r="AN60" s="9"/>
      <c r="AO60" s="284"/>
      <c r="AP60" s="284"/>
      <c r="AQ60" s="284"/>
      <c r="AR60" s="284"/>
      <c r="AS60" s="284"/>
      <c r="AT60" s="284"/>
      <c r="AU60" s="284"/>
      <c r="AV60" s="284"/>
      <c r="AW60" s="284"/>
      <c r="AX60" s="284"/>
      <c r="AY60" s="284"/>
      <c r="AZ60" s="284"/>
      <c r="BR60" s="412"/>
    </row>
    <row r="61" spans="1:70" s="412" customFormat="1" ht="24.95" customHeight="1">
      <c r="A61" s="593" t="str">
        <f>+IF(ENERO!A61=0,"",ENERO!A61)</f>
        <v>1130112-1</v>
      </c>
      <c r="B61" s="629" t="str">
        <f>+CONCATENATE("Vigencia ",INSTRUCCIONES!$F$3)</f>
        <v>Vigencia 2019</v>
      </c>
      <c r="C61" s="655">
        <f>+ENERO!C61</f>
        <v>0</v>
      </c>
      <c r="D61" s="363">
        <f>ENERO!D61+FEBRERO!P61</f>
        <v>0</v>
      </c>
      <c r="E61" s="363">
        <f>ENERO!E61+FEBRERO!Q61</f>
        <v>0</v>
      </c>
      <c r="F61" s="363">
        <f>SUM(C61:E61)</f>
        <v>0</v>
      </c>
      <c r="G61" s="363">
        <f>ENERO!I61</f>
        <v>0</v>
      </c>
      <c r="H61" s="364">
        <v>158139</v>
      </c>
      <c r="I61" s="363">
        <f>SUM(G61:H61)</f>
        <v>158139</v>
      </c>
      <c r="J61" s="363">
        <f>ENERO!L61</f>
        <v>0</v>
      </c>
      <c r="K61" s="364">
        <v>0</v>
      </c>
      <c r="L61" s="363">
        <f>SUM(J61:K61)</f>
        <v>0</v>
      </c>
      <c r="M61" s="363">
        <f>F61-I61</f>
        <v>-158139</v>
      </c>
      <c r="N61" s="143">
        <f>F61-L61</f>
        <v>0</v>
      </c>
      <c r="O61" s="372"/>
      <c r="P61" s="362">
        <v>0</v>
      </c>
      <c r="Q61" s="365">
        <v>0</v>
      </c>
      <c r="R61" s="9"/>
      <c r="S61" s="688">
        <f>+IF(ENERO!S61=0,"",ENERO!S61)</f>
        <v>1010499</v>
      </c>
      <c r="T61" s="704" t="str">
        <f>+IF(ENERO!T61=0,"",ENERO!T61)</f>
        <v>Vigencias Anteriores</v>
      </c>
      <c r="U61" s="29">
        <f>+ENERO!U61</f>
        <v>0</v>
      </c>
      <c r="V61" s="15">
        <f>ENERO!V61+FEBRERO!AL61</f>
        <v>0</v>
      </c>
      <c r="W61" s="15">
        <f>ENERO!W61+FEBRERO!AM61</f>
        <v>0</v>
      </c>
      <c r="X61" s="16">
        <f>SUM(U61:W61)</f>
        <v>0</v>
      </c>
      <c r="Y61" s="19">
        <f>ENERO!AA61</f>
        <v>0</v>
      </c>
      <c r="Z61" s="364">
        <v>0</v>
      </c>
      <c r="AA61" s="18">
        <f>SUM(Y61:Z61)</f>
        <v>0</v>
      </c>
      <c r="AB61" s="19">
        <f>ENERO!AD61</f>
        <v>0</v>
      </c>
      <c r="AC61" s="364">
        <v>0</v>
      </c>
      <c r="AD61" s="16">
        <f>SUM(AB61:AC61)</f>
        <v>0</v>
      </c>
      <c r="AE61" s="19">
        <f>ENERO!AG61</f>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row>
    <row r="62" spans="1:70" s="412" customFormat="1" ht="24.95" customHeight="1">
      <c r="A62" s="593" t="str">
        <f>+IF(ENERO!A62=0,"",ENERO!A62)</f>
        <v>1130112-2</v>
      </c>
      <c r="B62" s="629" t="str">
        <f>+IF(ENERO!B62=0,"",ENERO!B62)</f>
        <v>Vigencia Anterior</v>
      </c>
      <c r="C62" s="655">
        <f>+ENERO!C62</f>
        <v>0</v>
      </c>
      <c r="D62" s="363">
        <f>ENERO!D62+FEBRERO!P62</f>
        <v>0</v>
      </c>
      <c r="E62" s="363">
        <f>ENERO!E62+FEBRERO!Q62</f>
        <v>0</v>
      </c>
      <c r="F62" s="363">
        <f>SUM(C62:E62)</f>
        <v>0</v>
      </c>
      <c r="G62" s="363">
        <f>ENERO!I62</f>
        <v>0</v>
      </c>
      <c r="H62" s="364">
        <v>1128999</v>
      </c>
      <c r="I62" s="363">
        <f>SUM(G62:H62)</f>
        <v>1128999</v>
      </c>
      <c r="J62" s="363">
        <f>ENERO!L62</f>
        <v>0</v>
      </c>
      <c r="K62" s="364">
        <v>1128999</v>
      </c>
      <c r="L62" s="363">
        <f>SUM(J62:K62)</f>
        <v>1128999</v>
      </c>
      <c r="M62" s="363">
        <f>F62-I62</f>
        <v>-1128999</v>
      </c>
      <c r="N62" s="143">
        <f>F62-L62</f>
        <v>-1128999</v>
      </c>
      <c r="O62" s="372"/>
      <c r="P62" s="362">
        <v>0</v>
      </c>
      <c r="Q62" s="365">
        <v>0</v>
      </c>
      <c r="R62" s="9"/>
      <c r="S62" s="356" t="str">
        <f>+IF(ENERO!S62=0,"",ENERO!S62)</f>
        <v/>
      </c>
      <c r="T62" s="678" t="str">
        <f>+IF(ENERO!T62=0,"",ENERO!T62)</f>
        <v/>
      </c>
      <c r="U62" s="357"/>
      <c r="V62" s="161"/>
      <c r="W62" s="161"/>
      <c r="X62" s="166"/>
      <c r="Y62" s="357"/>
      <c r="Z62" s="161"/>
      <c r="AA62" s="161"/>
      <c r="AB62" s="357"/>
      <c r="AC62" s="161"/>
      <c r="AD62" s="166"/>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+IF(ENERO!A63=0,"",ENERO!A63)</f>
        <v>1130113</v>
      </c>
      <c r="B63" s="628" t="str">
        <f>+IF(ENERO!B63=0,"",ENERO!B63)</f>
        <v>COMPAÑIAS DE SEGUROS  - ACCIDENTES DE TRANSITO (SOAT)</v>
      </c>
      <c r="C63" s="43">
        <f t="shared" ref="C63:N63" si="66">SUM(C64:C65)</f>
        <v>8371510292</v>
      </c>
      <c r="D63" s="44">
        <f t="shared" si="66"/>
        <v>0</v>
      </c>
      <c r="E63" s="44">
        <f t="shared" si="66"/>
        <v>969179646</v>
      </c>
      <c r="F63" s="44">
        <f t="shared" si="66"/>
        <v>9340689938</v>
      </c>
      <c r="G63" s="44">
        <f t="shared" si="66"/>
        <v>1074315750</v>
      </c>
      <c r="H63" s="44">
        <f t="shared" si="66"/>
        <v>2085949287</v>
      </c>
      <c r="I63" s="44">
        <f t="shared" si="66"/>
        <v>3160265037</v>
      </c>
      <c r="J63" s="44">
        <f t="shared" si="66"/>
        <v>456846732</v>
      </c>
      <c r="K63" s="44">
        <f t="shared" si="66"/>
        <v>751982434</v>
      </c>
      <c r="L63" s="44">
        <f t="shared" si="66"/>
        <v>1208829166</v>
      </c>
      <c r="M63" s="44">
        <f t="shared" si="66"/>
        <v>6180424901</v>
      </c>
      <c r="N63" s="45">
        <f t="shared" si="66"/>
        <v>8131860772</v>
      </c>
      <c r="P63" s="43">
        <f>SUM(P64:P65)</f>
        <v>0</v>
      </c>
      <c r="Q63" s="45">
        <f>SUM(Q64:Q65)</f>
        <v>591462267</v>
      </c>
      <c r="R63" s="9"/>
      <c r="S63" s="686">
        <f>+IF(ENERO!S63=0,"",ENERO!S63)</f>
        <v>1020010</v>
      </c>
      <c r="T63" s="702" t="str">
        <f>+IF(ENERO!T63=0,"",ENERO!T63)</f>
        <v>Gastos de Operación</v>
      </c>
      <c r="U63" s="128">
        <f t="shared" ref="U63:AJ63" si="67">U65+U83+U90+U104</f>
        <v>29994047768</v>
      </c>
      <c r="V63" s="122">
        <f t="shared" si="67"/>
        <v>0</v>
      </c>
      <c r="W63" s="122">
        <f t="shared" si="67"/>
        <v>1640000000</v>
      </c>
      <c r="X63" s="130">
        <f t="shared" si="67"/>
        <v>31634047768</v>
      </c>
      <c r="Y63" s="128">
        <f t="shared" si="67"/>
        <v>17343036784</v>
      </c>
      <c r="Z63" s="122">
        <f t="shared" si="67"/>
        <v>1434263560</v>
      </c>
      <c r="AA63" s="129">
        <f t="shared" si="67"/>
        <v>18777300344</v>
      </c>
      <c r="AB63" s="128">
        <f t="shared" si="67"/>
        <v>1900876263</v>
      </c>
      <c r="AC63" s="122">
        <f t="shared" si="67"/>
        <v>2810244536</v>
      </c>
      <c r="AD63" s="130">
        <f t="shared" si="67"/>
        <v>4711120799</v>
      </c>
      <c r="AE63" s="128">
        <f t="shared" si="67"/>
        <v>465527511</v>
      </c>
      <c r="AF63" s="122">
        <f t="shared" si="67"/>
        <v>1440102307</v>
      </c>
      <c r="AG63" s="130">
        <f t="shared" si="67"/>
        <v>1905629818</v>
      </c>
      <c r="AH63" s="128">
        <f t="shared" si="67"/>
        <v>12856747424</v>
      </c>
      <c r="AI63" s="122">
        <f t="shared" si="67"/>
        <v>26922926969</v>
      </c>
      <c r="AJ63" s="130">
        <f t="shared" si="67"/>
        <v>29728417950</v>
      </c>
      <c r="AK63" s="9"/>
      <c r="AL63" s="128">
        <f>AL65+AL83+AL90+AL104</f>
        <v>0</v>
      </c>
      <c r="AM63" s="130">
        <f>AM65+AM83+AM90+AM104</f>
        <v>1500000000</v>
      </c>
      <c r="AN63" s="9"/>
      <c r="AO63" s="284"/>
      <c r="AP63" s="284"/>
      <c r="AQ63" s="284"/>
      <c r="AR63" s="284"/>
      <c r="AS63" s="284"/>
      <c r="AT63" s="284"/>
      <c r="AU63" s="284"/>
      <c r="AV63" s="284"/>
      <c r="AW63" s="284"/>
      <c r="AX63" s="284"/>
      <c r="AY63" s="284"/>
      <c r="AZ63" s="284"/>
      <c r="BR63" s="412"/>
    </row>
    <row r="64" spans="1:70" s="412" customFormat="1" ht="24.95" customHeight="1">
      <c r="A64" s="593" t="str">
        <f>+IF(ENERO!A64=0,"",ENERO!A64)</f>
        <v>1130113-1</v>
      </c>
      <c r="B64" s="629" t="str">
        <f>+CONCATENATE("Vigencia ",INSTRUCCIONES!$F$3)</f>
        <v>Vigencia 2019</v>
      </c>
      <c r="C64" s="655">
        <f>+ENERO!C64</f>
        <v>8371510292</v>
      </c>
      <c r="D64" s="363">
        <f>ENERO!D64+FEBRERO!P64</f>
        <v>0</v>
      </c>
      <c r="E64" s="363">
        <f>ENERO!E64+FEBRERO!Q64</f>
        <v>0</v>
      </c>
      <c r="F64" s="363">
        <f>SUM(C64:E64)</f>
        <v>8371510292</v>
      </c>
      <c r="G64" s="363">
        <f>ENERO!I64</f>
        <v>617469018</v>
      </c>
      <c r="H64" s="364">
        <v>1395614800</v>
      </c>
      <c r="I64" s="363">
        <f>SUM(G64:H64)</f>
        <v>2013083818</v>
      </c>
      <c r="J64" s="363">
        <f>ENERO!L64</f>
        <v>0</v>
      </c>
      <c r="K64" s="364">
        <v>61647947</v>
      </c>
      <c r="L64" s="363">
        <f>SUM(J64:K64)</f>
        <v>61647947</v>
      </c>
      <c r="M64" s="363">
        <f>F64-I64</f>
        <v>6358426474</v>
      </c>
      <c r="N64" s="143">
        <f>F64-L64</f>
        <v>8309862345</v>
      </c>
      <c r="O64" s="372"/>
      <c r="P64" s="362">
        <v>0</v>
      </c>
      <c r="Q64" s="365">
        <v>0</v>
      </c>
      <c r="R64" s="9"/>
      <c r="S64" s="356" t="str">
        <f>+IF(ENERO!S64=0,"",ENERO!S64)</f>
        <v/>
      </c>
      <c r="T64" s="678" t="str">
        <f>+IF(ENERO!T64=0,"",ENERO!T64)</f>
        <v/>
      </c>
      <c r="U64" s="357"/>
      <c r="V64" s="161"/>
      <c r="W64" s="161"/>
      <c r="X64" s="166"/>
      <c r="Y64" s="357"/>
      <c r="Z64" s="161"/>
      <c r="AA64" s="161"/>
      <c r="AB64" s="357"/>
      <c r="AC64" s="161"/>
      <c r="AD64" s="166"/>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row>
    <row r="65" spans="1:70" s="412" customFormat="1" ht="24.95" customHeight="1">
      <c r="A65" s="593" t="str">
        <f>+IF(ENERO!A65=0,"",ENERO!A65)</f>
        <v>1130113-2</v>
      </c>
      <c r="B65" s="629" t="str">
        <f>+IF(ENERO!B65=0,"",ENERO!B65)</f>
        <v>Vigencia Anterior</v>
      </c>
      <c r="C65" s="655">
        <f>+ENERO!C65</f>
        <v>0</v>
      </c>
      <c r="D65" s="363">
        <f>ENERO!D65+FEBRERO!P65</f>
        <v>0</v>
      </c>
      <c r="E65" s="363">
        <f>ENERO!E65+FEBRERO!Q65</f>
        <v>969179646</v>
      </c>
      <c r="F65" s="363">
        <f>SUM(C65:E65)</f>
        <v>969179646</v>
      </c>
      <c r="G65" s="363">
        <f>ENERO!I65</f>
        <v>456846732</v>
      </c>
      <c r="H65" s="364">
        <v>690334487</v>
      </c>
      <c r="I65" s="363">
        <f>SUM(G65:H65)</f>
        <v>1147181219</v>
      </c>
      <c r="J65" s="363">
        <f>ENERO!L65</f>
        <v>456846732</v>
      </c>
      <c r="K65" s="364">
        <v>690334487</v>
      </c>
      <c r="L65" s="363">
        <f>SUM(J65:K65)</f>
        <v>1147181219</v>
      </c>
      <c r="M65" s="363">
        <f>F65-I65</f>
        <v>-178001573</v>
      </c>
      <c r="N65" s="143">
        <f>F65-L65</f>
        <v>-178001573</v>
      </c>
      <c r="O65" s="372"/>
      <c r="P65" s="362">
        <v>0</v>
      </c>
      <c r="Q65" s="365">
        <v>591462267</v>
      </c>
      <c r="R65" s="9"/>
      <c r="S65" s="687">
        <f>+IF(ENERO!S65=0,"",ENERO!S65)</f>
        <v>1020100</v>
      </c>
      <c r="T65" s="703" t="str">
        <f>+IF(ENERO!T65=0,"",ENERO!T65)</f>
        <v>Servicios Personales Asociados a Nómina</v>
      </c>
      <c r="U65" s="128">
        <f t="shared" ref="U65:AJ65" si="68">SUM(U66:U69)+U81</f>
        <v>5283965861</v>
      </c>
      <c r="V65" s="122">
        <f t="shared" si="68"/>
        <v>0</v>
      </c>
      <c r="W65" s="122">
        <f t="shared" si="68"/>
        <v>0</v>
      </c>
      <c r="X65" s="130">
        <f t="shared" si="68"/>
        <v>5283965861</v>
      </c>
      <c r="Y65" s="128">
        <f t="shared" si="68"/>
        <v>178292359</v>
      </c>
      <c r="Z65" s="122">
        <f t="shared" si="68"/>
        <v>195189505</v>
      </c>
      <c r="AA65" s="129">
        <f t="shared" si="68"/>
        <v>373481864</v>
      </c>
      <c r="AB65" s="128">
        <f t="shared" si="68"/>
        <v>178272359</v>
      </c>
      <c r="AC65" s="122">
        <f t="shared" si="68"/>
        <v>195189505</v>
      </c>
      <c r="AD65" s="130">
        <f t="shared" si="68"/>
        <v>373461864</v>
      </c>
      <c r="AE65" s="128">
        <f t="shared" si="68"/>
        <v>178272359</v>
      </c>
      <c r="AF65" s="122">
        <f t="shared" si="68"/>
        <v>195189505</v>
      </c>
      <c r="AG65" s="130">
        <f t="shared" si="68"/>
        <v>373461864</v>
      </c>
      <c r="AH65" s="128">
        <f t="shared" si="68"/>
        <v>4910483997</v>
      </c>
      <c r="AI65" s="122">
        <f t="shared" si="68"/>
        <v>4910503997</v>
      </c>
      <c r="AJ65" s="130">
        <f t="shared" si="68"/>
        <v>4910503997</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+IF(ENERO!A66=0,"",ENERO!A66)</f>
        <v>1130114</v>
      </c>
      <c r="B66" s="628" t="str">
        <f>+IF(ENERO!B66=0,"",ENERO!B66)</f>
        <v xml:space="preserve">COMPAÑIAS DE SEGUROS  - PLANES DE SALUD  </v>
      </c>
      <c r="C66" s="43">
        <f t="shared" ref="C66:N66" si="69">SUM(C67:C68)</f>
        <v>11965775</v>
      </c>
      <c r="D66" s="44">
        <f t="shared" si="69"/>
        <v>0</v>
      </c>
      <c r="E66" s="44">
        <f t="shared" si="69"/>
        <v>0</v>
      </c>
      <c r="F66" s="44">
        <f t="shared" si="69"/>
        <v>11965775</v>
      </c>
      <c r="G66" s="44">
        <f t="shared" si="69"/>
        <v>1611876</v>
      </c>
      <c r="H66" s="44">
        <f t="shared" si="69"/>
        <v>1377210</v>
      </c>
      <c r="I66" s="44">
        <f t="shared" si="69"/>
        <v>2989086</v>
      </c>
      <c r="J66" s="44">
        <f t="shared" si="69"/>
        <v>0</v>
      </c>
      <c r="K66" s="44">
        <f t="shared" si="69"/>
        <v>0</v>
      </c>
      <c r="L66" s="44">
        <f t="shared" si="69"/>
        <v>0</v>
      </c>
      <c r="M66" s="44">
        <f t="shared" si="69"/>
        <v>8976689</v>
      </c>
      <c r="N66" s="45">
        <f t="shared" si="69"/>
        <v>11965775</v>
      </c>
      <c r="P66" s="43">
        <f>SUM(P67:P68)</f>
        <v>0</v>
      </c>
      <c r="Q66" s="45">
        <f>SUM(Q67:Q68)</f>
        <v>0</v>
      </c>
      <c r="R66" s="9"/>
      <c r="S66" s="688">
        <f>+IF(ENERO!S66=0,"",ENERO!S66)</f>
        <v>1020101</v>
      </c>
      <c r="T66" s="704" t="str">
        <f>+IF(ENERO!T66=0,"",ENERO!T66)</f>
        <v>Sueldos del Personal de nómina</v>
      </c>
      <c r="U66" s="29">
        <f>+ENERO!U66</f>
        <v>3773107838</v>
      </c>
      <c r="V66" s="15">
        <f>ENERO!V66+FEBRERO!AL66</f>
        <v>0</v>
      </c>
      <c r="W66" s="15">
        <f>ENERO!W66+FEBRERO!AM66</f>
        <v>0</v>
      </c>
      <c r="X66" s="16">
        <f>SUM(U66:W66)</f>
        <v>3773107838</v>
      </c>
      <c r="Y66" s="19">
        <f>ENERO!AA66</f>
        <v>164019971</v>
      </c>
      <c r="Z66" s="364">
        <v>171552407</v>
      </c>
      <c r="AA66" s="18">
        <f>SUM(Y66:Z66)</f>
        <v>335572378</v>
      </c>
      <c r="AB66" s="19">
        <f>ENERO!AD66</f>
        <v>163999971</v>
      </c>
      <c r="AC66" s="364">
        <v>171552407</v>
      </c>
      <c r="AD66" s="16">
        <f>SUM(AB66:AC66)</f>
        <v>335552378</v>
      </c>
      <c r="AE66" s="19">
        <f>ENERO!AG66</f>
        <v>163999971</v>
      </c>
      <c r="AF66" s="364">
        <v>171552407</v>
      </c>
      <c r="AG66" s="16">
        <f>SUM(AE66:AF66)</f>
        <v>335552378</v>
      </c>
      <c r="AH66" s="19">
        <f>X66-AA66</f>
        <v>3437535460</v>
      </c>
      <c r="AI66" s="15">
        <f>X66-AD66</f>
        <v>3437555460</v>
      </c>
      <c r="AJ66" s="16">
        <f>X66-AG66</f>
        <v>3437555460</v>
      </c>
      <c r="AK66" s="9"/>
      <c r="AL66" s="362">
        <v>0</v>
      </c>
      <c r="AM66" s="365">
        <v>0</v>
      </c>
      <c r="AN66" s="9"/>
      <c r="AO66" s="284"/>
      <c r="AP66" s="284"/>
      <c r="AQ66" s="284"/>
      <c r="AR66" s="284"/>
      <c r="AS66" s="284"/>
      <c r="AT66" s="284"/>
      <c r="AU66" s="284"/>
      <c r="AV66" s="284"/>
      <c r="AW66" s="284"/>
      <c r="AX66" s="284"/>
      <c r="AY66" s="284"/>
      <c r="AZ66" s="284"/>
      <c r="BR66" s="412"/>
    </row>
    <row r="67" spans="1:70" s="412" customFormat="1" ht="24.95" customHeight="1">
      <c r="A67" s="593" t="str">
        <f>+IF(ENERO!A67=0,"",ENERO!A67)</f>
        <v>1130114-1</v>
      </c>
      <c r="B67" s="629" t="str">
        <f>+CONCATENATE("Vigencia ",INSTRUCCIONES!$F$3)</f>
        <v>Vigencia 2019</v>
      </c>
      <c r="C67" s="655">
        <f>+ENERO!C67</f>
        <v>11965775</v>
      </c>
      <c r="D67" s="363">
        <f>ENERO!D67+FEBRERO!P67</f>
        <v>0</v>
      </c>
      <c r="E67" s="363">
        <f>ENERO!E67+FEBRERO!Q67</f>
        <v>0</v>
      </c>
      <c r="F67" s="363">
        <f>SUM(C67:E67)</f>
        <v>11965775</v>
      </c>
      <c r="G67" s="363">
        <f>ENERO!I67</f>
        <v>1611876</v>
      </c>
      <c r="H67" s="364">
        <v>1377210</v>
      </c>
      <c r="I67" s="363">
        <f>SUM(G67:H67)</f>
        <v>2989086</v>
      </c>
      <c r="J67" s="363">
        <f>ENERO!L67</f>
        <v>0</v>
      </c>
      <c r="K67" s="364">
        <v>0</v>
      </c>
      <c r="L67" s="363">
        <f>SUM(J67:K67)</f>
        <v>0</v>
      </c>
      <c r="M67" s="363">
        <f>F67-I67</f>
        <v>8976689</v>
      </c>
      <c r="N67" s="143">
        <f>F67-L67</f>
        <v>11965775</v>
      </c>
      <c r="O67" s="372"/>
      <c r="P67" s="362">
        <v>0</v>
      </c>
      <c r="Q67" s="365">
        <v>0</v>
      </c>
      <c r="R67" s="9"/>
      <c r="S67" s="688">
        <f>+IF(ENERO!S67=0,"",ENERO!S67)</f>
        <v>1020102</v>
      </c>
      <c r="T67" s="704" t="str">
        <f>+IF(ENERO!T67=0,"",ENERO!T67)</f>
        <v>Horas Extras,Dominic.,Festivos y Rec. Nocturnos</v>
      </c>
      <c r="U67" s="29">
        <f>+ENERO!U67</f>
        <v>329885360</v>
      </c>
      <c r="V67" s="15">
        <f>ENERO!V67+FEBRERO!AL67</f>
        <v>0</v>
      </c>
      <c r="W67" s="15">
        <f>ENERO!W67+FEBRERO!AM67</f>
        <v>0</v>
      </c>
      <c r="X67" s="16">
        <f>SUM(U67:W67)</f>
        <v>329885360</v>
      </c>
      <c r="Y67" s="19">
        <f>ENERO!AA67</f>
        <v>0</v>
      </c>
      <c r="Z67" s="364">
        <v>11380366</v>
      </c>
      <c r="AA67" s="18">
        <f>SUM(Y67:Z67)</f>
        <v>11380366</v>
      </c>
      <c r="AB67" s="19">
        <f>ENERO!AD67</f>
        <v>0</v>
      </c>
      <c r="AC67" s="364">
        <v>11380366</v>
      </c>
      <c r="AD67" s="16">
        <f>SUM(AB67:AC67)</f>
        <v>11380366</v>
      </c>
      <c r="AE67" s="19">
        <f>ENERO!AG67</f>
        <v>0</v>
      </c>
      <c r="AF67" s="364">
        <v>11380366</v>
      </c>
      <c r="AG67" s="16">
        <f>SUM(AE67:AF67)</f>
        <v>11380366</v>
      </c>
      <c r="AH67" s="19">
        <f>X67-AA67</f>
        <v>318504994</v>
      </c>
      <c r="AI67" s="15">
        <f>X67-AD67</f>
        <v>318504994</v>
      </c>
      <c r="AJ67" s="16">
        <f>X67-AG67</f>
        <v>318504994</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row>
    <row r="68" spans="1:70" s="412" customFormat="1" ht="24.95" customHeight="1">
      <c r="A68" s="593" t="str">
        <f>+IF(ENERO!A68=0,"",ENERO!A68)</f>
        <v>1130114-2</v>
      </c>
      <c r="B68" s="629" t="str">
        <f>+IF(ENERO!B68=0,"",ENERO!B68)</f>
        <v>Vigencia Anterior</v>
      </c>
      <c r="C68" s="655">
        <f>+ENERO!C68</f>
        <v>0</v>
      </c>
      <c r="D68" s="363">
        <f>ENERO!D68+FEBRERO!P68</f>
        <v>0</v>
      </c>
      <c r="E68" s="363">
        <f>ENERO!E68+FEBRERO!Q68</f>
        <v>0</v>
      </c>
      <c r="F68" s="363">
        <f>SUM(C68:E68)</f>
        <v>0</v>
      </c>
      <c r="G68" s="363">
        <f>ENERO!I68</f>
        <v>0</v>
      </c>
      <c r="H68" s="364">
        <v>0</v>
      </c>
      <c r="I68" s="363">
        <f>SUM(G68:H68)</f>
        <v>0</v>
      </c>
      <c r="J68" s="363">
        <f>ENERO!L68</f>
        <v>0</v>
      </c>
      <c r="K68" s="364">
        <v>0</v>
      </c>
      <c r="L68" s="363">
        <f>SUM(J68:K68)</f>
        <v>0</v>
      </c>
      <c r="M68" s="363">
        <f>F68-I68</f>
        <v>0</v>
      </c>
      <c r="N68" s="143">
        <f>F68-L68</f>
        <v>0</v>
      </c>
      <c r="O68" s="372"/>
      <c r="P68" s="362">
        <v>0</v>
      </c>
      <c r="Q68" s="365">
        <v>0</v>
      </c>
      <c r="R68" s="9"/>
      <c r="S68" s="688">
        <f>+IF(ENERO!S68=0,"",ENERO!S68)</f>
        <v>1020103</v>
      </c>
      <c r="T68" s="704" t="str">
        <f>+IF(ENERO!T68=0,"",ENERO!T68)</f>
        <v>Prima Técnica</v>
      </c>
      <c r="U68" s="29">
        <f>+ENERO!U68</f>
        <v>0</v>
      </c>
      <c r="V68" s="15">
        <f>ENERO!V68+FEBRERO!AL68</f>
        <v>0</v>
      </c>
      <c r="W68" s="15">
        <f>ENERO!W68+FEBRERO!AM68</f>
        <v>0</v>
      </c>
      <c r="X68" s="16">
        <f>SUM(U68:W68)</f>
        <v>0</v>
      </c>
      <c r="Y68" s="19">
        <f>ENERO!AA68</f>
        <v>0</v>
      </c>
      <c r="Z68" s="364">
        <v>0</v>
      </c>
      <c r="AA68" s="18">
        <f>SUM(Y68:Z68)</f>
        <v>0</v>
      </c>
      <c r="AB68" s="19">
        <f>ENERO!AD68</f>
        <v>0</v>
      </c>
      <c r="AC68" s="364">
        <v>0</v>
      </c>
      <c r="AD68" s="16">
        <f>SUM(AB68:AC68)</f>
        <v>0</v>
      </c>
      <c r="AE68" s="19">
        <f>ENERO!AG68</f>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+IF(ENERO!A69=0,"",ENERO!A69)</f>
        <v>1130115</v>
      </c>
      <c r="B69" s="628" t="str">
        <f>+IF(ENERO!B69=0,"",ENERO!B69)</f>
        <v>ENTIDADES DE REGIMEN ESPECIAL (Magisterio, Fuerza Pca.)</v>
      </c>
      <c r="C69" s="43">
        <f t="shared" ref="C69:N69" si="70">SUM(C70:C71)</f>
        <v>8401952</v>
      </c>
      <c r="D69" s="44">
        <f t="shared" si="70"/>
        <v>0</v>
      </c>
      <c r="E69" s="44">
        <f t="shared" si="70"/>
        <v>4860226</v>
      </c>
      <c r="F69" s="44">
        <f t="shared" si="70"/>
        <v>13262178</v>
      </c>
      <c r="G69" s="44">
        <f t="shared" si="70"/>
        <v>12689637</v>
      </c>
      <c r="H69" s="44">
        <f t="shared" si="70"/>
        <v>6010955</v>
      </c>
      <c r="I69" s="44">
        <f t="shared" si="70"/>
        <v>18700592</v>
      </c>
      <c r="J69" s="44">
        <f t="shared" si="70"/>
        <v>9426681</v>
      </c>
      <c r="K69" s="44">
        <f t="shared" si="70"/>
        <v>3835497</v>
      </c>
      <c r="L69" s="44">
        <f t="shared" si="70"/>
        <v>13262178</v>
      </c>
      <c r="M69" s="44">
        <f t="shared" si="70"/>
        <v>-5438414</v>
      </c>
      <c r="N69" s="45">
        <f t="shared" si="70"/>
        <v>0</v>
      </c>
      <c r="P69" s="43">
        <f>SUM(P70:P71)</f>
        <v>0</v>
      </c>
      <c r="Q69" s="45">
        <f>SUM(Q70:Q71)</f>
        <v>4860226</v>
      </c>
      <c r="R69" s="9"/>
      <c r="S69" s="688">
        <f>+IF(ENERO!S69=0,"",ENERO!S69)</f>
        <v>1020104</v>
      </c>
      <c r="T69" s="704" t="str">
        <f>+IF(ENERO!T69=0,"",ENERO!T69)</f>
        <v>Otros</v>
      </c>
      <c r="U69" s="29">
        <f t="shared" ref="U69:AJ69" si="71">SUM(U70:U80)</f>
        <v>1180972663</v>
      </c>
      <c r="V69" s="15">
        <f t="shared" si="71"/>
        <v>0</v>
      </c>
      <c r="W69" s="15">
        <f t="shared" si="71"/>
        <v>0</v>
      </c>
      <c r="X69" s="16">
        <f t="shared" si="71"/>
        <v>1180972663</v>
      </c>
      <c r="Y69" s="19">
        <f t="shared" si="71"/>
        <v>14272388</v>
      </c>
      <c r="Z69" s="142">
        <f t="shared" si="71"/>
        <v>12256732</v>
      </c>
      <c r="AA69" s="18">
        <f t="shared" si="71"/>
        <v>26529120</v>
      </c>
      <c r="AB69" s="19">
        <f t="shared" si="71"/>
        <v>14272388</v>
      </c>
      <c r="AC69" s="142">
        <f t="shared" si="71"/>
        <v>12256732</v>
      </c>
      <c r="AD69" s="16">
        <f t="shared" si="71"/>
        <v>26529120</v>
      </c>
      <c r="AE69" s="19">
        <f t="shared" si="71"/>
        <v>14272388</v>
      </c>
      <c r="AF69" s="142">
        <f t="shared" si="71"/>
        <v>12256732</v>
      </c>
      <c r="AG69" s="16">
        <f t="shared" si="71"/>
        <v>26529120</v>
      </c>
      <c r="AH69" s="19">
        <f t="shared" si="71"/>
        <v>1154443543</v>
      </c>
      <c r="AI69" s="15">
        <f t="shared" si="71"/>
        <v>1154443543</v>
      </c>
      <c r="AJ69" s="16">
        <f t="shared" si="71"/>
        <v>1154443543</v>
      </c>
      <c r="AK69" s="9"/>
      <c r="AL69" s="29">
        <f>SUM(AL70:AL80)</f>
        <v>0</v>
      </c>
      <c r="AM69" s="26">
        <f>SUM(AM70:AM80)</f>
        <v>0</v>
      </c>
      <c r="AN69" s="9"/>
      <c r="AO69" s="284"/>
      <c r="AP69" s="284"/>
      <c r="AQ69" s="284"/>
      <c r="AR69" s="284"/>
      <c r="AS69" s="284"/>
      <c r="AT69" s="284"/>
      <c r="AU69" s="284"/>
      <c r="AV69" s="284"/>
      <c r="AW69" s="284"/>
      <c r="AX69" s="284"/>
      <c r="AY69" s="284"/>
      <c r="AZ69" s="284"/>
      <c r="BR69" s="412"/>
    </row>
    <row r="70" spans="1:70" s="412" customFormat="1" ht="24.95" customHeight="1">
      <c r="A70" s="593" t="str">
        <f>+IF(ENERO!A70=0,"",ENERO!A70)</f>
        <v>1130115-1</v>
      </c>
      <c r="B70" s="629" t="str">
        <f>+CONCATENATE("Vigencia ",INSTRUCCIONES!$F$3)</f>
        <v>Vigencia 2019</v>
      </c>
      <c r="C70" s="655">
        <f>+ENERO!C70</f>
        <v>8401952</v>
      </c>
      <c r="D70" s="363">
        <f>ENERO!D70+FEBRERO!P70</f>
        <v>0</v>
      </c>
      <c r="E70" s="363">
        <f>ENERO!E70+FEBRERO!Q70</f>
        <v>690909</v>
      </c>
      <c r="F70" s="363">
        <f>SUM(C70:E70)</f>
        <v>9092861</v>
      </c>
      <c r="G70" s="363">
        <f>ENERO!I70</f>
        <v>12355817</v>
      </c>
      <c r="H70" s="364">
        <v>2175458</v>
      </c>
      <c r="I70" s="363">
        <f>SUM(G70:H70)</f>
        <v>14531275</v>
      </c>
      <c r="J70" s="363">
        <f>ENERO!L70</f>
        <v>9092861</v>
      </c>
      <c r="K70" s="364">
        <v>0</v>
      </c>
      <c r="L70" s="363">
        <f>SUM(J70:K70)</f>
        <v>9092861</v>
      </c>
      <c r="M70" s="363">
        <f>F70-I70</f>
        <v>-5438414</v>
      </c>
      <c r="N70" s="143">
        <f>F70-L70</f>
        <v>0</v>
      </c>
      <c r="O70" s="372"/>
      <c r="P70" s="362">
        <v>0</v>
      </c>
      <c r="Q70" s="365">
        <v>690909</v>
      </c>
      <c r="R70" s="9"/>
      <c r="S70" s="689" t="str">
        <f>+IF(ENERO!S70=0,"",ENERO!S70)</f>
        <v>1020104-1</v>
      </c>
      <c r="T70" s="705" t="str">
        <f>+IF(ENERO!T70=0,"",ENERO!T70)</f>
        <v xml:space="preserve">Prima de Navidad </v>
      </c>
      <c r="U70" s="29">
        <f>+ENERO!U70</f>
        <v>352482456</v>
      </c>
      <c r="V70" s="15">
        <f>ENERO!V70+FEBRERO!AL70</f>
        <v>0</v>
      </c>
      <c r="W70" s="15">
        <f>ENERO!W70+FEBRERO!AM70</f>
        <v>0</v>
      </c>
      <c r="X70" s="16">
        <f t="shared" ref="X70:X81" si="72">SUM(U70:W70)</f>
        <v>352482456</v>
      </c>
      <c r="Y70" s="19">
        <f>ENERO!AA70</f>
        <v>0</v>
      </c>
      <c r="Z70" s="364">
        <v>500303</v>
      </c>
      <c r="AA70" s="18">
        <f t="shared" ref="AA70:AA81" si="73">SUM(Y70:Z70)</f>
        <v>500303</v>
      </c>
      <c r="AB70" s="19">
        <f>ENERO!AD70</f>
        <v>0</v>
      </c>
      <c r="AC70" s="364">
        <v>500303</v>
      </c>
      <c r="AD70" s="16">
        <f t="shared" ref="AD70:AD81" si="74">SUM(AB70:AC70)</f>
        <v>500303</v>
      </c>
      <c r="AE70" s="19">
        <f>ENERO!AG70</f>
        <v>0</v>
      </c>
      <c r="AF70" s="364">
        <v>500303</v>
      </c>
      <c r="AG70" s="16">
        <f t="shared" ref="AG70:AG81" si="75">SUM(AE70:AF70)</f>
        <v>500303</v>
      </c>
      <c r="AH70" s="19">
        <f t="shared" ref="AH70:AH81" si="76">X70-AA70</f>
        <v>351982153</v>
      </c>
      <c r="AI70" s="15">
        <f t="shared" ref="AI70:AI81" si="77">X70-AD70</f>
        <v>351982153</v>
      </c>
      <c r="AJ70" s="16">
        <f t="shared" ref="AJ70:AJ81" si="78">X70-AG70</f>
        <v>351982153</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row>
    <row r="71" spans="1:70" s="412" customFormat="1" ht="24.95" customHeight="1">
      <c r="A71" s="593" t="str">
        <f>+IF(ENERO!A71=0,"",ENERO!A71)</f>
        <v>1130115-2</v>
      </c>
      <c r="B71" s="629" t="str">
        <f>+IF(ENERO!B71=0,"",ENERO!B71)</f>
        <v>Vigencia Anterior</v>
      </c>
      <c r="C71" s="655">
        <f>+ENERO!C71</f>
        <v>0</v>
      </c>
      <c r="D71" s="363">
        <f>ENERO!D71+FEBRERO!P71</f>
        <v>0</v>
      </c>
      <c r="E71" s="363">
        <f>ENERO!E71+FEBRERO!Q71</f>
        <v>4169317</v>
      </c>
      <c r="F71" s="363">
        <f>SUM(C71:E71)</f>
        <v>4169317</v>
      </c>
      <c r="G71" s="363">
        <f>ENERO!I71</f>
        <v>333820</v>
      </c>
      <c r="H71" s="364">
        <v>3835497</v>
      </c>
      <c r="I71" s="363">
        <f>SUM(G71:H71)</f>
        <v>4169317</v>
      </c>
      <c r="J71" s="363">
        <f>ENERO!L71</f>
        <v>333820</v>
      </c>
      <c r="K71" s="364">
        <v>3835497</v>
      </c>
      <c r="L71" s="363">
        <f>SUM(J71:K71)</f>
        <v>4169317</v>
      </c>
      <c r="M71" s="363">
        <f>F71-I71</f>
        <v>0</v>
      </c>
      <c r="N71" s="143">
        <f>F71-L71</f>
        <v>0</v>
      </c>
      <c r="O71" s="372"/>
      <c r="P71" s="362">
        <v>0</v>
      </c>
      <c r="Q71" s="365">
        <v>4169317</v>
      </c>
      <c r="R71" s="9"/>
      <c r="S71" s="689" t="str">
        <f>+IF(ENERO!S71=0,"",ENERO!S71)</f>
        <v>1020104-2</v>
      </c>
      <c r="T71" s="705" t="str">
        <f>+IF(ENERO!T71=0,"",ENERO!T71)</f>
        <v>Prima de Vacaciones</v>
      </c>
      <c r="U71" s="29">
        <f>+ENERO!U71</f>
        <v>180248873</v>
      </c>
      <c r="V71" s="15">
        <f>ENERO!V71+FEBRERO!AL71</f>
        <v>0</v>
      </c>
      <c r="W71" s="15">
        <f>ENERO!W71+FEBRERO!AM71</f>
        <v>0</v>
      </c>
      <c r="X71" s="16">
        <f t="shared" si="72"/>
        <v>180248873</v>
      </c>
      <c r="Y71" s="19">
        <f>ENERO!AA71</f>
        <v>3282098</v>
      </c>
      <c r="Z71" s="364">
        <v>5112358</v>
      </c>
      <c r="AA71" s="18">
        <f t="shared" si="73"/>
        <v>8394456</v>
      </c>
      <c r="AB71" s="19">
        <f>ENERO!AD71</f>
        <v>3282098</v>
      </c>
      <c r="AC71" s="364">
        <v>5112358</v>
      </c>
      <c r="AD71" s="16">
        <f t="shared" si="74"/>
        <v>8394456</v>
      </c>
      <c r="AE71" s="19">
        <f>ENERO!AG71</f>
        <v>3282098</v>
      </c>
      <c r="AF71" s="364">
        <v>5112358</v>
      </c>
      <c r="AG71" s="16">
        <f t="shared" si="75"/>
        <v>8394456</v>
      </c>
      <c r="AH71" s="19">
        <f t="shared" si="76"/>
        <v>171854417</v>
      </c>
      <c r="AI71" s="15">
        <f t="shared" si="77"/>
        <v>171854417</v>
      </c>
      <c r="AJ71" s="16">
        <f t="shared" si="78"/>
        <v>171854417</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+IF(ENERO!A72=0,"",ENERO!A72)</f>
        <v>1130116</v>
      </c>
      <c r="B72" s="628" t="str">
        <f>+IF(ENERO!B72=0,"",ENERO!B72)</f>
        <v>ADMINISTRADORAS DE RIESGOS LABORALES</v>
      </c>
      <c r="C72" s="43">
        <f t="shared" ref="C72:N72" si="79">SUM(C73:C74)</f>
        <v>2163183</v>
      </c>
      <c r="D72" s="44">
        <f t="shared" si="79"/>
        <v>0</v>
      </c>
      <c r="E72" s="44">
        <f t="shared" si="79"/>
        <v>0</v>
      </c>
      <c r="F72" s="44">
        <f t="shared" si="79"/>
        <v>2163183</v>
      </c>
      <c r="G72" s="44">
        <f t="shared" si="79"/>
        <v>16380316</v>
      </c>
      <c r="H72" s="44">
        <f t="shared" si="79"/>
        <v>2416641</v>
      </c>
      <c r="I72" s="44">
        <f t="shared" si="79"/>
        <v>18796957</v>
      </c>
      <c r="J72" s="44">
        <f t="shared" si="79"/>
        <v>45100</v>
      </c>
      <c r="K72" s="44">
        <f t="shared" si="79"/>
        <v>2032870</v>
      </c>
      <c r="L72" s="44">
        <f t="shared" si="79"/>
        <v>2077970</v>
      </c>
      <c r="M72" s="44">
        <f t="shared" si="79"/>
        <v>-16633774</v>
      </c>
      <c r="N72" s="45">
        <f t="shared" si="79"/>
        <v>85213</v>
      </c>
      <c r="P72" s="43">
        <f>SUM(P73:P74)</f>
        <v>0</v>
      </c>
      <c r="Q72" s="45">
        <f>SUM(Q73:Q74)</f>
        <v>0</v>
      </c>
      <c r="R72" s="9"/>
      <c r="S72" s="689" t="str">
        <f>+IF(ENERO!S72=0,"",ENERO!S72)</f>
        <v>1020104-3</v>
      </c>
      <c r="T72" s="705" t="str">
        <f>+IF(ENERO!T72=0,"",ENERO!T72)</f>
        <v>Bonificación  por servicios prestados</v>
      </c>
      <c r="U72" s="29">
        <f>+ENERO!U72</f>
        <v>110048955</v>
      </c>
      <c r="V72" s="15">
        <f>ENERO!V72+FEBRERO!AL72</f>
        <v>0</v>
      </c>
      <c r="W72" s="15">
        <f>ENERO!W72+FEBRERO!AM72</f>
        <v>0</v>
      </c>
      <c r="X72" s="16">
        <f t="shared" si="72"/>
        <v>110048955</v>
      </c>
      <c r="Y72" s="19">
        <f>ENERO!AA72</f>
        <v>9479934</v>
      </c>
      <c r="Z72" s="364">
        <v>4259269</v>
      </c>
      <c r="AA72" s="18">
        <f t="shared" si="73"/>
        <v>13739203</v>
      </c>
      <c r="AB72" s="19">
        <f>ENERO!AD72</f>
        <v>9479934</v>
      </c>
      <c r="AC72" s="364">
        <v>4259269</v>
      </c>
      <c r="AD72" s="16">
        <f t="shared" si="74"/>
        <v>13739203</v>
      </c>
      <c r="AE72" s="19">
        <f>ENERO!AG72</f>
        <v>9479934</v>
      </c>
      <c r="AF72" s="364">
        <v>4259269</v>
      </c>
      <c r="AG72" s="16">
        <f t="shared" si="75"/>
        <v>13739203</v>
      </c>
      <c r="AH72" s="19">
        <f t="shared" si="76"/>
        <v>96309752</v>
      </c>
      <c r="AI72" s="15">
        <f t="shared" si="77"/>
        <v>96309752</v>
      </c>
      <c r="AJ72" s="16">
        <f t="shared" si="78"/>
        <v>96309752</v>
      </c>
      <c r="AK72" s="9"/>
      <c r="AL72" s="362">
        <v>0</v>
      </c>
      <c r="AM72" s="365">
        <v>0</v>
      </c>
      <c r="AN72" s="9"/>
      <c r="AO72" s="284"/>
      <c r="AP72" s="284"/>
      <c r="AQ72" s="284"/>
      <c r="AR72" s="284"/>
      <c r="AS72" s="284"/>
      <c r="AT72" s="284"/>
      <c r="AU72" s="284"/>
      <c r="AV72" s="284"/>
      <c r="AW72" s="284"/>
      <c r="AX72" s="284"/>
      <c r="AY72" s="284"/>
      <c r="AZ72" s="284"/>
      <c r="BR72" s="412"/>
    </row>
    <row r="73" spans="1:70" s="412" customFormat="1" ht="24.95" customHeight="1">
      <c r="A73" s="593" t="str">
        <f>+IF(ENERO!A73=0,"",ENERO!A73)</f>
        <v>1130116-1</v>
      </c>
      <c r="B73" s="629" t="str">
        <f>+CONCATENATE("Vigencia ",INSTRUCCIONES!$F$3)</f>
        <v>Vigencia 2019</v>
      </c>
      <c r="C73" s="655">
        <f>+ENERO!C73</f>
        <v>2163183</v>
      </c>
      <c r="D73" s="363">
        <f>ENERO!D73+FEBRERO!P73</f>
        <v>0</v>
      </c>
      <c r="E73" s="363">
        <f>ENERO!E73+FEBRERO!Q73</f>
        <v>0</v>
      </c>
      <c r="F73" s="363">
        <f>SUM(C73:E73)</f>
        <v>2163183</v>
      </c>
      <c r="G73" s="363">
        <f>ENERO!I73</f>
        <v>16380316</v>
      </c>
      <c r="H73" s="364">
        <v>383771</v>
      </c>
      <c r="I73" s="363">
        <f>SUM(G73:H73)</f>
        <v>16764087</v>
      </c>
      <c r="J73" s="363">
        <f>ENERO!L73</f>
        <v>45100</v>
      </c>
      <c r="K73" s="364">
        <v>0</v>
      </c>
      <c r="L73" s="363">
        <f>SUM(J73:K73)</f>
        <v>45100</v>
      </c>
      <c r="M73" s="363">
        <f>F73-I73</f>
        <v>-14600904</v>
      </c>
      <c r="N73" s="143">
        <f>F73-L73</f>
        <v>2118083</v>
      </c>
      <c r="O73" s="372"/>
      <c r="P73" s="362">
        <v>0</v>
      </c>
      <c r="Q73" s="365">
        <v>0</v>
      </c>
      <c r="R73" s="9"/>
      <c r="S73" s="689" t="str">
        <f>+IF(ENERO!S73=0,"",ENERO!S73)</f>
        <v>1020104-4</v>
      </c>
      <c r="T73" s="705" t="str">
        <f>+IF(ENERO!T73=0,"",ENERO!T73)</f>
        <v>Prima de Servicios</v>
      </c>
      <c r="U73" s="29">
        <f>+ENERO!U73</f>
        <v>166383593</v>
      </c>
      <c r="V73" s="15">
        <f>ENERO!V73+FEBRERO!AL73</f>
        <v>0</v>
      </c>
      <c r="W73" s="15">
        <f>ENERO!W73+FEBRERO!AM73</f>
        <v>0</v>
      </c>
      <c r="X73" s="16">
        <f t="shared" si="72"/>
        <v>166383593</v>
      </c>
      <c r="Y73" s="19">
        <f>ENERO!AA73</f>
        <v>519930</v>
      </c>
      <c r="Z73" s="364">
        <v>1208874</v>
      </c>
      <c r="AA73" s="18">
        <f t="shared" si="73"/>
        <v>1728804</v>
      </c>
      <c r="AB73" s="19">
        <f>ENERO!AD73</f>
        <v>519930</v>
      </c>
      <c r="AC73" s="364">
        <v>1208874</v>
      </c>
      <c r="AD73" s="16">
        <f t="shared" si="74"/>
        <v>1728804</v>
      </c>
      <c r="AE73" s="19">
        <f>ENERO!AG73</f>
        <v>519930</v>
      </c>
      <c r="AF73" s="364">
        <v>1208874</v>
      </c>
      <c r="AG73" s="16">
        <f t="shared" si="75"/>
        <v>1728804</v>
      </c>
      <c r="AH73" s="19">
        <f t="shared" si="76"/>
        <v>164654789</v>
      </c>
      <c r="AI73" s="15">
        <f t="shared" si="77"/>
        <v>164654789</v>
      </c>
      <c r="AJ73" s="16">
        <f t="shared" si="78"/>
        <v>164654789</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row>
    <row r="74" spans="1:70" s="412" customFormat="1" ht="24.95" customHeight="1">
      <c r="A74" s="593" t="str">
        <f>+IF(ENERO!A74=0,"",ENERO!A74)</f>
        <v>1130116-2</v>
      </c>
      <c r="B74" s="629" t="str">
        <f>+IF(ENERO!B74=0,"",ENERO!B74)</f>
        <v>Vigencia Anterior</v>
      </c>
      <c r="C74" s="655">
        <f>+ENERO!C74</f>
        <v>0</v>
      </c>
      <c r="D74" s="363">
        <f>ENERO!D74+FEBRERO!P74</f>
        <v>0</v>
      </c>
      <c r="E74" s="363">
        <f>ENERO!E74+FEBRERO!Q74</f>
        <v>0</v>
      </c>
      <c r="F74" s="363">
        <f>SUM(C74:E74)</f>
        <v>0</v>
      </c>
      <c r="G74" s="363">
        <f>ENERO!I74</f>
        <v>0</v>
      </c>
      <c r="H74" s="364">
        <v>2032870</v>
      </c>
      <c r="I74" s="363">
        <f>SUM(G74:H74)</f>
        <v>2032870</v>
      </c>
      <c r="J74" s="363">
        <f>ENERO!L74</f>
        <v>0</v>
      </c>
      <c r="K74" s="364">
        <v>2032870</v>
      </c>
      <c r="L74" s="363">
        <f>SUM(J74:K74)</f>
        <v>2032870</v>
      </c>
      <c r="M74" s="363">
        <f>F74-I74</f>
        <v>-2032870</v>
      </c>
      <c r="N74" s="143">
        <f>F74-L74</f>
        <v>-2032870</v>
      </c>
      <c r="O74" s="372"/>
      <c r="P74" s="362">
        <v>0</v>
      </c>
      <c r="Q74" s="365">
        <v>0</v>
      </c>
      <c r="R74" s="9"/>
      <c r="S74" s="689" t="str">
        <f>+IF(ENERO!S74=0,"",ENERO!S74)</f>
        <v>1020104-5</v>
      </c>
      <c r="T74" s="705" t="str">
        <f>+IF(ENERO!T74=0,"",ENERO!T74)</f>
        <v>Bonificación Convencional</v>
      </c>
      <c r="U74" s="29">
        <f>+ENERO!U74</f>
        <v>20961713</v>
      </c>
      <c r="V74" s="15">
        <f>ENERO!V74+FEBRERO!AL74</f>
        <v>0</v>
      </c>
      <c r="W74" s="15">
        <f>ENERO!W74+FEBRERO!AM74</f>
        <v>0</v>
      </c>
      <c r="X74" s="16">
        <f t="shared" si="72"/>
        <v>20961713</v>
      </c>
      <c r="Y74" s="19">
        <f>ENERO!AA74</f>
        <v>0</v>
      </c>
      <c r="Z74" s="364">
        <v>0</v>
      </c>
      <c r="AA74" s="18">
        <f t="shared" si="73"/>
        <v>0</v>
      </c>
      <c r="AB74" s="19">
        <f>ENERO!AD74</f>
        <v>0</v>
      </c>
      <c r="AC74" s="364">
        <v>0</v>
      </c>
      <c r="AD74" s="16">
        <f t="shared" si="74"/>
        <v>0</v>
      </c>
      <c r="AE74" s="19">
        <f>ENERO!AG74</f>
        <v>0</v>
      </c>
      <c r="AF74" s="364">
        <v>0</v>
      </c>
      <c r="AG74" s="16">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+IF(ENERO!A75=0,"",ENERO!A75)</f>
        <v>1130117</v>
      </c>
      <c r="B75" s="628" t="str">
        <f>+IF(ENERO!B75=0,"",ENERO!B75)</f>
        <v>CUOTAS DE RECUPERACION</v>
      </c>
      <c r="C75" s="43">
        <f t="shared" ref="C75:N75" si="80">SUM(C76:C77)</f>
        <v>351388967</v>
      </c>
      <c r="D75" s="44">
        <f t="shared" si="80"/>
        <v>0</v>
      </c>
      <c r="E75" s="44">
        <f t="shared" si="80"/>
        <v>260623</v>
      </c>
      <c r="F75" s="44">
        <f t="shared" si="80"/>
        <v>351649590</v>
      </c>
      <c r="G75" s="44">
        <f t="shared" si="80"/>
        <v>58062657</v>
      </c>
      <c r="H75" s="44">
        <f t="shared" si="80"/>
        <v>74232617</v>
      </c>
      <c r="I75" s="44">
        <f t="shared" si="80"/>
        <v>132295274</v>
      </c>
      <c r="J75" s="44">
        <f t="shared" si="80"/>
        <v>18222294</v>
      </c>
      <c r="K75" s="44">
        <f t="shared" si="80"/>
        <v>17939623</v>
      </c>
      <c r="L75" s="44">
        <f t="shared" si="80"/>
        <v>36161917</v>
      </c>
      <c r="M75" s="44">
        <f t="shared" si="80"/>
        <v>219354316</v>
      </c>
      <c r="N75" s="45">
        <f t="shared" si="80"/>
        <v>315487673</v>
      </c>
      <c r="P75" s="43">
        <f>SUM(P76:P77)</f>
        <v>0</v>
      </c>
      <c r="Q75" s="45">
        <f>SUM(Q76:Q77)</f>
        <v>260623</v>
      </c>
      <c r="R75" s="9"/>
      <c r="S75" s="689" t="str">
        <f>+IF(ENERO!S75=0,"",ENERO!S75)</f>
        <v>1020104-6</v>
      </c>
      <c r="T75" s="705" t="str">
        <f>+IF(ENERO!T75=0,"",ENERO!T75)</f>
        <v>Auxilio de Transporte</v>
      </c>
      <c r="U75" s="29">
        <f>+ENERO!U75</f>
        <v>329885360</v>
      </c>
      <c r="V75" s="15">
        <f>ENERO!V75+FEBRERO!AL75</f>
        <v>0</v>
      </c>
      <c r="W75" s="15">
        <f>ENERO!W75+FEBRERO!AM75</f>
        <v>0</v>
      </c>
      <c r="X75" s="16">
        <f t="shared" si="72"/>
        <v>329885360</v>
      </c>
      <c r="Y75" s="19">
        <f>ENERO!AA75</f>
        <v>582192</v>
      </c>
      <c r="Z75" s="364">
        <v>533676</v>
      </c>
      <c r="AA75" s="18">
        <f t="shared" si="73"/>
        <v>1115868</v>
      </c>
      <c r="AB75" s="19">
        <f>ENERO!AD75</f>
        <v>582192</v>
      </c>
      <c r="AC75" s="364">
        <v>533676</v>
      </c>
      <c r="AD75" s="16">
        <f t="shared" si="74"/>
        <v>1115868</v>
      </c>
      <c r="AE75" s="19">
        <f>ENERO!AG75</f>
        <v>582192</v>
      </c>
      <c r="AF75" s="364">
        <v>533676</v>
      </c>
      <c r="AG75" s="16">
        <f t="shared" si="75"/>
        <v>1115868</v>
      </c>
      <c r="AH75" s="19">
        <f t="shared" si="76"/>
        <v>328769492</v>
      </c>
      <c r="AI75" s="15">
        <f t="shared" si="77"/>
        <v>328769492</v>
      </c>
      <c r="AJ75" s="16">
        <f t="shared" si="78"/>
        <v>328769492</v>
      </c>
      <c r="AK75" s="9"/>
      <c r="AL75" s="362">
        <v>0</v>
      </c>
      <c r="AM75" s="365">
        <v>0</v>
      </c>
      <c r="AN75" s="9"/>
      <c r="AO75" s="284"/>
      <c r="AP75" s="284"/>
      <c r="AQ75" s="284"/>
      <c r="AR75" s="284"/>
      <c r="AS75" s="284"/>
      <c r="AT75" s="284"/>
      <c r="AU75" s="284"/>
      <c r="AV75" s="284"/>
      <c r="AW75" s="284"/>
      <c r="AX75" s="284"/>
      <c r="AY75" s="284"/>
      <c r="AZ75" s="284"/>
      <c r="BR75" s="412"/>
    </row>
    <row r="76" spans="1:70" s="412" customFormat="1" ht="24.95" customHeight="1">
      <c r="A76" s="593" t="str">
        <f>+IF(ENERO!A76=0,"",ENERO!A76)</f>
        <v>1130117-1</v>
      </c>
      <c r="B76" s="629" t="str">
        <f>+CONCATENATE("Vigencia ",INSTRUCCIONES!$F$3)</f>
        <v>Vigencia 2019</v>
      </c>
      <c r="C76" s="655">
        <f>+ENERO!C76</f>
        <v>351388967</v>
      </c>
      <c r="D76" s="363">
        <f>ENERO!D76+FEBRERO!P76</f>
        <v>0</v>
      </c>
      <c r="E76" s="363">
        <f>ENERO!E76+FEBRERO!Q76</f>
        <v>0</v>
      </c>
      <c r="F76" s="363">
        <f t="shared" ref="F76:F83" si="81">SUM(C76:E76)</f>
        <v>351388967</v>
      </c>
      <c r="G76" s="363">
        <f>ENERO!I76</f>
        <v>57802034</v>
      </c>
      <c r="H76" s="364">
        <v>74202617</v>
      </c>
      <c r="I76" s="363">
        <f t="shared" ref="I76:I83" si="82">SUM(G76:H76)</f>
        <v>132004651</v>
      </c>
      <c r="J76" s="363">
        <f>ENERO!L76</f>
        <v>17961671</v>
      </c>
      <c r="K76" s="364">
        <v>17909623</v>
      </c>
      <c r="L76" s="363">
        <f t="shared" ref="L76:L83" si="83">SUM(J76:K76)</f>
        <v>35871294</v>
      </c>
      <c r="M76" s="363">
        <f t="shared" ref="M76:M83" si="84">F76-I76</f>
        <v>219384316</v>
      </c>
      <c r="N76" s="143">
        <f t="shared" ref="N76:N83" si="85">F76-L76</f>
        <v>315517673</v>
      </c>
      <c r="O76" s="372"/>
      <c r="P76" s="362">
        <v>0</v>
      </c>
      <c r="Q76" s="365">
        <v>0</v>
      </c>
      <c r="R76" s="9"/>
      <c r="S76" s="689" t="str">
        <f>+IF(ENERO!S76=0,"",ENERO!S76)</f>
        <v>1020104-7</v>
      </c>
      <c r="T76" s="705" t="str">
        <f>+IF(ENERO!T76=0,"",ENERO!T76)</f>
        <v>Auxilio de Alimentación</v>
      </c>
      <c r="U76" s="29">
        <f>+ENERO!U76</f>
        <v>0</v>
      </c>
      <c r="V76" s="15">
        <f>ENERO!V76+FEBRERO!AL76</f>
        <v>0</v>
      </c>
      <c r="W76" s="15">
        <f>ENERO!W76+FEBRERO!AM76</f>
        <v>0</v>
      </c>
      <c r="X76" s="16">
        <f t="shared" si="72"/>
        <v>0</v>
      </c>
      <c r="Y76" s="19">
        <f>ENERO!AA76</f>
        <v>0</v>
      </c>
      <c r="Z76" s="364">
        <v>0</v>
      </c>
      <c r="AA76" s="18">
        <f t="shared" si="73"/>
        <v>0</v>
      </c>
      <c r="AB76" s="19">
        <f>ENERO!AD76</f>
        <v>0</v>
      </c>
      <c r="AC76" s="364">
        <v>0</v>
      </c>
      <c r="AD76" s="16">
        <f t="shared" si="74"/>
        <v>0</v>
      </c>
      <c r="AE76" s="19">
        <f>ENERO!AG76</f>
        <v>0</v>
      </c>
      <c r="AF76" s="364">
        <v>0</v>
      </c>
      <c r="AG76" s="16">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row>
    <row r="77" spans="1:70" s="412" customFormat="1" ht="24.95" customHeight="1">
      <c r="A77" s="593" t="str">
        <f>+IF(ENERO!A77=0,"",ENERO!A77)</f>
        <v>1130117-2</v>
      </c>
      <c r="B77" s="629" t="str">
        <f>+IF(ENERO!B77=0,"",ENERO!B77)</f>
        <v>Vigencia Anterior</v>
      </c>
      <c r="C77" s="655">
        <f>+ENERO!C77</f>
        <v>0</v>
      </c>
      <c r="D77" s="363">
        <f>ENERO!D77+FEBRERO!P77</f>
        <v>0</v>
      </c>
      <c r="E77" s="363">
        <f>ENERO!E77+FEBRERO!Q77</f>
        <v>260623</v>
      </c>
      <c r="F77" s="363">
        <f t="shared" si="81"/>
        <v>260623</v>
      </c>
      <c r="G77" s="363">
        <f>ENERO!I77</f>
        <v>260623</v>
      </c>
      <c r="H77" s="364">
        <v>30000</v>
      </c>
      <c r="I77" s="363">
        <f t="shared" si="82"/>
        <v>290623</v>
      </c>
      <c r="J77" s="363">
        <f>ENERO!L77</f>
        <v>260623</v>
      </c>
      <c r="K77" s="364">
        <v>30000</v>
      </c>
      <c r="L77" s="363">
        <f t="shared" si="83"/>
        <v>290623</v>
      </c>
      <c r="M77" s="363">
        <f t="shared" si="84"/>
        <v>-30000</v>
      </c>
      <c r="N77" s="143">
        <f t="shared" si="85"/>
        <v>-30000</v>
      </c>
      <c r="O77" s="372"/>
      <c r="P77" s="362">
        <v>0</v>
      </c>
      <c r="Q77" s="365">
        <v>260623</v>
      </c>
      <c r="R77" s="9"/>
      <c r="S77" s="689" t="str">
        <f>+IF(ENERO!S77=0,"",ENERO!S77)</f>
        <v>1020104-8</v>
      </c>
      <c r="T77" s="705" t="str">
        <f>+IF(ENERO!T77=0,"",ENERO!T77)</f>
        <v>Indemnizaciones por Vacaciones o Supresión de Cargos por Reestructuración</v>
      </c>
      <c r="U77" s="29">
        <f>+ENERO!U77</f>
        <v>0</v>
      </c>
      <c r="V77" s="15">
        <f>ENERO!V77+FEBRERO!AL77</f>
        <v>0</v>
      </c>
      <c r="W77" s="15">
        <f>ENERO!W77+FEBRERO!AM77</f>
        <v>0</v>
      </c>
      <c r="X77" s="16">
        <f t="shared" si="72"/>
        <v>0</v>
      </c>
      <c r="Y77" s="19">
        <f>ENERO!AA77</f>
        <v>0</v>
      </c>
      <c r="Z77" s="364">
        <v>0</v>
      </c>
      <c r="AA77" s="18">
        <f t="shared" si="73"/>
        <v>0</v>
      </c>
      <c r="AB77" s="19">
        <f>ENERO!AD77</f>
        <v>0</v>
      </c>
      <c r="AC77" s="364">
        <v>0</v>
      </c>
      <c r="AD77" s="16">
        <f t="shared" si="74"/>
        <v>0</v>
      </c>
      <c r="AE77" s="19">
        <f>ENERO!AG77</f>
        <v>0</v>
      </c>
      <c r="AF77" s="364">
        <v>0</v>
      </c>
      <c r="AG77" s="16">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+IF(ENERO!A78=0,"",ENERO!A78)</f>
        <v>1130118</v>
      </c>
      <c r="B78" s="628" t="str">
        <f>+IF(ENERO!B78=0,"",ENERO!B78)</f>
        <v>PARTICULARES   (Venta de Contado)</v>
      </c>
      <c r="C78" s="43">
        <f>SUM(C79:C80)</f>
        <v>209613681</v>
      </c>
      <c r="D78" s="44">
        <f>SUM(D79:D80)</f>
        <v>0</v>
      </c>
      <c r="E78" s="44">
        <f>SUM(E79:E80)</f>
        <v>13181074</v>
      </c>
      <c r="F78" s="44">
        <f t="shared" si="81"/>
        <v>222794755</v>
      </c>
      <c r="G78" s="44">
        <f>SUM(G79:G80)</f>
        <v>59603544</v>
      </c>
      <c r="H78" s="44">
        <f>SUM(H79:H80)</f>
        <v>79227623</v>
      </c>
      <c r="I78" s="44">
        <f t="shared" si="82"/>
        <v>138831167</v>
      </c>
      <c r="J78" s="44">
        <f>SUM(J79:J80)</f>
        <v>46857200</v>
      </c>
      <c r="K78" s="44">
        <f>SUM(K79:K80)</f>
        <v>33803858</v>
      </c>
      <c r="L78" s="44">
        <f t="shared" si="83"/>
        <v>80661058</v>
      </c>
      <c r="M78" s="44">
        <f t="shared" si="84"/>
        <v>83963588</v>
      </c>
      <c r="N78" s="45">
        <f t="shared" si="85"/>
        <v>142133697</v>
      </c>
      <c r="O78" s="372"/>
      <c r="P78" s="43">
        <f>SUM(P79:P80)</f>
        <v>0</v>
      </c>
      <c r="Q78" s="45">
        <f>SUM(Q79:Q80)</f>
        <v>13181074</v>
      </c>
      <c r="R78" s="9"/>
      <c r="S78" s="689" t="str">
        <f>+IF(ENERO!S78=0,"",ENERO!S78)</f>
        <v>1020104-9</v>
      </c>
      <c r="T78" s="705" t="str">
        <f>+IF(ENERO!T78=0,"",ENERO!T78)</f>
        <v>Bonificación Especial por Recreación</v>
      </c>
      <c r="U78" s="29">
        <f>+ENERO!U78</f>
        <v>20961713</v>
      </c>
      <c r="V78" s="15">
        <f>ENERO!V78+FEBRERO!AL78</f>
        <v>0</v>
      </c>
      <c r="W78" s="15">
        <f>ENERO!W78+FEBRERO!AM78</f>
        <v>0</v>
      </c>
      <c r="X78" s="16">
        <f t="shared" si="72"/>
        <v>20961713</v>
      </c>
      <c r="Y78" s="19">
        <f>ENERO!AA78</f>
        <v>408234</v>
      </c>
      <c r="Z78" s="364">
        <v>642252</v>
      </c>
      <c r="AA78" s="18">
        <f t="shared" si="73"/>
        <v>1050486</v>
      </c>
      <c r="AB78" s="19">
        <f>ENERO!AD78</f>
        <v>408234</v>
      </c>
      <c r="AC78" s="364">
        <v>642252</v>
      </c>
      <c r="AD78" s="16">
        <f t="shared" si="74"/>
        <v>1050486</v>
      </c>
      <c r="AE78" s="19">
        <f>ENERO!AG78</f>
        <v>408234</v>
      </c>
      <c r="AF78" s="364">
        <v>642252</v>
      </c>
      <c r="AG78" s="16">
        <f t="shared" si="75"/>
        <v>1050486</v>
      </c>
      <c r="AH78" s="19">
        <f t="shared" si="76"/>
        <v>19911227</v>
      </c>
      <c r="AI78" s="15">
        <f t="shared" si="77"/>
        <v>19911227</v>
      </c>
      <c r="AJ78" s="16">
        <f t="shared" si="78"/>
        <v>19911227</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row>
    <row r="79" spans="1:70" s="372" customFormat="1" ht="24.95" customHeight="1">
      <c r="A79" s="593" t="str">
        <f>+IF(ENERO!A79=0,"",ENERO!A79)</f>
        <v>1130118-1</v>
      </c>
      <c r="B79" s="629" t="str">
        <f>+CONCATENATE("Vigencia ",INSTRUCCIONES!$F$3)</f>
        <v>Vigencia 2019</v>
      </c>
      <c r="C79" s="655">
        <f>+ENERO!C79</f>
        <v>209613681</v>
      </c>
      <c r="D79" s="363">
        <f>ENERO!D79+FEBRERO!P79</f>
        <v>0</v>
      </c>
      <c r="E79" s="363">
        <f>ENERO!E79+FEBRERO!Q79</f>
        <v>0</v>
      </c>
      <c r="F79" s="363">
        <f t="shared" si="81"/>
        <v>209613681</v>
      </c>
      <c r="G79" s="363">
        <f>ENERO!I79</f>
        <v>46422470</v>
      </c>
      <c r="H79" s="364">
        <v>77642647</v>
      </c>
      <c r="I79" s="363">
        <f t="shared" si="82"/>
        <v>124065117</v>
      </c>
      <c r="J79" s="363">
        <f>ENERO!L79</f>
        <v>33676126</v>
      </c>
      <c r="K79" s="364">
        <v>32218882</v>
      </c>
      <c r="L79" s="363">
        <f t="shared" si="83"/>
        <v>65895008</v>
      </c>
      <c r="M79" s="363">
        <f t="shared" si="84"/>
        <v>85548564</v>
      </c>
      <c r="N79" s="143">
        <f t="shared" si="85"/>
        <v>143718673</v>
      </c>
      <c r="P79" s="362">
        <v>0</v>
      </c>
      <c r="Q79" s="365">
        <v>0</v>
      </c>
      <c r="R79" s="9"/>
      <c r="S79" s="689" t="str">
        <f>+IF(ENERO!S79=0,"",ENERO!S79)</f>
        <v>1020104-10</v>
      </c>
      <c r="T79" s="705" t="str">
        <f>+IF(ENERO!T79=0,"",ENERO!T79)</f>
        <v/>
      </c>
      <c r="U79" s="29">
        <f>+ENERO!U79</f>
        <v>0</v>
      </c>
      <c r="V79" s="15">
        <f>ENERO!V79+FEBRERO!AL79</f>
        <v>0</v>
      </c>
      <c r="W79" s="15">
        <f>ENERO!W79+FEBRERO!AM79</f>
        <v>0</v>
      </c>
      <c r="X79" s="16">
        <f t="shared" si="72"/>
        <v>0</v>
      </c>
      <c r="Y79" s="19">
        <f>ENERO!AA79</f>
        <v>0</v>
      </c>
      <c r="Z79" s="364">
        <v>0</v>
      </c>
      <c r="AA79" s="18">
        <f t="shared" si="73"/>
        <v>0</v>
      </c>
      <c r="AB79" s="19">
        <f>ENERO!AD79</f>
        <v>0</v>
      </c>
      <c r="AC79" s="364">
        <v>0</v>
      </c>
      <c r="AD79" s="16">
        <f t="shared" si="74"/>
        <v>0</v>
      </c>
      <c r="AE79" s="19">
        <f>ENERO!AG79</f>
        <v>0</v>
      </c>
      <c r="AF79" s="364">
        <v>0</v>
      </c>
      <c r="AG79" s="16">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c r="BR79" s="412"/>
    </row>
    <row r="80" spans="1:70" s="9" customFormat="1" ht="24.95" customHeight="1">
      <c r="A80" s="593" t="str">
        <f>+IF(ENERO!A80=0,"",ENERO!A80)</f>
        <v>1130118-2</v>
      </c>
      <c r="B80" s="629" t="str">
        <f>+IF(ENERO!B80=0,"",ENERO!B80)</f>
        <v>Vigencia Anterior</v>
      </c>
      <c r="C80" s="655">
        <f>+ENERO!C80</f>
        <v>0</v>
      </c>
      <c r="D80" s="363">
        <f>ENERO!D80+FEBRERO!P80</f>
        <v>0</v>
      </c>
      <c r="E80" s="363">
        <f>ENERO!E80+FEBRERO!Q80</f>
        <v>13181074</v>
      </c>
      <c r="F80" s="363">
        <f t="shared" si="81"/>
        <v>13181074</v>
      </c>
      <c r="G80" s="363">
        <f>ENERO!I80</f>
        <v>13181074</v>
      </c>
      <c r="H80" s="364">
        <v>1584976</v>
      </c>
      <c r="I80" s="363">
        <f t="shared" si="82"/>
        <v>14766050</v>
      </c>
      <c r="J80" s="363">
        <f>ENERO!L80</f>
        <v>13181074</v>
      </c>
      <c r="K80" s="364">
        <v>1584976</v>
      </c>
      <c r="L80" s="363">
        <f t="shared" si="83"/>
        <v>14766050</v>
      </c>
      <c r="M80" s="363">
        <f t="shared" si="84"/>
        <v>-1584976</v>
      </c>
      <c r="N80" s="143">
        <f t="shared" si="85"/>
        <v>-1584976</v>
      </c>
      <c r="O80" s="372"/>
      <c r="P80" s="362">
        <v>0</v>
      </c>
      <c r="Q80" s="365">
        <v>13181074</v>
      </c>
      <c r="S80" s="689" t="str">
        <f>+IF(ENERO!S80=0,"",ENERO!S80)</f>
        <v>1020104-11</v>
      </c>
      <c r="T80" s="705" t="str">
        <f>+IF(ENERO!T80=0,"",ENERO!T80)</f>
        <v/>
      </c>
      <c r="U80" s="29">
        <f>+ENERO!U80</f>
        <v>0</v>
      </c>
      <c r="V80" s="15">
        <f>ENERO!V80+FEBRERO!AL80</f>
        <v>0</v>
      </c>
      <c r="W80" s="15">
        <f>ENERO!W80+FEBRERO!AM80</f>
        <v>0</v>
      </c>
      <c r="X80" s="16">
        <f t="shared" si="72"/>
        <v>0</v>
      </c>
      <c r="Y80" s="19">
        <f>ENERO!AA80</f>
        <v>0</v>
      </c>
      <c r="Z80" s="364">
        <v>0</v>
      </c>
      <c r="AA80" s="18">
        <f t="shared" si="73"/>
        <v>0</v>
      </c>
      <c r="AB80" s="19">
        <f>ENERO!AD80</f>
        <v>0</v>
      </c>
      <c r="AC80" s="364">
        <v>0</v>
      </c>
      <c r="AD80" s="16">
        <f t="shared" si="74"/>
        <v>0</v>
      </c>
      <c r="AE80" s="19">
        <f>ENERO!AG80</f>
        <v>0</v>
      </c>
      <c r="AF80" s="364">
        <v>0</v>
      </c>
      <c r="AG80" s="16">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412"/>
    </row>
    <row r="81" spans="1:70" s="372" customFormat="1" ht="24.95" customHeight="1">
      <c r="A81" s="714">
        <f>+IF(ENERO!A81=0,"",ENERO!A81)</f>
        <v>1130119</v>
      </c>
      <c r="B81" s="632" t="str">
        <f>+IF(ENERO!B81=0,"",ENERO!B81)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688">
        <f>+IF(ENERO!S81=0,"",ENERO!S81)</f>
        <v>1020199</v>
      </c>
      <c r="T81" s="704" t="str">
        <f>+IF(ENERO!T81=0,"",ENERO!T81)</f>
        <v>Vigencias Anteriores</v>
      </c>
      <c r="U81" s="29">
        <f>+ENERO!U81</f>
        <v>0</v>
      </c>
      <c r="V81" s="15">
        <f>ENERO!V81+FEBRERO!AL81</f>
        <v>0</v>
      </c>
      <c r="W81" s="15">
        <f>ENERO!W81+FEBRERO!AM81</f>
        <v>0</v>
      </c>
      <c r="X81" s="16">
        <f t="shared" si="72"/>
        <v>0</v>
      </c>
      <c r="Y81" s="19">
        <f>ENERO!AA81</f>
        <v>0</v>
      </c>
      <c r="Z81" s="364">
        <v>0</v>
      </c>
      <c r="AA81" s="18">
        <f t="shared" si="73"/>
        <v>0</v>
      </c>
      <c r="AB81" s="19">
        <f>ENERO!AD81</f>
        <v>0</v>
      </c>
      <c r="AC81" s="364">
        <v>0</v>
      </c>
      <c r="AD81" s="16">
        <f t="shared" si="74"/>
        <v>0</v>
      </c>
      <c r="AE81" s="19">
        <f>ENERO!AG81</f>
        <v>0</v>
      </c>
      <c r="AF81" s="364">
        <v>0</v>
      </c>
      <c r="AG81" s="16">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+IF(ENERO!A82=0,"",ENERO!A82)</f>
        <v>1130119-1</v>
      </c>
      <c r="B82" s="629" t="str">
        <f>+CONCATENATE("Vigencia ",INSTRUCCIONES!$F$3)</f>
        <v>Vigencia 2019</v>
      </c>
      <c r="C82" s="655">
        <f>+ENERO!C82</f>
        <v>0</v>
      </c>
      <c r="D82" s="363">
        <f>ENERO!D82+FEBRERO!P82</f>
        <v>0</v>
      </c>
      <c r="E82" s="363">
        <f>ENERO!E82+FEBRERO!Q82</f>
        <v>0</v>
      </c>
      <c r="F82" s="363">
        <f t="shared" si="81"/>
        <v>0</v>
      </c>
      <c r="G82" s="363">
        <f>ENERO!I82</f>
        <v>0</v>
      </c>
      <c r="H82" s="364">
        <v>0</v>
      </c>
      <c r="I82" s="363">
        <f t="shared" si="82"/>
        <v>0</v>
      </c>
      <c r="J82" s="363">
        <f>ENERO!L82</f>
        <v>0</v>
      </c>
      <c r="K82" s="364">
        <v>0</v>
      </c>
      <c r="L82" s="363">
        <f t="shared" si="83"/>
        <v>0</v>
      </c>
      <c r="M82" s="363">
        <f t="shared" si="84"/>
        <v>0</v>
      </c>
      <c r="N82" s="143">
        <f t="shared" si="85"/>
        <v>0</v>
      </c>
      <c r="P82" s="362">
        <v>0</v>
      </c>
      <c r="Q82" s="365">
        <v>0</v>
      </c>
      <c r="R82" s="9"/>
      <c r="S82" s="356" t="str">
        <f>+IF(ENERO!S82=0,"",ENERO!S82)</f>
        <v/>
      </c>
      <c r="T82" s="678" t="str">
        <f>+IF(ENERO!T82=0,"",ENERO!T82)</f>
        <v/>
      </c>
      <c r="U82" s="357"/>
      <c r="V82" s="161"/>
      <c r="W82" s="161"/>
      <c r="X82" s="166"/>
      <c r="Y82" s="357"/>
      <c r="Z82" s="161"/>
      <c r="AA82" s="161"/>
      <c r="AB82" s="357"/>
      <c r="AC82" s="161"/>
      <c r="AD82" s="166"/>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+IF(ENERO!A83=0,"",ENERO!A83)</f>
        <v>1130119-2</v>
      </c>
      <c r="B83" s="633" t="str">
        <f>+IF(ENERO!B83=0,"",ENERO!B83)</f>
        <v>Vigencia Anterior</v>
      </c>
      <c r="C83" s="759">
        <f>+ENERO!C83</f>
        <v>0</v>
      </c>
      <c r="D83" s="375">
        <f>ENERO!D83+FEBRERO!P83</f>
        <v>0</v>
      </c>
      <c r="E83" s="375">
        <f>ENERO!E83+FEBRERO!Q83</f>
        <v>0</v>
      </c>
      <c r="F83" s="375">
        <f t="shared" si="81"/>
        <v>0</v>
      </c>
      <c r="G83" s="375">
        <f>ENERO!I83</f>
        <v>0</v>
      </c>
      <c r="H83" s="378">
        <v>0</v>
      </c>
      <c r="I83" s="375">
        <f t="shared" si="82"/>
        <v>0</v>
      </c>
      <c r="J83" s="375">
        <f>ENERO!L83</f>
        <v>0</v>
      </c>
      <c r="K83" s="378">
        <v>0</v>
      </c>
      <c r="L83" s="375">
        <f t="shared" si="83"/>
        <v>0</v>
      </c>
      <c r="M83" s="375">
        <f t="shared" si="84"/>
        <v>0</v>
      </c>
      <c r="N83" s="376">
        <f t="shared" si="85"/>
        <v>0</v>
      </c>
      <c r="P83" s="362">
        <v>0</v>
      </c>
      <c r="Q83" s="365">
        <v>0</v>
      </c>
      <c r="R83" s="9"/>
      <c r="S83" s="687">
        <f>+IF(ENERO!S83=0,"",ENERO!S83)</f>
        <v>1020200</v>
      </c>
      <c r="T83" s="703" t="str">
        <f>+IF(ENERO!T83=0,"",ENERO!T83)</f>
        <v>Servicios Personales Indirectos</v>
      </c>
      <c r="U83" s="128">
        <f t="shared" ref="U83:AJ83" si="87">SUM(U84:U88)</f>
        <v>21292467542</v>
      </c>
      <c r="V83" s="122">
        <f t="shared" si="87"/>
        <v>0</v>
      </c>
      <c r="W83" s="122">
        <f t="shared" si="87"/>
        <v>1640000000</v>
      </c>
      <c r="X83" s="130">
        <f t="shared" si="87"/>
        <v>22932467542</v>
      </c>
      <c r="Y83" s="128">
        <f t="shared" si="87"/>
        <v>17149893615</v>
      </c>
      <c r="Z83" s="122">
        <f t="shared" si="87"/>
        <v>1165703763</v>
      </c>
      <c r="AA83" s="129">
        <f t="shared" si="87"/>
        <v>18315597378</v>
      </c>
      <c r="AB83" s="128">
        <f t="shared" si="87"/>
        <v>1707753094</v>
      </c>
      <c r="AC83" s="122">
        <f t="shared" si="87"/>
        <v>2541684739</v>
      </c>
      <c r="AD83" s="130">
        <f t="shared" si="87"/>
        <v>4249437833</v>
      </c>
      <c r="AE83" s="128">
        <f t="shared" si="87"/>
        <v>287255152</v>
      </c>
      <c r="AF83" s="122">
        <f t="shared" si="87"/>
        <v>1172701260</v>
      </c>
      <c r="AG83" s="130">
        <f t="shared" si="87"/>
        <v>1459956412</v>
      </c>
      <c r="AH83" s="128">
        <f t="shared" si="87"/>
        <v>4616870164</v>
      </c>
      <c r="AI83" s="122">
        <f t="shared" si="87"/>
        <v>18683029709</v>
      </c>
      <c r="AJ83" s="130">
        <f t="shared" si="87"/>
        <v>21472511130</v>
      </c>
      <c r="AK83" s="9"/>
      <c r="AL83" s="128">
        <f>SUM(AL84:AL88)</f>
        <v>0</v>
      </c>
      <c r="AM83" s="130">
        <f>SUM(AM84:AM88)</f>
        <v>1500000000</v>
      </c>
      <c r="AN83" s="9"/>
      <c r="AO83" s="284"/>
      <c r="AP83" s="284"/>
      <c r="AQ83" s="284"/>
      <c r="AR83" s="284"/>
      <c r="AS83" s="284"/>
      <c r="AT83" s="284"/>
      <c r="AU83" s="284"/>
      <c r="AV83" s="284"/>
      <c r="AW83" s="284"/>
      <c r="AX83" s="284"/>
      <c r="AY83" s="284"/>
      <c r="AZ83" s="284"/>
      <c r="BM83" s="9"/>
    </row>
    <row r="84" spans="1:70" s="372" customFormat="1" ht="24.95" customHeight="1" thickBot="1">
      <c r="A84" s="717" t="str">
        <f>+IF(ENERO!A84=0,"",ENERO!A84)</f>
        <v/>
      </c>
      <c r="B84" s="634" t="str">
        <f>+IF(ENERO!B84=0,"",ENERO!B84)</f>
        <v/>
      </c>
      <c r="C84" s="284"/>
      <c r="D84" s="284"/>
      <c r="E84" s="284"/>
      <c r="F84" s="284"/>
      <c r="G84" s="284"/>
      <c r="H84" s="284"/>
      <c r="I84" s="284"/>
      <c r="J84" s="284"/>
      <c r="K84" s="284"/>
      <c r="L84" s="284"/>
      <c r="M84" s="284"/>
      <c r="N84" s="453"/>
      <c r="O84" s="451"/>
      <c r="P84" s="457"/>
      <c r="Q84" s="381"/>
      <c r="R84" s="9"/>
      <c r="S84" s="688" t="str">
        <f>+IF(ENERO!S84=0,"",ENERO!S84)</f>
        <v>1020200-1</v>
      </c>
      <c r="T84" s="704" t="str">
        <f>+IF(ENERO!T84=0,"",ENERO!T84)</f>
        <v>Remuneración y Honorarios por Servicios Técnicos y Profesionales</v>
      </c>
      <c r="U84" s="29">
        <f>+ENERO!U84</f>
        <v>304448100</v>
      </c>
      <c r="V84" s="15">
        <f>ENERO!V84+FEBRERO!AL84</f>
        <v>0</v>
      </c>
      <c r="W84" s="15">
        <f>ENERO!W84+FEBRERO!AM84</f>
        <v>90000000</v>
      </c>
      <c r="X84" s="16">
        <f>SUM(U84:W84)</f>
        <v>394448100</v>
      </c>
      <c r="Y84" s="19">
        <f>ENERO!AA84</f>
        <v>304122910</v>
      </c>
      <c r="Z84" s="364">
        <v>0</v>
      </c>
      <c r="AA84" s="18">
        <f>SUM(Y84:Z84)</f>
        <v>304122910</v>
      </c>
      <c r="AB84" s="19">
        <f>ENERO!AD84</f>
        <v>8542329</v>
      </c>
      <c r="AC84" s="364">
        <v>26843730</v>
      </c>
      <c r="AD84" s="16">
        <f>SUM(AB84:AC84)</f>
        <v>35386059</v>
      </c>
      <c r="AE84" s="19">
        <f>ENERO!AG84</f>
        <v>0</v>
      </c>
      <c r="AF84" s="364">
        <v>6997497</v>
      </c>
      <c r="AG84" s="16">
        <f>SUM(AE84:AF84)</f>
        <v>6997497</v>
      </c>
      <c r="AH84" s="19">
        <f>X84-AA84</f>
        <v>90325190</v>
      </c>
      <c r="AI84" s="15">
        <f>X84-AD84</f>
        <v>359062041</v>
      </c>
      <c r="AJ84" s="16">
        <f>X84-AG84</f>
        <v>387450603</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+IF(ENERO!A85=0,"",ENERO!A85)</f>
        <v>11302</v>
      </c>
      <c r="B85" s="635" t="str">
        <f>+IF(ENERO!B85=0,"",ENERO!B85)</f>
        <v>Otras Ventas de Servicios de Salud</v>
      </c>
      <c r="C85" s="600">
        <f t="shared" ref="C85:N85" si="88">SUM(C86:C92)</f>
        <v>0</v>
      </c>
      <c r="D85" s="598">
        <f t="shared" si="88"/>
        <v>0</v>
      </c>
      <c r="E85" s="598">
        <f t="shared" si="88"/>
        <v>2842362275</v>
      </c>
      <c r="F85" s="598">
        <f t="shared" si="88"/>
        <v>2842362275</v>
      </c>
      <c r="G85" s="598">
        <f t="shared" si="88"/>
        <v>28474975</v>
      </c>
      <c r="H85" s="598">
        <f t="shared" si="88"/>
        <v>833559000</v>
      </c>
      <c r="I85" s="598">
        <f t="shared" si="88"/>
        <v>862033975</v>
      </c>
      <c r="J85" s="598">
        <f t="shared" si="88"/>
        <v>28474975</v>
      </c>
      <c r="K85" s="598">
        <f t="shared" si="88"/>
        <v>833559000</v>
      </c>
      <c r="L85" s="598">
        <f t="shared" si="88"/>
        <v>862033975</v>
      </c>
      <c r="M85" s="598">
        <f t="shared" si="88"/>
        <v>1980328300</v>
      </c>
      <c r="N85" s="599">
        <f t="shared" si="88"/>
        <v>1980328300</v>
      </c>
      <c r="P85" s="43">
        <f>SUM(P86:P92)</f>
        <v>0</v>
      </c>
      <c r="Q85" s="45">
        <f>SUM(Q86:Q92)</f>
        <v>748900975</v>
      </c>
      <c r="R85" s="9"/>
      <c r="S85" s="688" t="str">
        <f>+IF(ENERO!S85=0,"",ENERO!S85)</f>
        <v>1020200-2</v>
      </c>
      <c r="T85" s="704" t="str">
        <f>+IF(ENERO!T85=0,"",ENERO!T85)</f>
        <v>Personal Supernumerario</v>
      </c>
      <c r="U85" s="29">
        <f>+ENERO!U85</f>
        <v>0</v>
      </c>
      <c r="V85" s="15">
        <f>ENERO!V85+FEBRERO!AL85</f>
        <v>0</v>
      </c>
      <c r="W85" s="15">
        <f>ENERO!W85+FEBRERO!AM85</f>
        <v>0</v>
      </c>
      <c r="X85" s="16">
        <f>SUM(U85:W85)</f>
        <v>0</v>
      </c>
      <c r="Y85" s="19">
        <f>ENERO!AA85</f>
        <v>0</v>
      </c>
      <c r="Z85" s="364">
        <v>0</v>
      </c>
      <c r="AA85" s="18">
        <f>SUM(Y85:Z85)</f>
        <v>0</v>
      </c>
      <c r="AB85" s="19">
        <f>ENERO!AD85</f>
        <v>0</v>
      </c>
      <c r="AC85" s="364">
        <v>0</v>
      </c>
      <c r="AD85" s="16">
        <f>SUM(AB85:AC85)</f>
        <v>0</v>
      </c>
      <c r="AE85" s="19">
        <f>ENERO!AG85</f>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+IF(ENERO!A86=0,"",ENERO!A86)</f>
        <v>1130201</v>
      </c>
      <c r="B86" s="609" t="str">
        <f>+IF(ENERO!B86=0,"",ENERO!B86)</f>
        <v/>
      </c>
      <c r="C86" s="654">
        <f>+ENERO!C86</f>
        <v>0</v>
      </c>
      <c r="D86" s="363">
        <f>ENERO!D86+FEBRERO!P86</f>
        <v>0</v>
      </c>
      <c r="E86" s="363">
        <f>ENERO!E86+FEBRERO!Q86</f>
        <v>0</v>
      </c>
      <c r="F86" s="363">
        <f t="shared" ref="F86:F92" si="89">SUM(C86:E86)</f>
        <v>0</v>
      </c>
      <c r="G86" s="363">
        <f>ENERO!I86</f>
        <v>0</v>
      </c>
      <c r="H86" s="364">
        <v>0</v>
      </c>
      <c r="I86" s="363">
        <f t="shared" ref="I86:I92" si="90">SUM(G86:H86)</f>
        <v>0</v>
      </c>
      <c r="J86" s="363">
        <f>ENERO!L86</f>
        <v>0</v>
      </c>
      <c r="K86" s="364">
        <v>0</v>
      </c>
      <c r="L86" s="363">
        <f t="shared" ref="L86:L92" si="91">SUM(J86:K86)</f>
        <v>0</v>
      </c>
      <c r="M86" s="363">
        <f t="shared" ref="M86:M92" si="92">F86-I86</f>
        <v>0</v>
      </c>
      <c r="N86" s="143">
        <f t="shared" ref="N86:N92" si="93">F86-L86</f>
        <v>0</v>
      </c>
      <c r="O86" s="372"/>
      <c r="P86" s="362">
        <v>0</v>
      </c>
      <c r="Q86" s="365">
        <v>0</v>
      </c>
      <c r="S86" s="688" t="str">
        <f>+IF(ENERO!S86=0,"",ENERO!S86)</f>
        <v>1020200-3</v>
      </c>
      <c r="T86" s="704" t="str">
        <f>+IF(ENERO!T86=0,"",ENERO!T86)</f>
        <v>Otros Honorarios</v>
      </c>
      <c r="U86" s="29">
        <f>+ENERO!U86</f>
        <v>18988019442</v>
      </c>
      <c r="V86" s="15">
        <f>ENERO!V86+FEBRERO!AL86</f>
        <v>0</v>
      </c>
      <c r="W86" s="15">
        <f>ENERO!W86+FEBRERO!AM86</f>
        <v>50000000</v>
      </c>
      <c r="X86" s="16">
        <f>SUM(U86:W86)</f>
        <v>19038019442</v>
      </c>
      <c r="Y86" s="19">
        <f>ENERO!AA86</f>
        <v>16558515553</v>
      </c>
      <c r="Z86" s="364">
        <v>0</v>
      </c>
      <c r="AA86" s="18">
        <f>SUM(Y86:Z86)</f>
        <v>16558515553</v>
      </c>
      <c r="AB86" s="19">
        <f>ENERO!AD86</f>
        <v>1411955613</v>
      </c>
      <c r="AC86" s="364">
        <v>1349137246</v>
      </c>
      <c r="AD86" s="16">
        <f>SUM(AB86:AC86)</f>
        <v>2761092859</v>
      </c>
      <c r="AE86" s="19">
        <f>ENERO!AG86</f>
        <v>0</v>
      </c>
      <c r="AF86" s="364">
        <v>0</v>
      </c>
      <c r="AG86" s="16">
        <f>SUM(AE86:AF86)</f>
        <v>0</v>
      </c>
      <c r="AH86" s="19">
        <f>X86-AA86</f>
        <v>2479503889</v>
      </c>
      <c r="AI86" s="15">
        <f>X86-AD86</f>
        <v>16276926583</v>
      </c>
      <c r="AJ86" s="16">
        <f>X86-AG86</f>
        <v>19038019442</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+IF(ENERO!A87=0,"",ENERO!A87)</f>
        <v>1130202</v>
      </c>
      <c r="B87" s="609" t="str">
        <f>+IF(ENERO!B87=0,"",ENERO!B87)</f>
        <v/>
      </c>
      <c r="C87" s="654">
        <f>+ENERO!C87</f>
        <v>0</v>
      </c>
      <c r="D87" s="363">
        <f>ENERO!D87+FEBRERO!P87</f>
        <v>0</v>
      </c>
      <c r="E87" s="363">
        <f>ENERO!E87+FEBRERO!Q87</f>
        <v>0</v>
      </c>
      <c r="F87" s="363">
        <f t="shared" si="89"/>
        <v>0</v>
      </c>
      <c r="G87" s="363">
        <f>ENERO!I87</f>
        <v>0</v>
      </c>
      <c r="H87" s="364">
        <v>0</v>
      </c>
      <c r="I87" s="363">
        <f t="shared" si="90"/>
        <v>0</v>
      </c>
      <c r="J87" s="363">
        <f>ENERO!L87</f>
        <v>0</v>
      </c>
      <c r="K87" s="364">
        <v>0</v>
      </c>
      <c r="L87" s="363">
        <f t="shared" si="91"/>
        <v>0</v>
      </c>
      <c r="M87" s="363">
        <f t="shared" si="92"/>
        <v>0</v>
      </c>
      <c r="N87" s="143">
        <f t="shared" si="93"/>
        <v>0</v>
      </c>
      <c r="P87" s="362">
        <v>0</v>
      </c>
      <c r="Q87" s="365">
        <v>0</v>
      </c>
      <c r="R87" s="9"/>
      <c r="S87" s="688" t="str">
        <f>+IF(ENERO!S87=0,"",ENERO!S87)</f>
        <v>1020200-4</v>
      </c>
      <c r="T87" s="704" t="str">
        <f>+IF(ENERO!T87=0,"",ENERO!T87)</f>
        <v/>
      </c>
      <c r="U87" s="29">
        <f>+ENERO!U87</f>
        <v>0</v>
      </c>
      <c r="V87" s="15">
        <f>ENERO!V87+FEBRERO!AL87</f>
        <v>0</v>
      </c>
      <c r="W87" s="15">
        <f>ENERO!W87+FEBRERO!AM87</f>
        <v>0</v>
      </c>
      <c r="X87" s="16">
        <f>SUM(U87:W87)</f>
        <v>0</v>
      </c>
      <c r="Y87" s="19">
        <f>ENERO!AA87</f>
        <v>0</v>
      </c>
      <c r="Z87" s="364">
        <v>0</v>
      </c>
      <c r="AA87" s="18">
        <f>SUM(Y87:Z87)</f>
        <v>0</v>
      </c>
      <c r="AB87" s="19">
        <f>ENERO!AD87</f>
        <v>0</v>
      </c>
      <c r="AC87" s="364">
        <v>0</v>
      </c>
      <c r="AD87" s="16">
        <f>SUM(AB87:AC87)</f>
        <v>0</v>
      </c>
      <c r="AE87" s="19">
        <f>ENERO!AG87</f>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+IF(ENERO!A88=0,"",ENERO!A88)</f>
        <v>1130203</v>
      </c>
      <c r="B88" s="610" t="str">
        <f>+IF(ENERO!B88=0,"",ENERO!B88)</f>
        <v>CONVENIOS CON LA NACION LIGADOS A LA VENTA DE SERVICIOS</v>
      </c>
      <c r="C88" s="654">
        <f>+ENERO!C88</f>
        <v>0</v>
      </c>
      <c r="D88" s="363">
        <f>ENERO!D88+FEBRERO!P88</f>
        <v>0</v>
      </c>
      <c r="E88" s="363">
        <f>ENERO!E88+FEBRERO!Q88</f>
        <v>222386275</v>
      </c>
      <c r="F88" s="363">
        <f t="shared" si="89"/>
        <v>222386275</v>
      </c>
      <c r="G88" s="363">
        <f>ENERO!I88</f>
        <v>28474975</v>
      </c>
      <c r="H88" s="364">
        <v>0</v>
      </c>
      <c r="I88" s="363">
        <f t="shared" si="90"/>
        <v>28474975</v>
      </c>
      <c r="J88" s="363">
        <f>ENERO!L88</f>
        <v>28474975</v>
      </c>
      <c r="K88" s="364">
        <v>0</v>
      </c>
      <c r="L88" s="363">
        <f t="shared" si="91"/>
        <v>28474975</v>
      </c>
      <c r="M88" s="363">
        <f t="shared" si="92"/>
        <v>193911300</v>
      </c>
      <c r="N88" s="143">
        <f t="shared" si="93"/>
        <v>193911300</v>
      </c>
      <c r="P88" s="362">
        <v>0</v>
      </c>
      <c r="Q88" s="365">
        <v>28474975</v>
      </c>
      <c r="R88" s="9"/>
      <c r="S88" s="688">
        <f>+IF(ENERO!S88=0,"",ENERO!S88)</f>
        <v>1020299</v>
      </c>
      <c r="T88" s="704" t="str">
        <f>+IF(ENERO!T88=0,"",ENERO!T88)</f>
        <v>Vigencias Anteriores</v>
      </c>
      <c r="U88" s="29">
        <f>+ENERO!U88</f>
        <v>2000000000</v>
      </c>
      <c r="V88" s="15">
        <f>ENERO!V88+FEBRERO!AL88</f>
        <v>0</v>
      </c>
      <c r="W88" s="15">
        <f>ENERO!W88+FEBRERO!AM88</f>
        <v>1500000000</v>
      </c>
      <c r="X88" s="16">
        <f>SUM(U88:W88)</f>
        <v>3500000000</v>
      </c>
      <c r="Y88" s="19">
        <f>ENERO!AA88</f>
        <v>287255152</v>
      </c>
      <c r="Z88" s="364">
        <v>1165703763</v>
      </c>
      <c r="AA88" s="18">
        <f>SUM(Y88:Z88)</f>
        <v>1452958915</v>
      </c>
      <c r="AB88" s="19">
        <f>ENERO!AD88</f>
        <v>287255152</v>
      </c>
      <c r="AC88" s="364">
        <v>1165703763</v>
      </c>
      <c r="AD88" s="16">
        <f>SUM(AB88:AC88)</f>
        <v>1452958915</v>
      </c>
      <c r="AE88" s="19">
        <f>ENERO!AG88</f>
        <v>287255152</v>
      </c>
      <c r="AF88" s="364">
        <v>1165703763</v>
      </c>
      <c r="AG88" s="16">
        <f>SUM(AE88:AF88)</f>
        <v>1452958915</v>
      </c>
      <c r="AH88" s="19">
        <f>X88-AA88</f>
        <v>2047041085</v>
      </c>
      <c r="AI88" s="15">
        <f>X88-AD88</f>
        <v>2047041085</v>
      </c>
      <c r="AJ88" s="16">
        <f>X88-AG88</f>
        <v>2047041085</v>
      </c>
      <c r="AK88" s="9"/>
      <c r="AL88" s="362">
        <v>0</v>
      </c>
      <c r="AM88" s="365">
        <v>1500000000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+IF(ENERO!A89=0,"",ENERO!A89)</f>
        <v>1130204</v>
      </c>
      <c r="B89" s="610" t="str">
        <f>+IF(ENERO!B89=0,"",ENERO!B89)</f>
        <v>CONVENIOS CON EL DEPARTAMENTO LIGADOS A LA VENTA SERVICIOS</v>
      </c>
      <c r="C89" s="654">
        <f>+ENERO!C89</f>
        <v>0</v>
      </c>
      <c r="D89" s="363">
        <f>ENERO!D89+FEBRERO!P89</f>
        <v>0</v>
      </c>
      <c r="E89" s="363">
        <f>ENERO!E89+FEBRERO!Q89</f>
        <v>0</v>
      </c>
      <c r="F89" s="363">
        <f t="shared" si="89"/>
        <v>0</v>
      </c>
      <c r="G89" s="363">
        <f>ENERO!I89</f>
        <v>0</v>
      </c>
      <c r="H89" s="364">
        <v>0</v>
      </c>
      <c r="I89" s="363">
        <f t="shared" si="90"/>
        <v>0</v>
      </c>
      <c r="J89" s="363">
        <f>ENERO!L89</f>
        <v>0</v>
      </c>
      <c r="K89" s="364">
        <v>0</v>
      </c>
      <c r="L89" s="363">
        <f t="shared" si="91"/>
        <v>0</v>
      </c>
      <c r="M89" s="363">
        <f t="shared" si="92"/>
        <v>0</v>
      </c>
      <c r="N89" s="143">
        <f t="shared" si="93"/>
        <v>0</v>
      </c>
      <c r="P89" s="362">
        <v>0</v>
      </c>
      <c r="Q89" s="365">
        <v>0</v>
      </c>
      <c r="R89" s="9"/>
      <c r="S89" s="356" t="str">
        <f>+IF(ENERO!S89=0,"",ENERO!S89)</f>
        <v/>
      </c>
      <c r="T89" s="678" t="str">
        <f>+IF(ENERO!T89=0,"",ENERO!T89)</f>
        <v/>
      </c>
      <c r="U89" s="357"/>
      <c r="V89" s="161"/>
      <c r="W89" s="161"/>
      <c r="X89" s="166"/>
      <c r="Y89" s="357"/>
      <c r="Z89" s="161"/>
      <c r="AA89" s="161"/>
      <c r="AB89" s="357"/>
      <c r="AC89" s="161"/>
      <c r="AD89" s="166"/>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+IF(ENERO!A90=0,"",ENERO!A90)</f>
        <v>1130205</v>
      </c>
      <c r="B90" s="610" t="str">
        <f>+IF(ENERO!B90=0,"",ENERO!B90)</f>
        <v>CONVENIOS CON EL MUNICIPIO LIGADOS A LA VENTA DE SERVICIOS</v>
      </c>
      <c r="C90" s="654">
        <f>+ENERO!C90</f>
        <v>0</v>
      </c>
      <c r="D90" s="363">
        <f>ENERO!D90+FEBRERO!P90</f>
        <v>0</v>
      </c>
      <c r="E90" s="363">
        <f>ENERO!E90+FEBRERO!Q90</f>
        <v>0</v>
      </c>
      <c r="F90" s="363">
        <f t="shared" si="89"/>
        <v>0</v>
      </c>
      <c r="G90" s="363">
        <f>ENERO!I90</f>
        <v>0</v>
      </c>
      <c r="H90" s="364">
        <v>0</v>
      </c>
      <c r="I90" s="363">
        <f t="shared" si="90"/>
        <v>0</v>
      </c>
      <c r="J90" s="363">
        <f>ENERO!L90</f>
        <v>0</v>
      </c>
      <c r="K90" s="364">
        <v>0</v>
      </c>
      <c r="L90" s="363">
        <f t="shared" si="91"/>
        <v>0</v>
      </c>
      <c r="M90" s="363">
        <f t="shared" si="92"/>
        <v>0</v>
      </c>
      <c r="N90" s="143">
        <f t="shared" si="93"/>
        <v>0</v>
      </c>
      <c r="O90" s="372"/>
      <c r="P90" s="362">
        <v>0</v>
      </c>
      <c r="Q90" s="365">
        <v>0</v>
      </c>
      <c r="R90" s="30"/>
      <c r="S90" s="687">
        <f>+IF(ENERO!S90=0,"",ENERO!S90)</f>
        <v>1020300</v>
      </c>
      <c r="T90" s="703" t="str">
        <f>+IF(ENERO!T90=0,"",ENERO!T90)</f>
        <v>Contribuciones Inherentes nómina al Sector Privado</v>
      </c>
      <c r="U90" s="128">
        <f t="shared" ref="U90:AJ90" si="94">U91+U96+U102</f>
        <v>2996072011</v>
      </c>
      <c r="V90" s="122">
        <f t="shared" si="94"/>
        <v>0</v>
      </c>
      <c r="W90" s="122">
        <f t="shared" si="94"/>
        <v>0</v>
      </c>
      <c r="X90" s="130">
        <f t="shared" si="94"/>
        <v>2996072011</v>
      </c>
      <c r="Y90" s="128">
        <f t="shared" si="94"/>
        <v>6600360</v>
      </c>
      <c r="Z90" s="122">
        <f t="shared" si="94"/>
        <v>64476092</v>
      </c>
      <c r="AA90" s="129">
        <f t="shared" si="94"/>
        <v>71076452</v>
      </c>
      <c r="AB90" s="128">
        <f t="shared" si="94"/>
        <v>6600360</v>
      </c>
      <c r="AC90" s="122">
        <f t="shared" si="94"/>
        <v>64476092</v>
      </c>
      <c r="AD90" s="130">
        <f t="shared" si="94"/>
        <v>71076452</v>
      </c>
      <c r="AE90" s="128">
        <f t="shared" si="94"/>
        <v>0</v>
      </c>
      <c r="AF90" s="122">
        <f t="shared" si="94"/>
        <v>63961092</v>
      </c>
      <c r="AG90" s="130">
        <f t="shared" si="94"/>
        <v>63961092</v>
      </c>
      <c r="AH90" s="128">
        <f t="shared" si="94"/>
        <v>2924995559</v>
      </c>
      <c r="AI90" s="122">
        <f t="shared" si="94"/>
        <v>2924995559</v>
      </c>
      <c r="AJ90" s="130">
        <f t="shared" si="94"/>
        <v>2932110919</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+IF(ENERO!A91=0,"",ENERO!A91)</f>
        <v>1130206</v>
      </c>
      <c r="B91" s="610" t="str">
        <f>+IF(ENERO!B91=0,"",ENERO!B91)</f>
        <v>OTROS CONVENIOS LIGADOS A LA VENTA DE SERVICIOS</v>
      </c>
      <c r="C91" s="654">
        <f>+ENERO!C91</f>
        <v>0</v>
      </c>
      <c r="D91" s="363">
        <f>ENERO!D91+FEBRERO!P91</f>
        <v>0</v>
      </c>
      <c r="E91" s="363">
        <f>ENERO!E91+FEBRERO!Q91</f>
        <v>2619976000</v>
      </c>
      <c r="F91" s="363">
        <f t="shared" si="89"/>
        <v>2619976000</v>
      </c>
      <c r="G91" s="363">
        <f>ENERO!I91</f>
        <v>0</v>
      </c>
      <c r="H91" s="364">
        <v>833559000</v>
      </c>
      <c r="I91" s="363">
        <f t="shared" si="90"/>
        <v>833559000</v>
      </c>
      <c r="J91" s="363">
        <f>ENERO!L91</f>
        <v>0</v>
      </c>
      <c r="K91" s="364">
        <v>833559000</v>
      </c>
      <c r="L91" s="363">
        <f t="shared" si="91"/>
        <v>833559000</v>
      </c>
      <c r="M91" s="363">
        <f t="shared" si="92"/>
        <v>1786417000</v>
      </c>
      <c r="N91" s="143">
        <f t="shared" si="93"/>
        <v>1786417000</v>
      </c>
      <c r="O91" s="372"/>
      <c r="P91" s="362">
        <v>0</v>
      </c>
      <c r="Q91" s="365">
        <v>720426000</v>
      </c>
      <c r="R91" s="30"/>
      <c r="S91" s="688">
        <f>+IF(ENERO!S91=0,"",ENERO!S91)</f>
        <v>1020301</v>
      </c>
      <c r="T91" s="704" t="str">
        <f>+IF(ENERO!T91=0,"",ENERO!T91)</f>
        <v>Contribuciones - SGP - Aportes Patronales - Cuenta Maestra</v>
      </c>
      <c r="U91" s="29">
        <f t="shared" ref="U91:AJ91" si="95">SUM(U92:U95)</f>
        <v>1100060774</v>
      </c>
      <c r="V91" s="15">
        <f t="shared" si="95"/>
        <v>0</v>
      </c>
      <c r="W91" s="15">
        <f t="shared" si="95"/>
        <v>0</v>
      </c>
      <c r="X91" s="16">
        <f t="shared" si="95"/>
        <v>1100060774</v>
      </c>
      <c r="Y91" s="19">
        <f t="shared" si="95"/>
        <v>0</v>
      </c>
      <c r="Z91" s="142">
        <f t="shared" si="95"/>
        <v>57360732</v>
      </c>
      <c r="AA91" s="18">
        <f t="shared" si="95"/>
        <v>57360732</v>
      </c>
      <c r="AB91" s="19">
        <f t="shared" si="95"/>
        <v>0</v>
      </c>
      <c r="AC91" s="142">
        <f t="shared" si="95"/>
        <v>57360732</v>
      </c>
      <c r="AD91" s="16">
        <f t="shared" si="95"/>
        <v>57360732</v>
      </c>
      <c r="AE91" s="19">
        <f t="shared" si="95"/>
        <v>0</v>
      </c>
      <c r="AF91" s="142">
        <f t="shared" si="95"/>
        <v>57360732</v>
      </c>
      <c r="AG91" s="16">
        <f t="shared" si="95"/>
        <v>57360732</v>
      </c>
      <c r="AH91" s="19">
        <f t="shared" si="95"/>
        <v>1042700042</v>
      </c>
      <c r="AI91" s="15">
        <f t="shared" si="95"/>
        <v>1042700042</v>
      </c>
      <c r="AJ91" s="16">
        <f t="shared" si="95"/>
        <v>1042700042</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+IF(ENERO!A92=0,"",ENERO!A92)</f>
        <v>1130207</v>
      </c>
      <c r="B92" s="611" t="str">
        <f>+IF(ENERO!B92=0,"",ENERO!B92)</f>
        <v>Vigencia Anterior</v>
      </c>
      <c r="C92" s="760">
        <f>+ENERO!C92</f>
        <v>0</v>
      </c>
      <c r="D92" s="375">
        <f>ENERO!D92+FEBRERO!P92</f>
        <v>0</v>
      </c>
      <c r="E92" s="375">
        <f>ENERO!E92+FEBRERO!Q92</f>
        <v>0</v>
      </c>
      <c r="F92" s="375">
        <f t="shared" si="89"/>
        <v>0</v>
      </c>
      <c r="G92" s="375">
        <f>ENERO!I92</f>
        <v>0</v>
      </c>
      <c r="H92" s="378">
        <v>0</v>
      </c>
      <c r="I92" s="375">
        <f t="shared" si="90"/>
        <v>0</v>
      </c>
      <c r="J92" s="375">
        <f>ENERO!L92</f>
        <v>0</v>
      </c>
      <c r="K92" s="378">
        <v>0</v>
      </c>
      <c r="L92" s="375">
        <f t="shared" si="91"/>
        <v>0</v>
      </c>
      <c r="M92" s="375">
        <f t="shared" si="92"/>
        <v>0</v>
      </c>
      <c r="N92" s="376">
        <f t="shared" si="93"/>
        <v>0</v>
      </c>
      <c r="O92" s="372"/>
      <c r="P92" s="362">
        <v>0</v>
      </c>
      <c r="Q92" s="365">
        <v>0</v>
      </c>
      <c r="R92" s="30"/>
      <c r="S92" s="689" t="str">
        <f>+IF(ENERO!S92=0,"",ENERO!S92)</f>
        <v>1020301-1</v>
      </c>
      <c r="T92" s="705" t="str">
        <f>+IF(ENERO!T92=0,"",ENERO!T92)</f>
        <v>E.P.S. - Aportes cuenta maestra</v>
      </c>
      <c r="U92" s="29">
        <f>+ENERO!U92</f>
        <v>273298716</v>
      </c>
      <c r="V92" s="15">
        <f>ENERO!V92+FEBRERO!AL92</f>
        <v>0</v>
      </c>
      <c r="W92" s="15">
        <f>ENERO!W92+FEBRERO!AM92</f>
        <v>0</v>
      </c>
      <c r="X92" s="16">
        <f>SUM(U92:W92)</f>
        <v>273298716</v>
      </c>
      <c r="Y92" s="19">
        <f>ENERO!AA92</f>
        <v>0</v>
      </c>
      <c r="Z92" s="364">
        <v>23143876</v>
      </c>
      <c r="AA92" s="18">
        <f>SUM(Y92:Z92)</f>
        <v>23143876</v>
      </c>
      <c r="AB92" s="19">
        <f>ENERO!AD92</f>
        <v>0</v>
      </c>
      <c r="AC92" s="364">
        <v>23143876</v>
      </c>
      <c r="AD92" s="16">
        <f>SUM(AB92:AC92)</f>
        <v>23143876</v>
      </c>
      <c r="AE92" s="19">
        <f>ENERO!AG92</f>
        <v>0</v>
      </c>
      <c r="AF92" s="364">
        <v>23143876</v>
      </c>
      <c r="AG92" s="16">
        <f>SUM(AE92:AF92)</f>
        <v>23143876</v>
      </c>
      <c r="AH92" s="19">
        <f>X92-AA92</f>
        <v>250154840</v>
      </c>
      <c r="AI92" s="15">
        <f>X92-AD92</f>
        <v>250154840</v>
      </c>
      <c r="AJ92" s="16">
        <f>X92-AG92</f>
        <v>250154840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+IF(ENERO!A93=0,"",ENERO!A93)</f>
        <v/>
      </c>
      <c r="B93" s="634" t="str">
        <f>+IF(ENERO!B93=0,"",ENERO!B93)</f>
        <v/>
      </c>
      <c r="C93" s="284"/>
      <c r="D93" s="284"/>
      <c r="E93" s="284"/>
      <c r="F93" s="284"/>
      <c r="G93" s="284"/>
      <c r="H93" s="284"/>
      <c r="I93" s="284"/>
      <c r="J93" s="284"/>
      <c r="K93" s="284"/>
      <c r="L93" s="284"/>
      <c r="M93" s="284"/>
      <c r="N93" s="453"/>
      <c r="P93" s="457"/>
      <c r="Q93" s="381"/>
      <c r="R93" s="30"/>
      <c r="S93" s="689" t="str">
        <f>+IF(ENERO!S93=0,"",ENERO!S93)</f>
        <v>1020301-2</v>
      </c>
      <c r="T93" s="705" t="str">
        <f>+IF(ENERO!T93=0,"",ENERO!T93)</f>
        <v>Fondos pensionales - Aportes cuenta maestra</v>
      </c>
      <c r="U93" s="29">
        <f>+ENERO!U93</f>
        <v>372680081</v>
      </c>
      <c r="V93" s="15">
        <f>ENERO!V93+FEBRERO!AL93</f>
        <v>0</v>
      </c>
      <c r="W93" s="15">
        <f>ENERO!W93+FEBRERO!AM93</f>
        <v>0</v>
      </c>
      <c r="X93" s="16">
        <f>SUM(U93:W93)</f>
        <v>372680081</v>
      </c>
      <c r="Y93" s="19">
        <f>ENERO!AA93</f>
        <v>0</v>
      </c>
      <c r="Z93" s="364">
        <v>31003096</v>
      </c>
      <c r="AA93" s="18">
        <f>SUM(Y93:Z93)</f>
        <v>31003096</v>
      </c>
      <c r="AB93" s="19">
        <f>ENERO!AD93</f>
        <v>0</v>
      </c>
      <c r="AC93" s="364">
        <v>31003096</v>
      </c>
      <c r="AD93" s="16">
        <f>SUM(AB93:AC93)</f>
        <v>31003096</v>
      </c>
      <c r="AE93" s="19">
        <f>ENERO!AG93</f>
        <v>0</v>
      </c>
      <c r="AF93" s="364">
        <v>31003096</v>
      </c>
      <c r="AG93" s="16">
        <f>SUM(AE93:AF93)</f>
        <v>31003096</v>
      </c>
      <c r="AH93" s="19">
        <f>X93-AA93</f>
        <v>341676985</v>
      </c>
      <c r="AI93" s="15">
        <f>X93-AD93</f>
        <v>341676985</v>
      </c>
      <c r="AJ93" s="16">
        <f>X93-AG93</f>
        <v>341676985</v>
      </c>
      <c r="AK93" s="9"/>
      <c r="AL93" s="362">
        <v>0</v>
      </c>
      <c r="AM93" s="365">
        <v>0</v>
      </c>
      <c r="AN93" s="30"/>
      <c r="AO93" s="450"/>
      <c r="AP93" s="450"/>
      <c r="AQ93" s="450"/>
      <c r="AR93" s="450"/>
      <c r="AS93" s="450"/>
      <c r="AT93" s="450"/>
      <c r="AU93" s="450"/>
      <c r="AV93" s="450"/>
      <c r="AW93" s="450"/>
      <c r="AX93" s="450"/>
      <c r="AY93" s="450"/>
      <c r="AZ93" s="450"/>
      <c r="BL93" s="30"/>
    </row>
    <row r="94" spans="1:70" s="451" customFormat="1" ht="42" customHeight="1">
      <c r="A94" s="720">
        <f>+IF(ENERO!A94=0,"",ENERO!A94)</f>
        <v>11303</v>
      </c>
      <c r="B94" s="601" t="str">
        <f>+IF(ENERO!B94=0,"",ENERO!B94)</f>
        <v>Aportes (No ligados a la venta de servicios de salud)</v>
      </c>
      <c r="C94" s="600">
        <f>SUM(C95:C102)</f>
        <v>7982899073</v>
      </c>
      <c r="D94" s="598">
        <f t="shared" ref="D94:N94" si="96">SUM(D95:D102)</f>
        <v>0</v>
      </c>
      <c r="E94" s="598">
        <f t="shared" si="96"/>
        <v>0</v>
      </c>
      <c r="F94" s="598">
        <f t="shared" si="96"/>
        <v>7982899073</v>
      </c>
      <c r="G94" s="598">
        <f t="shared" si="96"/>
        <v>0</v>
      </c>
      <c r="H94" s="598">
        <f t="shared" si="96"/>
        <v>0</v>
      </c>
      <c r="I94" s="598">
        <f t="shared" si="96"/>
        <v>0</v>
      </c>
      <c r="J94" s="598">
        <f t="shared" si="96"/>
        <v>0</v>
      </c>
      <c r="K94" s="598">
        <f t="shared" si="96"/>
        <v>0</v>
      </c>
      <c r="L94" s="598">
        <f t="shared" si="96"/>
        <v>0</v>
      </c>
      <c r="M94" s="598">
        <f t="shared" si="96"/>
        <v>7982899073</v>
      </c>
      <c r="N94" s="599">
        <f t="shared" si="96"/>
        <v>7982899073</v>
      </c>
      <c r="O94" s="372"/>
      <c r="P94" s="43">
        <f>SUM(P95:P102)</f>
        <v>0</v>
      </c>
      <c r="Q94" s="45">
        <f>SUM(Q95:Q102)</f>
        <v>0</v>
      </c>
      <c r="R94" s="30"/>
      <c r="S94" s="689" t="str">
        <f>+IF(ENERO!S94=0,"",ENERO!S94)</f>
        <v>1020301-3</v>
      </c>
      <c r="T94" s="705" t="str">
        <f>+IF(ENERO!T94=0,"",ENERO!T94)</f>
        <v>Fondos de cesantías - Aportes cuenta maestra</v>
      </c>
      <c r="U94" s="29">
        <f>+ENERO!U94</f>
        <v>387061561</v>
      </c>
      <c r="V94" s="15">
        <f>ENERO!V94+FEBRERO!AL94</f>
        <v>0</v>
      </c>
      <c r="W94" s="15">
        <f>ENERO!W94+FEBRERO!AM94</f>
        <v>0</v>
      </c>
      <c r="X94" s="16">
        <f>SUM(U94:W94)</f>
        <v>387061561</v>
      </c>
      <c r="Y94" s="19">
        <f>ENERO!AA94</f>
        <v>0</v>
      </c>
      <c r="Z94" s="364">
        <v>0</v>
      </c>
      <c r="AA94" s="18">
        <f>SUM(Y94:Z94)</f>
        <v>0</v>
      </c>
      <c r="AB94" s="19">
        <f>ENERO!AD94</f>
        <v>0</v>
      </c>
      <c r="AC94" s="364">
        <v>0</v>
      </c>
      <c r="AD94" s="16">
        <f>SUM(AB94:AC94)</f>
        <v>0</v>
      </c>
      <c r="AE94" s="19">
        <f>ENERO!AG94</f>
        <v>0</v>
      </c>
      <c r="AF94" s="364">
        <v>0</v>
      </c>
      <c r="AG94" s="16">
        <f>SUM(AE94:AF94)</f>
        <v>0</v>
      </c>
      <c r="AH94" s="19">
        <f>X94-AA94</f>
        <v>387061561</v>
      </c>
      <c r="AI94" s="15">
        <f>X94-AD94</f>
        <v>387061561</v>
      </c>
      <c r="AJ94" s="16">
        <f>X94-AG94</f>
        <v>387061561</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+IF(ENERO!A95=0,"",ENERO!A95)</f>
        <v>11303-1</v>
      </c>
      <c r="B95" s="602" t="str">
        <f>+IF(ENERO!B95=0,"",ENERO!B95)</f>
        <v>CONVENIOS CON LA NACION NO LIGADOS A LA VENTA DE SERVICIOS</v>
      </c>
      <c r="C95" s="654">
        <f>+ENERO!C95</f>
        <v>0</v>
      </c>
      <c r="D95" s="363">
        <f>ENERO!D95+FEBRERO!P95</f>
        <v>0</v>
      </c>
      <c r="E95" s="363">
        <f>ENERO!E95+FEBRERO!Q95</f>
        <v>0</v>
      </c>
      <c r="F95" s="363">
        <f t="shared" ref="F95:F102" si="97">SUM(C95:E95)</f>
        <v>0</v>
      </c>
      <c r="G95" s="363">
        <f>ENERO!I95</f>
        <v>0</v>
      </c>
      <c r="H95" s="364">
        <v>0</v>
      </c>
      <c r="I95" s="363">
        <f t="shared" ref="I95:I102" si="98">SUM(G95:H95)</f>
        <v>0</v>
      </c>
      <c r="J95" s="363">
        <f>ENERO!L95</f>
        <v>0</v>
      </c>
      <c r="K95" s="364">
        <v>0</v>
      </c>
      <c r="L95" s="363">
        <f t="shared" ref="L95:L102" si="99">SUM(J95:K95)</f>
        <v>0</v>
      </c>
      <c r="M95" s="363">
        <f t="shared" ref="M95:M102" si="100">F95-I95</f>
        <v>0</v>
      </c>
      <c r="N95" s="143">
        <f t="shared" ref="N95:N102" si="101">F95-L95</f>
        <v>0</v>
      </c>
      <c r="O95" s="372"/>
      <c r="P95" s="362">
        <v>0</v>
      </c>
      <c r="Q95" s="365">
        <v>0</v>
      </c>
      <c r="R95" s="30"/>
      <c r="S95" s="689" t="str">
        <f>+IF(ENERO!S95=0,"",ENERO!S95)</f>
        <v>1020301-4</v>
      </c>
      <c r="T95" s="705" t="str">
        <f>+IF(ENERO!T95=0,"",ENERO!T95)</f>
        <v>Riesgos laborales - Aportes cuenta maestra</v>
      </c>
      <c r="U95" s="29">
        <f>+ENERO!U95</f>
        <v>67020416</v>
      </c>
      <c r="V95" s="15">
        <f>ENERO!V95+FEBRERO!AL95</f>
        <v>0</v>
      </c>
      <c r="W95" s="15">
        <f>ENERO!W95+FEBRERO!AM95</f>
        <v>0</v>
      </c>
      <c r="X95" s="16">
        <f>SUM(U95:W95)</f>
        <v>67020416</v>
      </c>
      <c r="Y95" s="19">
        <f>ENERO!AA95</f>
        <v>0</v>
      </c>
      <c r="Z95" s="364">
        <v>3213760</v>
      </c>
      <c r="AA95" s="18">
        <f>SUM(Y95:Z95)</f>
        <v>3213760</v>
      </c>
      <c r="AB95" s="19">
        <f>ENERO!AD95</f>
        <v>0</v>
      </c>
      <c r="AC95" s="364">
        <v>3213760</v>
      </c>
      <c r="AD95" s="16">
        <f>SUM(AB95:AC95)</f>
        <v>3213760</v>
      </c>
      <c r="AE95" s="19">
        <f>ENERO!AG95</f>
        <v>0</v>
      </c>
      <c r="AF95" s="364">
        <v>3213760</v>
      </c>
      <c r="AG95" s="16">
        <f>SUM(AE95:AF95)</f>
        <v>3213760</v>
      </c>
      <c r="AH95" s="19">
        <f>X95-AA95</f>
        <v>63806656</v>
      </c>
      <c r="AI95" s="15">
        <f>X95-AD95</f>
        <v>63806656</v>
      </c>
      <c r="AJ95" s="16">
        <f>X95-AG95</f>
        <v>63806656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+IF(ENERO!A96=0,"",ENERO!A96)</f>
        <v>11303-2</v>
      </c>
      <c r="B96" s="602" t="str">
        <f>+IF(ENERO!B96=0,"",ENERO!B96)</f>
        <v>CONVENIOS CON EL DEPARTAMENTO NO LIGADOS A LA VENTA SERVICIOS</v>
      </c>
      <c r="C96" s="654">
        <f>+ENERO!C96</f>
        <v>7982899073</v>
      </c>
      <c r="D96" s="363">
        <f>ENERO!D96+FEBRERO!P96</f>
        <v>0</v>
      </c>
      <c r="E96" s="363">
        <f>ENERO!E96+FEBRERO!Q96</f>
        <v>0</v>
      </c>
      <c r="F96" s="363">
        <f t="shared" si="97"/>
        <v>7982899073</v>
      </c>
      <c r="G96" s="363">
        <f>ENERO!I96</f>
        <v>0</v>
      </c>
      <c r="H96" s="364">
        <v>0</v>
      </c>
      <c r="I96" s="363">
        <f t="shared" si="98"/>
        <v>0</v>
      </c>
      <c r="J96" s="363">
        <f>ENERO!L96</f>
        <v>0</v>
      </c>
      <c r="K96" s="364">
        <v>0</v>
      </c>
      <c r="L96" s="363">
        <f t="shared" si="99"/>
        <v>0</v>
      </c>
      <c r="M96" s="363">
        <f t="shared" si="100"/>
        <v>7982899073</v>
      </c>
      <c r="N96" s="143">
        <f t="shared" si="101"/>
        <v>7982899073</v>
      </c>
      <c r="O96" s="372"/>
      <c r="P96" s="362">
        <v>0</v>
      </c>
      <c r="Q96" s="365">
        <v>0</v>
      </c>
      <c r="S96" s="688">
        <f>+IF(ENERO!S96=0,"",ENERO!S96)</f>
        <v>1020302</v>
      </c>
      <c r="T96" s="704" t="str">
        <f>+IF(ENERO!T96=0,"",ENERO!T96)</f>
        <v>Contribuciones - Otros</v>
      </c>
      <c r="U96" s="29">
        <f t="shared" ref="U96:AJ96" si="102">SUM(U97:U101)</f>
        <v>1724011237</v>
      </c>
      <c r="V96" s="15">
        <f t="shared" si="102"/>
        <v>0</v>
      </c>
      <c r="W96" s="15">
        <f t="shared" si="102"/>
        <v>0</v>
      </c>
      <c r="X96" s="16">
        <f t="shared" si="102"/>
        <v>1724011237</v>
      </c>
      <c r="Y96" s="19">
        <f t="shared" si="102"/>
        <v>6600360</v>
      </c>
      <c r="Z96" s="142">
        <f t="shared" si="102"/>
        <v>7115360</v>
      </c>
      <c r="AA96" s="18">
        <f t="shared" si="102"/>
        <v>13715720</v>
      </c>
      <c r="AB96" s="19">
        <f t="shared" si="102"/>
        <v>6600360</v>
      </c>
      <c r="AC96" s="142">
        <f t="shared" si="102"/>
        <v>7115360</v>
      </c>
      <c r="AD96" s="16">
        <f t="shared" si="102"/>
        <v>13715720</v>
      </c>
      <c r="AE96" s="19">
        <f t="shared" si="102"/>
        <v>0</v>
      </c>
      <c r="AF96" s="142">
        <f t="shared" si="102"/>
        <v>6600360</v>
      </c>
      <c r="AG96" s="16">
        <f t="shared" si="102"/>
        <v>6600360</v>
      </c>
      <c r="AH96" s="19">
        <f t="shared" si="102"/>
        <v>1710295517</v>
      </c>
      <c r="AI96" s="15">
        <f t="shared" si="102"/>
        <v>1710295517</v>
      </c>
      <c r="AJ96" s="16">
        <f t="shared" si="102"/>
        <v>1717410877</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+IF(ENERO!A97=0,"",ENERO!A97)</f>
        <v>11303-3</v>
      </c>
      <c r="B97" s="602" t="str">
        <f>+IF(ENERO!B97=0,"",ENERO!B97)</f>
        <v>CONVENIOS CON EL MUNICIPIO NO LIGADOS A LA VENTA DE SERVICIOS</v>
      </c>
      <c r="C97" s="654">
        <f>+ENERO!C97</f>
        <v>0</v>
      </c>
      <c r="D97" s="363">
        <f>ENERO!D97+FEBRERO!P97</f>
        <v>0</v>
      </c>
      <c r="E97" s="363">
        <f>ENERO!E97+FEBRERO!Q97</f>
        <v>0</v>
      </c>
      <c r="F97" s="363">
        <f t="shared" si="97"/>
        <v>0</v>
      </c>
      <c r="G97" s="363">
        <f>ENERO!I97</f>
        <v>0</v>
      </c>
      <c r="H97" s="364">
        <v>0</v>
      </c>
      <c r="I97" s="363">
        <f t="shared" si="98"/>
        <v>0</v>
      </c>
      <c r="J97" s="363">
        <f>ENERO!L97</f>
        <v>0</v>
      </c>
      <c r="K97" s="364">
        <v>0</v>
      </c>
      <c r="L97" s="363">
        <f t="shared" si="99"/>
        <v>0</v>
      </c>
      <c r="M97" s="363">
        <f t="shared" si="100"/>
        <v>0</v>
      </c>
      <c r="N97" s="143">
        <f t="shared" si="101"/>
        <v>0</v>
      </c>
      <c r="O97" s="372"/>
      <c r="P97" s="362">
        <v>0</v>
      </c>
      <c r="Q97" s="365">
        <v>0</v>
      </c>
      <c r="R97" s="30"/>
      <c r="S97" s="689" t="str">
        <f>+IF(ENERO!S97=0,"",ENERO!S97)</f>
        <v>1020302-1</v>
      </c>
      <c r="T97" s="705" t="str">
        <f>+IF(ENERO!T97=0,"",ENERO!T97)</f>
        <v>Aportes a E.P.S. - recursos propios</v>
      </c>
      <c r="U97" s="29">
        <f>+ENERO!U97</f>
        <v>383898492</v>
      </c>
      <c r="V97" s="15">
        <f>ENERO!V97+FEBRERO!AL97</f>
        <v>0</v>
      </c>
      <c r="W97" s="15">
        <f>ENERO!W97+FEBRERO!AM97</f>
        <v>0</v>
      </c>
      <c r="X97" s="16">
        <f t="shared" ref="X97:X102" si="103">SUM(U97:W97)</f>
        <v>383898492</v>
      </c>
      <c r="Y97" s="19">
        <f>ENERO!AA97</f>
        <v>0</v>
      </c>
      <c r="Z97" s="364">
        <v>0</v>
      </c>
      <c r="AA97" s="18">
        <f t="shared" ref="AA97:AA102" si="104">SUM(Y97:Z97)</f>
        <v>0</v>
      </c>
      <c r="AB97" s="19">
        <f>ENERO!AD97</f>
        <v>0</v>
      </c>
      <c r="AC97" s="364">
        <v>0</v>
      </c>
      <c r="AD97" s="16">
        <f t="shared" ref="AD97:AD102" si="105">SUM(AB97:AC97)</f>
        <v>0</v>
      </c>
      <c r="AE97" s="19">
        <f>ENERO!AG97</f>
        <v>0</v>
      </c>
      <c r="AF97" s="364">
        <v>0</v>
      </c>
      <c r="AG97" s="16">
        <f t="shared" ref="AG97:AG102" si="106">SUM(AE97:AF97)</f>
        <v>0</v>
      </c>
      <c r="AH97" s="19">
        <f t="shared" ref="AH97:AH102" si="107">X97-AA97</f>
        <v>383898492</v>
      </c>
      <c r="AI97" s="15">
        <f t="shared" ref="AI97:AI102" si="108">X97-AD97</f>
        <v>383898492</v>
      </c>
      <c r="AJ97" s="16">
        <f t="shared" ref="AJ97:AJ102" si="109">X97-AG97</f>
        <v>383898492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+IF(ENERO!A98=0,"",ENERO!A98)</f>
        <v>11303-4</v>
      </c>
      <c r="B98" s="602" t="str">
        <f>+IF(ENERO!B98=0,"",ENERO!B98)</f>
        <v>OTROS CONVENIOS NO LIGADOS A LA VENTA DE SERVICIOS</v>
      </c>
      <c r="C98" s="654">
        <f>+ENERO!C98</f>
        <v>0</v>
      </c>
      <c r="D98" s="363">
        <f>ENERO!D98+FEBRERO!P98</f>
        <v>0</v>
      </c>
      <c r="E98" s="363">
        <f>ENERO!E98+FEBRERO!Q98</f>
        <v>0</v>
      </c>
      <c r="F98" s="363">
        <f t="shared" si="97"/>
        <v>0</v>
      </c>
      <c r="G98" s="363">
        <f>ENERO!I98</f>
        <v>0</v>
      </c>
      <c r="H98" s="364">
        <v>0</v>
      </c>
      <c r="I98" s="363">
        <f t="shared" si="98"/>
        <v>0</v>
      </c>
      <c r="J98" s="363">
        <f>ENERO!L98</f>
        <v>0</v>
      </c>
      <c r="K98" s="364">
        <v>0</v>
      </c>
      <c r="L98" s="363">
        <f t="shared" si="99"/>
        <v>0</v>
      </c>
      <c r="M98" s="363">
        <f t="shared" si="100"/>
        <v>0</v>
      </c>
      <c r="N98" s="143">
        <f t="shared" si="101"/>
        <v>0</v>
      </c>
      <c r="O98" s="372"/>
      <c r="P98" s="362">
        <v>0</v>
      </c>
      <c r="Q98" s="365">
        <v>0</v>
      </c>
      <c r="R98" s="30"/>
      <c r="S98" s="689" t="str">
        <f>+IF(ENERO!S98=0,"",ENERO!S98)</f>
        <v>1020302-2</v>
      </c>
      <c r="T98" s="705" t="str">
        <f>+IF(ENERO!T98=0,"",ENERO!T98)</f>
        <v>Aportes Fondos Pensionales - recursos propios</v>
      </c>
      <c r="U98" s="29">
        <f>+ENERO!U98</f>
        <v>555127711</v>
      </c>
      <c r="V98" s="15">
        <f>ENERO!V98+FEBRERO!AL98</f>
        <v>0</v>
      </c>
      <c r="W98" s="15">
        <f>ENERO!W98+FEBRERO!AM98</f>
        <v>0</v>
      </c>
      <c r="X98" s="16">
        <f t="shared" si="103"/>
        <v>555127711</v>
      </c>
      <c r="Y98" s="19">
        <f>ENERO!AA98</f>
        <v>0</v>
      </c>
      <c r="Z98" s="364">
        <v>0</v>
      </c>
      <c r="AA98" s="18">
        <f t="shared" si="104"/>
        <v>0</v>
      </c>
      <c r="AB98" s="19">
        <f>ENERO!AD98</f>
        <v>0</v>
      </c>
      <c r="AC98" s="364">
        <v>0</v>
      </c>
      <c r="AD98" s="16">
        <f t="shared" si="105"/>
        <v>0</v>
      </c>
      <c r="AE98" s="19">
        <f>ENERO!AG98</f>
        <v>0</v>
      </c>
      <c r="AF98" s="364">
        <v>0</v>
      </c>
      <c r="AG98" s="16">
        <f t="shared" si="106"/>
        <v>0</v>
      </c>
      <c r="AH98" s="19">
        <f t="shared" si="107"/>
        <v>555127711</v>
      </c>
      <c r="AI98" s="15">
        <f t="shared" si="108"/>
        <v>555127711</v>
      </c>
      <c r="AJ98" s="16">
        <f t="shared" si="109"/>
        <v>555127711</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+IF(ENERO!A99=0,"",ENERO!A99)</f>
        <v>11303-5</v>
      </c>
      <c r="B99" s="602" t="str">
        <f>+IF(ENERO!B99=0,"",ENERO!B99)</f>
        <v>RECURSOS PARA PROGRAMA DE SANEAMIENTO FINANCIERO</v>
      </c>
      <c r="C99" s="654">
        <f>+ENERO!C99</f>
        <v>0</v>
      </c>
      <c r="D99" s="363">
        <f>ENERO!D99+FEBRERO!P99</f>
        <v>0</v>
      </c>
      <c r="E99" s="363">
        <f>ENERO!E99+FEBRERO!Q99</f>
        <v>0</v>
      </c>
      <c r="F99" s="363">
        <f t="shared" si="97"/>
        <v>0</v>
      </c>
      <c r="G99" s="363">
        <f>ENERO!I99</f>
        <v>0</v>
      </c>
      <c r="H99" s="364">
        <v>0</v>
      </c>
      <c r="I99" s="363">
        <f t="shared" si="98"/>
        <v>0</v>
      </c>
      <c r="J99" s="363">
        <f>ENERO!L99</f>
        <v>0</v>
      </c>
      <c r="K99" s="364">
        <v>0</v>
      </c>
      <c r="L99" s="363">
        <f t="shared" si="99"/>
        <v>0</v>
      </c>
      <c r="M99" s="363">
        <f t="shared" si="100"/>
        <v>0</v>
      </c>
      <c r="N99" s="143">
        <f t="shared" si="101"/>
        <v>0</v>
      </c>
      <c r="O99" s="801"/>
      <c r="P99" s="362">
        <v>0</v>
      </c>
      <c r="Q99" s="365">
        <v>0</v>
      </c>
      <c r="R99" s="30"/>
      <c r="S99" s="689" t="str">
        <f>+IF(ENERO!S99=0,"",ENERO!S99)</f>
        <v>1020302-3</v>
      </c>
      <c r="T99" s="705" t="str">
        <f>+IF(ENERO!T99=0,"",ENERO!T99)</f>
        <v>Aportes a Fondos de Cesantia - recursos propios</v>
      </c>
      <c r="U99" s="29">
        <f>+ENERO!U99</f>
        <v>326426572</v>
      </c>
      <c r="V99" s="15">
        <f>ENERO!V99+FEBRERO!AL99</f>
        <v>0</v>
      </c>
      <c r="W99" s="15">
        <f>ENERO!W99+FEBRERO!AM99</f>
        <v>0</v>
      </c>
      <c r="X99" s="16">
        <f t="shared" si="103"/>
        <v>326426572</v>
      </c>
      <c r="Y99" s="19">
        <f>ENERO!AA99</f>
        <v>0</v>
      </c>
      <c r="Z99" s="364">
        <v>0</v>
      </c>
      <c r="AA99" s="18">
        <f t="shared" si="104"/>
        <v>0</v>
      </c>
      <c r="AB99" s="19">
        <f>ENERO!AD99</f>
        <v>0</v>
      </c>
      <c r="AC99" s="364">
        <v>0</v>
      </c>
      <c r="AD99" s="16">
        <f t="shared" si="105"/>
        <v>0</v>
      </c>
      <c r="AE99" s="19">
        <f>ENERO!AG99</f>
        <v>0</v>
      </c>
      <c r="AF99" s="364">
        <v>0</v>
      </c>
      <c r="AG99" s="16">
        <f t="shared" si="106"/>
        <v>0</v>
      </c>
      <c r="AH99" s="19">
        <f t="shared" si="107"/>
        <v>326426572</v>
      </c>
      <c r="AI99" s="15">
        <f t="shared" si="108"/>
        <v>326426572</v>
      </c>
      <c r="AJ99" s="16">
        <f t="shared" si="109"/>
        <v>326426572</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+IF(ENERO!A100=0,"",ENERO!A100)</f>
        <v>11303-6</v>
      </c>
      <c r="B100" s="602" t="str">
        <f>+IF(ENERO!B100=0,"",ENERO!B100)</f>
        <v/>
      </c>
      <c r="C100" s="654">
        <f>+ENERO!C100</f>
        <v>0</v>
      </c>
      <c r="D100" s="363">
        <f>ENERO!D100+FEBRERO!P100</f>
        <v>0</v>
      </c>
      <c r="E100" s="363">
        <f>ENERO!E100+FEBRERO!Q100</f>
        <v>0</v>
      </c>
      <c r="F100" s="363">
        <f t="shared" si="97"/>
        <v>0</v>
      </c>
      <c r="G100" s="363">
        <f>ENERO!I100</f>
        <v>0</v>
      </c>
      <c r="H100" s="364">
        <v>0</v>
      </c>
      <c r="I100" s="363">
        <f t="shared" si="98"/>
        <v>0</v>
      </c>
      <c r="J100" s="363">
        <f>ENERO!L100</f>
        <v>0</v>
      </c>
      <c r="K100" s="364">
        <v>0</v>
      </c>
      <c r="L100" s="363">
        <f t="shared" si="99"/>
        <v>0</v>
      </c>
      <c r="M100" s="363">
        <f t="shared" si="100"/>
        <v>0</v>
      </c>
      <c r="N100" s="143">
        <f t="shared" si="101"/>
        <v>0</v>
      </c>
      <c r="P100" s="362">
        <v>0</v>
      </c>
      <c r="Q100" s="365">
        <v>0</v>
      </c>
      <c r="R100" s="9"/>
      <c r="S100" s="689" t="str">
        <f>+IF(ENERO!S100=0,"",ENERO!S100)</f>
        <v>1020302-4</v>
      </c>
      <c r="T100" s="705" t="str">
        <f>+IF(ENERO!T100=0,"",ENERO!T100)</f>
        <v>Aporte a ARL. - recursos propios</v>
      </c>
      <c r="U100" s="29">
        <f>+ENERO!U100</f>
        <v>121324579</v>
      </c>
      <c r="V100" s="15">
        <f>ENERO!V100+FEBRERO!AL100</f>
        <v>0</v>
      </c>
      <c r="W100" s="15">
        <f>ENERO!W100+FEBRERO!AM100</f>
        <v>0</v>
      </c>
      <c r="X100" s="16">
        <f t="shared" si="103"/>
        <v>121324579</v>
      </c>
      <c r="Y100" s="19">
        <f>ENERO!AA100</f>
        <v>0</v>
      </c>
      <c r="Z100" s="364">
        <v>0</v>
      </c>
      <c r="AA100" s="18">
        <f t="shared" si="104"/>
        <v>0</v>
      </c>
      <c r="AB100" s="19">
        <f>ENERO!AD100</f>
        <v>0</v>
      </c>
      <c r="AC100" s="364">
        <v>0</v>
      </c>
      <c r="AD100" s="16">
        <f t="shared" si="105"/>
        <v>0</v>
      </c>
      <c r="AE100" s="19">
        <f>ENERO!AG100</f>
        <v>0</v>
      </c>
      <c r="AF100" s="364">
        <v>0</v>
      </c>
      <c r="AG100" s="16">
        <f t="shared" si="106"/>
        <v>0</v>
      </c>
      <c r="AH100" s="19">
        <f t="shared" si="107"/>
        <v>121324579</v>
      </c>
      <c r="AI100" s="15">
        <f t="shared" si="108"/>
        <v>121324579</v>
      </c>
      <c r="AJ100" s="16">
        <f t="shared" si="109"/>
        <v>121324579</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+IF(ENERO!A101=0,"",ENERO!A101)</f>
        <v>11303-7</v>
      </c>
      <c r="B101" s="602" t="str">
        <f>+IF(ENERO!B101=0,"",ENERO!B101)</f>
        <v/>
      </c>
      <c r="C101" s="654">
        <f>+ENERO!C101</f>
        <v>0</v>
      </c>
      <c r="D101" s="363">
        <f>ENERO!D101+FEBRERO!P101</f>
        <v>0</v>
      </c>
      <c r="E101" s="363">
        <f>ENERO!E101+FEBRERO!Q101</f>
        <v>0</v>
      </c>
      <c r="F101" s="363">
        <f t="shared" si="97"/>
        <v>0</v>
      </c>
      <c r="G101" s="363">
        <f>ENERO!I101</f>
        <v>0</v>
      </c>
      <c r="H101" s="364">
        <v>0</v>
      </c>
      <c r="I101" s="363">
        <f t="shared" si="98"/>
        <v>0</v>
      </c>
      <c r="J101" s="363">
        <f>ENERO!L101</f>
        <v>0</v>
      </c>
      <c r="K101" s="364">
        <v>0</v>
      </c>
      <c r="L101" s="363">
        <f t="shared" si="99"/>
        <v>0</v>
      </c>
      <c r="M101" s="363">
        <f t="shared" si="100"/>
        <v>0</v>
      </c>
      <c r="N101" s="143">
        <f t="shared" si="101"/>
        <v>0</v>
      </c>
      <c r="P101" s="362">
        <v>0</v>
      </c>
      <c r="Q101" s="365">
        <v>0</v>
      </c>
      <c r="R101" s="9"/>
      <c r="S101" s="689" t="str">
        <f>+IF(ENERO!S101=0,"",ENERO!S101)</f>
        <v>1020302-5</v>
      </c>
      <c r="T101" s="705" t="str">
        <f>+IF(ENERO!T101=0,"",ENERO!T101)</f>
        <v>Aporte a Caja Compensación Familiar</v>
      </c>
      <c r="U101" s="29">
        <f>+ENERO!U101</f>
        <v>337233883</v>
      </c>
      <c r="V101" s="15">
        <f>ENERO!V101+FEBRERO!AL101</f>
        <v>0</v>
      </c>
      <c r="W101" s="15">
        <f>ENERO!W101+FEBRERO!AM101</f>
        <v>0</v>
      </c>
      <c r="X101" s="16">
        <f t="shared" si="103"/>
        <v>337233883</v>
      </c>
      <c r="Y101" s="19">
        <f>ENERO!AA101</f>
        <v>6600360</v>
      </c>
      <c r="Z101" s="364">
        <v>7115360</v>
      </c>
      <c r="AA101" s="18">
        <f t="shared" si="104"/>
        <v>13715720</v>
      </c>
      <c r="AB101" s="19">
        <f>ENERO!AD101</f>
        <v>6600360</v>
      </c>
      <c r="AC101" s="364">
        <v>7115360</v>
      </c>
      <c r="AD101" s="16">
        <f t="shared" si="105"/>
        <v>13715720</v>
      </c>
      <c r="AE101" s="19">
        <f>ENERO!AG101</f>
        <v>0</v>
      </c>
      <c r="AF101" s="364">
        <v>6600360</v>
      </c>
      <c r="AG101" s="16">
        <f t="shared" si="106"/>
        <v>6600360</v>
      </c>
      <c r="AH101" s="19">
        <f t="shared" si="107"/>
        <v>323518163</v>
      </c>
      <c r="AI101" s="15">
        <f t="shared" si="108"/>
        <v>323518163</v>
      </c>
      <c r="AJ101" s="16">
        <f t="shared" si="109"/>
        <v>330633523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+IF(ENERO!A102=0,"",ENERO!A102)</f>
        <v>11303-8</v>
      </c>
      <c r="B102" s="611" t="str">
        <f>+IF(ENERO!B102=0,"",ENERO!B102)</f>
        <v>Vigencia Anterior</v>
      </c>
      <c r="C102" s="760">
        <f>+ENERO!C102</f>
        <v>0</v>
      </c>
      <c r="D102" s="375">
        <f>ENERO!D102+FEBRERO!P102</f>
        <v>0</v>
      </c>
      <c r="E102" s="375">
        <f>ENERO!E102+FEBRERO!Q102</f>
        <v>0</v>
      </c>
      <c r="F102" s="375">
        <f t="shared" si="97"/>
        <v>0</v>
      </c>
      <c r="G102" s="375">
        <f>ENERO!I102</f>
        <v>0</v>
      </c>
      <c r="H102" s="378">
        <v>0</v>
      </c>
      <c r="I102" s="375">
        <f t="shared" si="98"/>
        <v>0</v>
      </c>
      <c r="J102" s="375">
        <f>ENERO!L102</f>
        <v>0</v>
      </c>
      <c r="K102" s="378">
        <v>0</v>
      </c>
      <c r="L102" s="375">
        <f t="shared" si="99"/>
        <v>0</v>
      </c>
      <c r="M102" s="375">
        <f t="shared" si="100"/>
        <v>0</v>
      </c>
      <c r="N102" s="376">
        <f t="shared" si="101"/>
        <v>0</v>
      </c>
      <c r="P102" s="362">
        <v>0</v>
      </c>
      <c r="Q102" s="365">
        <v>0</v>
      </c>
      <c r="R102" s="9"/>
      <c r="S102" s="688">
        <f>+IF(ENERO!S102=0,"",ENERO!S102)</f>
        <v>1020399</v>
      </c>
      <c r="T102" s="704" t="str">
        <f>+IF(ENERO!T102=0,"",ENERO!T102)</f>
        <v>Vigencias Anteriores</v>
      </c>
      <c r="U102" s="29">
        <f>+ENERO!U102</f>
        <v>172000000</v>
      </c>
      <c r="V102" s="15">
        <f>ENERO!V102+FEBRERO!AL102</f>
        <v>0</v>
      </c>
      <c r="W102" s="15">
        <f>ENERO!W102+FEBRERO!AM102</f>
        <v>0</v>
      </c>
      <c r="X102" s="16">
        <f t="shared" si="103"/>
        <v>172000000</v>
      </c>
      <c r="Y102" s="19">
        <f>ENERO!AA102</f>
        <v>0</v>
      </c>
      <c r="Z102" s="364">
        <v>0</v>
      </c>
      <c r="AA102" s="18">
        <f t="shared" si="104"/>
        <v>0</v>
      </c>
      <c r="AB102" s="19">
        <f>ENERO!AD102</f>
        <v>0</v>
      </c>
      <c r="AC102" s="364">
        <v>0</v>
      </c>
      <c r="AD102" s="16">
        <f t="shared" si="105"/>
        <v>0</v>
      </c>
      <c r="AE102" s="19">
        <f>ENERO!AG102</f>
        <v>0</v>
      </c>
      <c r="AF102" s="364">
        <v>0</v>
      </c>
      <c r="AG102" s="16">
        <f t="shared" si="106"/>
        <v>0</v>
      </c>
      <c r="AH102" s="19">
        <f t="shared" si="107"/>
        <v>172000000</v>
      </c>
      <c r="AI102" s="15">
        <f t="shared" si="108"/>
        <v>172000000</v>
      </c>
      <c r="AJ102" s="16">
        <f t="shared" si="109"/>
        <v>172000000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+IF(ENERO!A103=0,"",ENERO!A103)</f>
        <v/>
      </c>
      <c r="B103" s="636" t="str">
        <f>+IF(ENERO!B103=0,"",ENERO!B103)</f>
        <v/>
      </c>
      <c r="C103" s="470"/>
      <c r="D103" s="470"/>
      <c r="E103" s="470"/>
      <c r="F103" s="470"/>
      <c r="G103" s="470"/>
      <c r="H103" s="470"/>
      <c r="I103" s="470"/>
      <c r="J103" s="470"/>
      <c r="K103" s="470"/>
      <c r="L103" s="470"/>
      <c r="M103" s="470"/>
      <c r="N103" s="471"/>
      <c r="P103" s="472"/>
      <c r="Q103" s="471"/>
      <c r="R103" s="9"/>
      <c r="S103" s="356" t="str">
        <f>+IF(ENERO!S103=0,"",ENERO!S103)</f>
        <v/>
      </c>
      <c r="T103" s="678" t="str">
        <f>+IF(ENERO!T103=0,"",ENERO!T103)</f>
        <v/>
      </c>
      <c r="U103" s="357"/>
      <c r="V103" s="161"/>
      <c r="W103" s="161"/>
      <c r="X103" s="166"/>
      <c r="Y103" s="357"/>
      <c r="Z103" s="161"/>
      <c r="AA103" s="161"/>
      <c r="AB103" s="357"/>
      <c r="AC103" s="161"/>
      <c r="AD103" s="166"/>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+IF(ENERO!A104=0,"",ENERO!A104)</f>
        <v>11304</v>
      </c>
      <c r="B104" s="601" t="str">
        <f>+IF(ENERO!B104=0,"",ENERO!B104)</f>
        <v>Otros ingresos corrientes</v>
      </c>
      <c r="C104" s="600">
        <f>SUM(C105:C111)</f>
        <v>98172123</v>
      </c>
      <c r="D104" s="598">
        <f t="shared" ref="D104:N104" si="110">SUM(D105:D111)</f>
        <v>0</v>
      </c>
      <c r="E104" s="598">
        <f t="shared" si="110"/>
        <v>0</v>
      </c>
      <c r="F104" s="598">
        <f t="shared" si="110"/>
        <v>98172123</v>
      </c>
      <c r="G104" s="598">
        <f t="shared" si="110"/>
        <v>4290486</v>
      </c>
      <c r="H104" s="598">
        <f t="shared" si="110"/>
        <v>18157596</v>
      </c>
      <c r="I104" s="598">
        <f t="shared" si="110"/>
        <v>22448082</v>
      </c>
      <c r="J104" s="598">
        <f t="shared" si="110"/>
        <v>4290486</v>
      </c>
      <c r="K104" s="598">
        <f t="shared" si="110"/>
        <v>3594894</v>
      </c>
      <c r="L104" s="598">
        <f t="shared" si="110"/>
        <v>7885380</v>
      </c>
      <c r="M104" s="598">
        <f t="shared" si="110"/>
        <v>75724041</v>
      </c>
      <c r="N104" s="599">
        <f t="shared" si="110"/>
        <v>90286743</v>
      </c>
      <c r="P104" s="43">
        <f>SUM(P105:P111)</f>
        <v>0</v>
      </c>
      <c r="Q104" s="45">
        <f>SUM(Q105:Q111)</f>
        <v>0</v>
      </c>
      <c r="R104" s="9"/>
      <c r="S104" s="687">
        <f>+IF(ENERO!S104=0,"",ENERO!S104)</f>
        <v>1020400</v>
      </c>
      <c r="T104" s="703" t="str">
        <f>+IF(ENERO!T104=0,"",ENERO!T104)</f>
        <v>Contribuciones Inherentes nómina del Sector Publico</v>
      </c>
      <c r="U104" s="128">
        <f t="shared" ref="U104:AJ104" si="111">U105+U108</f>
        <v>421542354</v>
      </c>
      <c r="V104" s="122">
        <f t="shared" si="111"/>
        <v>0</v>
      </c>
      <c r="W104" s="122">
        <f t="shared" si="111"/>
        <v>0</v>
      </c>
      <c r="X104" s="130">
        <f t="shared" si="111"/>
        <v>421542354</v>
      </c>
      <c r="Y104" s="128">
        <f t="shared" si="111"/>
        <v>8250450</v>
      </c>
      <c r="Z104" s="122">
        <f t="shared" si="111"/>
        <v>8894200</v>
      </c>
      <c r="AA104" s="129">
        <f t="shared" si="111"/>
        <v>17144650</v>
      </c>
      <c r="AB104" s="128">
        <f t="shared" si="111"/>
        <v>8250450</v>
      </c>
      <c r="AC104" s="122">
        <f t="shared" si="111"/>
        <v>8894200</v>
      </c>
      <c r="AD104" s="130">
        <f t="shared" si="111"/>
        <v>17144650</v>
      </c>
      <c r="AE104" s="128">
        <f t="shared" si="111"/>
        <v>0</v>
      </c>
      <c r="AF104" s="122">
        <f t="shared" si="111"/>
        <v>8250450</v>
      </c>
      <c r="AG104" s="130">
        <f t="shared" si="111"/>
        <v>8250450</v>
      </c>
      <c r="AH104" s="128">
        <f t="shared" si="111"/>
        <v>404397704</v>
      </c>
      <c r="AI104" s="122">
        <f t="shared" si="111"/>
        <v>404397704</v>
      </c>
      <c r="AJ104" s="130">
        <f t="shared" si="111"/>
        <v>413291904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+IF(ENERO!A105=0,"",ENERO!A105)</f>
        <v>11304-1</v>
      </c>
      <c r="B105" s="602" t="str">
        <f>+IF(ENERO!B105=0,"",ENERO!B105)</f>
        <v>ARRENDAMIENTO Y ALQUILER DE BIENES MUEBLES E INMUEBLES</v>
      </c>
      <c r="C105" s="654">
        <f>+ENERO!C105</f>
        <v>35952047</v>
      </c>
      <c r="D105" s="363">
        <f>ENERO!D105+FEBRERO!P105</f>
        <v>0</v>
      </c>
      <c r="E105" s="363">
        <f>ENERO!E105+FEBRERO!Q105</f>
        <v>0</v>
      </c>
      <c r="F105" s="363">
        <f t="shared" ref="F105:F111" si="112">SUM(C105:E105)</f>
        <v>35952047</v>
      </c>
      <c r="G105" s="363">
        <f>ENERO!I105</f>
        <v>0</v>
      </c>
      <c r="H105" s="364">
        <v>17718586</v>
      </c>
      <c r="I105" s="363">
        <f t="shared" ref="I105:I111" si="113">SUM(G105:H105)</f>
        <v>17718586</v>
      </c>
      <c r="J105" s="363">
        <f>ENERO!L105</f>
        <v>0</v>
      </c>
      <c r="K105" s="364">
        <v>3155884</v>
      </c>
      <c r="L105" s="363">
        <f t="shared" ref="L105:L111" si="114">SUM(J105:K105)</f>
        <v>3155884</v>
      </c>
      <c r="M105" s="363">
        <f t="shared" ref="M105:M111" si="115">F105-I105</f>
        <v>18233461</v>
      </c>
      <c r="N105" s="143">
        <f t="shared" ref="N105:N111" si="116">F105-L105</f>
        <v>32796163</v>
      </c>
      <c r="P105" s="362">
        <v>0</v>
      </c>
      <c r="Q105" s="365">
        <v>0</v>
      </c>
      <c r="R105" s="9"/>
      <c r="S105" s="688">
        <f>+IF(ENERO!S105=0,"",ENERO!S105)</f>
        <v>1020402</v>
      </c>
      <c r="T105" s="704" t="str">
        <f>+IF(ENERO!T105=0,"",ENERO!T105)</f>
        <v>Contribuciones - Otros</v>
      </c>
      <c r="U105" s="29">
        <f t="shared" ref="U105:AJ105" si="117">SUM(U106:U107)</f>
        <v>421542354</v>
      </c>
      <c r="V105" s="15">
        <f t="shared" si="117"/>
        <v>0</v>
      </c>
      <c r="W105" s="15">
        <f t="shared" si="117"/>
        <v>0</v>
      </c>
      <c r="X105" s="16">
        <f t="shared" si="117"/>
        <v>421542354</v>
      </c>
      <c r="Y105" s="19">
        <f t="shared" si="117"/>
        <v>8250450</v>
      </c>
      <c r="Z105" s="142">
        <f t="shared" si="117"/>
        <v>8894200</v>
      </c>
      <c r="AA105" s="18">
        <f t="shared" si="117"/>
        <v>17144650</v>
      </c>
      <c r="AB105" s="19">
        <f t="shared" si="117"/>
        <v>8250450</v>
      </c>
      <c r="AC105" s="142">
        <f t="shared" si="117"/>
        <v>8894200</v>
      </c>
      <c r="AD105" s="16">
        <f t="shared" si="117"/>
        <v>17144650</v>
      </c>
      <c r="AE105" s="19">
        <f t="shared" si="117"/>
        <v>0</v>
      </c>
      <c r="AF105" s="142">
        <f t="shared" si="117"/>
        <v>8250450</v>
      </c>
      <c r="AG105" s="16">
        <f t="shared" si="117"/>
        <v>8250450</v>
      </c>
      <c r="AH105" s="19">
        <f t="shared" si="117"/>
        <v>404397704</v>
      </c>
      <c r="AI105" s="15">
        <f t="shared" si="117"/>
        <v>404397704</v>
      </c>
      <c r="AJ105" s="16">
        <f t="shared" si="117"/>
        <v>413291904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+IF(ENERO!A106=0,"",ENERO!A106)</f>
        <v>11304-2</v>
      </c>
      <c r="B106" s="603" t="str">
        <f>+IF(ENERO!B106=0,"",ENERO!B106)</f>
        <v>COMERCIALIZACIÓN DE MERCANCÍAS</v>
      </c>
      <c r="C106" s="654">
        <f>+ENERO!C106</f>
        <v>0</v>
      </c>
      <c r="D106" s="363">
        <f>ENERO!D106+FEBRERO!P106</f>
        <v>0</v>
      </c>
      <c r="E106" s="363">
        <f>ENERO!E106+FEBRERO!Q106</f>
        <v>0</v>
      </c>
      <c r="F106" s="363">
        <f t="shared" si="112"/>
        <v>0</v>
      </c>
      <c r="G106" s="363">
        <f>ENERO!I106</f>
        <v>0</v>
      </c>
      <c r="H106" s="364">
        <v>0</v>
      </c>
      <c r="I106" s="363">
        <f t="shared" si="113"/>
        <v>0</v>
      </c>
      <c r="J106" s="363">
        <f>ENERO!L106</f>
        <v>0</v>
      </c>
      <c r="K106" s="364">
        <v>0</v>
      </c>
      <c r="L106" s="363">
        <f t="shared" si="114"/>
        <v>0</v>
      </c>
      <c r="M106" s="363">
        <f t="shared" si="115"/>
        <v>0</v>
      </c>
      <c r="N106" s="143">
        <f t="shared" si="116"/>
        <v>0</v>
      </c>
      <c r="P106" s="362">
        <v>0</v>
      </c>
      <c r="Q106" s="365">
        <v>0</v>
      </c>
      <c r="R106" s="9"/>
      <c r="S106" s="689" t="str">
        <f>+IF(ENERO!S106=0,"",ENERO!S106)</f>
        <v>1020402-1</v>
      </c>
      <c r="T106" s="704" t="str">
        <f>+IF(ENERO!T106=0,"",ENERO!T106)</f>
        <v>S.E.N.A.</v>
      </c>
      <c r="U106" s="29">
        <f>+ENERO!U106</f>
        <v>168616942</v>
      </c>
      <c r="V106" s="15">
        <f>ENERO!V106+FEBRERO!AL106</f>
        <v>0</v>
      </c>
      <c r="W106" s="15">
        <f>ENERO!W106+FEBRERO!AM106</f>
        <v>0</v>
      </c>
      <c r="X106" s="16">
        <f>SUM(U106:W106)</f>
        <v>168616942</v>
      </c>
      <c r="Y106" s="19">
        <f>ENERO!AA106</f>
        <v>3300180</v>
      </c>
      <c r="Z106" s="364">
        <v>3557680</v>
      </c>
      <c r="AA106" s="18">
        <f>SUM(Y106:Z106)</f>
        <v>6857860</v>
      </c>
      <c r="AB106" s="19">
        <f>ENERO!AD106</f>
        <v>3300180</v>
      </c>
      <c r="AC106" s="364">
        <v>3557680</v>
      </c>
      <c r="AD106" s="16">
        <f>SUM(AB106:AC106)</f>
        <v>6857860</v>
      </c>
      <c r="AE106" s="19">
        <f>ENERO!AG106</f>
        <v>0</v>
      </c>
      <c r="AF106" s="364">
        <v>3300180</v>
      </c>
      <c r="AG106" s="16">
        <f>SUM(AE106:AF106)</f>
        <v>3300180</v>
      </c>
      <c r="AH106" s="19">
        <f>X106-AA106</f>
        <v>161759082</v>
      </c>
      <c r="AI106" s="15">
        <f>X106-AD106</f>
        <v>161759082</v>
      </c>
      <c r="AJ106" s="16">
        <f>X106-AG106</f>
        <v>165316762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+IF(ENERO!A107=0,"",ENERO!A107)</f>
        <v>11304-3</v>
      </c>
      <c r="B107" s="602" t="str">
        <f>+IF(ENERO!B107=0,"",ENERO!B107)</f>
        <v>Bienestar Social</v>
      </c>
      <c r="C107" s="654">
        <f>+ENERO!C107</f>
        <v>0</v>
      </c>
      <c r="D107" s="363">
        <f>ENERO!D107+FEBRERO!P107</f>
        <v>0</v>
      </c>
      <c r="E107" s="363">
        <f>ENERO!E107+FEBRERO!Q107</f>
        <v>0</v>
      </c>
      <c r="F107" s="363">
        <f t="shared" si="112"/>
        <v>0</v>
      </c>
      <c r="G107" s="363">
        <f>ENERO!I107</f>
        <v>0</v>
      </c>
      <c r="H107" s="364">
        <v>0</v>
      </c>
      <c r="I107" s="363">
        <f t="shared" si="113"/>
        <v>0</v>
      </c>
      <c r="J107" s="363">
        <f>ENERO!L107</f>
        <v>0</v>
      </c>
      <c r="K107" s="364">
        <v>0</v>
      </c>
      <c r="L107" s="363">
        <f t="shared" si="114"/>
        <v>0</v>
      </c>
      <c r="M107" s="363">
        <f t="shared" si="115"/>
        <v>0</v>
      </c>
      <c r="N107" s="143">
        <f t="shared" si="116"/>
        <v>0</v>
      </c>
      <c r="P107" s="362">
        <v>0</v>
      </c>
      <c r="Q107" s="365">
        <v>0</v>
      </c>
      <c r="R107" s="9"/>
      <c r="S107" s="689" t="str">
        <f>+IF(ENERO!S107=0,"",ENERO!S107)</f>
        <v>1020402-2</v>
      </c>
      <c r="T107" s="704" t="str">
        <f>+IF(ENERO!T107=0,"",ENERO!T107)</f>
        <v>I.C.B.F.</v>
      </c>
      <c r="U107" s="29">
        <f>+ENERO!U107</f>
        <v>252925412</v>
      </c>
      <c r="V107" s="15">
        <f>ENERO!V107+FEBRERO!AL107</f>
        <v>0</v>
      </c>
      <c r="W107" s="15">
        <f>ENERO!W107+FEBRERO!AM107</f>
        <v>0</v>
      </c>
      <c r="X107" s="16">
        <f>SUM(U107:W107)</f>
        <v>252925412</v>
      </c>
      <c r="Y107" s="19">
        <f>ENERO!AA107</f>
        <v>4950270</v>
      </c>
      <c r="Z107" s="364">
        <v>5336520</v>
      </c>
      <c r="AA107" s="18">
        <f>SUM(Y107:Z107)</f>
        <v>10286790</v>
      </c>
      <c r="AB107" s="19">
        <f>ENERO!AD107</f>
        <v>4950270</v>
      </c>
      <c r="AC107" s="364">
        <v>5336520</v>
      </c>
      <c r="AD107" s="16">
        <f>SUM(AB107:AC107)</f>
        <v>10286790</v>
      </c>
      <c r="AE107" s="19">
        <f>ENERO!AG107</f>
        <v>0</v>
      </c>
      <c r="AF107" s="364">
        <v>4950270</v>
      </c>
      <c r="AG107" s="16">
        <f>SUM(AE107:AF107)</f>
        <v>4950270</v>
      </c>
      <c r="AH107" s="19">
        <f>X107-AA107</f>
        <v>242638622</v>
      </c>
      <c r="AI107" s="15">
        <f>X107-AD107</f>
        <v>242638622</v>
      </c>
      <c r="AJ107" s="16">
        <f>X107-AG107</f>
        <v>247975142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+IF(ENERO!A108=0,"",ENERO!A108)</f>
        <v>11304-4</v>
      </c>
      <c r="B108" s="602" t="str">
        <f>+IF(ENERO!B108=0,"",ENERO!B108)</f>
        <v>Fondo de la Vivienda</v>
      </c>
      <c r="C108" s="654">
        <f>+ENERO!C108</f>
        <v>0</v>
      </c>
      <c r="D108" s="363">
        <f>ENERO!D108+FEBRERO!P108</f>
        <v>0</v>
      </c>
      <c r="E108" s="363">
        <f>ENERO!E108+FEBRERO!Q108</f>
        <v>0</v>
      </c>
      <c r="F108" s="363">
        <f t="shared" si="112"/>
        <v>0</v>
      </c>
      <c r="G108" s="363">
        <f>ENERO!I108</f>
        <v>0</v>
      </c>
      <c r="H108" s="364">
        <v>0</v>
      </c>
      <c r="I108" s="363">
        <f t="shared" si="113"/>
        <v>0</v>
      </c>
      <c r="J108" s="363">
        <f>ENERO!L108</f>
        <v>0</v>
      </c>
      <c r="K108" s="364">
        <v>0</v>
      </c>
      <c r="L108" s="363">
        <f t="shared" si="114"/>
        <v>0</v>
      </c>
      <c r="M108" s="363">
        <f t="shared" si="115"/>
        <v>0</v>
      </c>
      <c r="N108" s="143">
        <f t="shared" si="116"/>
        <v>0</v>
      </c>
      <c r="P108" s="362">
        <v>0</v>
      </c>
      <c r="Q108" s="365">
        <v>0</v>
      </c>
      <c r="R108" s="9"/>
      <c r="S108" s="688">
        <f>+IF(ENERO!S108=0,"",ENERO!S108)</f>
        <v>1020499</v>
      </c>
      <c r="T108" s="704" t="str">
        <f>+IF(ENERO!T108=0,"",ENERO!T108)</f>
        <v>Vigencias Anteriores</v>
      </c>
      <c r="U108" s="29">
        <f>+ENERO!U108</f>
        <v>0</v>
      </c>
      <c r="V108" s="15">
        <f>ENERO!V108+FEBRERO!AL108</f>
        <v>0</v>
      </c>
      <c r="W108" s="15">
        <f>ENERO!W108+FEBRERO!AM108</f>
        <v>0</v>
      </c>
      <c r="X108" s="16">
        <f>SUM(U108:W108)</f>
        <v>0</v>
      </c>
      <c r="Y108" s="19">
        <f>ENERO!AA108</f>
        <v>0</v>
      </c>
      <c r="Z108" s="364">
        <v>0</v>
      </c>
      <c r="AA108" s="18">
        <f>SUM(Y108:Z108)</f>
        <v>0</v>
      </c>
      <c r="AB108" s="19">
        <f>ENERO!AD108</f>
        <v>0</v>
      </c>
      <c r="AC108" s="364">
        <v>0</v>
      </c>
      <c r="AD108" s="16">
        <f>SUM(AB108:AC108)</f>
        <v>0</v>
      </c>
      <c r="AE108" s="19">
        <f>ENERO!AG108</f>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+IF(ENERO!A109=0,"",ENERO!A109)</f>
        <v>11304-5</v>
      </c>
      <c r="B109" s="602" t="str">
        <f>+IF(ENERO!B109=0,"",ENERO!B109)</f>
        <v xml:space="preserve">Aprovechamientos </v>
      </c>
      <c r="C109" s="654">
        <f>+ENERO!C109</f>
        <v>62220076</v>
      </c>
      <c r="D109" s="363">
        <f>ENERO!D109+FEBRERO!P109</f>
        <v>0</v>
      </c>
      <c r="E109" s="363">
        <f>ENERO!E109+FEBRERO!Q109</f>
        <v>0</v>
      </c>
      <c r="F109" s="363">
        <f t="shared" si="112"/>
        <v>62220076</v>
      </c>
      <c r="G109" s="363">
        <f>ENERO!I109</f>
        <v>4290486</v>
      </c>
      <c r="H109" s="364">
        <v>439010</v>
      </c>
      <c r="I109" s="363">
        <f t="shared" si="113"/>
        <v>4729496</v>
      </c>
      <c r="J109" s="363">
        <f>ENERO!L109</f>
        <v>4290486</v>
      </c>
      <c r="K109" s="364">
        <v>439010</v>
      </c>
      <c r="L109" s="363">
        <f t="shared" si="114"/>
        <v>4729496</v>
      </c>
      <c r="M109" s="363">
        <f t="shared" si="115"/>
        <v>57490580</v>
      </c>
      <c r="N109" s="143">
        <f t="shared" si="116"/>
        <v>57490580</v>
      </c>
      <c r="P109" s="362">
        <v>0</v>
      </c>
      <c r="Q109" s="365">
        <v>0</v>
      </c>
      <c r="R109" s="9"/>
      <c r="S109" s="356" t="str">
        <f>+IF(ENERO!S109=0,"",ENERO!S109)</f>
        <v/>
      </c>
      <c r="T109" s="678" t="str">
        <f>+IF(ENERO!T109=0,"",ENERO!T109)</f>
        <v/>
      </c>
      <c r="U109" s="357"/>
      <c r="V109" s="161"/>
      <c r="W109" s="161"/>
      <c r="X109" s="166"/>
      <c r="Y109" s="357"/>
      <c r="Z109" s="161"/>
      <c r="AA109" s="161"/>
      <c r="AB109" s="357"/>
      <c r="AC109" s="161"/>
      <c r="AD109" s="166"/>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+IF(ENERO!A110=0,"",ENERO!A110)</f>
        <v>11304-6</v>
      </c>
      <c r="B110" s="602" t="str">
        <f>+IF(ENERO!B110=0,"",ENERO!B110)</f>
        <v>Otros</v>
      </c>
      <c r="C110" s="654">
        <f>+ENERO!C110</f>
        <v>0</v>
      </c>
      <c r="D110" s="363">
        <f>ENERO!D110+FEBRERO!P110</f>
        <v>0</v>
      </c>
      <c r="E110" s="363">
        <f>ENERO!E110+FEBRERO!Q110</f>
        <v>0</v>
      </c>
      <c r="F110" s="363">
        <f t="shared" si="112"/>
        <v>0</v>
      </c>
      <c r="G110" s="363">
        <f>ENERO!I110</f>
        <v>0</v>
      </c>
      <c r="H110" s="364">
        <v>0</v>
      </c>
      <c r="I110" s="363">
        <f t="shared" si="113"/>
        <v>0</v>
      </c>
      <c r="J110" s="363">
        <f>ENERO!L110</f>
        <v>0</v>
      </c>
      <c r="K110" s="364">
        <v>0</v>
      </c>
      <c r="L110" s="363">
        <f t="shared" si="114"/>
        <v>0</v>
      </c>
      <c r="M110" s="363">
        <f t="shared" si="115"/>
        <v>0</v>
      </c>
      <c r="N110" s="143">
        <f t="shared" si="116"/>
        <v>0</v>
      </c>
      <c r="P110" s="362">
        <v>0</v>
      </c>
      <c r="Q110" s="365">
        <v>0</v>
      </c>
      <c r="R110" s="9"/>
      <c r="S110" s="686">
        <f>+IF(ENERO!S110=0,"",ENERO!S110)</f>
        <v>2000000</v>
      </c>
      <c r="T110" s="706" t="str">
        <f>+IF(ENERO!T110=0,"",ENERO!T110)</f>
        <v>GASTOS GENERALES</v>
      </c>
      <c r="U110" s="369">
        <f t="shared" ref="U110:AJ110" si="118">U112+U145</f>
        <v>11975719527</v>
      </c>
      <c r="V110" s="461">
        <f t="shared" si="118"/>
        <v>-10000000</v>
      </c>
      <c r="W110" s="461">
        <f t="shared" si="118"/>
        <v>950000000</v>
      </c>
      <c r="X110" s="370">
        <f t="shared" si="118"/>
        <v>12915719527</v>
      </c>
      <c r="Y110" s="369">
        <f t="shared" si="118"/>
        <v>5234093666</v>
      </c>
      <c r="Z110" s="461">
        <f t="shared" si="118"/>
        <v>1009981824</v>
      </c>
      <c r="AA110" s="462">
        <f t="shared" si="118"/>
        <v>6244075490</v>
      </c>
      <c r="AB110" s="369">
        <f t="shared" si="118"/>
        <v>1237768982</v>
      </c>
      <c r="AC110" s="461">
        <f t="shared" si="118"/>
        <v>1086202154</v>
      </c>
      <c r="AD110" s="370">
        <f t="shared" si="118"/>
        <v>2323971136</v>
      </c>
      <c r="AE110" s="369">
        <f t="shared" si="118"/>
        <v>734919480</v>
      </c>
      <c r="AF110" s="461">
        <f t="shared" si="118"/>
        <v>591108858</v>
      </c>
      <c r="AG110" s="370">
        <f t="shared" si="118"/>
        <v>1326028338</v>
      </c>
      <c r="AH110" s="369">
        <f t="shared" si="118"/>
        <v>6671644037</v>
      </c>
      <c r="AI110" s="461">
        <f t="shared" si="118"/>
        <v>10591748391</v>
      </c>
      <c r="AJ110" s="370">
        <f t="shared" si="118"/>
        <v>11589691189</v>
      </c>
      <c r="AK110" s="10"/>
      <c r="AL110" s="128">
        <f>AL112+AL145</f>
        <v>-10000000</v>
      </c>
      <c r="AM110" s="130">
        <f>AM112+AM145</f>
        <v>150000000</v>
      </c>
      <c r="AN110" s="9"/>
      <c r="AO110" s="284"/>
      <c r="AP110" s="284"/>
      <c r="AQ110" s="284"/>
      <c r="AR110" s="284"/>
      <c r="AS110" s="284"/>
      <c r="AT110" s="284"/>
      <c r="AU110" s="284"/>
      <c r="AV110" s="284"/>
      <c r="AW110" s="284"/>
      <c r="AX110" s="284"/>
      <c r="AY110" s="284"/>
      <c r="AZ110" s="284"/>
    </row>
    <row r="111" spans="1:70" s="372" customFormat="1" ht="24.95" customHeight="1" thickBot="1">
      <c r="A111" s="721" t="str">
        <f>+IF(ENERO!A111=0,"",ENERO!A111)</f>
        <v>11304-7</v>
      </c>
      <c r="B111" s="637" t="str">
        <f>+IF(ENERO!B111=0,"",ENERO!B111)</f>
        <v>Vigencia Anterior</v>
      </c>
      <c r="C111" s="760">
        <f>+ENERO!C111</f>
        <v>0</v>
      </c>
      <c r="D111" s="375">
        <f>ENERO!D111+FEBRERO!P111</f>
        <v>0</v>
      </c>
      <c r="E111" s="375">
        <f>ENERO!E111+FEBRERO!Q111</f>
        <v>0</v>
      </c>
      <c r="F111" s="375">
        <f t="shared" si="112"/>
        <v>0</v>
      </c>
      <c r="G111" s="375">
        <f>ENERO!I111</f>
        <v>0</v>
      </c>
      <c r="H111" s="378">
        <v>0</v>
      </c>
      <c r="I111" s="375">
        <f t="shared" si="113"/>
        <v>0</v>
      </c>
      <c r="J111" s="375">
        <f>ENERO!L111</f>
        <v>0</v>
      </c>
      <c r="K111" s="378">
        <v>0</v>
      </c>
      <c r="L111" s="375">
        <f t="shared" si="114"/>
        <v>0</v>
      </c>
      <c r="M111" s="375">
        <f t="shared" si="115"/>
        <v>0</v>
      </c>
      <c r="N111" s="376">
        <f t="shared" si="116"/>
        <v>0</v>
      </c>
      <c r="P111" s="362">
        <v>0</v>
      </c>
      <c r="Q111" s="365">
        <v>0</v>
      </c>
      <c r="R111" s="9"/>
      <c r="S111" s="356" t="str">
        <f>+IF(ENERO!S111=0,"",ENERO!S111)</f>
        <v/>
      </c>
      <c r="T111" s="678" t="str">
        <f>+IF(ENERO!T111=0,"",ENERO!T111)</f>
        <v/>
      </c>
      <c r="U111" s="357"/>
      <c r="V111" s="161"/>
      <c r="W111" s="161"/>
      <c r="X111" s="166"/>
      <c r="Y111" s="357"/>
      <c r="Z111" s="161"/>
      <c r="AA111" s="161"/>
      <c r="AB111" s="357"/>
      <c r="AC111" s="161"/>
      <c r="AD111" s="166"/>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+IF(ENERO!A112=0,"",ENERO!A112)</f>
        <v/>
      </c>
      <c r="B112" s="636" t="str">
        <f>+IF(ENERO!B112=0,"",ENERO!B112)</f>
        <v/>
      </c>
      <c r="C112" s="470"/>
      <c r="D112" s="470"/>
      <c r="E112" s="470"/>
      <c r="F112" s="470"/>
      <c r="G112" s="470"/>
      <c r="H112" s="470"/>
      <c r="I112" s="470"/>
      <c r="J112" s="470"/>
      <c r="K112" s="470"/>
      <c r="L112" s="470"/>
      <c r="M112" s="470"/>
      <c r="N112" s="471"/>
      <c r="P112" s="472"/>
      <c r="Q112" s="471"/>
      <c r="R112" s="9"/>
      <c r="S112" s="686">
        <f>+IF(ENERO!S112=0,"",ENERO!S112)</f>
        <v>2010000</v>
      </c>
      <c r="T112" s="702" t="str">
        <f>+IF(ENERO!T112=0,"",ENERO!T112)</f>
        <v>Gastos de Administración</v>
      </c>
      <c r="U112" s="128">
        <f t="shared" ref="U112:AJ112" si="119">U114+U123+U141</f>
        <v>6052082264</v>
      </c>
      <c r="V112" s="122">
        <f t="shared" si="119"/>
        <v>-10000000</v>
      </c>
      <c r="W112" s="122">
        <f t="shared" si="119"/>
        <v>650000000</v>
      </c>
      <c r="X112" s="130">
        <f t="shared" si="119"/>
        <v>6692082264</v>
      </c>
      <c r="Y112" s="128">
        <f t="shared" si="119"/>
        <v>1720080325</v>
      </c>
      <c r="Z112" s="122">
        <f t="shared" si="119"/>
        <v>377455008</v>
      </c>
      <c r="AA112" s="129">
        <f t="shared" si="119"/>
        <v>2097535333</v>
      </c>
      <c r="AB112" s="128">
        <f t="shared" si="119"/>
        <v>512691137</v>
      </c>
      <c r="AC112" s="122">
        <f t="shared" si="119"/>
        <v>528323796</v>
      </c>
      <c r="AD112" s="130">
        <f t="shared" si="119"/>
        <v>1041014933</v>
      </c>
      <c r="AE112" s="128">
        <f t="shared" si="119"/>
        <v>340984372</v>
      </c>
      <c r="AF112" s="122">
        <f t="shared" si="119"/>
        <v>392529782</v>
      </c>
      <c r="AG112" s="130">
        <f t="shared" si="119"/>
        <v>733514154</v>
      </c>
      <c r="AH112" s="128">
        <f t="shared" si="119"/>
        <v>4594546931</v>
      </c>
      <c r="AI112" s="122">
        <f t="shared" si="119"/>
        <v>5651067331</v>
      </c>
      <c r="AJ112" s="130">
        <f t="shared" si="119"/>
        <v>5958568110</v>
      </c>
      <c r="AK112" s="9"/>
      <c r="AL112" s="128">
        <f>AL114+AL123+AL141</f>
        <v>-10000000</v>
      </c>
      <c r="AM112" s="130">
        <f>AM114+AM123+AM141</f>
        <v>150000000</v>
      </c>
      <c r="AN112" s="9"/>
      <c r="AO112" s="284"/>
      <c r="AP112" s="284"/>
      <c r="AQ112" s="284"/>
      <c r="AR112" s="284"/>
      <c r="AS112" s="284"/>
      <c r="AT112" s="284"/>
      <c r="AU112" s="284"/>
      <c r="AV112" s="284"/>
      <c r="AW112" s="284"/>
      <c r="AX112" s="284"/>
      <c r="AY112" s="284"/>
      <c r="AZ112" s="284"/>
    </row>
    <row r="113" spans="1:52" s="372" customFormat="1" ht="24.95" customHeight="1" thickBot="1">
      <c r="A113" s="711">
        <f>+IF(ENERO!A113=0,"",ENERO!A113)</f>
        <v>2000</v>
      </c>
      <c r="B113" s="623" t="str">
        <f>+IF(ENERO!B113=0,"",ENERO!B113)</f>
        <v>INGRESOS DE CAPITAL</v>
      </c>
      <c r="C113" s="606">
        <f>SUM(C115:C124)</f>
        <v>200295319</v>
      </c>
      <c r="D113" s="607">
        <f>SUM(D115:D124)</f>
        <v>0</v>
      </c>
      <c r="E113" s="607">
        <f t="shared" ref="E113:N113" si="120">SUM(E115:E124)</f>
        <v>2997987</v>
      </c>
      <c r="F113" s="607">
        <f t="shared" si="120"/>
        <v>203293306</v>
      </c>
      <c r="G113" s="607">
        <f t="shared" si="120"/>
        <v>2997987</v>
      </c>
      <c r="H113" s="607">
        <f t="shared" si="120"/>
        <v>8782287</v>
      </c>
      <c r="I113" s="607">
        <f t="shared" si="120"/>
        <v>11780274</v>
      </c>
      <c r="J113" s="607">
        <f t="shared" si="120"/>
        <v>2997987</v>
      </c>
      <c r="K113" s="607">
        <f t="shared" si="120"/>
        <v>8782287</v>
      </c>
      <c r="L113" s="607">
        <f t="shared" si="120"/>
        <v>11780274</v>
      </c>
      <c r="M113" s="607">
        <f t="shared" si="120"/>
        <v>191513032</v>
      </c>
      <c r="N113" s="608">
        <f t="shared" si="120"/>
        <v>191513032</v>
      </c>
      <c r="O113" s="451"/>
      <c r="P113" s="174">
        <f>SUM(P115:P124)</f>
        <v>0</v>
      </c>
      <c r="Q113" s="175">
        <f>SUM(Q115:Q124)</f>
        <v>2997987</v>
      </c>
      <c r="R113" s="9"/>
      <c r="S113" s="356" t="str">
        <f>+IF(ENERO!S113=0,"",ENERO!S113)</f>
        <v/>
      </c>
      <c r="T113" s="678" t="str">
        <f>+IF(ENERO!T113=0,"",ENERO!T113)</f>
        <v/>
      </c>
      <c r="U113" s="357"/>
      <c r="V113" s="161"/>
      <c r="W113" s="161"/>
      <c r="X113" s="166"/>
      <c r="Y113" s="357"/>
      <c r="Z113" s="161"/>
      <c r="AA113" s="161"/>
      <c r="AB113" s="357"/>
      <c r="AC113" s="161"/>
      <c r="AD113" s="166"/>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+IF(ENERO!A114=0,"",ENERO!A114)</f>
        <v/>
      </c>
      <c r="B114" s="636" t="str">
        <f>+IF(ENERO!B114=0,"",ENERO!B114)</f>
        <v/>
      </c>
      <c r="C114" s="470"/>
      <c r="D114" s="470"/>
      <c r="E114" s="470"/>
      <c r="F114" s="470"/>
      <c r="G114" s="470"/>
      <c r="H114" s="470"/>
      <c r="I114" s="470"/>
      <c r="J114" s="470"/>
      <c r="K114" s="470"/>
      <c r="L114" s="470"/>
      <c r="M114" s="470"/>
      <c r="N114" s="471"/>
      <c r="P114" s="472"/>
      <c r="Q114" s="471"/>
      <c r="R114" s="9"/>
      <c r="S114" s="687">
        <f>+IF(ENERO!S114=0,"",ENERO!S114)</f>
        <v>2010100</v>
      </c>
      <c r="T114" s="703" t="str">
        <f>+IF(ENERO!T114=0,"",ENERO!T114)</f>
        <v>Adquisición de bienes</v>
      </c>
      <c r="U114" s="128">
        <f t="shared" ref="U114:AJ114" si="121">SUM(U115:U121)</f>
        <v>2750000000</v>
      </c>
      <c r="V114" s="122">
        <f t="shared" si="121"/>
        <v>-10000000</v>
      </c>
      <c r="W114" s="122">
        <f t="shared" si="121"/>
        <v>400000000</v>
      </c>
      <c r="X114" s="130">
        <f t="shared" si="121"/>
        <v>3140000000</v>
      </c>
      <c r="Y114" s="128">
        <f t="shared" si="121"/>
        <v>236971891</v>
      </c>
      <c r="Z114" s="122">
        <f t="shared" si="121"/>
        <v>256222507</v>
      </c>
      <c r="AA114" s="129">
        <f t="shared" si="121"/>
        <v>493194398</v>
      </c>
      <c r="AB114" s="128">
        <f t="shared" si="121"/>
        <v>219418909</v>
      </c>
      <c r="AC114" s="122">
        <f t="shared" si="121"/>
        <v>231797869</v>
      </c>
      <c r="AD114" s="130">
        <f t="shared" si="121"/>
        <v>451216778</v>
      </c>
      <c r="AE114" s="128">
        <f t="shared" si="121"/>
        <v>198273594</v>
      </c>
      <c r="AF114" s="122">
        <f t="shared" si="121"/>
        <v>216723020</v>
      </c>
      <c r="AG114" s="130">
        <f t="shared" si="121"/>
        <v>414996614</v>
      </c>
      <c r="AH114" s="128">
        <f t="shared" si="121"/>
        <v>2646805602</v>
      </c>
      <c r="AI114" s="122">
        <f t="shared" si="121"/>
        <v>2688783222</v>
      </c>
      <c r="AJ114" s="130">
        <f t="shared" si="121"/>
        <v>2725003386</v>
      </c>
      <c r="AK114" s="9"/>
      <c r="AL114" s="128">
        <f>SUM(AL115:AL121)</f>
        <v>-10000000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+IF(ENERO!A115=0,"",ENERO!A115)</f>
        <v>2100</v>
      </c>
      <c r="B115" s="609" t="str">
        <f>+IF(ENERO!B115=0,"",ENERO!B115)</f>
        <v>CREDITO INTERNO</v>
      </c>
      <c r="C115" s="655">
        <f>+ENERO!C115</f>
        <v>0</v>
      </c>
      <c r="D115" s="454">
        <f>ENERO!D115+FEBRERO!P115</f>
        <v>0</v>
      </c>
      <c r="E115" s="454">
        <f>ENERO!E115+FEBRERO!Q115</f>
        <v>0</v>
      </c>
      <c r="F115" s="458">
        <f t="shared" ref="F115:F124" si="122">SUM(C115:E115)</f>
        <v>0</v>
      </c>
      <c r="G115" s="456">
        <f>ENERO!I115</f>
        <v>0</v>
      </c>
      <c r="H115" s="364">
        <v>0</v>
      </c>
      <c r="I115" s="458">
        <f t="shared" ref="I115:I124" si="123">SUM(G115:H115)</f>
        <v>0</v>
      </c>
      <c r="J115" s="456">
        <f>ENERO!L115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+IF(ENERO!S115=0,"",ENERO!S115)</f>
        <v>2010100-1</v>
      </c>
      <c r="T115" s="704" t="str">
        <f>+IF(ENERO!T115=0,"",ENERO!T115)</f>
        <v>Compra de Equipos</v>
      </c>
      <c r="U115" s="29">
        <f>+ENERO!U115</f>
        <v>2350000000</v>
      </c>
      <c r="V115" s="15">
        <f>ENERO!V115+FEBRERO!AL115</f>
        <v>-10000000</v>
      </c>
      <c r="W115" s="15">
        <f>ENERO!W115+FEBRERO!AM115</f>
        <v>0</v>
      </c>
      <c r="X115" s="16">
        <f t="shared" ref="X115:X121" si="127">SUM(U115:W115)</f>
        <v>2340000000</v>
      </c>
      <c r="Y115" s="19">
        <f>ENERO!AA115</f>
        <v>5236000</v>
      </c>
      <c r="Z115" s="364">
        <v>26963540</v>
      </c>
      <c r="AA115" s="18">
        <f t="shared" ref="AA115:AA121" si="128">SUM(Y115:Z115)</f>
        <v>32199540</v>
      </c>
      <c r="AB115" s="19">
        <f>ENERO!AD115</f>
        <v>5236000</v>
      </c>
      <c r="AC115" s="364">
        <v>1252400</v>
      </c>
      <c r="AD115" s="16">
        <f t="shared" ref="AD115:AD121" si="129">SUM(AB115:AC115)</f>
        <v>6488400</v>
      </c>
      <c r="AE115" s="19">
        <f>ENERO!AG115</f>
        <v>0</v>
      </c>
      <c r="AF115" s="364">
        <v>5236000</v>
      </c>
      <c r="AG115" s="16">
        <f t="shared" ref="AG115:AG121" si="130">SUM(AE115:AF115)</f>
        <v>5236000</v>
      </c>
      <c r="AH115" s="19">
        <f t="shared" ref="AH115:AH121" si="131">X115-AA115</f>
        <v>2307800460</v>
      </c>
      <c r="AI115" s="15">
        <f t="shared" ref="AI115:AI121" si="132">X115-AD115</f>
        <v>2333511600</v>
      </c>
      <c r="AJ115" s="16">
        <f t="shared" ref="AJ115:AJ121" si="133">X115-AG115</f>
        <v>2334764000</v>
      </c>
      <c r="AK115" s="9"/>
      <c r="AL115" s="362">
        <v>-10000000</v>
      </c>
      <c r="AM115" s="365"/>
      <c r="AN115" s="9"/>
      <c r="AO115" s="284"/>
      <c r="AP115" s="284"/>
      <c r="AQ115" s="284"/>
      <c r="AR115" s="284"/>
      <c r="AS115" s="284"/>
      <c r="AT115" s="284"/>
      <c r="AU115" s="284"/>
      <c r="AV115" s="284"/>
      <c r="AW115" s="284"/>
      <c r="AX115" s="284"/>
      <c r="AY115" s="284"/>
      <c r="AZ115" s="284"/>
    </row>
    <row r="116" spans="1:52" s="372" customFormat="1" ht="24.95" customHeight="1">
      <c r="A116" s="723" t="str">
        <f>+IF(ENERO!A116=0,"",ENERO!A116)</f>
        <v>2100-1</v>
      </c>
      <c r="B116" s="610" t="str">
        <f>+IF(ENERO!B116=0,"",ENERO!B116)</f>
        <v>Vigencia Anterior</v>
      </c>
      <c r="C116" s="655">
        <f>+ENERO!C116</f>
        <v>0</v>
      </c>
      <c r="D116" s="454">
        <f>ENERO!D116+FEBRERO!P116</f>
        <v>0</v>
      </c>
      <c r="E116" s="454">
        <f>ENERO!E116+FEBRERO!Q116</f>
        <v>0</v>
      </c>
      <c r="F116" s="458">
        <f t="shared" si="122"/>
        <v>0</v>
      </c>
      <c r="G116" s="456">
        <f>ENERO!I116</f>
        <v>0</v>
      </c>
      <c r="H116" s="364">
        <v>0</v>
      </c>
      <c r="I116" s="458">
        <f t="shared" si="123"/>
        <v>0</v>
      </c>
      <c r="J116" s="456">
        <f>ENERO!L116</f>
        <v>0</v>
      </c>
      <c r="K116" s="364">
        <v>0</v>
      </c>
      <c r="L116" s="455">
        <f t="shared" si="124"/>
        <v>0</v>
      </c>
      <c r="M116" s="459">
        <f t="shared" si="125"/>
        <v>0</v>
      </c>
      <c r="N116" s="455">
        <f t="shared" si="126"/>
        <v>0</v>
      </c>
      <c r="O116" s="451"/>
      <c r="P116" s="362">
        <v>0</v>
      </c>
      <c r="Q116" s="365">
        <v>0</v>
      </c>
      <c r="R116" s="9"/>
      <c r="S116" s="688" t="str">
        <f>+IF(ENERO!S116=0,"",ENERO!S116)</f>
        <v>2010100-2</v>
      </c>
      <c r="T116" s="704" t="str">
        <f>+IF(ENERO!T116=0,"",ENERO!T116)</f>
        <v>Materiales</v>
      </c>
      <c r="U116" s="29">
        <f>+ENERO!U116</f>
        <v>300000000</v>
      </c>
      <c r="V116" s="15">
        <f>ENERO!V116+FEBRERO!AL116</f>
        <v>0</v>
      </c>
      <c r="W116" s="15">
        <f>ENERO!W116+FEBRERO!AM116</f>
        <v>0</v>
      </c>
      <c r="X116" s="16">
        <f t="shared" si="127"/>
        <v>300000000</v>
      </c>
      <c r="Y116" s="19">
        <f>ENERO!AA116</f>
        <v>35938833</v>
      </c>
      <c r="Z116" s="364">
        <v>34763838</v>
      </c>
      <c r="AA116" s="18">
        <f t="shared" si="128"/>
        <v>70702671</v>
      </c>
      <c r="AB116" s="19">
        <f>ENERO!AD116</f>
        <v>18385851</v>
      </c>
      <c r="AC116" s="364">
        <v>36050340</v>
      </c>
      <c r="AD116" s="16">
        <f t="shared" si="129"/>
        <v>54436191</v>
      </c>
      <c r="AE116" s="19">
        <f>ENERO!AG116</f>
        <v>2476536</v>
      </c>
      <c r="AF116" s="364">
        <v>16991891</v>
      </c>
      <c r="AG116" s="16">
        <f t="shared" si="130"/>
        <v>19468427</v>
      </c>
      <c r="AH116" s="19">
        <f t="shared" si="131"/>
        <v>229297329</v>
      </c>
      <c r="AI116" s="15">
        <f t="shared" si="132"/>
        <v>245563809</v>
      </c>
      <c r="AJ116" s="16">
        <f t="shared" si="133"/>
        <v>280531573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+IF(ENERO!A117=0,"",ENERO!A117)</f>
        <v>2200</v>
      </c>
      <c r="B117" s="609" t="str">
        <f>+IF(ENERO!B117=0,"",ENERO!B117)</f>
        <v>CREDITO EXTERNO</v>
      </c>
      <c r="C117" s="655">
        <f>+ENERO!C117</f>
        <v>0</v>
      </c>
      <c r="D117" s="454">
        <f>ENERO!D117+FEBRERO!P117</f>
        <v>0</v>
      </c>
      <c r="E117" s="454">
        <f>ENERO!E117+FEBRERO!Q117</f>
        <v>0</v>
      </c>
      <c r="F117" s="458">
        <f t="shared" si="122"/>
        <v>0</v>
      </c>
      <c r="G117" s="456">
        <f>ENERO!I117</f>
        <v>0</v>
      </c>
      <c r="H117" s="364">
        <v>0</v>
      </c>
      <c r="I117" s="458">
        <f t="shared" si="123"/>
        <v>0</v>
      </c>
      <c r="J117" s="456">
        <f>ENERO!L117</f>
        <v>0</v>
      </c>
      <c r="K117" s="364">
        <v>0</v>
      </c>
      <c r="L117" s="455">
        <f t="shared" si="124"/>
        <v>0</v>
      </c>
      <c r="M117" s="459">
        <f t="shared" si="125"/>
        <v>0</v>
      </c>
      <c r="N117" s="455">
        <f t="shared" si="126"/>
        <v>0</v>
      </c>
      <c r="O117" s="451"/>
      <c r="P117" s="362">
        <v>0</v>
      </c>
      <c r="Q117" s="365">
        <v>0</v>
      </c>
      <c r="R117" s="9"/>
      <c r="S117" s="688" t="str">
        <f>+IF(ENERO!S117=0,"",ENERO!S117)</f>
        <v>2010100-3</v>
      </c>
      <c r="T117" s="704" t="str">
        <f>+IF(ENERO!T117=0,"",ENERO!T117)</f>
        <v>Salud Ocupacional</v>
      </c>
      <c r="U117" s="29">
        <f>+ENERO!U117</f>
        <v>0</v>
      </c>
      <c r="V117" s="15">
        <f>ENERO!V117+FEBRERO!AL117</f>
        <v>0</v>
      </c>
      <c r="W117" s="15">
        <f>ENERO!W117+FEBRERO!AM117</f>
        <v>0</v>
      </c>
      <c r="X117" s="16">
        <f t="shared" si="127"/>
        <v>0</v>
      </c>
      <c r="Y117" s="19">
        <f>ENERO!AA117</f>
        <v>0</v>
      </c>
      <c r="Z117" s="364">
        <v>0</v>
      </c>
      <c r="AA117" s="18">
        <f t="shared" si="128"/>
        <v>0</v>
      </c>
      <c r="AB117" s="19">
        <f>ENERO!AD117</f>
        <v>0</v>
      </c>
      <c r="AC117" s="364">
        <v>0</v>
      </c>
      <c r="AD117" s="16">
        <f t="shared" si="129"/>
        <v>0</v>
      </c>
      <c r="AE117" s="19">
        <f>ENERO!AG117</f>
        <v>0</v>
      </c>
      <c r="AF117" s="364">
        <v>0</v>
      </c>
      <c r="AG117" s="16">
        <f t="shared" si="130"/>
        <v>0</v>
      </c>
      <c r="AH117" s="19">
        <f t="shared" si="131"/>
        <v>0</v>
      </c>
      <c r="AI117" s="15">
        <f t="shared" si="132"/>
        <v>0</v>
      </c>
      <c r="AJ117" s="16">
        <f t="shared" si="133"/>
        <v>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+IF(ENERO!A118=0,"",ENERO!A118)</f>
        <v>2200-1</v>
      </c>
      <c r="B118" s="610" t="str">
        <f>+IF(ENERO!B118=0,"",ENERO!B118)</f>
        <v>Vigencia Anterior</v>
      </c>
      <c r="C118" s="655">
        <f>+ENERO!C118</f>
        <v>0</v>
      </c>
      <c r="D118" s="454">
        <f>ENERO!D118+FEBRERO!P118</f>
        <v>0</v>
      </c>
      <c r="E118" s="454">
        <f>ENERO!E118+FEBRERO!Q118</f>
        <v>0</v>
      </c>
      <c r="F118" s="458">
        <f t="shared" si="122"/>
        <v>0</v>
      </c>
      <c r="G118" s="456">
        <f>ENERO!I118</f>
        <v>0</v>
      </c>
      <c r="H118" s="364">
        <v>0</v>
      </c>
      <c r="I118" s="458">
        <f t="shared" si="123"/>
        <v>0</v>
      </c>
      <c r="J118" s="456">
        <f>ENERO!L118</f>
        <v>0</v>
      </c>
      <c r="K118" s="364">
        <v>0</v>
      </c>
      <c r="L118" s="455">
        <f t="shared" si="124"/>
        <v>0</v>
      </c>
      <c r="M118" s="459">
        <f t="shared" si="125"/>
        <v>0</v>
      </c>
      <c r="N118" s="455">
        <f t="shared" si="126"/>
        <v>0</v>
      </c>
      <c r="O118" s="451"/>
      <c r="P118" s="362">
        <v>0</v>
      </c>
      <c r="Q118" s="365">
        <v>0</v>
      </c>
      <c r="R118" s="9"/>
      <c r="S118" s="688" t="str">
        <f>+IF(ENERO!S118=0,"",ENERO!S118)</f>
        <v>2010100-4</v>
      </c>
      <c r="T118" s="704" t="str">
        <f>+IF(ENERO!T118=0,"",ENERO!T118)</f>
        <v/>
      </c>
      <c r="U118" s="29">
        <f>+ENERO!U118</f>
        <v>0</v>
      </c>
      <c r="V118" s="15">
        <f>ENERO!V118+FEBRERO!AL118</f>
        <v>0</v>
      </c>
      <c r="W118" s="15">
        <f>ENERO!W118+FEBRERO!AM118</f>
        <v>0</v>
      </c>
      <c r="X118" s="16">
        <f t="shared" si="127"/>
        <v>0</v>
      </c>
      <c r="Y118" s="19">
        <f>ENERO!AA118</f>
        <v>0</v>
      </c>
      <c r="Z118" s="364">
        <v>0</v>
      </c>
      <c r="AA118" s="18">
        <f t="shared" si="128"/>
        <v>0</v>
      </c>
      <c r="AB118" s="19">
        <f>ENERO!AD118</f>
        <v>0</v>
      </c>
      <c r="AC118" s="364">
        <v>0</v>
      </c>
      <c r="AD118" s="16">
        <f t="shared" si="129"/>
        <v>0</v>
      </c>
      <c r="AE118" s="19">
        <f>ENERO!AG118</f>
        <v>0</v>
      </c>
      <c r="AF118" s="364">
        <v>0</v>
      </c>
      <c r="AG118" s="16">
        <f t="shared" si="130"/>
        <v>0</v>
      </c>
      <c r="AH118" s="19">
        <f t="shared" si="131"/>
        <v>0</v>
      </c>
      <c r="AI118" s="15">
        <f t="shared" si="132"/>
        <v>0</v>
      </c>
      <c r="AJ118" s="16">
        <f t="shared" si="133"/>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+IF(ENERO!A119=0,"",ENERO!A119)</f>
        <v>2300</v>
      </c>
      <c r="B119" s="609" t="str">
        <f>+IF(ENERO!B119=0,"",ENERO!B119)</f>
        <v>RENDIMIENTOS FINANCIEROS</v>
      </c>
      <c r="C119" s="655">
        <f>+ENERO!C119</f>
        <v>200295319</v>
      </c>
      <c r="D119" s="454">
        <f>ENERO!D119+FEBRERO!P119</f>
        <v>0</v>
      </c>
      <c r="E119" s="454">
        <f>ENERO!E119+FEBRERO!Q119</f>
        <v>0</v>
      </c>
      <c r="F119" s="458">
        <f t="shared" si="122"/>
        <v>200295319</v>
      </c>
      <c r="G119" s="216">
        <f>ENERO!I119</f>
        <v>0</v>
      </c>
      <c r="H119" s="364">
        <v>7262</v>
      </c>
      <c r="I119" s="463">
        <f t="shared" si="123"/>
        <v>7262</v>
      </c>
      <c r="J119" s="216">
        <f>ENERO!L119</f>
        <v>0</v>
      </c>
      <c r="K119" s="364">
        <v>7262</v>
      </c>
      <c r="L119" s="143">
        <f t="shared" si="124"/>
        <v>7262</v>
      </c>
      <c r="M119" s="428">
        <f t="shared" si="125"/>
        <v>200288057</v>
      </c>
      <c r="N119" s="143">
        <f t="shared" si="126"/>
        <v>200288057</v>
      </c>
      <c r="O119" s="451"/>
      <c r="P119" s="362">
        <v>0</v>
      </c>
      <c r="Q119" s="365">
        <v>0</v>
      </c>
      <c r="R119" s="9"/>
      <c r="S119" s="688" t="str">
        <f>+IF(ENERO!S119=0,"",ENERO!S119)</f>
        <v>2010100-5</v>
      </c>
      <c r="T119" s="704" t="str">
        <f>+IF(ENERO!T119=0,"",ENERO!T119)</f>
        <v/>
      </c>
      <c r="U119" s="29">
        <f>+ENERO!U119</f>
        <v>0</v>
      </c>
      <c r="V119" s="15">
        <f>ENERO!V119+FEBRERO!AL119</f>
        <v>0</v>
      </c>
      <c r="W119" s="15">
        <f>ENERO!W119+FEBRERO!AM119</f>
        <v>0</v>
      </c>
      <c r="X119" s="16">
        <f t="shared" si="127"/>
        <v>0</v>
      </c>
      <c r="Y119" s="19">
        <f>ENERO!AA119</f>
        <v>0</v>
      </c>
      <c r="Z119" s="364">
        <v>0</v>
      </c>
      <c r="AA119" s="18">
        <f t="shared" si="128"/>
        <v>0</v>
      </c>
      <c r="AB119" s="19">
        <f>ENERO!AD119</f>
        <v>0</v>
      </c>
      <c r="AC119" s="364">
        <v>0</v>
      </c>
      <c r="AD119" s="16">
        <f t="shared" si="129"/>
        <v>0</v>
      </c>
      <c r="AE119" s="19">
        <f>ENERO!AG119</f>
        <v>0</v>
      </c>
      <c r="AF119" s="364">
        <v>0</v>
      </c>
      <c r="AG119" s="16">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+IF(ENERO!A120=0,"",ENERO!A120)</f>
        <v>2400</v>
      </c>
      <c r="B120" s="610" t="str">
        <f>+IF(ENERO!B120=0,"",ENERO!B120)</f>
        <v>VENTA DE ACTIVOS</v>
      </c>
      <c r="C120" s="655">
        <f>+ENERO!C120</f>
        <v>0</v>
      </c>
      <c r="D120" s="454">
        <f>ENERO!D120+FEBRERO!P120</f>
        <v>0</v>
      </c>
      <c r="E120" s="454">
        <f>ENERO!E120+FEBRERO!Q120</f>
        <v>0</v>
      </c>
      <c r="F120" s="458">
        <f t="shared" si="122"/>
        <v>0</v>
      </c>
      <c r="G120" s="216">
        <f>ENERO!I120</f>
        <v>0</v>
      </c>
      <c r="H120" s="364">
        <v>0</v>
      </c>
      <c r="I120" s="463">
        <f t="shared" si="123"/>
        <v>0</v>
      </c>
      <c r="J120" s="216">
        <f>ENERO!L120</f>
        <v>0</v>
      </c>
      <c r="K120" s="364">
        <v>0</v>
      </c>
      <c r="L120" s="143">
        <f t="shared" si="124"/>
        <v>0</v>
      </c>
      <c r="M120" s="428">
        <f t="shared" si="125"/>
        <v>0</v>
      </c>
      <c r="N120" s="143">
        <f t="shared" si="126"/>
        <v>0</v>
      </c>
      <c r="P120" s="362">
        <v>0</v>
      </c>
      <c r="Q120" s="365">
        <v>0</v>
      </c>
      <c r="R120" s="9"/>
      <c r="S120" s="688" t="str">
        <f>+IF(ENERO!S120=0,"",ENERO!S120)</f>
        <v>2010100-6</v>
      </c>
      <c r="T120" s="704" t="str">
        <f>+IF(ENERO!T120=0,"",ENERO!T120)</f>
        <v/>
      </c>
      <c r="U120" s="29">
        <f>+ENERO!U120</f>
        <v>0</v>
      </c>
      <c r="V120" s="15">
        <f>ENERO!V120+FEBRERO!AL120</f>
        <v>0</v>
      </c>
      <c r="W120" s="15">
        <f>ENERO!W120+FEBRERO!AM120</f>
        <v>0</v>
      </c>
      <c r="X120" s="16">
        <f t="shared" si="127"/>
        <v>0</v>
      </c>
      <c r="Y120" s="19">
        <f>ENERO!AA120</f>
        <v>0</v>
      </c>
      <c r="Z120" s="364">
        <v>0</v>
      </c>
      <c r="AA120" s="18">
        <f t="shared" si="128"/>
        <v>0</v>
      </c>
      <c r="AB120" s="19">
        <f>ENERO!AD120</f>
        <v>0</v>
      </c>
      <c r="AC120" s="364">
        <v>0</v>
      </c>
      <c r="AD120" s="16">
        <f t="shared" si="129"/>
        <v>0</v>
      </c>
      <c r="AE120" s="19">
        <f>ENERO!AG120</f>
        <v>0</v>
      </c>
      <c r="AF120" s="364">
        <v>0</v>
      </c>
      <c r="AG120" s="16">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+IF(ENERO!A121=0,"",ENERO!A121)</f>
        <v>2500</v>
      </c>
      <c r="B121" s="610" t="str">
        <f>+IF(ENERO!B121=0,"",ENERO!B121)</f>
        <v>DONACIONES</v>
      </c>
      <c r="C121" s="655">
        <f>+ENERO!C121</f>
        <v>0</v>
      </c>
      <c r="D121" s="454">
        <f>ENERO!D121+FEBRERO!P121</f>
        <v>0</v>
      </c>
      <c r="E121" s="454">
        <f>ENERO!E121+FEBRERO!Q121</f>
        <v>0</v>
      </c>
      <c r="F121" s="458">
        <f t="shared" si="122"/>
        <v>0</v>
      </c>
      <c r="G121" s="216">
        <f>ENERO!I121</f>
        <v>0</v>
      </c>
      <c r="H121" s="364">
        <v>1500000</v>
      </c>
      <c r="I121" s="463">
        <f t="shared" si="123"/>
        <v>1500000</v>
      </c>
      <c r="J121" s="216">
        <f>ENERO!L121</f>
        <v>0</v>
      </c>
      <c r="K121" s="364">
        <v>1500000</v>
      </c>
      <c r="L121" s="143">
        <f t="shared" si="124"/>
        <v>1500000</v>
      </c>
      <c r="M121" s="428">
        <f t="shared" si="125"/>
        <v>-1500000</v>
      </c>
      <c r="N121" s="143">
        <f t="shared" si="126"/>
        <v>-1500000</v>
      </c>
      <c r="P121" s="362">
        <v>0</v>
      </c>
      <c r="Q121" s="365">
        <v>0</v>
      </c>
      <c r="R121" s="9"/>
      <c r="S121" s="688">
        <f>+IF(ENERO!S121=0,"",ENERO!S121)</f>
        <v>2010199</v>
      </c>
      <c r="T121" s="704" t="str">
        <f>+IF(ENERO!T121=0,"",ENERO!T121)</f>
        <v>Vigencias Anteriores</v>
      </c>
      <c r="U121" s="29">
        <f>+ENERO!U121</f>
        <v>100000000</v>
      </c>
      <c r="V121" s="15">
        <f>ENERO!V121+FEBRERO!AL121</f>
        <v>0</v>
      </c>
      <c r="W121" s="15">
        <f>ENERO!W121+FEBRERO!AM121</f>
        <v>400000000</v>
      </c>
      <c r="X121" s="16">
        <f t="shared" si="127"/>
        <v>500000000</v>
      </c>
      <c r="Y121" s="19">
        <f>ENERO!AA121</f>
        <v>195797058</v>
      </c>
      <c r="Z121" s="364">
        <v>194495129</v>
      </c>
      <c r="AA121" s="18">
        <f t="shared" si="128"/>
        <v>390292187</v>
      </c>
      <c r="AB121" s="19">
        <f>ENERO!AD121</f>
        <v>195797058</v>
      </c>
      <c r="AC121" s="364">
        <v>194495129</v>
      </c>
      <c r="AD121" s="16">
        <f t="shared" si="129"/>
        <v>390292187</v>
      </c>
      <c r="AE121" s="19">
        <f>ENERO!AG121</f>
        <v>195797058</v>
      </c>
      <c r="AF121" s="364">
        <v>194495129</v>
      </c>
      <c r="AG121" s="16">
        <f t="shared" si="130"/>
        <v>390292187</v>
      </c>
      <c r="AH121" s="19">
        <f t="shared" si="131"/>
        <v>109707813</v>
      </c>
      <c r="AI121" s="15">
        <f t="shared" si="132"/>
        <v>109707813</v>
      </c>
      <c r="AJ121" s="16">
        <f t="shared" si="133"/>
        <v>109707813</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+IF(ENERO!A122=0,"",ENERO!A122)</f>
        <v>2600</v>
      </c>
      <c r="B122" s="610" t="str">
        <f>+IF(ENERO!B122=0,"",ENERO!B122)</f>
        <v>RECUPERACIÓN DE CARTERA (AÑO 2017 Y ANTERIORES)</v>
      </c>
      <c r="C122" s="655">
        <f>+ENERO!C122</f>
        <v>0</v>
      </c>
      <c r="D122" s="454">
        <f>ENERO!D122+FEBRERO!P122</f>
        <v>0</v>
      </c>
      <c r="E122" s="454">
        <f>ENERO!E122+FEBRERO!Q122</f>
        <v>0</v>
      </c>
      <c r="F122" s="458">
        <f t="shared" si="122"/>
        <v>0</v>
      </c>
      <c r="G122" s="216">
        <f>ENERO!I122</f>
        <v>0</v>
      </c>
      <c r="H122" s="364">
        <v>0</v>
      </c>
      <c r="I122" s="463">
        <f t="shared" si="123"/>
        <v>0</v>
      </c>
      <c r="J122" s="216">
        <f>ENERO!L122</f>
        <v>0</v>
      </c>
      <c r="K122" s="364">
        <v>0</v>
      </c>
      <c r="L122" s="143">
        <f t="shared" si="124"/>
        <v>0</v>
      </c>
      <c r="M122" s="428">
        <f t="shared" si="125"/>
        <v>0</v>
      </c>
      <c r="N122" s="143">
        <f t="shared" si="126"/>
        <v>0</v>
      </c>
      <c r="P122" s="362">
        <v>0</v>
      </c>
      <c r="Q122" s="365">
        <v>0</v>
      </c>
      <c r="R122" s="9"/>
      <c r="S122" s="356" t="str">
        <f>+IF(ENERO!S122=0,"",ENERO!S122)</f>
        <v/>
      </c>
      <c r="T122" s="678" t="str">
        <f>+IF(ENERO!T122=0,"",ENERO!T122)</f>
        <v/>
      </c>
      <c r="U122" s="357"/>
      <c r="V122" s="161"/>
      <c r="W122" s="161"/>
      <c r="X122" s="166"/>
      <c r="Y122" s="357"/>
      <c r="Z122" s="161"/>
      <c r="AA122" s="161"/>
      <c r="AB122" s="357"/>
      <c r="AC122" s="161"/>
      <c r="AD122" s="166"/>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+IF(ENERO!A123=0,"",ENERO!A123)</f>
        <v>2700</v>
      </c>
      <c r="B123" s="610" t="str">
        <f>+IF(ENERO!B123=0,"",ENERO!B123)</f>
        <v>OTROS INGRESOS DE CAPITAL</v>
      </c>
      <c r="C123" s="655">
        <f>+ENERO!C123</f>
        <v>0</v>
      </c>
      <c r="D123" s="454">
        <f>ENERO!D123+FEBRERO!P123</f>
        <v>0</v>
      </c>
      <c r="E123" s="454">
        <f>ENERO!E123+FEBRERO!Q123</f>
        <v>2997987</v>
      </c>
      <c r="F123" s="458">
        <f t="shared" si="122"/>
        <v>2997987</v>
      </c>
      <c r="G123" s="216">
        <f>ENERO!I123</f>
        <v>2997987</v>
      </c>
      <c r="H123" s="364">
        <v>7275025</v>
      </c>
      <c r="I123" s="463">
        <f t="shared" si="123"/>
        <v>10273012</v>
      </c>
      <c r="J123" s="216">
        <f>ENERO!L123</f>
        <v>2997987</v>
      </c>
      <c r="K123" s="364">
        <v>7275025</v>
      </c>
      <c r="L123" s="143">
        <f t="shared" si="124"/>
        <v>10273012</v>
      </c>
      <c r="M123" s="428">
        <f t="shared" si="125"/>
        <v>-7275025</v>
      </c>
      <c r="N123" s="143">
        <f t="shared" si="126"/>
        <v>-7275025</v>
      </c>
      <c r="P123" s="362">
        <v>0</v>
      </c>
      <c r="Q123" s="365">
        <v>2997987</v>
      </c>
      <c r="R123" s="9"/>
      <c r="S123" s="687">
        <f>+IF(ENERO!S123=0,"",ENERO!S123)</f>
        <v>2010200</v>
      </c>
      <c r="T123" s="703" t="str">
        <f>+IF(ENERO!T123=0,"",ENERO!T123)</f>
        <v>Adquisición de Servicios</v>
      </c>
      <c r="U123" s="128">
        <f t="shared" ref="U123:AJ123" si="134">SUM(U124:U139)</f>
        <v>2775000000</v>
      </c>
      <c r="V123" s="122">
        <f t="shared" si="134"/>
        <v>0</v>
      </c>
      <c r="W123" s="122">
        <f t="shared" si="134"/>
        <v>250000000</v>
      </c>
      <c r="X123" s="130">
        <f t="shared" si="134"/>
        <v>3025000000</v>
      </c>
      <c r="Y123" s="128">
        <f t="shared" si="134"/>
        <v>1389280889</v>
      </c>
      <c r="Z123" s="122">
        <f t="shared" si="134"/>
        <v>121232501</v>
      </c>
      <c r="AA123" s="129">
        <f t="shared" si="134"/>
        <v>1510513390</v>
      </c>
      <c r="AB123" s="128">
        <f t="shared" si="134"/>
        <v>217703101</v>
      </c>
      <c r="AC123" s="122">
        <f t="shared" si="134"/>
        <v>278267509</v>
      </c>
      <c r="AD123" s="130">
        <f t="shared" si="134"/>
        <v>495970610</v>
      </c>
      <c r="AE123" s="128">
        <f t="shared" si="134"/>
        <v>113423508</v>
      </c>
      <c r="AF123" s="122">
        <f t="shared" si="134"/>
        <v>134344029</v>
      </c>
      <c r="AG123" s="130">
        <f t="shared" si="134"/>
        <v>247767537</v>
      </c>
      <c r="AH123" s="128">
        <f t="shared" si="134"/>
        <v>1514486610</v>
      </c>
      <c r="AI123" s="122">
        <f t="shared" si="134"/>
        <v>2529029390</v>
      </c>
      <c r="AJ123" s="130">
        <f t="shared" si="134"/>
        <v>2777232463</v>
      </c>
      <c r="AK123" s="9"/>
      <c r="AL123" s="128">
        <f>SUM(AL124:AL139)</f>
        <v>0</v>
      </c>
      <c r="AM123" s="130">
        <f>SUM(AM124:AM139)</f>
        <v>150000000</v>
      </c>
      <c r="AN123" s="9"/>
      <c r="AO123" s="284"/>
      <c r="AP123" s="284"/>
      <c r="AQ123" s="284"/>
      <c r="AR123" s="284"/>
      <c r="AS123" s="284"/>
      <c r="AT123" s="284"/>
      <c r="AU123" s="284"/>
      <c r="AV123" s="284"/>
      <c r="AW123" s="284"/>
      <c r="AX123" s="284"/>
      <c r="AY123" s="284"/>
      <c r="AZ123" s="284"/>
    </row>
    <row r="124" spans="1:52" s="372" customFormat="1" ht="24.95" customHeight="1" thickBot="1">
      <c r="A124" s="727">
        <f>+IF(ENERO!A124=0,"",ENERO!A124)</f>
        <v>2800</v>
      </c>
      <c r="B124" s="638" t="str">
        <f>+IF(ENERO!B124=0,"",ENERO!B124)</f>
        <v/>
      </c>
      <c r="C124" s="759">
        <f>+ENERO!C124</f>
        <v>0</v>
      </c>
      <c r="D124" s="452">
        <f>ENERO!D124+FEBRERO!P124</f>
        <v>0</v>
      </c>
      <c r="E124" s="452">
        <f>ENERO!E124+FEBRERO!Q124</f>
        <v>0</v>
      </c>
      <c r="F124" s="464">
        <f t="shared" si="122"/>
        <v>0</v>
      </c>
      <c r="G124" s="377">
        <f>ENERO!I124</f>
        <v>0</v>
      </c>
      <c r="H124" s="378">
        <v>0</v>
      </c>
      <c r="I124" s="465">
        <f t="shared" si="123"/>
        <v>0</v>
      </c>
      <c r="J124" s="377">
        <f>ENERO!L124</f>
        <v>0</v>
      </c>
      <c r="K124" s="378">
        <v>0</v>
      </c>
      <c r="L124" s="376">
        <f t="shared" si="124"/>
        <v>0</v>
      </c>
      <c r="M124" s="466">
        <f t="shared" si="125"/>
        <v>0</v>
      </c>
      <c r="N124" s="376">
        <f t="shared" si="126"/>
        <v>0</v>
      </c>
      <c r="P124" s="374">
        <v>0</v>
      </c>
      <c r="Q124" s="379">
        <v>0</v>
      </c>
      <c r="R124" s="9"/>
      <c r="S124" s="688" t="str">
        <f>+IF(ENERO!S124=0,"",ENERO!S124)</f>
        <v>2010200-1</v>
      </c>
      <c r="T124" s="704" t="str">
        <f>+IF(ENERO!T124=0,"",ENERO!T124)</f>
        <v>Seguros</v>
      </c>
      <c r="U124" s="29">
        <f>+ENERO!U124</f>
        <v>3000000</v>
      </c>
      <c r="V124" s="15">
        <f>ENERO!V124+FEBRERO!AL124</f>
        <v>0</v>
      </c>
      <c r="W124" s="15">
        <f>ENERO!W124+FEBRERO!AM124</f>
        <v>0</v>
      </c>
      <c r="X124" s="16">
        <f t="shared" ref="X124:X139" si="135">SUM(U124:W124)</f>
        <v>3000000</v>
      </c>
      <c r="Y124" s="19">
        <f>ENERO!AA124</f>
        <v>0</v>
      </c>
      <c r="Z124" s="364">
        <v>673000</v>
      </c>
      <c r="AA124" s="18">
        <f t="shared" ref="AA124:AA139" si="136">SUM(Y124:Z124)</f>
        <v>673000</v>
      </c>
      <c r="AB124" s="19">
        <f>ENERO!AD124</f>
        <v>0</v>
      </c>
      <c r="AC124" s="364">
        <v>673000</v>
      </c>
      <c r="AD124" s="16">
        <f t="shared" ref="AD124:AD139" si="137">SUM(AB124:AC124)</f>
        <v>673000</v>
      </c>
      <c r="AE124" s="19">
        <f>ENERO!AG124</f>
        <v>0</v>
      </c>
      <c r="AF124" s="364">
        <v>0</v>
      </c>
      <c r="AG124" s="16">
        <f t="shared" ref="AG124:AG139" si="138">SUM(AE124:AF124)</f>
        <v>0</v>
      </c>
      <c r="AH124" s="19">
        <f t="shared" ref="AH124:AH139" si="139">X124-AA124</f>
        <v>2327000</v>
      </c>
      <c r="AI124" s="15">
        <f t="shared" ref="AI124:AI139" si="140">X124-AD124</f>
        <v>2327000</v>
      </c>
      <c r="AJ124" s="16">
        <f t="shared" ref="AJ124:AJ139" si="141">X124-AG124</f>
        <v>3000000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+IF(ENERO!S125=0,"",ENERO!S125)</f>
        <v>2010200-2</v>
      </c>
      <c r="T125" s="704" t="str">
        <f>+IF(ENERO!T125=0,"",ENERO!T125)</f>
        <v>Impresos y Publicaciones</v>
      </c>
      <c r="U125" s="29">
        <f>+ENERO!U125</f>
        <v>25000000</v>
      </c>
      <c r="V125" s="15">
        <f>ENERO!V125+FEBRERO!AL125</f>
        <v>0</v>
      </c>
      <c r="W125" s="15">
        <f>ENERO!W125+FEBRERO!AM125</f>
        <v>0</v>
      </c>
      <c r="X125" s="16">
        <f t="shared" si="135"/>
        <v>25000000</v>
      </c>
      <c r="Y125" s="19">
        <f>ENERO!AA125</f>
        <v>0</v>
      </c>
      <c r="Z125" s="364">
        <v>280000</v>
      </c>
      <c r="AA125" s="18">
        <f t="shared" si="136"/>
        <v>280000</v>
      </c>
      <c r="AB125" s="19">
        <f>ENERO!AD125</f>
        <v>0</v>
      </c>
      <c r="AC125" s="364">
        <v>280000</v>
      </c>
      <c r="AD125" s="16">
        <f t="shared" si="137"/>
        <v>280000</v>
      </c>
      <c r="AE125" s="19">
        <f>ENERO!AG125</f>
        <v>0</v>
      </c>
      <c r="AF125" s="364">
        <v>280000</v>
      </c>
      <c r="AG125" s="16">
        <f t="shared" si="138"/>
        <v>280000</v>
      </c>
      <c r="AH125" s="19">
        <f t="shared" si="139"/>
        <v>24720000</v>
      </c>
      <c r="AI125" s="15">
        <f t="shared" si="140"/>
        <v>24720000</v>
      </c>
      <c r="AJ125" s="16">
        <f t="shared" si="141"/>
        <v>24720000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2">C8-C128</f>
        <v>66420360605</v>
      </c>
      <c r="D126" s="467">
        <f t="shared" si="142"/>
        <v>0</v>
      </c>
      <c r="E126" s="467">
        <f t="shared" si="142"/>
        <v>8164299401</v>
      </c>
      <c r="F126" s="467">
        <f t="shared" si="142"/>
        <v>74584660006</v>
      </c>
      <c r="G126" s="467">
        <f t="shared" si="142"/>
        <v>14396113228</v>
      </c>
      <c r="H126" s="467">
        <f t="shared" si="142"/>
        <v>6644928667</v>
      </c>
      <c r="I126" s="467">
        <f t="shared" si="142"/>
        <v>21041041895</v>
      </c>
      <c r="J126" s="467">
        <f t="shared" si="142"/>
        <v>9980222170</v>
      </c>
      <c r="K126" s="467">
        <f t="shared" si="142"/>
        <v>1068109328</v>
      </c>
      <c r="L126" s="467">
        <f t="shared" si="142"/>
        <v>11048331498</v>
      </c>
      <c r="M126" s="467">
        <f t="shared" si="142"/>
        <v>53543618111</v>
      </c>
      <c r="N126" s="596">
        <f t="shared" si="142"/>
        <v>63536328508</v>
      </c>
      <c r="P126" s="468">
        <f>P8-P128</f>
        <v>0</v>
      </c>
      <c r="Q126" s="469">
        <f>Q8-Q128</f>
        <v>752589871</v>
      </c>
      <c r="R126" s="9"/>
      <c r="S126" s="688" t="str">
        <f>+IF(ENERO!S126=0,"",ENERO!S126)</f>
        <v>2010200-3</v>
      </c>
      <c r="T126" s="704" t="str">
        <f>+IF(ENERO!T126=0,"",ENERO!T126)</f>
        <v xml:space="preserve">Servicios Públicos </v>
      </c>
      <c r="U126" s="29">
        <f>+ENERO!U126</f>
        <v>740000000</v>
      </c>
      <c r="V126" s="15">
        <f>ENERO!V126+FEBRERO!AL126</f>
        <v>0</v>
      </c>
      <c r="W126" s="15">
        <f>ENERO!W126+FEBRERO!AM126</f>
        <v>0</v>
      </c>
      <c r="X126" s="16">
        <f t="shared" si="135"/>
        <v>740000000</v>
      </c>
      <c r="Y126" s="19">
        <f>ENERO!AA126</f>
        <v>101340760</v>
      </c>
      <c r="Z126" s="364">
        <v>60771030</v>
      </c>
      <c r="AA126" s="18">
        <f t="shared" si="136"/>
        <v>162111790</v>
      </c>
      <c r="AB126" s="19">
        <f>ENERO!AD126</f>
        <v>101340760</v>
      </c>
      <c r="AC126" s="364">
        <v>60771030</v>
      </c>
      <c r="AD126" s="16">
        <f t="shared" si="137"/>
        <v>162111790</v>
      </c>
      <c r="AE126" s="19">
        <f>ENERO!AG126</f>
        <v>53459587</v>
      </c>
      <c r="AF126" s="364">
        <v>52257558</v>
      </c>
      <c r="AG126" s="16">
        <f t="shared" si="138"/>
        <v>105717145</v>
      </c>
      <c r="AH126" s="19">
        <f t="shared" si="139"/>
        <v>577888210</v>
      </c>
      <c r="AI126" s="15">
        <f t="shared" si="140"/>
        <v>577888210</v>
      </c>
      <c r="AJ126" s="16">
        <f t="shared" si="141"/>
        <v>634282855</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22"/>
      <c r="B127" s="636"/>
      <c r="C127" s="470"/>
      <c r="D127" s="470"/>
      <c r="E127" s="470"/>
      <c r="F127" s="470"/>
      <c r="G127" s="470"/>
      <c r="H127" s="470"/>
      <c r="I127" s="470"/>
      <c r="J127" s="470"/>
      <c r="K127" s="470"/>
      <c r="L127" s="470"/>
      <c r="M127" s="470"/>
      <c r="N127" s="471"/>
      <c r="P127" s="472"/>
      <c r="Q127" s="471"/>
      <c r="R127" s="9"/>
      <c r="S127" s="688" t="str">
        <f>+IF(ENERO!S127=0,"",ENERO!S127)</f>
        <v>2010200-4</v>
      </c>
      <c r="T127" s="704" t="str">
        <f>+IF(ENERO!T127=0,"",ENERO!T127)</f>
        <v>Comunicaciones y Transportes</v>
      </c>
      <c r="U127" s="29">
        <f>+ENERO!U127</f>
        <v>118000000</v>
      </c>
      <c r="V127" s="15">
        <f>ENERO!V127+FEBRERO!AL127</f>
        <v>0</v>
      </c>
      <c r="W127" s="15">
        <f>ENERO!W127+FEBRERO!AM127</f>
        <v>0</v>
      </c>
      <c r="X127" s="16">
        <f t="shared" si="135"/>
        <v>118000000</v>
      </c>
      <c r="Y127" s="19">
        <f>ENERO!AA127</f>
        <v>43727253</v>
      </c>
      <c r="Z127" s="364">
        <v>2725277</v>
      </c>
      <c r="AA127" s="18">
        <f t="shared" si="136"/>
        <v>46452530</v>
      </c>
      <c r="AB127" s="19">
        <f>ENERO!AD127</f>
        <v>5627253</v>
      </c>
      <c r="AC127" s="364">
        <v>4825277</v>
      </c>
      <c r="AD127" s="16">
        <f t="shared" si="137"/>
        <v>10452530</v>
      </c>
      <c r="AE127" s="19">
        <f>ENERO!AG127</f>
        <v>4909253</v>
      </c>
      <c r="AF127" s="364">
        <v>5543277</v>
      </c>
      <c r="AG127" s="16">
        <f t="shared" si="138"/>
        <v>10452530</v>
      </c>
      <c r="AH127" s="19">
        <f t="shared" si="139"/>
        <v>71547470</v>
      </c>
      <c r="AI127" s="15">
        <f t="shared" si="140"/>
        <v>107547470</v>
      </c>
      <c r="AJ127" s="16">
        <f t="shared" si="141"/>
        <v>107547470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6692690794</v>
      </c>
      <c r="F128" s="473">
        <f>SUMIF($B8:$B$122,$B$24,F8:F122)+F122</f>
        <v>6692690794</v>
      </c>
      <c r="G128" s="473">
        <f>SUMIF($B8:$B$122,$B$24,G8:G122)+G122</f>
        <v>4103647701</v>
      </c>
      <c r="H128" s="473">
        <f>SUMIF($B8:$B$122,$B$24,H8:H122)+H122</f>
        <v>3122252530</v>
      </c>
      <c r="I128" s="473">
        <f>SUMIF($B8:$B$122,$B$24,I8:I122)+I122</f>
        <v>7225900231</v>
      </c>
      <c r="J128" s="473">
        <f>SUMIF($B8:$B$122,$B$24,J8:J122)+J1212</f>
        <v>4103647701</v>
      </c>
      <c r="K128" s="473">
        <f>SUMIF($B8:$B$122,$B$24,K8:K122)+K122</f>
        <v>3122252530</v>
      </c>
      <c r="L128" s="473">
        <f>SUMIF($B8:$B$122,$B$24,L8:L122)+L122</f>
        <v>7225900231</v>
      </c>
      <c r="M128" s="473">
        <f>SUMIF($B8:$B$122,$B$24,M8:M122)+M12</f>
        <v>-533209437</v>
      </c>
      <c r="N128" s="597">
        <f>SUMIF($B8:$B$122,$B$24,N8:N122)+N122</f>
        <v>-533209437</v>
      </c>
      <c r="O128" s="451"/>
      <c r="P128" s="473">
        <f>SUMIF($B8:$B$122,$B$24,P8:P122)+P122</f>
        <v>0</v>
      </c>
      <c r="Q128" s="474">
        <f>SUMIF($B8:$B$122,$B$24,Q8:Q122)+Q122</f>
        <v>3905629020</v>
      </c>
      <c r="R128" s="9"/>
      <c r="S128" s="688" t="str">
        <f>+IF(ENERO!S128=0,"",ENERO!S128)</f>
        <v>2010200-5</v>
      </c>
      <c r="T128" s="704" t="str">
        <f>+IF(ENERO!T128=0,"",ENERO!T128)</f>
        <v>Viáticos y Gastos de Viaje</v>
      </c>
      <c r="U128" s="29">
        <f>+ENERO!U128</f>
        <v>22000000</v>
      </c>
      <c r="V128" s="15">
        <f>ENERO!V128+FEBRERO!AL128</f>
        <v>0</v>
      </c>
      <c r="W128" s="15">
        <f>ENERO!W128+FEBRERO!AM128</f>
        <v>0</v>
      </c>
      <c r="X128" s="16">
        <f t="shared" si="135"/>
        <v>22000000</v>
      </c>
      <c r="Y128" s="19">
        <f>ENERO!AA128</f>
        <v>0</v>
      </c>
      <c r="Z128" s="364">
        <v>1232500</v>
      </c>
      <c r="AA128" s="18">
        <f t="shared" si="136"/>
        <v>1232500</v>
      </c>
      <c r="AB128" s="19">
        <f>ENERO!AD128</f>
        <v>0</v>
      </c>
      <c r="AC128" s="364">
        <v>1232500</v>
      </c>
      <c r="AD128" s="16">
        <f t="shared" si="137"/>
        <v>1232500</v>
      </c>
      <c r="AE128" s="19">
        <f>ENERO!AG128</f>
        <v>0</v>
      </c>
      <c r="AF128" s="364">
        <v>712500</v>
      </c>
      <c r="AG128" s="16">
        <f t="shared" si="138"/>
        <v>712500</v>
      </c>
      <c r="AH128" s="19">
        <f t="shared" si="139"/>
        <v>20767500</v>
      </c>
      <c r="AI128" s="15">
        <f t="shared" si="140"/>
        <v>20767500</v>
      </c>
      <c r="AJ128" s="16">
        <f t="shared" si="141"/>
        <v>21287500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22"/>
      <c r="B129" s="636"/>
      <c r="C129" s="470"/>
      <c r="D129" s="470"/>
      <c r="E129" s="470"/>
      <c r="F129" s="470"/>
      <c r="G129" s="470"/>
      <c r="H129" s="470"/>
      <c r="I129" s="470"/>
      <c r="J129" s="470"/>
      <c r="K129" s="470"/>
      <c r="L129" s="470"/>
      <c r="M129" s="470"/>
      <c r="N129" s="471"/>
      <c r="P129" s="472"/>
      <c r="Q129" s="471"/>
      <c r="R129" s="9"/>
      <c r="S129" s="688" t="str">
        <f>+IF(ENERO!S129=0,"",ENERO!S129)</f>
        <v>2010200-6</v>
      </c>
      <c r="T129" s="704" t="str">
        <f>+IF(ENERO!T129=0,"",ENERO!T129)</f>
        <v>Arrendamientos</v>
      </c>
      <c r="U129" s="29">
        <f>+ENERO!U129</f>
        <v>165000000</v>
      </c>
      <c r="V129" s="15">
        <f>ENERO!V129+FEBRERO!AL129</f>
        <v>0</v>
      </c>
      <c r="W129" s="15">
        <f>ENERO!W129+FEBRERO!AM129</f>
        <v>0</v>
      </c>
      <c r="X129" s="16">
        <f t="shared" si="135"/>
        <v>165000000</v>
      </c>
      <c r="Y129" s="19">
        <f>ENERO!AA129</f>
        <v>130000000</v>
      </c>
      <c r="Z129" s="364">
        <v>-20000000</v>
      </c>
      <c r="AA129" s="18">
        <f t="shared" si="136"/>
        <v>110000000</v>
      </c>
      <c r="AB129" s="19">
        <f>ENERO!AD129</f>
        <v>0</v>
      </c>
      <c r="AC129" s="364">
        <v>21087024</v>
      </c>
      <c r="AD129" s="16">
        <f t="shared" si="137"/>
        <v>21087024</v>
      </c>
      <c r="AE129" s="19">
        <f>ENERO!AG129</f>
        <v>0</v>
      </c>
      <c r="AF129" s="364">
        <v>0</v>
      </c>
      <c r="AG129" s="16">
        <f t="shared" si="138"/>
        <v>0</v>
      </c>
      <c r="AH129" s="19">
        <f t="shared" si="139"/>
        <v>55000000</v>
      </c>
      <c r="AI129" s="15">
        <f t="shared" si="140"/>
        <v>143912976</v>
      </c>
      <c r="AJ129" s="16">
        <f t="shared" si="141"/>
        <v>165000000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3">C128+C126</f>
        <v>66420360605</v>
      </c>
      <c r="D130" s="476">
        <f t="shared" si="143"/>
        <v>0</v>
      </c>
      <c r="E130" s="476">
        <f t="shared" si="143"/>
        <v>14856990195</v>
      </c>
      <c r="F130" s="477">
        <f t="shared" si="143"/>
        <v>81277350800</v>
      </c>
      <c r="G130" s="475">
        <f t="shared" si="143"/>
        <v>18499760929</v>
      </c>
      <c r="H130" s="476">
        <f t="shared" si="143"/>
        <v>9767181197</v>
      </c>
      <c r="I130" s="477">
        <f t="shared" si="143"/>
        <v>28266942126</v>
      </c>
      <c r="J130" s="475">
        <f t="shared" si="143"/>
        <v>14083869871</v>
      </c>
      <c r="K130" s="476">
        <f t="shared" si="143"/>
        <v>4190361858</v>
      </c>
      <c r="L130" s="477">
        <f t="shared" si="143"/>
        <v>18274231729</v>
      </c>
      <c r="M130" s="475">
        <f t="shared" si="143"/>
        <v>53010408674</v>
      </c>
      <c r="N130" s="477">
        <f t="shared" si="143"/>
        <v>63003119071</v>
      </c>
      <c r="P130" s="468">
        <f>P128+P126</f>
        <v>0</v>
      </c>
      <c r="Q130" s="469">
        <f>Q128+Q126</f>
        <v>4658218891</v>
      </c>
      <c r="R130" s="9"/>
      <c r="S130" s="688" t="str">
        <f>+IF(ENERO!S130=0,"",ENERO!S130)</f>
        <v>2010200-7</v>
      </c>
      <c r="T130" s="704" t="str">
        <f>+IF(ENERO!T130=0,"",ENERO!T130)</f>
        <v>Vigilancia y Aseo</v>
      </c>
      <c r="U130" s="29">
        <f>+ENERO!U130</f>
        <v>1086000000</v>
      </c>
      <c r="V130" s="15">
        <f>ENERO!V130+FEBRERO!AL130</f>
        <v>0</v>
      </c>
      <c r="W130" s="15">
        <f>ENERO!W130+FEBRERO!AM130</f>
        <v>0</v>
      </c>
      <c r="X130" s="16">
        <f t="shared" si="135"/>
        <v>1086000000</v>
      </c>
      <c r="Y130" s="19">
        <f>ENERO!AA130</f>
        <v>1027184608</v>
      </c>
      <c r="Z130" s="364">
        <v>0</v>
      </c>
      <c r="AA130" s="18">
        <f t="shared" si="136"/>
        <v>1027184608</v>
      </c>
      <c r="AB130" s="19">
        <f>ENERO!AD130</f>
        <v>55780420</v>
      </c>
      <c r="AC130" s="364">
        <v>81774384</v>
      </c>
      <c r="AD130" s="16">
        <f t="shared" si="137"/>
        <v>137554804</v>
      </c>
      <c r="AE130" s="19">
        <f>ENERO!AG130</f>
        <v>100000</v>
      </c>
      <c r="AF130" s="364">
        <v>0</v>
      </c>
      <c r="AG130" s="16">
        <f t="shared" si="138"/>
        <v>100000</v>
      </c>
      <c r="AH130" s="19">
        <f t="shared" si="139"/>
        <v>58815392</v>
      </c>
      <c r="AI130" s="15">
        <f t="shared" si="140"/>
        <v>948445196</v>
      </c>
      <c r="AJ130" s="16">
        <f t="shared" si="141"/>
        <v>1085900000</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+IF(ENERO!S131=0,"",ENERO!S131)</f>
        <v>2010200-8</v>
      </c>
      <c r="T131" s="704" t="str">
        <f>+IF(ENERO!T131=0,"",ENERO!T131)</f>
        <v>Bienestar Social</v>
      </c>
      <c r="U131" s="29">
        <f>+ENERO!U131</f>
        <v>100000000</v>
      </c>
      <c r="V131" s="15">
        <f>ENERO!V131+FEBRERO!AL131</f>
        <v>0</v>
      </c>
      <c r="W131" s="15">
        <f>ENERO!W131+FEBRERO!AM131</f>
        <v>0</v>
      </c>
      <c r="X131" s="16">
        <f t="shared" si="135"/>
        <v>100000000</v>
      </c>
      <c r="Y131" s="19">
        <f>ENERO!AA131</f>
        <v>0</v>
      </c>
      <c r="Z131" s="364">
        <v>0</v>
      </c>
      <c r="AA131" s="18">
        <f t="shared" si="136"/>
        <v>0</v>
      </c>
      <c r="AB131" s="19">
        <f>ENERO!AD131</f>
        <v>0</v>
      </c>
      <c r="AC131" s="364">
        <v>0</v>
      </c>
      <c r="AD131" s="16">
        <f t="shared" si="137"/>
        <v>0</v>
      </c>
      <c r="AE131" s="19">
        <f>ENERO!AG131</f>
        <v>0</v>
      </c>
      <c r="AF131" s="364">
        <v>0</v>
      </c>
      <c r="AG131" s="16">
        <f t="shared" si="138"/>
        <v>0</v>
      </c>
      <c r="AH131" s="19">
        <f t="shared" si="139"/>
        <v>100000000</v>
      </c>
      <c r="AI131" s="15">
        <f t="shared" si="140"/>
        <v>100000000</v>
      </c>
      <c r="AJ131" s="16">
        <f t="shared" si="141"/>
        <v>100000000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+IF(ENERO!S132=0,"",ENERO!S132)</f>
        <v>2010200-9</v>
      </c>
      <c r="T132" s="704" t="str">
        <f>+IF(ENERO!T132=0,"",ENERO!T132)</f>
        <v>Capacitación, estimulos, incentivos, programa de calidad</v>
      </c>
      <c r="U132" s="29">
        <f>+ENERO!U132</f>
        <v>50000000</v>
      </c>
      <c r="V132" s="15">
        <f>ENERO!V132+FEBRERO!AL132</f>
        <v>0</v>
      </c>
      <c r="W132" s="15">
        <f>ENERO!W132+FEBRERO!AM132</f>
        <v>0</v>
      </c>
      <c r="X132" s="16">
        <f t="shared" si="135"/>
        <v>50000000</v>
      </c>
      <c r="Y132" s="19">
        <f>ENERO!AA132</f>
        <v>0</v>
      </c>
      <c r="Z132" s="364">
        <v>0</v>
      </c>
      <c r="AA132" s="18">
        <f t="shared" si="136"/>
        <v>0</v>
      </c>
      <c r="AB132" s="19">
        <f>ENERO!AD132</f>
        <v>0</v>
      </c>
      <c r="AC132" s="364">
        <v>0</v>
      </c>
      <c r="AD132" s="16">
        <f t="shared" si="137"/>
        <v>0</v>
      </c>
      <c r="AE132" s="19">
        <f>ENERO!AG132</f>
        <v>0</v>
      </c>
      <c r="AF132" s="364">
        <v>0</v>
      </c>
      <c r="AG132" s="16">
        <f t="shared" si="138"/>
        <v>0</v>
      </c>
      <c r="AH132" s="19">
        <f t="shared" si="139"/>
        <v>50000000</v>
      </c>
      <c r="AI132" s="15">
        <f t="shared" si="140"/>
        <v>50000000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+IF(ENERO!S133=0,"",ENERO!S133)</f>
        <v>2010200-10</v>
      </c>
      <c r="T133" s="704" t="str">
        <f>+IF(ENERO!T133=0,"",ENERO!T133)</f>
        <v>Pagos otras IPS</v>
      </c>
      <c r="U133" s="29">
        <f>+ENERO!U133</f>
        <v>0</v>
      </c>
      <c r="V133" s="15">
        <f>ENERO!V133+FEBRERO!AL133</f>
        <v>0</v>
      </c>
      <c r="W133" s="15">
        <f>ENERO!W133+FEBRERO!AM133</f>
        <v>0</v>
      </c>
      <c r="X133" s="16">
        <f t="shared" si="135"/>
        <v>0</v>
      </c>
      <c r="Y133" s="19">
        <f>ENERO!AA133</f>
        <v>0</v>
      </c>
      <c r="Z133" s="364">
        <v>0</v>
      </c>
      <c r="AA133" s="18">
        <f t="shared" si="136"/>
        <v>0</v>
      </c>
      <c r="AB133" s="19">
        <f>ENERO!AD133</f>
        <v>0</v>
      </c>
      <c r="AC133" s="364">
        <v>0</v>
      </c>
      <c r="AD133" s="16">
        <f t="shared" si="137"/>
        <v>0</v>
      </c>
      <c r="AE133" s="19">
        <f>ENERO!AG133</f>
        <v>0</v>
      </c>
      <c r="AF133" s="364">
        <v>0</v>
      </c>
      <c r="AG133" s="16">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+IF(ENERO!S134=0,"",ENERO!S134)</f>
        <v>2010200-11</v>
      </c>
      <c r="T134" s="704" t="str">
        <f>+IF(ENERO!T134=0,"",ENERO!T134)</f>
        <v>Gastos financieros</v>
      </c>
      <c r="U134" s="29">
        <f>+ENERO!U134</f>
        <v>16000000</v>
      </c>
      <c r="V134" s="15">
        <f>ENERO!V134+FEBRERO!AL134</f>
        <v>0</v>
      </c>
      <c r="W134" s="15">
        <f>ENERO!W134+FEBRERO!AM134</f>
        <v>0</v>
      </c>
      <c r="X134" s="16">
        <f t="shared" si="135"/>
        <v>16000000</v>
      </c>
      <c r="Y134" s="19">
        <f>ENERO!AA134</f>
        <v>0</v>
      </c>
      <c r="Z134" s="364">
        <v>3034147</v>
      </c>
      <c r="AA134" s="18">
        <f t="shared" si="136"/>
        <v>3034147</v>
      </c>
      <c r="AB134" s="19">
        <f>ENERO!AD134</f>
        <v>0</v>
      </c>
      <c r="AC134" s="364">
        <v>3034147</v>
      </c>
      <c r="AD134" s="16">
        <f t="shared" si="137"/>
        <v>3034147</v>
      </c>
      <c r="AE134" s="19">
        <f>ENERO!AG134</f>
        <v>0</v>
      </c>
      <c r="AF134" s="364">
        <v>3034147</v>
      </c>
      <c r="AG134" s="16">
        <f t="shared" si="138"/>
        <v>3034147</v>
      </c>
      <c r="AH134" s="19">
        <f t="shared" si="139"/>
        <v>12965853</v>
      </c>
      <c r="AI134" s="15">
        <f t="shared" si="140"/>
        <v>12965853</v>
      </c>
      <c r="AJ134" s="16">
        <f t="shared" si="141"/>
        <v>12965853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+IF(ENERO!S135=0,"",ENERO!S135)</f>
        <v>2010200-12</v>
      </c>
      <c r="T135" s="704" t="str">
        <f>+IF(ENERO!T135=0,"",ENERO!T135)</f>
        <v>Mantenimiento de software</v>
      </c>
      <c r="U135" s="29">
        <f>+ENERO!U135</f>
        <v>350000000</v>
      </c>
      <c r="V135" s="15">
        <f>ENERO!V135+FEBRERO!AL135</f>
        <v>0</v>
      </c>
      <c r="W135" s="15">
        <f>ENERO!W135+FEBRERO!AM135</f>
        <v>0</v>
      </c>
      <c r="X135" s="16">
        <f t="shared" si="135"/>
        <v>350000000</v>
      </c>
      <c r="Y135" s="19">
        <f>ENERO!AA135</f>
        <v>32073600</v>
      </c>
      <c r="Z135" s="364">
        <v>0</v>
      </c>
      <c r="AA135" s="18">
        <f t="shared" si="136"/>
        <v>32073600</v>
      </c>
      <c r="AB135" s="19">
        <f>ENERO!AD135</f>
        <v>0</v>
      </c>
      <c r="AC135" s="364">
        <v>32073600</v>
      </c>
      <c r="AD135" s="16">
        <f t="shared" si="137"/>
        <v>32073600</v>
      </c>
      <c r="AE135" s="19">
        <f>ENERO!AG135</f>
        <v>0</v>
      </c>
      <c r="AF135" s="364">
        <v>0</v>
      </c>
      <c r="AG135" s="16">
        <f t="shared" si="138"/>
        <v>0</v>
      </c>
      <c r="AH135" s="19">
        <f t="shared" si="139"/>
        <v>317926400</v>
      </c>
      <c r="AI135" s="15">
        <f t="shared" si="140"/>
        <v>317926400</v>
      </c>
      <c r="AJ135" s="16">
        <f t="shared" si="141"/>
        <v>350000000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+IF(ENERO!S136=0,"",ENERO!S136)</f>
        <v>2010200-13</v>
      </c>
      <c r="T136" s="704" t="str">
        <f>+IF(ENERO!T136=0,"",ENERO!T136)</f>
        <v/>
      </c>
      <c r="U136" s="29">
        <f>+ENERO!U136</f>
        <v>0</v>
      </c>
      <c r="V136" s="15">
        <f>ENERO!V136+FEBRERO!AL136</f>
        <v>0</v>
      </c>
      <c r="W136" s="15">
        <f>ENERO!W136+FEBRERO!AM136</f>
        <v>0</v>
      </c>
      <c r="X136" s="16">
        <f t="shared" si="135"/>
        <v>0</v>
      </c>
      <c r="Y136" s="19">
        <f>ENERO!AA136</f>
        <v>0</v>
      </c>
      <c r="Z136" s="364">
        <v>0</v>
      </c>
      <c r="AA136" s="18">
        <f t="shared" si="136"/>
        <v>0</v>
      </c>
      <c r="AB136" s="19">
        <f>ENERO!AD136</f>
        <v>0</v>
      </c>
      <c r="AC136" s="364">
        <v>0</v>
      </c>
      <c r="AD136" s="16">
        <f t="shared" si="137"/>
        <v>0</v>
      </c>
      <c r="AE136" s="19">
        <f>ENERO!AG136</f>
        <v>0</v>
      </c>
      <c r="AF136" s="364">
        <v>0</v>
      </c>
      <c r="AG136" s="16">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+IF(ENERO!S137=0,"",ENERO!S137)</f>
        <v>2010020-14</v>
      </c>
      <c r="T137" s="704" t="str">
        <f>+IF(ENERO!T137=0,"",ENERO!T137)</f>
        <v/>
      </c>
      <c r="U137" s="29">
        <f>+ENERO!U137</f>
        <v>0</v>
      </c>
      <c r="V137" s="15">
        <f>ENERO!V137+FEBRERO!AL137</f>
        <v>0</v>
      </c>
      <c r="W137" s="15">
        <f>ENERO!W137+FEBRERO!AM137</f>
        <v>0</v>
      </c>
      <c r="X137" s="16">
        <f t="shared" si="135"/>
        <v>0</v>
      </c>
      <c r="Y137" s="19">
        <f>ENERO!AA137</f>
        <v>0</v>
      </c>
      <c r="Z137" s="364">
        <v>0</v>
      </c>
      <c r="AA137" s="18">
        <f t="shared" si="136"/>
        <v>0</v>
      </c>
      <c r="AB137" s="19">
        <f>ENERO!AD137</f>
        <v>0</v>
      </c>
      <c r="AC137" s="364">
        <v>0</v>
      </c>
      <c r="AD137" s="16">
        <f t="shared" si="137"/>
        <v>0</v>
      </c>
      <c r="AE137" s="19">
        <f>ENERO!AG137</f>
        <v>0</v>
      </c>
      <c r="AF137" s="364">
        <v>0</v>
      </c>
      <c r="AG137" s="16">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+IF(ENERO!S138=0,"",ENERO!S138)</f>
        <v>2010200-15</v>
      </c>
      <c r="T138" s="704" t="str">
        <f>+IF(ENERO!T138=0,"",ENERO!T138)</f>
        <v/>
      </c>
      <c r="U138" s="29">
        <f>+ENERO!U138</f>
        <v>0</v>
      </c>
      <c r="V138" s="15">
        <f>ENERO!V138+FEBRERO!AL138</f>
        <v>0</v>
      </c>
      <c r="W138" s="15">
        <f>ENERO!W138+FEBRERO!AM138</f>
        <v>0</v>
      </c>
      <c r="X138" s="16">
        <f t="shared" si="135"/>
        <v>0</v>
      </c>
      <c r="Y138" s="19">
        <f>ENERO!AA138</f>
        <v>0</v>
      </c>
      <c r="Z138" s="364">
        <v>0</v>
      </c>
      <c r="AA138" s="18">
        <f t="shared" si="136"/>
        <v>0</v>
      </c>
      <c r="AB138" s="19">
        <f>ENERO!AD138</f>
        <v>0</v>
      </c>
      <c r="AC138" s="364">
        <v>0</v>
      </c>
      <c r="AD138" s="16">
        <f t="shared" si="137"/>
        <v>0</v>
      </c>
      <c r="AE138" s="19">
        <f>ENERO!AG138</f>
        <v>0</v>
      </c>
      <c r="AF138" s="364">
        <v>0</v>
      </c>
      <c r="AG138" s="16">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+IF(ENERO!S139=0,"",ENERO!S139)</f>
        <v>2010299</v>
      </c>
      <c r="T139" s="704" t="str">
        <f>+IF(ENERO!T139=0,"",ENERO!T139)</f>
        <v>Vigencias Anteriores</v>
      </c>
      <c r="U139" s="29">
        <f>+ENERO!U139</f>
        <v>100000000</v>
      </c>
      <c r="V139" s="15">
        <f>ENERO!V139+FEBRERO!AL139</f>
        <v>0</v>
      </c>
      <c r="W139" s="15">
        <f>ENERO!W139+FEBRERO!AM139</f>
        <v>250000000</v>
      </c>
      <c r="X139" s="16">
        <f t="shared" si="135"/>
        <v>350000000</v>
      </c>
      <c r="Y139" s="19">
        <f>ENERO!AA139</f>
        <v>54954668</v>
      </c>
      <c r="Z139" s="364">
        <v>72516547</v>
      </c>
      <c r="AA139" s="18">
        <f t="shared" si="136"/>
        <v>127471215</v>
      </c>
      <c r="AB139" s="19">
        <f>ENERO!AD139</f>
        <v>54954668</v>
      </c>
      <c r="AC139" s="364">
        <v>72516547</v>
      </c>
      <c r="AD139" s="16">
        <f t="shared" si="137"/>
        <v>127471215</v>
      </c>
      <c r="AE139" s="19">
        <f>ENERO!AG139</f>
        <v>54954668</v>
      </c>
      <c r="AF139" s="364">
        <v>72516547</v>
      </c>
      <c r="AG139" s="16">
        <f t="shared" si="138"/>
        <v>127471215</v>
      </c>
      <c r="AH139" s="19">
        <f t="shared" si="139"/>
        <v>222528785</v>
      </c>
      <c r="AI139" s="15">
        <f t="shared" si="140"/>
        <v>222528785</v>
      </c>
      <c r="AJ139" s="16">
        <f t="shared" si="141"/>
        <v>222528785</v>
      </c>
      <c r="AK139" s="9"/>
      <c r="AL139" s="362">
        <v>0</v>
      </c>
      <c r="AM139" s="365">
        <v>150000000</v>
      </c>
      <c r="AN139" s="9"/>
      <c r="AO139" s="284"/>
      <c r="AP139" s="284"/>
      <c r="AQ139" s="284"/>
    </row>
    <row r="140" spans="1:52" s="372" customFormat="1" ht="24.95" customHeight="1">
      <c r="A140" s="734"/>
      <c r="B140" s="643"/>
      <c r="N140" s="9"/>
      <c r="R140" s="9"/>
      <c r="S140" s="356" t="str">
        <f>+IF(ENERO!S140=0,"",ENERO!S140)</f>
        <v/>
      </c>
      <c r="T140" s="678" t="str">
        <f>+IF(ENERO!T140=0,"",ENERO!T140)</f>
        <v/>
      </c>
      <c r="U140" s="357"/>
      <c r="V140" s="161"/>
      <c r="W140" s="161"/>
      <c r="X140" s="166"/>
      <c r="Y140" s="357"/>
      <c r="Z140" s="161"/>
      <c r="AA140" s="161"/>
      <c r="AB140" s="357"/>
      <c r="AC140" s="161"/>
      <c r="AD140" s="166"/>
      <c r="AE140" s="357"/>
      <c r="AF140" s="161"/>
      <c r="AG140" s="166"/>
      <c r="AH140" s="357"/>
      <c r="AI140" s="161"/>
      <c r="AJ140" s="166"/>
      <c r="AK140" s="10"/>
      <c r="AL140" s="172"/>
      <c r="AM140" s="173"/>
      <c r="AN140" s="9"/>
    </row>
    <row r="141" spans="1:52" s="372" customFormat="1" ht="24.95" customHeight="1">
      <c r="A141" s="734"/>
      <c r="B141" s="643"/>
      <c r="N141" s="9"/>
      <c r="R141" s="9"/>
      <c r="S141" s="687">
        <f>+IF(ENERO!S141=0,"",ENERO!S141)</f>
        <v>2010300</v>
      </c>
      <c r="T141" s="703" t="str">
        <f>+IF(ENERO!T141=0,"",ENERO!T141)</f>
        <v>Impuestos y Multas</v>
      </c>
      <c r="U141" s="128">
        <f t="shared" ref="U141:AJ141" si="144">U142+U143</f>
        <v>527082264</v>
      </c>
      <c r="V141" s="122">
        <f t="shared" si="144"/>
        <v>0</v>
      </c>
      <c r="W141" s="122">
        <f t="shared" si="144"/>
        <v>0</v>
      </c>
      <c r="X141" s="130">
        <f t="shared" si="144"/>
        <v>527082264</v>
      </c>
      <c r="Y141" s="128">
        <f t="shared" si="144"/>
        <v>93827545</v>
      </c>
      <c r="Z141" s="122">
        <f t="shared" si="144"/>
        <v>0</v>
      </c>
      <c r="AA141" s="129">
        <f t="shared" si="144"/>
        <v>93827545</v>
      </c>
      <c r="AB141" s="128">
        <f t="shared" si="144"/>
        <v>75569127</v>
      </c>
      <c r="AC141" s="122">
        <f t="shared" si="144"/>
        <v>18258418</v>
      </c>
      <c r="AD141" s="130">
        <f t="shared" si="144"/>
        <v>93827545</v>
      </c>
      <c r="AE141" s="128">
        <f t="shared" si="144"/>
        <v>29287270</v>
      </c>
      <c r="AF141" s="122">
        <f t="shared" si="144"/>
        <v>41462733</v>
      </c>
      <c r="AG141" s="130">
        <f t="shared" si="144"/>
        <v>70750003</v>
      </c>
      <c r="AH141" s="128">
        <f t="shared" si="144"/>
        <v>433254719</v>
      </c>
      <c r="AI141" s="122">
        <f t="shared" si="144"/>
        <v>433254719</v>
      </c>
      <c r="AJ141" s="130">
        <f t="shared" si="144"/>
        <v>456332261</v>
      </c>
      <c r="AK141" s="10"/>
      <c r="AL141" s="128">
        <f>AL142+AL143</f>
        <v>0</v>
      </c>
      <c r="AM141" s="130">
        <f>AM142+AM143</f>
        <v>0</v>
      </c>
      <c r="AN141" s="9"/>
    </row>
    <row r="142" spans="1:52" s="372" customFormat="1" ht="24.95" customHeight="1">
      <c r="A142" s="734"/>
      <c r="B142" s="643"/>
      <c r="N142" s="9"/>
      <c r="R142" s="9"/>
      <c r="S142" s="688" t="str">
        <f>+IF(ENERO!S142=0,"",ENERO!S142)</f>
        <v>2010300-1</v>
      </c>
      <c r="T142" s="704" t="str">
        <f>+IF(ENERO!T142=0,"",ENERO!T142)</f>
        <v>Impuestos (Predial, Vehiculos, Otros)</v>
      </c>
      <c r="U142" s="29">
        <f>+ENERO!U142</f>
        <v>527082264</v>
      </c>
      <c r="V142" s="15">
        <f>ENERO!V142+FEBRERO!AL142</f>
        <v>0</v>
      </c>
      <c r="W142" s="15">
        <f>ENERO!W142+FEBRERO!AM142</f>
        <v>0</v>
      </c>
      <c r="X142" s="16">
        <f>SUM(U142:W142)</f>
        <v>527082264</v>
      </c>
      <c r="Y142" s="19">
        <f>ENERO!AA142</f>
        <v>93827545</v>
      </c>
      <c r="Z142" s="364">
        <v>0</v>
      </c>
      <c r="AA142" s="18">
        <f>SUM(Y142:Z142)</f>
        <v>93827545</v>
      </c>
      <c r="AB142" s="19">
        <f>ENERO!AD142</f>
        <v>75569127</v>
      </c>
      <c r="AC142" s="364">
        <v>18258418</v>
      </c>
      <c r="AD142" s="16">
        <f>SUM(AB142:AC142)</f>
        <v>93827545</v>
      </c>
      <c r="AE142" s="19">
        <f>ENERO!AG142</f>
        <v>29287270</v>
      </c>
      <c r="AF142" s="364">
        <v>41462733</v>
      </c>
      <c r="AG142" s="16">
        <f>SUM(AE142:AF142)</f>
        <v>70750003</v>
      </c>
      <c r="AH142" s="19">
        <f>X142-AA142</f>
        <v>433254719</v>
      </c>
      <c r="AI142" s="15">
        <f>X142-AD142</f>
        <v>433254719</v>
      </c>
      <c r="AJ142" s="16">
        <f>X142-AG142</f>
        <v>456332261</v>
      </c>
      <c r="AK142" s="9"/>
      <c r="AL142" s="362">
        <v>0</v>
      </c>
      <c r="AM142" s="365">
        <v>0</v>
      </c>
      <c r="AN142" s="9"/>
    </row>
    <row r="143" spans="1:52" s="372" customFormat="1" ht="24.95" customHeight="1">
      <c r="A143" s="734"/>
      <c r="B143" s="643"/>
      <c r="N143" s="9"/>
      <c r="R143" s="9"/>
      <c r="S143" s="688">
        <f>+IF(ENERO!S143=0,"",ENERO!S143)</f>
        <v>2010399</v>
      </c>
      <c r="T143" s="704" t="str">
        <f>+IF(ENERO!T143=0,"",ENERO!T143)</f>
        <v>Vigencias Anteriores</v>
      </c>
      <c r="U143" s="29">
        <f>+ENERO!U143</f>
        <v>0</v>
      </c>
      <c r="V143" s="15">
        <f>ENERO!V143+FEBRERO!AL143</f>
        <v>0</v>
      </c>
      <c r="W143" s="15">
        <f>ENERO!W143+FEBRERO!AM143</f>
        <v>0</v>
      </c>
      <c r="X143" s="16">
        <f>SUM(U143:W143)</f>
        <v>0</v>
      </c>
      <c r="Y143" s="19">
        <f>ENERO!AA143</f>
        <v>0</v>
      </c>
      <c r="Z143" s="364">
        <v>0</v>
      </c>
      <c r="AA143" s="18">
        <f>SUM(Y143:Z143)</f>
        <v>0</v>
      </c>
      <c r="AB143" s="19">
        <f>ENERO!AD143</f>
        <v>0</v>
      </c>
      <c r="AC143" s="364">
        <v>0</v>
      </c>
      <c r="AD143" s="16">
        <f>SUM(AB143:AC143)</f>
        <v>0</v>
      </c>
      <c r="AE143" s="19">
        <f>ENERO!AG143</f>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+IF(ENERO!S144=0,"",ENERO!S144)</f>
        <v/>
      </c>
      <c r="T144" s="678" t="str">
        <f>+IF(ENERO!T144=0,"",ENERO!T144)</f>
        <v/>
      </c>
      <c r="U144" s="357"/>
      <c r="V144" s="161"/>
      <c r="W144" s="161"/>
      <c r="X144" s="166"/>
      <c r="Y144" s="357"/>
      <c r="Z144" s="161"/>
      <c r="AA144" s="161"/>
      <c r="AB144" s="357"/>
      <c r="AC144" s="161"/>
      <c r="AD144" s="166"/>
      <c r="AE144" s="357"/>
      <c r="AF144" s="161"/>
      <c r="AG144" s="166"/>
      <c r="AH144" s="357"/>
      <c r="AI144" s="161"/>
      <c r="AJ144" s="166"/>
      <c r="AK144" s="9"/>
      <c r="AL144" s="172"/>
      <c r="AM144" s="173"/>
      <c r="AN144" s="9"/>
    </row>
    <row r="145" spans="1:40" s="372" customFormat="1" ht="24.95" customHeight="1">
      <c r="A145" s="734"/>
      <c r="B145" s="643"/>
      <c r="N145" s="9"/>
      <c r="R145" s="9"/>
      <c r="S145" s="686">
        <f>+IF(ENERO!S145=0,"",ENERO!S145)</f>
        <v>2020010</v>
      </c>
      <c r="T145" s="702" t="str">
        <f>+IF(ENERO!T145=0,"",ENERO!T145)</f>
        <v>Gastos de Operación</v>
      </c>
      <c r="U145" s="128">
        <f t="shared" ref="U145:AJ145" si="145">U147+U155</f>
        <v>5923637263</v>
      </c>
      <c r="V145" s="122">
        <f t="shared" si="145"/>
        <v>0</v>
      </c>
      <c r="W145" s="122">
        <f t="shared" si="145"/>
        <v>300000000</v>
      </c>
      <c r="X145" s="130">
        <f t="shared" si="145"/>
        <v>6223637263</v>
      </c>
      <c r="Y145" s="128">
        <f t="shared" si="145"/>
        <v>3514013341</v>
      </c>
      <c r="Z145" s="122">
        <f t="shared" si="145"/>
        <v>632526816</v>
      </c>
      <c r="AA145" s="129">
        <f t="shared" si="145"/>
        <v>4146540157</v>
      </c>
      <c r="AB145" s="128">
        <f t="shared" si="145"/>
        <v>725077845</v>
      </c>
      <c r="AC145" s="122">
        <f t="shared" si="145"/>
        <v>557878358</v>
      </c>
      <c r="AD145" s="130">
        <f t="shared" si="145"/>
        <v>1282956203</v>
      </c>
      <c r="AE145" s="128">
        <f t="shared" si="145"/>
        <v>393935108</v>
      </c>
      <c r="AF145" s="122">
        <f t="shared" si="145"/>
        <v>198579076</v>
      </c>
      <c r="AG145" s="130">
        <f t="shared" si="145"/>
        <v>592514184</v>
      </c>
      <c r="AH145" s="128">
        <f t="shared" si="145"/>
        <v>2077097106</v>
      </c>
      <c r="AI145" s="122">
        <f t="shared" si="145"/>
        <v>4940681060</v>
      </c>
      <c r="AJ145" s="130">
        <f t="shared" si="145"/>
        <v>5631123079</v>
      </c>
      <c r="AK145" s="10"/>
      <c r="AL145" s="128">
        <f>AL147+AL155</f>
        <v>0</v>
      </c>
      <c r="AM145" s="130">
        <f>AM147+AM155</f>
        <v>0</v>
      </c>
      <c r="AN145" s="9"/>
    </row>
    <row r="146" spans="1:40" s="372" customFormat="1" ht="24.95" customHeight="1">
      <c r="A146" s="734"/>
      <c r="B146" s="643"/>
      <c r="N146" s="9"/>
      <c r="R146" s="9"/>
      <c r="S146" s="689" t="str">
        <f>+IF(ENERO!S146=0,"",ENERO!S146)</f>
        <v/>
      </c>
      <c r="T146" s="705" t="str">
        <f>+IF(ENERO!T146=0,"",ENERO!T146)</f>
        <v/>
      </c>
      <c r="U146" s="19"/>
      <c r="V146" s="15"/>
      <c r="W146" s="15"/>
      <c r="X146" s="16"/>
      <c r="Y146" s="19"/>
      <c r="Z146" s="15"/>
      <c r="AA146" s="18"/>
      <c r="AB146" s="19"/>
      <c r="AC146" s="15"/>
      <c r="AD146" s="16"/>
      <c r="AE146" s="19"/>
      <c r="AF146" s="15"/>
      <c r="AG146" s="16"/>
      <c r="AH146" s="19"/>
      <c r="AI146" s="15"/>
      <c r="AJ146" s="16"/>
      <c r="AK146" s="9"/>
      <c r="AL146" s="172"/>
      <c r="AM146" s="173"/>
      <c r="AN146" s="9"/>
    </row>
    <row r="147" spans="1:40" s="372" customFormat="1" ht="24.95" customHeight="1">
      <c r="A147" s="734"/>
      <c r="B147" s="643"/>
      <c r="N147" s="9"/>
      <c r="R147" s="9"/>
      <c r="S147" s="687">
        <f>+IF(ENERO!S147=0,"",ENERO!S147)</f>
        <v>2020100</v>
      </c>
      <c r="T147" s="703" t="str">
        <f>+IF(ENERO!T147=0,"",ENERO!T147)</f>
        <v>Adquisición de bienes</v>
      </c>
      <c r="U147" s="128">
        <f t="shared" ref="U147:AJ147" si="146">SUM(U148:U149)+U153</f>
        <v>1211000000</v>
      </c>
      <c r="V147" s="122">
        <f t="shared" si="146"/>
        <v>0</v>
      </c>
      <c r="W147" s="122">
        <f t="shared" si="146"/>
        <v>100000000</v>
      </c>
      <c r="X147" s="130">
        <f t="shared" si="146"/>
        <v>1311000000</v>
      </c>
      <c r="Y147" s="128">
        <f t="shared" si="146"/>
        <v>144099225</v>
      </c>
      <c r="Z147" s="122">
        <f t="shared" si="146"/>
        <v>48791535</v>
      </c>
      <c r="AA147" s="129">
        <f t="shared" si="146"/>
        <v>192890760</v>
      </c>
      <c r="AB147" s="128">
        <f t="shared" si="146"/>
        <v>126955984</v>
      </c>
      <c r="AC147" s="122">
        <f t="shared" si="146"/>
        <v>15534843</v>
      </c>
      <c r="AD147" s="130">
        <f t="shared" si="146"/>
        <v>142490827</v>
      </c>
      <c r="AE147" s="128">
        <f t="shared" si="146"/>
        <v>115636585</v>
      </c>
      <c r="AF147" s="122">
        <f t="shared" si="146"/>
        <v>9209392</v>
      </c>
      <c r="AG147" s="130">
        <f t="shared" si="146"/>
        <v>124845977</v>
      </c>
      <c r="AH147" s="128">
        <f t="shared" si="146"/>
        <v>1118109240</v>
      </c>
      <c r="AI147" s="122">
        <f t="shared" si="146"/>
        <v>1168509173</v>
      </c>
      <c r="AJ147" s="130">
        <f t="shared" si="146"/>
        <v>1186154023</v>
      </c>
      <c r="AK147" s="9"/>
      <c r="AL147" s="128">
        <f>SUM(AL148:AL149)+AL153</f>
        <v>0</v>
      </c>
      <c r="AM147" s="130">
        <f>SUM(AM148:AM149)+AM153</f>
        <v>0</v>
      </c>
      <c r="AN147" s="9"/>
    </row>
    <row r="148" spans="1:40" s="372" customFormat="1" ht="24.95" customHeight="1">
      <c r="A148" s="734"/>
      <c r="B148" s="643"/>
      <c r="N148" s="9"/>
      <c r="R148" s="9"/>
      <c r="S148" s="688">
        <f>+IF(ENERO!S148=0,"",ENERO!S148)</f>
        <v>2020101</v>
      </c>
      <c r="T148" s="704" t="str">
        <f>+IF(ENERO!T148=0,"",ENERO!T148)</f>
        <v>Mantenimiento Hospitalario</v>
      </c>
      <c r="U148" s="29">
        <f>+ENERO!U148</f>
        <v>1000000000</v>
      </c>
      <c r="V148" s="15">
        <f>ENERO!V148+FEBRERO!AL148</f>
        <v>0</v>
      </c>
      <c r="W148" s="15">
        <f>ENERO!W148+FEBRERO!AM148</f>
        <v>0</v>
      </c>
      <c r="X148" s="16">
        <f>SUM(U148:W148)</f>
        <v>1000000000</v>
      </c>
      <c r="Y148" s="19">
        <f>ENERO!AA148</f>
        <v>33658241</v>
      </c>
      <c r="Z148" s="364">
        <v>9699101</v>
      </c>
      <c r="AA148" s="18">
        <f>SUM(Y148:Z148)</f>
        <v>43357342</v>
      </c>
      <c r="AB148" s="19">
        <f>ENERO!AD148</f>
        <v>16515000</v>
      </c>
      <c r="AC148" s="364">
        <v>6325451</v>
      </c>
      <c r="AD148" s="16">
        <f>SUM(AB148:AC148)</f>
        <v>22840451</v>
      </c>
      <c r="AE148" s="19">
        <f>ENERO!AG148</f>
        <v>16515000</v>
      </c>
      <c r="AF148" s="364">
        <v>0</v>
      </c>
      <c r="AG148" s="16">
        <f>SUM(AE148:AF148)</f>
        <v>16515000</v>
      </c>
      <c r="AH148" s="19">
        <f>X148-AA148</f>
        <v>956642658</v>
      </c>
      <c r="AI148" s="15">
        <f>X148-AD148</f>
        <v>977159549</v>
      </c>
      <c r="AJ148" s="16">
        <f>X148-AG148</f>
        <v>983485000</v>
      </c>
      <c r="AK148" s="9"/>
      <c r="AL148" s="362">
        <v>0</v>
      </c>
      <c r="AM148" s="365">
        <v>0</v>
      </c>
      <c r="AN148" s="9"/>
    </row>
    <row r="149" spans="1:40" s="372" customFormat="1" ht="24.95" customHeight="1">
      <c r="A149" s="734"/>
      <c r="B149" s="643"/>
      <c r="N149" s="9"/>
      <c r="R149" s="9"/>
      <c r="S149" s="688">
        <f>+IF(ENERO!S149=0,"",ENERO!S149)</f>
        <v>2020102</v>
      </c>
      <c r="T149" s="704" t="str">
        <f>+IF(ENERO!T149=0,"",ENERO!T149)</f>
        <v>Otros</v>
      </c>
      <c r="U149" s="29">
        <f t="shared" ref="U149:AJ149" si="147">SUM(U150:U152)</f>
        <v>150000000</v>
      </c>
      <c r="V149" s="15">
        <f t="shared" si="147"/>
        <v>0</v>
      </c>
      <c r="W149" s="15">
        <f t="shared" si="147"/>
        <v>0</v>
      </c>
      <c r="X149" s="16">
        <f t="shared" si="147"/>
        <v>150000000</v>
      </c>
      <c r="Y149" s="19">
        <f t="shared" si="147"/>
        <v>11319399</v>
      </c>
      <c r="Z149" s="142">
        <f t="shared" si="147"/>
        <v>29883042</v>
      </c>
      <c r="AA149" s="18">
        <f t="shared" si="147"/>
        <v>41202441</v>
      </c>
      <c r="AB149" s="19">
        <f t="shared" si="147"/>
        <v>11319399</v>
      </c>
      <c r="AC149" s="142">
        <f t="shared" si="147"/>
        <v>0</v>
      </c>
      <c r="AD149" s="16">
        <f t="shared" si="147"/>
        <v>11319399</v>
      </c>
      <c r="AE149" s="19">
        <f t="shared" si="147"/>
        <v>0</v>
      </c>
      <c r="AF149" s="142">
        <f t="shared" si="147"/>
        <v>0</v>
      </c>
      <c r="AG149" s="16">
        <f t="shared" si="147"/>
        <v>0</v>
      </c>
      <c r="AH149" s="19">
        <f t="shared" si="147"/>
        <v>108797559</v>
      </c>
      <c r="AI149" s="15">
        <f t="shared" si="147"/>
        <v>138680601</v>
      </c>
      <c r="AJ149" s="16">
        <f t="shared" si="147"/>
        <v>150000000</v>
      </c>
      <c r="AK149" s="9"/>
      <c r="AL149" s="29">
        <f>SUM(AL150:AL152)</f>
        <v>0</v>
      </c>
      <c r="AM149" s="26">
        <f>SUM(AM150:AM152)</f>
        <v>0</v>
      </c>
      <c r="AN149" s="9"/>
    </row>
    <row r="150" spans="1:40" s="372" customFormat="1" ht="24.95" customHeight="1">
      <c r="A150" s="734"/>
      <c r="B150" s="643"/>
      <c r="N150" s="9"/>
      <c r="R150" s="9"/>
      <c r="S150" s="689" t="str">
        <f>+IF(ENERO!S150=0,"",ENERO!S150)</f>
        <v>2020102-1</v>
      </c>
      <c r="T150" s="704" t="str">
        <f>+IF(ENERO!T150=0,"",ENERO!T150)</f>
        <v>Compra de Equipo e Instr. Mco. y Laborat.</v>
      </c>
      <c r="U150" s="29">
        <f>+ENERO!U150</f>
        <v>150000000</v>
      </c>
      <c r="V150" s="15">
        <f>ENERO!V150+FEBRERO!AL150</f>
        <v>0</v>
      </c>
      <c r="W150" s="15">
        <f>ENERO!W150+FEBRERO!AM150</f>
        <v>0</v>
      </c>
      <c r="X150" s="16">
        <f>SUM(U150:W150)</f>
        <v>150000000</v>
      </c>
      <c r="Y150" s="19">
        <f>ENERO!AA150</f>
        <v>11319399</v>
      </c>
      <c r="Z150" s="364">
        <v>29883042</v>
      </c>
      <c r="AA150" s="18">
        <f>SUM(Y150:Z150)</f>
        <v>41202441</v>
      </c>
      <c r="AB150" s="19">
        <f>ENERO!AD150</f>
        <v>11319399</v>
      </c>
      <c r="AC150" s="364">
        <v>0</v>
      </c>
      <c r="AD150" s="16">
        <f>SUM(AB150:AC150)</f>
        <v>11319399</v>
      </c>
      <c r="AE150" s="19">
        <f>ENERO!AG150</f>
        <v>0</v>
      </c>
      <c r="AF150" s="364">
        <v>0</v>
      </c>
      <c r="AG150" s="16">
        <f>SUM(AE150:AF150)</f>
        <v>0</v>
      </c>
      <c r="AH150" s="19">
        <f>X150-AA150</f>
        <v>108797559</v>
      </c>
      <c r="AI150" s="15">
        <f>X150-AD150</f>
        <v>138680601</v>
      </c>
      <c r="AJ150" s="16">
        <f>X150-AG150</f>
        <v>150000000</v>
      </c>
      <c r="AK150" s="9"/>
      <c r="AL150" s="362">
        <v>0</v>
      </c>
      <c r="AM150" s="365">
        <v>0</v>
      </c>
      <c r="AN150" s="9"/>
    </row>
    <row r="151" spans="1:40" s="372" customFormat="1" ht="24.95" customHeight="1">
      <c r="A151" s="734"/>
      <c r="B151" s="643"/>
      <c r="N151" s="9"/>
      <c r="R151" s="9"/>
      <c r="S151" s="689" t="str">
        <f>+IF(ENERO!S151=0,"",ENERO!S151)</f>
        <v>2020102-2</v>
      </c>
      <c r="T151" s="704" t="str">
        <f>+IF(ENERO!T151=0,"",ENERO!T151)</f>
        <v>Materiales</v>
      </c>
      <c r="U151" s="29">
        <f>+ENERO!U151</f>
        <v>0</v>
      </c>
      <c r="V151" s="15">
        <f>ENERO!V151+FEBRERO!AL151</f>
        <v>0</v>
      </c>
      <c r="W151" s="15">
        <f>ENERO!W151+FEBRERO!AM151</f>
        <v>0</v>
      </c>
      <c r="X151" s="16">
        <f>SUM(U151:W151)</f>
        <v>0</v>
      </c>
      <c r="Y151" s="19">
        <f>ENERO!AA151</f>
        <v>0</v>
      </c>
      <c r="Z151" s="364">
        <v>0</v>
      </c>
      <c r="AA151" s="18">
        <f>SUM(Y151:Z151)</f>
        <v>0</v>
      </c>
      <c r="AB151" s="19">
        <f>ENERO!AD151</f>
        <v>0</v>
      </c>
      <c r="AC151" s="364">
        <v>0</v>
      </c>
      <c r="AD151" s="16">
        <f>SUM(AB151:AC151)</f>
        <v>0</v>
      </c>
      <c r="AE151" s="19">
        <f>ENERO!AG151</f>
        <v>0</v>
      </c>
      <c r="AF151" s="364">
        <v>0</v>
      </c>
      <c r="AG151" s="16">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+IF(ENERO!S152=0,"",ENERO!S152)</f>
        <v>2020102-3</v>
      </c>
      <c r="T152" s="704" t="str">
        <f>+IF(ENERO!T152=0,"",ENERO!T152)</f>
        <v/>
      </c>
      <c r="U152" s="29">
        <f>+ENERO!U152</f>
        <v>0</v>
      </c>
      <c r="V152" s="15">
        <f>ENERO!V152+FEBRERO!AL152</f>
        <v>0</v>
      </c>
      <c r="W152" s="15">
        <f>ENERO!W152+FEBRERO!AM152</f>
        <v>0</v>
      </c>
      <c r="X152" s="16">
        <f>SUM(U152:W152)</f>
        <v>0</v>
      </c>
      <c r="Y152" s="19">
        <f>ENERO!AA152</f>
        <v>0</v>
      </c>
      <c r="Z152" s="364">
        <v>0</v>
      </c>
      <c r="AA152" s="18">
        <f>SUM(Y152:Z152)</f>
        <v>0</v>
      </c>
      <c r="AB152" s="19">
        <f>ENERO!AD152</f>
        <v>0</v>
      </c>
      <c r="AC152" s="364">
        <v>0</v>
      </c>
      <c r="AD152" s="16">
        <f>SUM(AB152:AC152)</f>
        <v>0</v>
      </c>
      <c r="AE152" s="19">
        <f>ENERO!AG152</f>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+IF(ENERO!S153=0,"",ENERO!S153)</f>
        <v>2020199</v>
      </c>
      <c r="T153" s="704" t="str">
        <f>+IF(ENERO!T153=0,"",ENERO!T153)</f>
        <v>Vigencias Anteriores</v>
      </c>
      <c r="U153" s="29">
        <f>+ENERO!U153</f>
        <v>61000000</v>
      </c>
      <c r="V153" s="15">
        <f>ENERO!V153+FEBRERO!AL153</f>
        <v>0</v>
      </c>
      <c r="W153" s="15">
        <f>ENERO!W153+FEBRERO!AM153</f>
        <v>100000000</v>
      </c>
      <c r="X153" s="16">
        <f>SUM(U153:W153)</f>
        <v>161000000</v>
      </c>
      <c r="Y153" s="19">
        <f>ENERO!AA153</f>
        <v>99121585</v>
      </c>
      <c r="Z153" s="364">
        <v>9209392</v>
      </c>
      <c r="AA153" s="18">
        <f>SUM(Y153:Z153)</f>
        <v>108330977</v>
      </c>
      <c r="AB153" s="19">
        <f>ENERO!AD153</f>
        <v>99121585</v>
      </c>
      <c r="AC153" s="364">
        <v>9209392</v>
      </c>
      <c r="AD153" s="16">
        <f>SUM(AB153:AC153)</f>
        <v>108330977</v>
      </c>
      <c r="AE153" s="19">
        <f>ENERO!AG153</f>
        <v>99121585</v>
      </c>
      <c r="AF153" s="364">
        <v>9209392</v>
      </c>
      <c r="AG153" s="16">
        <f>SUM(AE153:AF153)</f>
        <v>108330977</v>
      </c>
      <c r="AH153" s="19">
        <f>X153-AA153</f>
        <v>52669023</v>
      </c>
      <c r="AI153" s="15">
        <f>X153-AD153</f>
        <v>52669023</v>
      </c>
      <c r="AJ153" s="16">
        <f>X153-AG153</f>
        <v>52669023</v>
      </c>
      <c r="AK153" s="9"/>
      <c r="AL153" s="362">
        <v>0</v>
      </c>
      <c r="AM153" s="365">
        <v>0</v>
      </c>
      <c r="AN153" s="9"/>
    </row>
    <row r="154" spans="1:40" s="372" customFormat="1" ht="24.95" customHeight="1">
      <c r="A154" s="734"/>
      <c r="B154" s="643"/>
      <c r="N154" s="9"/>
      <c r="R154" s="9"/>
      <c r="S154" s="356" t="str">
        <f>+IF(ENERO!S154=0,"",ENERO!S154)</f>
        <v/>
      </c>
      <c r="T154" s="678" t="str">
        <f>+IF(ENERO!T154=0,"",ENERO!T154)</f>
        <v/>
      </c>
      <c r="U154" s="357"/>
      <c r="V154" s="161"/>
      <c r="W154" s="161"/>
      <c r="X154" s="166"/>
      <c r="Y154" s="357"/>
      <c r="Z154" s="161"/>
      <c r="AA154" s="161"/>
      <c r="AB154" s="357"/>
      <c r="AC154" s="161"/>
      <c r="AD154" s="166"/>
      <c r="AE154" s="357"/>
      <c r="AF154" s="161"/>
      <c r="AG154" s="166"/>
      <c r="AH154" s="357"/>
      <c r="AI154" s="161"/>
      <c r="AJ154" s="166"/>
      <c r="AK154" s="9"/>
      <c r="AL154" s="172"/>
      <c r="AM154" s="173"/>
      <c r="AN154" s="9"/>
    </row>
    <row r="155" spans="1:40" s="372" customFormat="1" ht="24.95" customHeight="1">
      <c r="A155" s="734"/>
      <c r="B155" s="643"/>
      <c r="N155" s="9"/>
      <c r="R155" s="9"/>
      <c r="S155" s="687">
        <f>+IF(ENERO!S155=0,"",ENERO!S155)</f>
        <v>2020200</v>
      </c>
      <c r="T155" s="703" t="str">
        <f>+IF(ENERO!T155=0,"",ENERO!T155)</f>
        <v>Adquisición de Servicios</v>
      </c>
      <c r="U155" s="128">
        <f t="shared" ref="U155:AJ155" si="148">SUM(U156:U157)+U168</f>
        <v>4712637263</v>
      </c>
      <c r="V155" s="122">
        <f t="shared" si="148"/>
        <v>0</v>
      </c>
      <c r="W155" s="122">
        <f t="shared" si="148"/>
        <v>200000000</v>
      </c>
      <c r="X155" s="130">
        <f t="shared" si="148"/>
        <v>4912637263</v>
      </c>
      <c r="Y155" s="128">
        <f t="shared" si="148"/>
        <v>3369914116</v>
      </c>
      <c r="Z155" s="122">
        <f t="shared" si="148"/>
        <v>583735281</v>
      </c>
      <c r="AA155" s="129">
        <f t="shared" si="148"/>
        <v>3953649397</v>
      </c>
      <c r="AB155" s="128">
        <f t="shared" si="148"/>
        <v>598121861</v>
      </c>
      <c r="AC155" s="122">
        <f t="shared" si="148"/>
        <v>542343515</v>
      </c>
      <c r="AD155" s="130">
        <f t="shared" si="148"/>
        <v>1140465376</v>
      </c>
      <c r="AE155" s="128">
        <f t="shared" si="148"/>
        <v>278298523</v>
      </c>
      <c r="AF155" s="122">
        <f t="shared" si="148"/>
        <v>189369684</v>
      </c>
      <c r="AG155" s="130">
        <f t="shared" si="148"/>
        <v>467668207</v>
      </c>
      <c r="AH155" s="128">
        <f t="shared" si="148"/>
        <v>958987866</v>
      </c>
      <c r="AI155" s="122">
        <f t="shared" si="148"/>
        <v>3772171887</v>
      </c>
      <c r="AJ155" s="130">
        <f t="shared" si="148"/>
        <v>4444969056</v>
      </c>
      <c r="AK155" s="9"/>
      <c r="AL155" s="128">
        <f>SUM(AL156:AL157)+AL168</f>
        <v>0</v>
      </c>
      <c r="AM155" s="130">
        <f>SUM(AM156:AM157)+AM168</f>
        <v>0</v>
      </c>
      <c r="AN155" s="9"/>
    </row>
    <row r="156" spans="1:40" s="372" customFormat="1" ht="24.95" customHeight="1">
      <c r="A156" s="734"/>
      <c r="B156" s="643"/>
      <c r="N156" s="9"/>
      <c r="P156" s="9"/>
      <c r="Q156" s="9"/>
      <c r="R156" s="9"/>
      <c r="S156" s="688">
        <f>+IF(ENERO!S156=0,"",ENERO!S156)</f>
        <v>2020201</v>
      </c>
      <c r="T156" s="704" t="str">
        <f>+IF(ENERO!T156=0,"",ENERO!T156)</f>
        <v>Mantenimiento Hospitalario</v>
      </c>
      <c r="U156" s="29">
        <f>+ENERO!U156</f>
        <v>2002025000</v>
      </c>
      <c r="V156" s="15">
        <f>ENERO!V156+FEBRERO!AL156</f>
        <v>0</v>
      </c>
      <c r="W156" s="15">
        <f>ENERO!W156+FEBRERO!AM156</f>
        <v>0</v>
      </c>
      <c r="X156" s="16">
        <f>SUM(U156:W156)</f>
        <v>2002025000</v>
      </c>
      <c r="Y156" s="19">
        <f>ENERO!AA156</f>
        <v>1362729334</v>
      </c>
      <c r="Z156" s="364">
        <v>476874113</v>
      </c>
      <c r="AA156" s="18">
        <f>SUM(Y156:Z156)</f>
        <v>1839603447</v>
      </c>
      <c r="AB156" s="19">
        <f>ENERO!AD156</f>
        <v>117659367</v>
      </c>
      <c r="AC156" s="364">
        <v>203854353</v>
      </c>
      <c r="AD156" s="16">
        <f>SUM(AB156:AC156)</f>
        <v>321513720</v>
      </c>
      <c r="AE156" s="19">
        <f>ENERO!AG156</f>
        <v>1070000</v>
      </c>
      <c r="AF156" s="364">
        <v>113932650</v>
      </c>
      <c r="AG156" s="16">
        <f>SUM(AE156:AF156)</f>
        <v>115002650</v>
      </c>
      <c r="AH156" s="19">
        <f>X156-AA156</f>
        <v>162421553</v>
      </c>
      <c r="AI156" s="15">
        <f>X156-AD156</f>
        <v>1680511280</v>
      </c>
      <c r="AJ156" s="16">
        <f>X156-AG156</f>
        <v>1887022350</v>
      </c>
      <c r="AK156" s="9"/>
      <c r="AL156" s="362">
        <v>0</v>
      </c>
      <c r="AM156" s="365">
        <v>0</v>
      </c>
      <c r="AN156" s="9"/>
    </row>
    <row r="157" spans="1:40" s="372" customFormat="1" ht="24.95" customHeight="1">
      <c r="A157" s="734"/>
      <c r="B157" s="643"/>
      <c r="N157" s="9"/>
      <c r="P157" s="9"/>
      <c r="Q157" s="9"/>
      <c r="R157" s="9"/>
      <c r="S157" s="688">
        <f>+IF(ENERO!S157=0,"",ENERO!S157)</f>
        <v>2020202</v>
      </c>
      <c r="T157" s="704" t="str">
        <f>+IF(ENERO!T157=0,"",ENERO!T157)</f>
        <v>Otros</v>
      </c>
      <c r="U157" s="29">
        <f>SUM(U158:U167)</f>
        <v>2609712263</v>
      </c>
      <c r="V157" s="15">
        <f>SUM(V158:V167)</f>
        <v>0</v>
      </c>
      <c r="W157" s="15">
        <f t="shared" ref="W157:AJ157" si="149">SUM(W158:W167)</f>
        <v>0</v>
      </c>
      <c r="X157" s="16">
        <f t="shared" si="149"/>
        <v>2609712263</v>
      </c>
      <c r="Y157" s="19">
        <f t="shared" si="149"/>
        <v>1730668759</v>
      </c>
      <c r="Z157" s="15">
        <f t="shared" si="149"/>
        <v>93865930</v>
      </c>
      <c r="AA157" s="18">
        <f t="shared" si="149"/>
        <v>1824534689</v>
      </c>
      <c r="AB157" s="19">
        <f t="shared" si="149"/>
        <v>203946471</v>
      </c>
      <c r="AC157" s="15">
        <f t="shared" si="149"/>
        <v>325493924</v>
      </c>
      <c r="AD157" s="16">
        <f t="shared" si="149"/>
        <v>529440395</v>
      </c>
      <c r="AE157" s="19">
        <f t="shared" si="149"/>
        <v>712500</v>
      </c>
      <c r="AF157" s="15">
        <f t="shared" si="149"/>
        <v>62441796</v>
      </c>
      <c r="AG157" s="16">
        <f t="shared" si="149"/>
        <v>63154296</v>
      </c>
      <c r="AH157" s="19">
        <f t="shared" si="149"/>
        <v>785177574</v>
      </c>
      <c r="AI157" s="15">
        <f t="shared" si="149"/>
        <v>2080271868</v>
      </c>
      <c r="AJ157" s="16">
        <f t="shared" si="149"/>
        <v>2546557967</v>
      </c>
      <c r="AK157" s="10"/>
      <c r="AL157" s="29">
        <f>SUM(AL158:AL167)</f>
        <v>0</v>
      </c>
      <c r="AM157" s="26">
        <f>SUM(AM158:AM167)</f>
        <v>0</v>
      </c>
      <c r="AN157" s="9"/>
    </row>
    <row r="158" spans="1:40" s="372" customFormat="1" ht="24.95" customHeight="1">
      <c r="A158" s="734"/>
      <c r="B158" s="643"/>
      <c r="N158" s="9"/>
      <c r="P158" s="9"/>
      <c r="Q158" s="9"/>
      <c r="R158" s="9"/>
      <c r="S158" s="689" t="str">
        <f>+IF(ENERO!S158=0,"",ENERO!S158)</f>
        <v>2020202-1</v>
      </c>
      <c r="T158" s="705" t="str">
        <f>+IF(ENERO!T158=0,"",ENERO!T158)</f>
        <v>Seguros</v>
      </c>
      <c r="U158" s="29">
        <f>+ENERO!U158</f>
        <v>200000000</v>
      </c>
      <c r="V158" s="15">
        <f>ENERO!V158+FEBRERO!AL158</f>
        <v>0</v>
      </c>
      <c r="W158" s="15">
        <f>ENERO!W158+FEBRERO!AM158</f>
        <v>0</v>
      </c>
      <c r="X158" s="16">
        <f t="shared" ref="X158:X168" si="150">SUM(U158:W158)</f>
        <v>200000000</v>
      </c>
      <c r="Y158" s="19">
        <f>ENERO!AA158</f>
        <v>21558821</v>
      </c>
      <c r="Z158" s="364">
        <v>0</v>
      </c>
      <c r="AA158" s="18">
        <f t="shared" ref="AA158:AA168" si="151">SUM(Y158:Z158)</f>
        <v>21558821</v>
      </c>
      <c r="AB158" s="19">
        <f>ENERO!AD158</f>
        <v>21000000</v>
      </c>
      <c r="AC158" s="364">
        <v>558821</v>
      </c>
      <c r="AD158" s="16">
        <f t="shared" ref="AD158:AD168" si="152">SUM(AB158:AC158)</f>
        <v>21558821</v>
      </c>
      <c r="AE158" s="19">
        <f>ENERO!AG158</f>
        <v>0</v>
      </c>
      <c r="AF158" s="364">
        <v>21558821</v>
      </c>
      <c r="AG158" s="16">
        <f t="shared" ref="AG158:AG168" si="153">SUM(AE158:AF158)</f>
        <v>21558821</v>
      </c>
      <c r="AH158" s="19">
        <f t="shared" ref="AH158:AH168" si="154">X158-AA158</f>
        <v>178441179</v>
      </c>
      <c r="AI158" s="15">
        <f t="shared" ref="AI158:AI168" si="155">X158-AD158</f>
        <v>178441179</v>
      </c>
      <c r="AJ158" s="16">
        <f t="shared" ref="AJ158:AJ168" si="156">X158-AG158</f>
        <v>178441179</v>
      </c>
      <c r="AK158" s="9"/>
      <c r="AL158" s="362">
        <v>0</v>
      </c>
      <c r="AM158" s="365">
        <v>0</v>
      </c>
      <c r="AN158" s="9"/>
    </row>
    <row r="159" spans="1:40" s="372" customFormat="1" ht="24.95" customHeight="1">
      <c r="A159" s="734"/>
      <c r="B159" s="643"/>
      <c r="N159" s="9"/>
      <c r="P159" s="9"/>
      <c r="Q159" s="9"/>
      <c r="R159" s="9"/>
      <c r="S159" s="689" t="str">
        <f>+IF(ENERO!S159=0,"",ENERO!S159)</f>
        <v>2020202-2</v>
      </c>
      <c r="T159" s="705" t="str">
        <f>+IF(ENERO!T159=0,"",ENERO!T159)</f>
        <v>Impresos y Publicaciones</v>
      </c>
      <c r="U159" s="29">
        <f>+ENERO!U159</f>
        <v>40000000</v>
      </c>
      <c r="V159" s="15">
        <f>ENERO!V159+FEBRERO!AL159</f>
        <v>0</v>
      </c>
      <c r="W159" s="15">
        <f>ENERO!W159+FEBRERO!AM159</f>
        <v>0</v>
      </c>
      <c r="X159" s="16">
        <f t="shared" si="150"/>
        <v>40000000</v>
      </c>
      <c r="Y159" s="19">
        <f>ENERO!AA159</f>
        <v>0</v>
      </c>
      <c r="Z159" s="364">
        <v>5926048</v>
      </c>
      <c r="AA159" s="18">
        <f t="shared" si="151"/>
        <v>5926048</v>
      </c>
      <c r="AB159" s="19">
        <f>ENERO!AD159</f>
        <v>0</v>
      </c>
      <c r="AC159" s="364">
        <v>5926048</v>
      </c>
      <c r="AD159" s="16">
        <f t="shared" si="152"/>
        <v>5926048</v>
      </c>
      <c r="AE159" s="19">
        <f>ENERO!AG159</f>
        <v>0</v>
      </c>
      <c r="AF159" s="364">
        <v>0</v>
      </c>
      <c r="AG159" s="16">
        <f t="shared" si="153"/>
        <v>0</v>
      </c>
      <c r="AH159" s="19">
        <f t="shared" si="154"/>
        <v>34073952</v>
      </c>
      <c r="AI159" s="15">
        <f t="shared" si="155"/>
        <v>34073952</v>
      </c>
      <c r="AJ159" s="16">
        <f t="shared" si="156"/>
        <v>40000000</v>
      </c>
      <c r="AK159" s="9"/>
      <c r="AL159" s="362">
        <v>0</v>
      </c>
      <c r="AM159" s="365">
        <v>0</v>
      </c>
      <c r="AN159" s="9"/>
    </row>
    <row r="160" spans="1:40" s="372" customFormat="1" ht="24.95" customHeight="1">
      <c r="A160" s="734"/>
      <c r="B160" s="643"/>
      <c r="N160" s="9"/>
      <c r="P160" s="9"/>
      <c r="Q160" s="9"/>
      <c r="R160" s="9"/>
      <c r="S160" s="689" t="str">
        <f>+IF(ENERO!S160=0,"",ENERO!S160)</f>
        <v>2020202-3</v>
      </c>
      <c r="T160" s="705" t="str">
        <f>+IF(ENERO!T160=0,"",ENERO!T160)</f>
        <v>Pago a otras IPS</v>
      </c>
      <c r="U160" s="29">
        <f>+ENERO!U160</f>
        <v>0</v>
      </c>
      <c r="V160" s="15">
        <f>ENERO!V160+FEBRERO!AL160</f>
        <v>0</v>
      </c>
      <c r="W160" s="15">
        <f>ENERO!W160+FEBRERO!AM160</f>
        <v>0</v>
      </c>
      <c r="X160" s="16">
        <f t="shared" si="150"/>
        <v>0</v>
      </c>
      <c r="Y160" s="19">
        <f>ENERO!AA160</f>
        <v>0</v>
      </c>
      <c r="Z160" s="364">
        <v>0</v>
      </c>
      <c r="AA160" s="18">
        <f t="shared" si="151"/>
        <v>0</v>
      </c>
      <c r="AB160" s="19">
        <f>ENERO!AD160</f>
        <v>0</v>
      </c>
      <c r="AC160" s="364">
        <v>0</v>
      </c>
      <c r="AD160" s="16">
        <f t="shared" si="152"/>
        <v>0</v>
      </c>
      <c r="AE160" s="19">
        <f>ENERO!AG160</f>
        <v>0</v>
      </c>
      <c r="AF160" s="364">
        <v>0</v>
      </c>
      <c r="AG160" s="16">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N161" s="9"/>
      <c r="P161" s="9"/>
      <c r="Q161" s="9"/>
      <c r="R161" s="9"/>
      <c r="S161" s="689" t="str">
        <f>+IF(ENERO!S161=0,"",ENERO!S161)</f>
        <v>2020202-4</v>
      </c>
      <c r="T161" s="705" t="str">
        <f>+IF(ENERO!T161=0,"",ENERO!T161)</f>
        <v>Comunicaciones y Transportes</v>
      </c>
      <c r="U161" s="29">
        <f>+ENERO!U161</f>
        <v>5000000</v>
      </c>
      <c r="V161" s="15">
        <f>ENERO!V161+FEBRERO!AL161</f>
        <v>0</v>
      </c>
      <c r="W161" s="15">
        <f>ENERO!W161+FEBRERO!AM161</f>
        <v>0</v>
      </c>
      <c r="X161" s="16">
        <f t="shared" si="150"/>
        <v>5000000</v>
      </c>
      <c r="Y161" s="19">
        <f>ENERO!AA161</f>
        <v>0</v>
      </c>
      <c r="Z161" s="364">
        <v>0</v>
      </c>
      <c r="AA161" s="18">
        <f t="shared" si="151"/>
        <v>0</v>
      </c>
      <c r="AB161" s="19">
        <f>ENERO!AD161</f>
        <v>0</v>
      </c>
      <c r="AC161" s="364">
        <v>0</v>
      </c>
      <c r="AD161" s="16">
        <f t="shared" si="152"/>
        <v>0</v>
      </c>
      <c r="AE161" s="19">
        <f>ENERO!AG161</f>
        <v>0</v>
      </c>
      <c r="AF161" s="364">
        <v>0</v>
      </c>
      <c r="AG161" s="16">
        <f t="shared" si="153"/>
        <v>0</v>
      </c>
      <c r="AH161" s="19">
        <f t="shared" si="154"/>
        <v>5000000</v>
      </c>
      <c r="AI161" s="15">
        <f t="shared" si="155"/>
        <v>5000000</v>
      </c>
      <c r="AJ161" s="16">
        <f t="shared" si="156"/>
        <v>5000000</v>
      </c>
      <c r="AK161" s="9"/>
      <c r="AL161" s="362">
        <v>0</v>
      </c>
      <c r="AM161" s="365">
        <v>0</v>
      </c>
      <c r="AN161" s="9"/>
    </row>
    <row r="162" spans="1:40" s="372" customFormat="1" ht="24.95" customHeight="1">
      <c r="A162" s="734"/>
      <c r="B162" s="643"/>
      <c r="N162" s="9"/>
      <c r="P162" s="9"/>
      <c r="Q162" s="9"/>
      <c r="R162" s="9"/>
      <c r="S162" s="689" t="str">
        <f>+IF(ENERO!S162=0,"",ENERO!S162)</f>
        <v>2020202-5</v>
      </c>
      <c r="T162" s="705" t="str">
        <f>+IF(ENERO!T162=0,"",ENERO!T162)</f>
        <v>Viáticos y Gastos de Viaje</v>
      </c>
      <c r="U162" s="29">
        <f>+ENERO!U162</f>
        <v>5000000</v>
      </c>
      <c r="V162" s="15">
        <f>ENERO!V162+FEBRERO!AL162</f>
        <v>0</v>
      </c>
      <c r="W162" s="15">
        <f>ENERO!W162+FEBRERO!AM162</f>
        <v>0</v>
      </c>
      <c r="X162" s="16">
        <f t="shared" si="150"/>
        <v>5000000</v>
      </c>
      <c r="Y162" s="19">
        <f>ENERO!AA162</f>
        <v>712500</v>
      </c>
      <c r="Z162" s="364">
        <v>0</v>
      </c>
      <c r="AA162" s="18">
        <f t="shared" si="151"/>
        <v>712500</v>
      </c>
      <c r="AB162" s="19">
        <f>ENERO!AD162</f>
        <v>712500</v>
      </c>
      <c r="AC162" s="364">
        <v>0</v>
      </c>
      <c r="AD162" s="16">
        <f t="shared" si="152"/>
        <v>712500</v>
      </c>
      <c r="AE162" s="19">
        <f>ENERO!AG162</f>
        <v>712500</v>
      </c>
      <c r="AF162" s="364">
        <v>0</v>
      </c>
      <c r="AG162" s="16">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N163" s="9"/>
      <c r="P163" s="9"/>
      <c r="Q163" s="9"/>
      <c r="R163" s="9"/>
      <c r="S163" s="689" t="str">
        <f>+IF(ENERO!S163=0,"",ENERO!S163)</f>
        <v>2020202-6</v>
      </c>
      <c r="T163" s="705" t="str">
        <f>+IF(ENERO!T163=0,"",ENERO!T163)</f>
        <v>Plan Integral de Manejo de Residuos Sólidos Hospitalarios</v>
      </c>
      <c r="U163" s="29">
        <f>+ENERO!U163</f>
        <v>300000000</v>
      </c>
      <c r="V163" s="15">
        <f>ENERO!V163+FEBRERO!AL163</f>
        <v>0</v>
      </c>
      <c r="W163" s="15">
        <f>ENERO!W163+FEBRERO!AM163</f>
        <v>0</v>
      </c>
      <c r="X163" s="16">
        <f t="shared" si="150"/>
        <v>300000000</v>
      </c>
      <c r="Y163" s="19">
        <f>ENERO!AA163</f>
        <v>129480175</v>
      </c>
      <c r="Z163" s="364">
        <v>12939882</v>
      </c>
      <c r="AA163" s="18">
        <f t="shared" si="151"/>
        <v>142420057</v>
      </c>
      <c r="AB163" s="19">
        <f>ENERO!AD163</f>
        <v>18920257</v>
      </c>
      <c r="AC163" s="364">
        <v>26038679</v>
      </c>
      <c r="AD163" s="16">
        <f t="shared" si="152"/>
        <v>44958936</v>
      </c>
      <c r="AE163" s="19">
        <f>ENERO!AG163</f>
        <v>0</v>
      </c>
      <c r="AF163" s="364">
        <v>2763775</v>
      </c>
      <c r="AG163" s="16">
        <f t="shared" si="153"/>
        <v>2763775</v>
      </c>
      <c r="AH163" s="19">
        <f t="shared" si="154"/>
        <v>157579943</v>
      </c>
      <c r="AI163" s="15">
        <f t="shared" si="155"/>
        <v>255041064</v>
      </c>
      <c r="AJ163" s="16">
        <f t="shared" si="156"/>
        <v>297236225</v>
      </c>
      <c r="AK163" s="9"/>
      <c r="AL163" s="362">
        <v>0</v>
      </c>
      <c r="AM163" s="365">
        <v>0</v>
      </c>
      <c r="AN163" s="9"/>
    </row>
    <row r="164" spans="1:40" s="372" customFormat="1" ht="24.95" customHeight="1">
      <c r="A164" s="734"/>
      <c r="B164" s="643"/>
      <c r="N164" s="9"/>
      <c r="P164" s="9"/>
      <c r="Q164" s="9"/>
      <c r="R164" s="9"/>
      <c r="S164" s="689" t="str">
        <f>+IF(ENERO!S164=0,"",ENERO!S164)</f>
        <v>2020202-7</v>
      </c>
      <c r="T164" s="705" t="str">
        <f>+IF(ENERO!T164=0,"",ENERO!T164)</f>
        <v>Servicios de Laboratorio contratados con terceros</v>
      </c>
      <c r="U164" s="29">
        <f>+ENERO!U164</f>
        <v>778712263</v>
      </c>
      <c r="V164" s="15">
        <f>ENERO!V164+FEBRERO!AL164</f>
        <v>0</v>
      </c>
      <c r="W164" s="15">
        <f>ENERO!W164+FEBRERO!AM164</f>
        <v>0</v>
      </c>
      <c r="X164" s="16">
        <f t="shared" si="150"/>
        <v>778712263</v>
      </c>
      <c r="Y164" s="19">
        <f>ENERO!AA164</f>
        <v>483917263</v>
      </c>
      <c r="Z164" s="364">
        <v>75000000</v>
      </c>
      <c r="AA164" s="18">
        <f t="shared" si="151"/>
        <v>558917263</v>
      </c>
      <c r="AB164" s="19">
        <f>ENERO!AD164</f>
        <v>133982054</v>
      </c>
      <c r="AC164" s="364">
        <v>170362533</v>
      </c>
      <c r="AD164" s="16">
        <f t="shared" si="152"/>
        <v>304344587</v>
      </c>
      <c r="AE164" s="19">
        <f>ENERO!AG164</f>
        <v>0</v>
      </c>
      <c r="AF164" s="364">
        <v>38119200</v>
      </c>
      <c r="AG164" s="16">
        <f t="shared" si="153"/>
        <v>38119200</v>
      </c>
      <c r="AH164" s="19">
        <f t="shared" si="154"/>
        <v>219795000</v>
      </c>
      <c r="AI164" s="15">
        <f t="shared" si="155"/>
        <v>474367676</v>
      </c>
      <c r="AJ164" s="16">
        <f t="shared" si="156"/>
        <v>740593063</v>
      </c>
      <c r="AK164" s="9"/>
      <c r="AL164" s="362">
        <v>0</v>
      </c>
      <c r="AM164" s="365">
        <v>0</v>
      </c>
      <c r="AN164" s="9"/>
    </row>
    <row r="165" spans="1:40" s="372" customFormat="1" ht="24.95" customHeight="1">
      <c r="A165" s="734"/>
      <c r="B165" s="643"/>
      <c r="N165" s="9"/>
      <c r="P165" s="9"/>
      <c r="Q165" s="9"/>
      <c r="R165" s="9"/>
      <c r="S165" s="689" t="str">
        <f>+IF(ENERO!S165=0,"",ENERO!S165)</f>
        <v>2020202-8</v>
      </c>
      <c r="T165" s="705" t="str">
        <f>+IF(ENERO!T165=0,"",ENERO!T165)</f>
        <v>Servicios de Rayos X e Imaginología contratado con terceros</v>
      </c>
      <c r="U165" s="29">
        <f>+ENERO!U165</f>
        <v>1116000000</v>
      </c>
      <c r="V165" s="15">
        <f>ENERO!V165+FEBRERO!AL165</f>
        <v>0</v>
      </c>
      <c r="W165" s="15">
        <f>ENERO!W165+FEBRERO!AM165</f>
        <v>0</v>
      </c>
      <c r="X165" s="16">
        <f t="shared" si="150"/>
        <v>1116000000</v>
      </c>
      <c r="Y165" s="19">
        <f>ENERO!AA165</f>
        <v>1095000000</v>
      </c>
      <c r="Z165" s="364">
        <v>0</v>
      </c>
      <c r="AA165" s="18">
        <f t="shared" si="151"/>
        <v>1095000000</v>
      </c>
      <c r="AB165" s="19">
        <f>ENERO!AD165</f>
        <v>29331660</v>
      </c>
      <c r="AC165" s="364">
        <v>122607843</v>
      </c>
      <c r="AD165" s="16">
        <f t="shared" si="152"/>
        <v>151939503</v>
      </c>
      <c r="AE165" s="19">
        <f>ENERO!AG165</f>
        <v>0</v>
      </c>
      <c r="AF165" s="364">
        <v>0</v>
      </c>
      <c r="AG165" s="16">
        <f t="shared" si="153"/>
        <v>0</v>
      </c>
      <c r="AH165" s="19">
        <f t="shared" si="154"/>
        <v>21000000</v>
      </c>
      <c r="AI165" s="15">
        <f t="shared" si="155"/>
        <v>964060497</v>
      </c>
      <c r="AJ165" s="16">
        <f t="shared" si="156"/>
        <v>1116000000</v>
      </c>
      <c r="AK165" s="9"/>
      <c r="AL165" s="362">
        <v>0</v>
      </c>
      <c r="AM165" s="365">
        <v>0</v>
      </c>
      <c r="AN165" s="9"/>
    </row>
    <row r="166" spans="1:40" s="372" customFormat="1" ht="24.95" customHeight="1">
      <c r="A166" s="734"/>
      <c r="B166" s="643"/>
      <c r="N166" s="9"/>
      <c r="P166" s="9"/>
      <c r="Q166" s="9"/>
      <c r="R166" s="9"/>
      <c r="S166" s="689" t="str">
        <f>+IF(ENERO!S166=0,"",ENERO!S166)</f>
        <v>2020202-9</v>
      </c>
      <c r="T166" s="705" t="str">
        <f>+IF(ENERO!T166=0,"",ENERO!T166)</f>
        <v>Arrendamientos</v>
      </c>
      <c r="U166" s="29">
        <f>+ENERO!U166</f>
        <v>165000000</v>
      </c>
      <c r="V166" s="15">
        <f>ENERO!V166+FEBRERO!AL166</f>
        <v>0</v>
      </c>
      <c r="W166" s="15">
        <f>ENERO!W166+FEBRERO!AM166</f>
        <v>0</v>
      </c>
      <c r="X166" s="16">
        <f t="shared" si="150"/>
        <v>165000000</v>
      </c>
      <c r="Y166" s="19">
        <f>ENERO!AA166</f>
        <v>0</v>
      </c>
      <c r="Z166" s="364">
        <v>0</v>
      </c>
      <c r="AA166" s="18">
        <f t="shared" si="151"/>
        <v>0</v>
      </c>
      <c r="AB166" s="19">
        <f>ENERO!AD166</f>
        <v>0</v>
      </c>
      <c r="AC166" s="364">
        <v>0</v>
      </c>
      <c r="AD166" s="16">
        <f t="shared" si="152"/>
        <v>0</v>
      </c>
      <c r="AE166" s="19">
        <f>ENERO!AG166</f>
        <v>0</v>
      </c>
      <c r="AF166" s="364">
        <v>0</v>
      </c>
      <c r="AG166" s="16">
        <f t="shared" si="153"/>
        <v>0</v>
      </c>
      <c r="AH166" s="19">
        <f t="shared" si="154"/>
        <v>165000000</v>
      </c>
      <c r="AI166" s="15">
        <f t="shared" si="155"/>
        <v>165000000</v>
      </c>
      <c r="AJ166" s="16">
        <f t="shared" si="156"/>
        <v>165000000</v>
      </c>
      <c r="AK166" s="9"/>
      <c r="AL166" s="362">
        <v>0</v>
      </c>
      <c r="AM166" s="365">
        <v>0</v>
      </c>
      <c r="AN166" s="9"/>
    </row>
    <row r="167" spans="1:40" s="372" customFormat="1" ht="24.95" customHeight="1">
      <c r="A167" s="734"/>
      <c r="B167" s="643"/>
      <c r="N167" s="9"/>
      <c r="P167" s="9"/>
      <c r="Q167" s="9"/>
      <c r="R167" s="9"/>
      <c r="S167" s="689" t="str">
        <f>+IF(ENERO!S167=0,"",ENERO!S167)</f>
        <v>2020202-10</v>
      </c>
      <c r="T167" s="705" t="str">
        <f>+IF(ENERO!T167=0,"",ENERO!T167)</f>
        <v>Servicios Públicos</v>
      </c>
      <c r="U167" s="29">
        <f>+ENERO!U167</f>
        <v>0</v>
      </c>
      <c r="V167" s="15">
        <f>ENERO!V167+FEBRERO!AL167</f>
        <v>0</v>
      </c>
      <c r="W167" s="15">
        <f>ENERO!W167+FEBRERO!AM167</f>
        <v>0</v>
      </c>
      <c r="X167" s="16">
        <f t="shared" si="150"/>
        <v>0</v>
      </c>
      <c r="Y167" s="19">
        <f>ENERO!AA167</f>
        <v>0</v>
      </c>
      <c r="Z167" s="364">
        <v>0</v>
      </c>
      <c r="AA167" s="18">
        <f t="shared" si="151"/>
        <v>0</v>
      </c>
      <c r="AB167" s="19">
        <f>ENERO!AD167</f>
        <v>0</v>
      </c>
      <c r="AC167" s="364">
        <v>0</v>
      </c>
      <c r="AD167" s="16">
        <f t="shared" si="152"/>
        <v>0</v>
      </c>
      <c r="AE167" s="19">
        <f>ENERO!AG167</f>
        <v>0</v>
      </c>
      <c r="AF167" s="364">
        <v>0</v>
      </c>
      <c r="AG167" s="16">
        <f t="shared" si="153"/>
        <v>0</v>
      </c>
      <c r="AH167" s="19">
        <f t="shared" si="154"/>
        <v>0</v>
      </c>
      <c r="AI167" s="15">
        <f t="shared" si="155"/>
        <v>0</v>
      </c>
      <c r="AJ167" s="16">
        <f t="shared" si="156"/>
        <v>0</v>
      </c>
      <c r="AK167" s="9"/>
      <c r="AL167" s="362">
        <v>0</v>
      </c>
      <c r="AM167" s="365">
        <v>0</v>
      </c>
      <c r="AN167" s="9"/>
    </row>
    <row r="168" spans="1:40" s="372" customFormat="1" ht="24.95" customHeight="1">
      <c r="A168" s="734"/>
      <c r="B168" s="643"/>
      <c r="N168" s="9"/>
      <c r="P168" s="9"/>
      <c r="Q168" s="9"/>
      <c r="R168" s="9"/>
      <c r="S168" s="688">
        <f>+IF(ENERO!S168=0,"",ENERO!S168)</f>
        <v>2020299</v>
      </c>
      <c r="T168" s="704" t="str">
        <f>+IF(ENERO!T168=0,"",ENERO!T168)</f>
        <v>Vigencias Anteriores</v>
      </c>
      <c r="U168" s="29">
        <f>+ENERO!U168</f>
        <v>100900000</v>
      </c>
      <c r="V168" s="15">
        <f>ENERO!V168+FEBRERO!AL168</f>
        <v>0</v>
      </c>
      <c r="W168" s="15">
        <f>ENERO!W168+FEBRERO!AM168</f>
        <v>200000000</v>
      </c>
      <c r="X168" s="16">
        <f t="shared" si="150"/>
        <v>300900000</v>
      </c>
      <c r="Y168" s="19">
        <f>ENERO!AA168</f>
        <v>276516023</v>
      </c>
      <c r="Z168" s="364">
        <v>12995238</v>
      </c>
      <c r="AA168" s="18">
        <f t="shared" si="151"/>
        <v>289511261</v>
      </c>
      <c r="AB168" s="19">
        <f>ENERO!AD168</f>
        <v>276516023</v>
      </c>
      <c r="AC168" s="364">
        <v>12995238</v>
      </c>
      <c r="AD168" s="16">
        <f t="shared" si="152"/>
        <v>289511261</v>
      </c>
      <c r="AE168" s="19">
        <f>ENERO!AG168</f>
        <v>276516023</v>
      </c>
      <c r="AF168" s="364">
        <v>12995238</v>
      </c>
      <c r="AG168" s="16">
        <f t="shared" si="153"/>
        <v>289511261</v>
      </c>
      <c r="AH168" s="19">
        <f t="shared" si="154"/>
        <v>11388739</v>
      </c>
      <c r="AI168" s="15">
        <f t="shared" si="155"/>
        <v>11388739</v>
      </c>
      <c r="AJ168" s="16">
        <f t="shared" si="156"/>
        <v>11388739</v>
      </c>
      <c r="AK168" s="9"/>
      <c r="AL168" s="362">
        <v>0</v>
      </c>
      <c r="AM168" s="365">
        <v>0</v>
      </c>
      <c r="AN168" s="9"/>
    </row>
    <row r="169" spans="1:40" s="372" customFormat="1" ht="24.95" customHeight="1">
      <c r="A169" s="734"/>
      <c r="B169" s="643"/>
      <c r="N169" s="9"/>
      <c r="P169" s="9"/>
      <c r="Q169" s="9"/>
      <c r="R169" s="9"/>
      <c r="S169" s="356" t="str">
        <f>+IF(ENERO!S169=0,"",ENERO!S169)</f>
        <v/>
      </c>
      <c r="T169" s="678" t="str">
        <f>+IF(ENERO!T169=0,"",ENERO!T169)</f>
        <v/>
      </c>
      <c r="U169" s="357"/>
      <c r="V169" s="161"/>
      <c r="W169" s="161"/>
      <c r="X169" s="166"/>
      <c r="Y169" s="357"/>
      <c r="Z169" s="161"/>
      <c r="AA169" s="161"/>
      <c r="AB169" s="357"/>
      <c r="AC169" s="161"/>
      <c r="AD169" s="166"/>
      <c r="AE169" s="357"/>
      <c r="AF169" s="161">
        <v>0</v>
      </c>
      <c r="AG169" s="166"/>
      <c r="AH169" s="357"/>
      <c r="AI169" s="161"/>
      <c r="AJ169" s="166"/>
      <c r="AK169" s="9"/>
      <c r="AL169" s="172"/>
      <c r="AM169" s="173"/>
      <c r="AN169" s="9"/>
    </row>
    <row r="170" spans="1:40" s="372" customFormat="1" ht="24.95" customHeight="1">
      <c r="A170" s="734"/>
      <c r="B170" s="643"/>
      <c r="N170" s="9"/>
      <c r="P170" s="9"/>
      <c r="Q170" s="9"/>
      <c r="R170" s="9"/>
      <c r="S170" s="686">
        <f>+IF(ENERO!S170=0,"",ENERO!S170)</f>
        <v>3000000</v>
      </c>
      <c r="T170" s="706" t="str">
        <f>+IF(ENERO!T170=0,"",ENERO!T170)</f>
        <v>TRANSFERENCIAS CORRIENTES</v>
      </c>
      <c r="U170" s="369">
        <f t="shared" ref="U170:AJ170" si="157">U172+U176+U185</f>
        <v>1240354144</v>
      </c>
      <c r="V170" s="461">
        <f t="shared" si="157"/>
        <v>10000000</v>
      </c>
      <c r="W170" s="461">
        <f t="shared" si="157"/>
        <v>0</v>
      </c>
      <c r="X170" s="370">
        <f t="shared" si="157"/>
        <v>1250354144</v>
      </c>
      <c r="Y170" s="369">
        <f t="shared" si="157"/>
        <v>139850897</v>
      </c>
      <c r="Z170" s="461">
        <f t="shared" si="157"/>
        <v>84435254</v>
      </c>
      <c r="AA170" s="462">
        <f t="shared" si="157"/>
        <v>224286151</v>
      </c>
      <c r="AB170" s="369">
        <f t="shared" si="157"/>
        <v>134279754</v>
      </c>
      <c r="AC170" s="461">
        <f t="shared" si="157"/>
        <v>83927295</v>
      </c>
      <c r="AD170" s="370">
        <f t="shared" si="157"/>
        <v>218207049</v>
      </c>
      <c r="AE170" s="369">
        <f t="shared" si="157"/>
        <v>111894244</v>
      </c>
      <c r="AF170" s="461">
        <f t="shared" si="157"/>
        <v>61541785</v>
      </c>
      <c r="AG170" s="370">
        <f t="shared" si="157"/>
        <v>173436029</v>
      </c>
      <c r="AH170" s="369">
        <f t="shared" si="157"/>
        <v>1026067993</v>
      </c>
      <c r="AI170" s="461">
        <f t="shared" si="157"/>
        <v>1032147095</v>
      </c>
      <c r="AJ170" s="370">
        <f t="shared" si="157"/>
        <v>1076918115</v>
      </c>
      <c r="AK170" s="9"/>
      <c r="AL170" s="128">
        <f>AL172+AL176+AL185</f>
        <v>10000000</v>
      </c>
      <c r="AM170" s="130">
        <f>AM172+AM176+AM185</f>
        <v>0</v>
      </c>
      <c r="AN170" s="9"/>
    </row>
    <row r="171" spans="1:40" s="372" customFormat="1" ht="24.95" customHeight="1">
      <c r="A171" s="734"/>
      <c r="B171" s="643"/>
      <c r="N171" s="9"/>
      <c r="P171" s="9"/>
      <c r="Q171" s="9"/>
      <c r="R171" s="9"/>
      <c r="S171" s="356" t="str">
        <f>+IF(ENERO!S171=0,"",ENERO!S171)</f>
        <v/>
      </c>
      <c r="T171" s="678" t="str">
        <f>+IF(ENERO!T171=0,"",ENERO!T171)</f>
        <v/>
      </c>
      <c r="U171" s="357"/>
      <c r="V171" s="161"/>
      <c r="W171" s="161"/>
      <c r="X171" s="166"/>
      <c r="Y171" s="357"/>
      <c r="Z171" s="161"/>
      <c r="AA171" s="161"/>
      <c r="AB171" s="357"/>
      <c r="AC171" s="161"/>
      <c r="AD171" s="166"/>
      <c r="AE171" s="357"/>
      <c r="AF171" s="161"/>
      <c r="AG171" s="166"/>
      <c r="AH171" s="357"/>
      <c r="AI171" s="161"/>
      <c r="AJ171" s="166"/>
      <c r="AK171" s="9"/>
      <c r="AL171" s="172"/>
      <c r="AM171" s="173"/>
      <c r="AN171" s="9"/>
    </row>
    <row r="172" spans="1:40" s="372" customFormat="1" ht="24.95" customHeight="1">
      <c r="A172" s="734"/>
      <c r="B172" s="643"/>
      <c r="N172" s="9"/>
      <c r="P172" s="9"/>
      <c r="Q172" s="9"/>
      <c r="R172" s="9"/>
      <c r="S172" s="687">
        <f>+IF(ENERO!S172=0,"",ENERO!S172)</f>
        <v>3100000</v>
      </c>
      <c r="T172" s="703" t="str">
        <f>+IF(ENERO!T172=0,"",ENERO!T172)</f>
        <v>Transferencias al Sector Público</v>
      </c>
      <c r="U172" s="128">
        <f t="shared" ref="U172:AJ172" si="158">SUM(U173:U174)</f>
        <v>50000000</v>
      </c>
      <c r="V172" s="122">
        <f t="shared" si="158"/>
        <v>10000000</v>
      </c>
      <c r="W172" s="122">
        <f t="shared" si="158"/>
        <v>0</v>
      </c>
      <c r="X172" s="130">
        <f t="shared" si="158"/>
        <v>60000000</v>
      </c>
      <c r="Y172" s="128">
        <f t="shared" si="158"/>
        <v>36288652</v>
      </c>
      <c r="Z172" s="122">
        <f t="shared" si="158"/>
        <v>22385510</v>
      </c>
      <c r="AA172" s="129">
        <f t="shared" si="158"/>
        <v>58674162</v>
      </c>
      <c r="AB172" s="128">
        <f t="shared" si="158"/>
        <v>36288652</v>
      </c>
      <c r="AC172" s="122">
        <f t="shared" si="158"/>
        <v>22385510</v>
      </c>
      <c r="AD172" s="130">
        <f t="shared" si="158"/>
        <v>58674162</v>
      </c>
      <c r="AE172" s="128">
        <f t="shared" si="158"/>
        <v>13903142</v>
      </c>
      <c r="AF172" s="122">
        <f t="shared" si="158"/>
        <v>0</v>
      </c>
      <c r="AG172" s="130">
        <f t="shared" si="158"/>
        <v>13903142</v>
      </c>
      <c r="AH172" s="128">
        <f t="shared" si="158"/>
        <v>1325838</v>
      </c>
      <c r="AI172" s="122">
        <f t="shared" si="158"/>
        <v>1325838</v>
      </c>
      <c r="AJ172" s="130">
        <f t="shared" si="158"/>
        <v>46096858</v>
      </c>
      <c r="AK172" s="9"/>
      <c r="AL172" s="128">
        <f>SUM(AL173:AL174)</f>
        <v>10000000</v>
      </c>
      <c r="AM172" s="130">
        <f>SUM(AM173:AM174)</f>
        <v>0</v>
      </c>
      <c r="AN172" s="9"/>
    </row>
    <row r="173" spans="1:40" s="372" customFormat="1" ht="24.95" customHeight="1">
      <c r="A173" s="734"/>
      <c r="B173" s="643"/>
      <c r="N173" s="9"/>
      <c r="P173" s="9"/>
      <c r="Q173" s="9"/>
      <c r="R173" s="9"/>
      <c r="S173" s="688">
        <f>+IF(ENERO!S173=0,"",ENERO!S173)</f>
        <v>3100003</v>
      </c>
      <c r="T173" s="704" t="str">
        <f>+IF(ENERO!T173=0,"",ENERO!T173)</f>
        <v>Entidades Públicas (Contraloria, Supersalud,…)</v>
      </c>
      <c r="U173" s="29">
        <f>+ENERO!U173</f>
        <v>50000000</v>
      </c>
      <c r="V173" s="15">
        <f>ENERO!V173+FEBRERO!AL173</f>
        <v>10000000</v>
      </c>
      <c r="W173" s="15">
        <f>ENERO!W173+FEBRERO!AM173</f>
        <v>0</v>
      </c>
      <c r="X173" s="16">
        <f>SUM(U173:W173)</f>
        <v>60000000</v>
      </c>
      <c r="Y173" s="19">
        <f>ENERO!AA173</f>
        <v>36288652</v>
      </c>
      <c r="Z173" s="364">
        <v>22385510</v>
      </c>
      <c r="AA173" s="18">
        <f>SUM(Y173:Z173)</f>
        <v>58674162</v>
      </c>
      <c r="AB173" s="19">
        <f>ENERO!AD173</f>
        <v>36288652</v>
      </c>
      <c r="AC173" s="364">
        <v>22385510</v>
      </c>
      <c r="AD173" s="16">
        <f>SUM(AB173:AC173)</f>
        <v>58674162</v>
      </c>
      <c r="AE173" s="19">
        <f>ENERO!AG173</f>
        <v>13903142</v>
      </c>
      <c r="AF173" s="364">
        <v>0</v>
      </c>
      <c r="AG173" s="16">
        <f>SUM(AE173:AF173)</f>
        <v>13903142</v>
      </c>
      <c r="AH173" s="19">
        <f>X173-AA173</f>
        <v>1325838</v>
      </c>
      <c r="AI173" s="15">
        <f>X173-AD173</f>
        <v>1325838</v>
      </c>
      <c r="AJ173" s="16">
        <f>X173-AG173</f>
        <v>46096858</v>
      </c>
      <c r="AK173" s="9"/>
      <c r="AL173" s="362">
        <v>10000000</v>
      </c>
      <c r="AM173" s="365">
        <v>0</v>
      </c>
      <c r="AN173" s="9"/>
    </row>
    <row r="174" spans="1:40" s="372" customFormat="1" ht="24.95" customHeight="1">
      <c r="A174" s="734"/>
      <c r="B174" s="643"/>
      <c r="N174" s="9"/>
      <c r="P174" s="9"/>
      <c r="Q174" s="9"/>
      <c r="R174" s="9"/>
      <c r="S174" s="688">
        <f>+IF(ENERO!S174=0,"",ENERO!S174)</f>
        <v>3199999</v>
      </c>
      <c r="T174" s="704" t="str">
        <f>+IF(ENERO!T174=0,"",ENERO!T174)</f>
        <v>Vigencias Anteriores</v>
      </c>
      <c r="U174" s="29">
        <f>+ENERO!U174</f>
        <v>0</v>
      </c>
      <c r="V174" s="15">
        <f>ENERO!V174+FEBRERO!AL174</f>
        <v>0</v>
      </c>
      <c r="W174" s="15">
        <f>ENERO!W174+FEBRERO!AM174</f>
        <v>0</v>
      </c>
      <c r="X174" s="16">
        <f>SUM(U174:W174)</f>
        <v>0</v>
      </c>
      <c r="Y174" s="19">
        <f>ENERO!AA174</f>
        <v>0</v>
      </c>
      <c r="Z174" s="364">
        <v>0</v>
      </c>
      <c r="AA174" s="18">
        <f>SUM(Y174:Z174)</f>
        <v>0</v>
      </c>
      <c r="AB174" s="19">
        <f>ENERO!AD174</f>
        <v>0</v>
      </c>
      <c r="AC174" s="364">
        <v>0</v>
      </c>
      <c r="AD174" s="16">
        <f>SUM(AB174:AC174)</f>
        <v>0</v>
      </c>
      <c r="AE174" s="19">
        <f>ENERO!AG174</f>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+IF(ENERO!S175=0,"",ENERO!S175)</f>
        <v/>
      </c>
      <c r="T175" s="678" t="str">
        <f>+IF(ENERO!T175=0,"",ENERO!T175)</f>
        <v/>
      </c>
      <c r="U175" s="357"/>
      <c r="V175" s="161"/>
      <c r="W175" s="161"/>
      <c r="X175" s="166"/>
      <c r="Y175" s="357"/>
      <c r="Z175" s="161"/>
      <c r="AA175" s="161"/>
      <c r="AB175" s="357"/>
      <c r="AC175" s="161"/>
      <c r="AD175" s="166"/>
      <c r="AE175" s="357"/>
      <c r="AF175" s="161"/>
      <c r="AG175" s="166"/>
      <c r="AH175" s="357"/>
      <c r="AI175" s="161"/>
      <c r="AJ175" s="166"/>
      <c r="AK175" s="10"/>
      <c r="AL175" s="172"/>
      <c r="AM175" s="173"/>
      <c r="AN175" s="9"/>
    </row>
    <row r="176" spans="1:40" s="372" customFormat="1" ht="24.95" customHeight="1">
      <c r="A176" s="734"/>
      <c r="B176" s="643"/>
      <c r="N176" s="9"/>
      <c r="P176" s="9"/>
      <c r="Q176" s="9"/>
      <c r="R176" s="9"/>
      <c r="S176" s="687">
        <f>+IF(ENERO!S176=0,"",ENERO!S176)</f>
        <v>320000</v>
      </c>
      <c r="T176" s="703" t="str">
        <f>+IF(ENERO!T176=0,"",ENERO!T176)</f>
        <v>Transf. Previsión y Seguridad Social</v>
      </c>
      <c r="U176" s="128">
        <f t="shared" ref="U176:AJ176" si="159">SUM(U177:U183)</f>
        <v>1110354144</v>
      </c>
      <c r="V176" s="122">
        <f t="shared" si="159"/>
        <v>0</v>
      </c>
      <c r="W176" s="122">
        <f t="shared" si="159"/>
        <v>0</v>
      </c>
      <c r="X176" s="130">
        <f t="shared" si="159"/>
        <v>1110354144</v>
      </c>
      <c r="Y176" s="128">
        <f t="shared" si="159"/>
        <v>103339245</v>
      </c>
      <c r="Z176" s="122">
        <f t="shared" si="159"/>
        <v>61826744</v>
      </c>
      <c r="AA176" s="129">
        <f t="shared" si="159"/>
        <v>165165989</v>
      </c>
      <c r="AB176" s="128">
        <f t="shared" si="159"/>
        <v>97768102</v>
      </c>
      <c r="AC176" s="122">
        <f t="shared" si="159"/>
        <v>61318785</v>
      </c>
      <c r="AD176" s="130">
        <f t="shared" si="159"/>
        <v>159086887</v>
      </c>
      <c r="AE176" s="128">
        <f t="shared" si="159"/>
        <v>97768102</v>
      </c>
      <c r="AF176" s="122">
        <f t="shared" si="159"/>
        <v>61318785</v>
      </c>
      <c r="AG176" s="130">
        <f t="shared" si="159"/>
        <v>159086887</v>
      </c>
      <c r="AH176" s="128">
        <f t="shared" si="159"/>
        <v>945188155</v>
      </c>
      <c r="AI176" s="122">
        <f t="shared" si="159"/>
        <v>951267257</v>
      </c>
      <c r="AJ176" s="130">
        <f t="shared" si="159"/>
        <v>951267257</v>
      </c>
      <c r="AK176" s="9"/>
      <c r="AL176" s="128">
        <f>SUM(AL177:AL183)</f>
        <v>0</v>
      </c>
      <c r="AM176" s="130">
        <f>SUM(AM177:AM183)</f>
        <v>0</v>
      </c>
      <c r="AN176" s="9"/>
    </row>
    <row r="177" spans="1:40" s="372" customFormat="1" ht="24.95" customHeight="1">
      <c r="A177" s="734"/>
      <c r="B177" s="643"/>
      <c r="N177" s="9"/>
      <c r="P177" s="9"/>
      <c r="Q177" s="9"/>
      <c r="R177" s="9"/>
      <c r="S177" s="688">
        <f>+IF(ENERO!S177=0,"",ENERO!S177)</f>
        <v>3200100</v>
      </c>
      <c r="T177" s="704" t="str">
        <f>+IF(ENERO!T177=0,"",ENERO!T177)</f>
        <v>Pensiones y Jubilaciones (Pago Directo)</v>
      </c>
      <c r="U177" s="29">
        <f>+ENERO!U177</f>
        <v>965336472</v>
      </c>
      <c r="V177" s="15">
        <f>ENERO!V177+FEBRERO!AL177</f>
        <v>0</v>
      </c>
      <c r="W177" s="15">
        <f>ENERO!W177+FEBRERO!AM177</f>
        <v>0</v>
      </c>
      <c r="X177" s="16">
        <f t="shared" ref="X177:X183" si="160">SUM(U177:W177)</f>
        <v>965336472</v>
      </c>
      <c r="Y177" s="19">
        <f>ENERO!AA177</f>
        <v>62152617</v>
      </c>
      <c r="Z177" s="364">
        <v>61313538</v>
      </c>
      <c r="AA177" s="18">
        <f t="shared" ref="AA177:AA183" si="161">SUM(Y177:Z177)</f>
        <v>123466155</v>
      </c>
      <c r="AB177" s="19">
        <f>ENERO!AD177</f>
        <v>62152617</v>
      </c>
      <c r="AC177" s="364">
        <v>61313538</v>
      </c>
      <c r="AD177" s="16">
        <f t="shared" ref="AD177:AD183" si="162">SUM(AB177:AC177)</f>
        <v>123466155</v>
      </c>
      <c r="AE177" s="19">
        <f>ENERO!AG177</f>
        <v>62152617</v>
      </c>
      <c r="AF177" s="364">
        <v>61313538</v>
      </c>
      <c r="AG177" s="16">
        <f t="shared" ref="AG177:AG183" si="163">SUM(AE177:AF177)</f>
        <v>123466155</v>
      </c>
      <c r="AH177" s="19">
        <f t="shared" ref="AH177:AH183" si="164">X177-AA177</f>
        <v>841870317</v>
      </c>
      <c r="AI177" s="15">
        <f t="shared" ref="AI177:AI183" si="165">X177-AD177</f>
        <v>841870317</v>
      </c>
      <c r="AJ177" s="16">
        <f t="shared" ref="AJ177:AJ183" si="166">X177-AG177</f>
        <v>841870317</v>
      </c>
      <c r="AK177" s="9"/>
      <c r="AL177" s="362">
        <v>0</v>
      </c>
      <c r="AM177" s="365">
        <v>0</v>
      </c>
      <c r="AN177" s="9"/>
    </row>
    <row r="178" spans="1:40" s="372" customFormat="1" ht="24.95" customHeight="1">
      <c r="A178" s="734"/>
      <c r="B178" s="643"/>
      <c r="N178" s="9"/>
      <c r="P178" s="9"/>
      <c r="Q178" s="9"/>
      <c r="R178" s="9"/>
      <c r="S178" s="688">
        <f>+IF(ENERO!S178=0,"",ENERO!S178)</f>
        <v>3200200</v>
      </c>
      <c r="T178" s="704" t="str">
        <f>+IF(ENERO!T178=0,"",ENERO!T178)</f>
        <v>Cesantías Pago Directo (Pago Directo)</v>
      </c>
      <c r="U178" s="29">
        <f>+ENERO!U178</f>
        <v>20000000</v>
      </c>
      <c r="V178" s="15">
        <f>ENERO!V178+FEBRERO!AL178</f>
        <v>0</v>
      </c>
      <c r="W178" s="15">
        <f>ENERO!W178+FEBRERO!AM178</f>
        <v>0</v>
      </c>
      <c r="X178" s="16">
        <f t="shared" si="160"/>
        <v>20000000</v>
      </c>
      <c r="Y178" s="19">
        <f>ENERO!AA178</f>
        <v>5571143</v>
      </c>
      <c r="Z178" s="364">
        <v>507959</v>
      </c>
      <c r="AA178" s="18">
        <f t="shared" si="161"/>
        <v>6079102</v>
      </c>
      <c r="AB178" s="19">
        <f>ENERO!AD178</f>
        <v>0</v>
      </c>
      <c r="AC178" s="364">
        <v>0</v>
      </c>
      <c r="AD178" s="16">
        <f t="shared" si="162"/>
        <v>0</v>
      </c>
      <c r="AE178" s="19">
        <f>ENERO!AG178</f>
        <v>0</v>
      </c>
      <c r="AF178" s="364">
        <v>0</v>
      </c>
      <c r="AG178" s="16">
        <f t="shared" si="163"/>
        <v>0</v>
      </c>
      <c r="AH178" s="19">
        <f t="shared" si="164"/>
        <v>13920898</v>
      </c>
      <c r="AI178" s="15">
        <f t="shared" si="165"/>
        <v>20000000</v>
      </c>
      <c r="AJ178" s="16">
        <f t="shared" si="166"/>
        <v>20000000</v>
      </c>
      <c r="AK178" s="9"/>
      <c r="AL178" s="362">
        <v>0</v>
      </c>
      <c r="AM178" s="365">
        <v>0</v>
      </c>
      <c r="AN178" s="9"/>
    </row>
    <row r="179" spans="1:40" s="372" customFormat="1" ht="24.95" customHeight="1">
      <c r="A179" s="734"/>
      <c r="B179" s="643"/>
      <c r="N179" s="9"/>
      <c r="P179" s="9"/>
      <c r="Q179" s="9"/>
      <c r="R179" s="9"/>
      <c r="S179" s="688">
        <f>+IF(ENERO!S179=0,"",ENERO!S179)</f>
        <v>3200300</v>
      </c>
      <c r="T179" s="704" t="str">
        <f>+IF(ENERO!T179=0,"",ENERO!T179)</f>
        <v>Bonos, Cuotas de Bonos y cuotas partes jubilatorias</v>
      </c>
      <c r="U179" s="29">
        <f>+ENERO!U179</f>
        <v>20000000</v>
      </c>
      <c r="V179" s="15">
        <f>ENERO!V179+FEBRERO!AL179</f>
        <v>0</v>
      </c>
      <c r="W179" s="15">
        <f>ENERO!W179+FEBRERO!AM179</f>
        <v>0</v>
      </c>
      <c r="X179" s="16">
        <f t="shared" si="160"/>
        <v>20000000</v>
      </c>
      <c r="Y179" s="19">
        <f>ENERO!AA179</f>
        <v>0</v>
      </c>
      <c r="Z179" s="364">
        <v>0</v>
      </c>
      <c r="AA179" s="18">
        <f t="shared" si="161"/>
        <v>0</v>
      </c>
      <c r="AB179" s="19">
        <f>ENERO!AD179</f>
        <v>0</v>
      </c>
      <c r="AC179" s="364">
        <v>0</v>
      </c>
      <c r="AD179" s="16">
        <f t="shared" si="162"/>
        <v>0</v>
      </c>
      <c r="AE179" s="19">
        <f>ENERO!AG179</f>
        <v>0</v>
      </c>
      <c r="AF179" s="364">
        <v>0</v>
      </c>
      <c r="AG179" s="16">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N180" s="9"/>
      <c r="P180" s="9"/>
      <c r="Q180" s="9"/>
      <c r="R180" s="9"/>
      <c r="S180" s="688">
        <f>+IF(ENERO!S180=0,"",ENERO!S180)</f>
        <v>3200400</v>
      </c>
      <c r="T180" s="704" t="str">
        <f>+IF(ENERO!T180=0,"",ENERO!T180)</f>
        <v>Intereses a las cesantias</v>
      </c>
      <c r="U180" s="29">
        <f>+ENERO!U180</f>
        <v>105017672</v>
      </c>
      <c r="V180" s="15">
        <f>ENERO!V180+FEBRERO!AL180</f>
        <v>0</v>
      </c>
      <c r="W180" s="15">
        <f>ENERO!W180+FEBRERO!AM180</f>
        <v>0</v>
      </c>
      <c r="X180" s="16">
        <f t="shared" si="160"/>
        <v>105017672</v>
      </c>
      <c r="Y180" s="19">
        <f>ENERO!AA180</f>
        <v>35615485</v>
      </c>
      <c r="Z180" s="364">
        <v>5247</v>
      </c>
      <c r="AA180" s="18">
        <f t="shared" si="161"/>
        <v>35620732</v>
      </c>
      <c r="AB180" s="19">
        <f>ENERO!AD180</f>
        <v>35615485</v>
      </c>
      <c r="AC180" s="364">
        <v>5247</v>
      </c>
      <c r="AD180" s="16">
        <f t="shared" si="162"/>
        <v>35620732</v>
      </c>
      <c r="AE180" s="19">
        <f>ENERO!AG180</f>
        <v>35615485</v>
      </c>
      <c r="AF180" s="364">
        <v>5247</v>
      </c>
      <c r="AG180" s="16">
        <f t="shared" si="163"/>
        <v>35620732</v>
      </c>
      <c r="AH180" s="19">
        <f t="shared" si="164"/>
        <v>69396940</v>
      </c>
      <c r="AI180" s="15">
        <f t="shared" si="165"/>
        <v>69396940</v>
      </c>
      <c r="AJ180" s="16">
        <f t="shared" si="166"/>
        <v>69396940</v>
      </c>
      <c r="AK180" s="9"/>
      <c r="AL180" s="362">
        <v>0</v>
      </c>
      <c r="AM180" s="365">
        <v>0</v>
      </c>
      <c r="AN180" s="9"/>
    </row>
    <row r="181" spans="1:40" s="372" customFormat="1" ht="24.95" customHeight="1">
      <c r="A181" s="734"/>
      <c r="B181" s="643"/>
      <c r="N181" s="9"/>
      <c r="P181" s="9"/>
      <c r="Q181" s="9"/>
      <c r="R181" s="9"/>
      <c r="S181" s="688">
        <f>+IF(ENERO!S181=0,"",ENERO!S181)</f>
        <v>3200500</v>
      </c>
      <c r="T181" s="704" t="str">
        <f>+IF(ENERO!T181=0,"",ENERO!T181)</f>
        <v/>
      </c>
      <c r="U181" s="29">
        <f>+ENERO!U181</f>
        <v>0</v>
      </c>
      <c r="V181" s="15">
        <f>ENERO!V181+FEBRERO!AL181</f>
        <v>0</v>
      </c>
      <c r="W181" s="15">
        <f>ENERO!W181+FEBRERO!AM181</f>
        <v>0</v>
      </c>
      <c r="X181" s="16">
        <f t="shared" si="160"/>
        <v>0</v>
      </c>
      <c r="Y181" s="19">
        <f>ENERO!AA181</f>
        <v>0</v>
      </c>
      <c r="Z181" s="364">
        <v>0</v>
      </c>
      <c r="AA181" s="18">
        <f t="shared" si="161"/>
        <v>0</v>
      </c>
      <c r="AB181" s="19">
        <f>ENERO!AD181</f>
        <v>0</v>
      </c>
      <c r="AC181" s="364">
        <v>0</v>
      </c>
      <c r="AD181" s="16">
        <f t="shared" si="162"/>
        <v>0</v>
      </c>
      <c r="AE181" s="19">
        <f>ENERO!AG181</f>
        <v>0</v>
      </c>
      <c r="AF181" s="364">
        <v>0</v>
      </c>
      <c r="AG181" s="16">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N182" s="9"/>
      <c r="P182" s="9"/>
      <c r="Q182" s="9"/>
      <c r="R182" s="9"/>
      <c r="S182" s="688">
        <f>+IF(ENERO!S182=0,"",ENERO!S182)</f>
        <v>3200600</v>
      </c>
      <c r="T182" s="704" t="str">
        <f>+IF(ENERO!T182=0,"",ENERO!T182)</f>
        <v/>
      </c>
      <c r="U182" s="29">
        <f>+ENERO!U182</f>
        <v>0</v>
      </c>
      <c r="V182" s="15">
        <f>ENERO!V182+FEBRERO!AL182</f>
        <v>0</v>
      </c>
      <c r="W182" s="15">
        <f>ENERO!W182+FEBRERO!AM182</f>
        <v>0</v>
      </c>
      <c r="X182" s="16">
        <f t="shared" si="160"/>
        <v>0</v>
      </c>
      <c r="Y182" s="19">
        <f>ENERO!AA182</f>
        <v>0</v>
      </c>
      <c r="Z182" s="364">
        <v>0</v>
      </c>
      <c r="AA182" s="18">
        <f t="shared" si="161"/>
        <v>0</v>
      </c>
      <c r="AB182" s="19">
        <f>ENERO!AD182</f>
        <v>0</v>
      </c>
      <c r="AC182" s="364">
        <v>0</v>
      </c>
      <c r="AD182" s="16">
        <f t="shared" si="162"/>
        <v>0</v>
      </c>
      <c r="AE182" s="19">
        <f>ENERO!AG182</f>
        <v>0</v>
      </c>
      <c r="AF182" s="364">
        <v>0</v>
      </c>
      <c r="AG182" s="16">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N183" s="9"/>
      <c r="P183" s="9"/>
      <c r="Q183" s="9"/>
      <c r="R183" s="9"/>
      <c r="S183" s="688">
        <f>+IF(ENERO!S183=0,"",ENERO!S183)</f>
        <v>3299999</v>
      </c>
      <c r="T183" s="704" t="str">
        <f>+IF(ENERO!T183=0,"",ENERO!T183)</f>
        <v>Vigencias Anteriores</v>
      </c>
      <c r="U183" s="29">
        <f>+ENERO!U183</f>
        <v>0</v>
      </c>
      <c r="V183" s="15">
        <f>ENERO!V183+FEBRERO!AL183</f>
        <v>0</v>
      </c>
      <c r="W183" s="15">
        <f>ENERO!W183+FEBRERO!AM183</f>
        <v>0</v>
      </c>
      <c r="X183" s="16">
        <f t="shared" si="160"/>
        <v>0</v>
      </c>
      <c r="Y183" s="19">
        <f>ENERO!AA183</f>
        <v>0</v>
      </c>
      <c r="Z183" s="364">
        <v>0</v>
      </c>
      <c r="AA183" s="18">
        <f t="shared" si="161"/>
        <v>0</v>
      </c>
      <c r="AB183" s="19">
        <f>ENERO!AD183</f>
        <v>0</v>
      </c>
      <c r="AC183" s="364">
        <v>0</v>
      </c>
      <c r="AD183" s="16">
        <f t="shared" si="162"/>
        <v>0</v>
      </c>
      <c r="AE183" s="19">
        <f>ENERO!AG183</f>
        <v>0</v>
      </c>
      <c r="AF183" s="364">
        <v>0</v>
      </c>
      <c r="AG183" s="16">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N184" s="9"/>
      <c r="P184" s="9"/>
      <c r="Q184" s="9"/>
      <c r="R184" s="9"/>
      <c r="S184" s="356" t="str">
        <f>+IF(ENERO!S184=0,"",ENERO!S184)</f>
        <v/>
      </c>
      <c r="T184" s="678" t="str">
        <f>+IF(ENERO!T184=0,"",ENERO!T184)</f>
        <v/>
      </c>
      <c r="U184" s="357"/>
      <c r="V184" s="161"/>
      <c r="W184" s="161"/>
      <c r="X184" s="166"/>
      <c r="Y184" s="357"/>
      <c r="Z184" s="161"/>
      <c r="AA184" s="161"/>
      <c r="AB184" s="357"/>
      <c r="AC184" s="161"/>
      <c r="AD184" s="166"/>
      <c r="AE184" s="357"/>
      <c r="AF184" s="161"/>
      <c r="AG184" s="166"/>
      <c r="AH184" s="357"/>
      <c r="AI184" s="161"/>
      <c r="AJ184" s="166"/>
      <c r="AK184" s="9"/>
      <c r="AL184" s="172"/>
      <c r="AM184" s="173"/>
      <c r="AN184" s="9"/>
    </row>
    <row r="185" spans="1:40" s="372" customFormat="1" ht="24.95" customHeight="1">
      <c r="A185" s="734"/>
      <c r="B185" s="643"/>
      <c r="N185" s="9"/>
      <c r="P185" s="9"/>
      <c r="Q185" s="9"/>
      <c r="R185" s="9"/>
      <c r="S185" s="687">
        <f>+IF(ENERO!S185=0,"",ENERO!S185)</f>
        <v>3300000</v>
      </c>
      <c r="T185" s="703" t="str">
        <f>+IF(ENERO!T185=0,"",ENERO!T185)</f>
        <v>Otras Transferencias</v>
      </c>
      <c r="U185" s="128">
        <f t="shared" ref="U185:AJ185" si="167">U186+U187+U191</f>
        <v>80000000</v>
      </c>
      <c r="V185" s="122">
        <f t="shared" si="167"/>
        <v>0</v>
      </c>
      <c r="W185" s="122">
        <f t="shared" si="167"/>
        <v>0</v>
      </c>
      <c r="X185" s="130">
        <f t="shared" si="167"/>
        <v>80000000</v>
      </c>
      <c r="Y185" s="128">
        <f t="shared" si="167"/>
        <v>223000</v>
      </c>
      <c r="Z185" s="122">
        <f t="shared" si="167"/>
        <v>223000</v>
      </c>
      <c r="AA185" s="129">
        <f t="shared" si="167"/>
        <v>446000</v>
      </c>
      <c r="AB185" s="128">
        <f t="shared" si="167"/>
        <v>223000</v>
      </c>
      <c r="AC185" s="122">
        <f t="shared" si="167"/>
        <v>223000</v>
      </c>
      <c r="AD185" s="130">
        <f t="shared" si="167"/>
        <v>446000</v>
      </c>
      <c r="AE185" s="128">
        <f t="shared" si="167"/>
        <v>223000</v>
      </c>
      <c r="AF185" s="122">
        <f t="shared" si="167"/>
        <v>223000</v>
      </c>
      <c r="AG185" s="130">
        <f t="shared" si="167"/>
        <v>446000</v>
      </c>
      <c r="AH185" s="128">
        <f t="shared" si="167"/>
        <v>79554000</v>
      </c>
      <c r="AI185" s="122">
        <f t="shared" si="167"/>
        <v>79554000</v>
      </c>
      <c r="AJ185" s="130">
        <f t="shared" si="167"/>
        <v>79554000</v>
      </c>
      <c r="AK185" s="9"/>
      <c r="AL185" s="128">
        <f>AL186+AL187+AL191</f>
        <v>0</v>
      </c>
      <c r="AM185" s="130">
        <f>AM186+AM187+AM191</f>
        <v>0</v>
      </c>
      <c r="AN185" s="9"/>
    </row>
    <row r="186" spans="1:40" s="372" customFormat="1" ht="24.95" customHeight="1">
      <c r="A186" s="734"/>
      <c r="B186" s="643"/>
      <c r="N186" s="9"/>
      <c r="P186" s="9"/>
      <c r="Q186" s="9"/>
      <c r="R186" s="9"/>
      <c r="S186" s="688">
        <f>+IF(ENERO!S186=0,"",ENERO!S186)</f>
        <v>3300100</v>
      </c>
      <c r="T186" s="704" t="str">
        <f>+IF(ENERO!T186=0,"",ENERO!T186)</f>
        <v>Sentencias y Conciliaciones</v>
      </c>
      <c r="U186" s="29">
        <f>+ENERO!U186</f>
        <v>60000000</v>
      </c>
      <c r="V186" s="15">
        <f>ENERO!V186+FEBRERO!AL186</f>
        <v>0</v>
      </c>
      <c r="W186" s="15">
        <f>ENERO!W186+FEBRERO!AM186</f>
        <v>0</v>
      </c>
      <c r="X186" s="16">
        <f>SUM(U186:W186)</f>
        <v>60000000</v>
      </c>
      <c r="Y186" s="19">
        <f>ENERO!AA186</f>
        <v>0</v>
      </c>
      <c r="Z186" s="364">
        <v>0</v>
      </c>
      <c r="AA186" s="18">
        <f>SUM(Y186:Z186)</f>
        <v>0</v>
      </c>
      <c r="AB186" s="19">
        <f>ENERO!AD186</f>
        <v>0</v>
      </c>
      <c r="AC186" s="364">
        <v>0</v>
      </c>
      <c r="AD186" s="16">
        <f>SUM(AB186:AC186)</f>
        <v>0</v>
      </c>
      <c r="AE186" s="19">
        <f>ENERO!AG186</f>
        <v>0</v>
      </c>
      <c r="AF186" s="364">
        <v>0</v>
      </c>
      <c r="AG186" s="16">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N187" s="9"/>
      <c r="P187" s="9"/>
      <c r="Q187" s="9"/>
      <c r="R187" s="9"/>
      <c r="S187" s="688">
        <f>+IF(ENERO!S187=0,"",ENERO!S187)</f>
        <v>3300200</v>
      </c>
      <c r="T187" s="704" t="str">
        <f>+IF(ENERO!T187=0,"",ENERO!T187)</f>
        <v>Destinatarios de otras transferencias</v>
      </c>
      <c r="U187" s="29">
        <f t="shared" ref="U187:AM187" si="168">SUM(U188:U190)</f>
        <v>20000000</v>
      </c>
      <c r="V187" s="15">
        <f t="shared" si="168"/>
        <v>0</v>
      </c>
      <c r="W187" s="15">
        <f t="shared" si="168"/>
        <v>0</v>
      </c>
      <c r="X187" s="16">
        <f t="shared" si="168"/>
        <v>20000000</v>
      </c>
      <c r="Y187" s="19">
        <f t="shared" si="168"/>
        <v>223000</v>
      </c>
      <c r="Z187" s="142">
        <f t="shared" si="168"/>
        <v>223000</v>
      </c>
      <c r="AA187" s="18">
        <f t="shared" si="168"/>
        <v>446000</v>
      </c>
      <c r="AB187" s="19">
        <f t="shared" si="168"/>
        <v>223000</v>
      </c>
      <c r="AC187" s="142">
        <f t="shared" si="168"/>
        <v>223000</v>
      </c>
      <c r="AD187" s="16">
        <f t="shared" si="168"/>
        <v>446000</v>
      </c>
      <c r="AE187" s="19">
        <f t="shared" si="168"/>
        <v>223000</v>
      </c>
      <c r="AF187" s="142">
        <f t="shared" si="168"/>
        <v>223000</v>
      </c>
      <c r="AG187" s="16">
        <f t="shared" si="168"/>
        <v>446000</v>
      </c>
      <c r="AH187" s="19">
        <f t="shared" si="168"/>
        <v>19554000</v>
      </c>
      <c r="AI187" s="15">
        <f t="shared" si="168"/>
        <v>19554000</v>
      </c>
      <c r="AJ187" s="16">
        <f t="shared" si="168"/>
        <v>19554000</v>
      </c>
      <c r="AK187" s="9"/>
      <c r="AL187" s="29">
        <f t="shared" si="168"/>
        <v>0</v>
      </c>
      <c r="AM187" s="26">
        <f t="shared" si="168"/>
        <v>0</v>
      </c>
      <c r="AN187" s="9"/>
    </row>
    <row r="188" spans="1:40" s="372" customFormat="1" ht="24.95" customHeight="1">
      <c r="A188" s="734"/>
      <c r="B188" s="644"/>
      <c r="N188" s="9"/>
      <c r="P188" s="9"/>
      <c r="Q188" s="9"/>
      <c r="R188" s="9"/>
      <c r="S188" s="689" t="str">
        <f>+IF(ENERO!S188=0,"",ENERO!S188)</f>
        <v>3300200-1</v>
      </c>
      <c r="T188" s="704" t="str">
        <f>+IF(ENERO!T188=0,"",ENERO!T188)</f>
        <v>COHAN</v>
      </c>
      <c r="U188" s="29">
        <f>+ENERO!U188</f>
        <v>10000000</v>
      </c>
      <c r="V188" s="15">
        <f>ENERO!V188+FEBRERO!AL188</f>
        <v>0</v>
      </c>
      <c r="W188" s="15">
        <f>ENERO!W188+FEBRERO!AM188</f>
        <v>0</v>
      </c>
      <c r="X188" s="16">
        <f>SUM(U188:W188)</f>
        <v>10000000</v>
      </c>
      <c r="Y188" s="19">
        <f>ENERO!AA188</f>
        <v>0</v>
      </c>
      <c r="Z188" s="364">
        <v>0</v>
      </c>
      <c r="AA188" s="18">
        <f>SUM(Y188:Z188)</f>
        <v>0</v>
      </c>
      <c r="AB188" s="19">
        <f>ENERO!AD188</f>
        <v>0</v>
      </c>
      <c r="AC188" s="364">
        <v>0</v>
      </c>
      <c r="AD188" s="16">
        <f>SUM(AB188:AC188)</f>
        <v>0</v>
      </c>
      <c r="AE188" s="19">
        <f>ENERO!AG188</f>
        <v>0</v>
      </c>
      <c r="AF188" s="364">
        <v>0</v>
      </c>
      <c r="AG188" s="16">
        <f>SUM(AE188:AF188)</f>
        <v>0</v>
      </c>
      <c r="AH188" s="19">
        <f>X188-AA188</f>
        <v>10000000</v>
      </c>
      <c r="AI188" s="15">
        <f>X188-AD188</f>
        <v>10000000</v>
      </c>
      <c r="AJ188" s="16">
        <f>X188-AG188</f>
        <v>10000000</v>
      </c>
      <c r="AK188" s="9"/>
      <c r="AL188" s="362">
        <v>0</v>
      </c>
      <c r="AM188" s="365">
        <v>0</v>
      </c>
      <c r="AN188" s="9"/>
    </row>
    <row r="189" spans="1:40" s="372" customFormat="1" ht="24.95" customHeight="1">
      <c r="A189" s="734"/>
      <c r="B189" s="644"/>
      <c r="N189" s="9"/>
      <c r="P189" s="9"/>
      <c r="Q189" s="9"/>
      <c r="R189" s="9"/>
      <c r="S189" s="689" t="str">
        <f>+IF(ENERO!S189=0,"",ENERO!S189)</f>
        <v>3300200-2</v>
      </c>
      <c r="T189" s="704" t="str">
        <f>+IF(ENERO!T189=0,"",ENERO!T189)</f>
        <v>AESA</v>
      </c>
      <c r="U189" s="29">
        <f>+ENERO!U189</f>
        <v>5000000</v>
      </c>
      <c r="V189" s="15">
        <f>ENERO!V189+FEBRERO!AL189</f>
        <v>0</v>
      </c>
      <c r="W189" s="15">
        <f>ENERO!W189+FEBRERO!AM189</f>
        <v>0</v>
      </c>
      <c r="X189" s="16">
        <f>SUM(U189:W189)</f>
        <v>5000000</v>
      </c>
      <c r="Y189" s="19">
        <f>ENERO!AA189</f>
        <v>0</v>
      </c>
      <c r="Z189" s="364">
        <v>0</v>
      </c>
      <c r="AA189" s="18">
        <f>SUM(Y189:Z189)</f>
        <v>0</v>
      </c>
      <c r="AB189" s="19">
        <f>ENERO!AD189</f>
        <v>0</v>
      </c>
      <c r="AC189" s="364">
        <v>0</v>
      </c>
      <c r="AD189" s="16">
        <f>SUM(AB189:AC189)</f>
        <v>0</v>
      </c>
      <c r="AE189" s="19">
        <f>ENERO!AG189</f>
        <v>0</v>
      </c>
      <c r="AF189" s="364">
        <v>0</v>
      </c>
      <c r="AG189" s="16">
        <f>SUM(AE189:AF189)</f>
        <v>0</v>
      </c>
      <c r="AH189" s="19">
        <f>X189-AA189</f>
        <v>5000000</v>
      </c>
      <c r="AI189" s="15">
        <f>X189-AD189</f>
        <v>5000000</v>
      </c>
      <c r="AJ189" s="16">
        <f>X189-AG189</f>
        <v>5000000</v>
      </c>
      <c r="AK189" s="9"/>
      <c r="AL189" s="362">
        <v>0</v>
      </c>
      <c r="AM189" s="365">
        <v>0</v>
      </c>
      <c r="AN189" s="9"/>
    </row>
    <row r="190" spans="1:40" s="372" customFormat="1" ht="24.95" customHeight="1">
      <c r="A190" s="734"/>
      <c r="B190" s="644"/>
      <c r="N190" s="9"/>
      <c r="P190" s="9"/>
      <c r="Q190" s="9"/>
      <c r="R190" s="9"/>
      <c r="S190" s="689" t="str">
        <f>+IF(ENERO!S190=0,"",ENERO!S190)</f>
        <v>3300200-3</v>
      </c>
      <c r="T190" s="704" t="str">
        <f>+IF(ENERO!T190=0,"",ENERO!T190)</f>
        <v xml:space="preserve">OTRAS </v>
      </c>
      <c r="U190" s="29">
        <f>+ENERO!U190</f>
        <v>5000000</v>
      </c>
      <c r="V190" s="15">
        <f>ENERO!V190+FEBRERO!AL190</f>
        <v>0</v>
      </c>
      <c r="W190" s="15">
        <f>ENERO!W190+FEBRERO!AM190</f>
        <v>0</v>
      </c>
      <c r="X190" s="16">
        <f>SUM(U190:W190)</f>
        <v>5000000</v>
      </c>
      <c r="Y190" s="19">
        <f>ENERO!AA190</f>
        <v>223000</v>
      </c>
      <c r="Z190" s="364">
        <v>223000</v>
      </c>
      <c r="AA190" s="18">
        <f>SUM(Y190:Z190)</f>
        <v>446000</v>
      </c>
      <c r="AB190" s="19">
        <f>ENERO!AD190</f>
        <v>223000</v>
      </c>
      <c r="AC190" s="364">
        <v>223000</v>
      </c>
      <c r="AD190" s="16">
        <f>SUM(AB190:AC190)</f>
        <v>446000</v>
      </c>
      <c r="AE190" s="19">
        <f>ENERO!AG190</f>
        <v>223000</v>
      </c>
      <c r="AF190" s="364">
        <v>223000</v>
      </c>
      <c r="AG190" s="16">
        <f>SUM(AE190:AF190)</f>
        <v>446000</v>
      </c>
      <c r="AH190" s="19">
        <f>X190-AA190</f>
        <v>4554000</v>
      </c>
      <c r="AI190" s="15">
        <f>X190-AD190</f>
        <v>4554000</v>
      </c>
      <c r="AJ190" s="16">
        <f>X190-AG190</f>
        <v>4554000</v>
      </c>
      <c r="AK190" s="9"/>
      <c r="AL190" s="362">
        <v>0</v>
      </c>
      <c r="AM190" s="365">
        <v>0</v>
      </c>
      <c r="AN190" s="9"/>
    </row>
    <row r="191" spans="1:40" s="372" customFormat="1" ht="24.95" customHeight="1" thickBot="1">
      <c r="A191" s="734"/>
      <c r="B191" s="644"/>
      <c r="N191" s="9"/>
      <c r="P191" s="9"/>
      <c r="Q191" s="9"/>
      <c r="R191" s="9"/>
      <c r="S191" s="688">
        <f>+IF(ENERO!S191=0,"",ENERO!S191)</f>
        <v>3399999</v>
      </c>
      <c r="T191" s="704" t="str">
        <f>+IF(ENERO!T191=0,"",ENERO!T191)</f>
        <v>Vigencias Anteriores</v>
      </c>
      <c r="U191" s="29">
        <f>+ENERO!U191</f>
        <v>0</v>
      </c>
      <c r="V191" s="15">
        <f>ENERO!V191+FEBRERO!AL191</f>
        <v>0</v>
      </c>
      <c r="W191" s="15">
        <f>ENERO!W191+FEBRERO!AM191</f>
        <v>0</v>
      </c>
      <c r="X191" s="16">
        <f>SUM(U191:W191)</f>
        <v>0</v>
      </c>
      <c r="Y191" s="19">
        <f>ENERO!AA191</f>
        <v>0</v>
      </c>
      <c r="Z191" s="364">
        <v>0</v>
      </c>
      <c r="AA191" s="18">
        <f>SUM(Y191:Z191)</f>
        <v>0</v>
      </c>
      <c r="AB191" s="19">
        <f>ENERO!AD191</f>
        <v>0</v>
      </c>
      <c r="AC191" s="364">
        <v>0</v>
      </c>
      <c r="AD191" s="16">
        <f>SUM(AB191:AC191)</f>
        <v>0</v>
      </c>
      <c r="AE191" s="19">
        <f>ENERO!AG191</f>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479"/>
      <c r="T192" s="671"/>
      <c r="U192" s="204"/>
      <c r="V192" s="167"/>
      <c r="W192" s="167"/>
      <c r="X192" s="168"/>
      <c r="Y192" s="480"/>
      <c r="Z192" s="204"/>
      <c r="AA192" s="168"/>
      <c r="AB192" s="167"/>
      <c r="AC192" s="204"/>
      <c r="AD192" s="167"/>
      <c r="AE192" s="480"/>
      <c r="AF192" s="204"/>
      <c r="AG192" s="168"/>
      <c r="AH192" s="480"/>
      <c r="AI192" s="167"/>
      <c r="AJ192" s="168"/>
      <c r="AK192" s="9"/>
      <c r="AL192" s="481"/>
      <c r="AM192" s="482"/>
      <c r="AN192" s="9"/>
    </row>
    <row r="193" spans="1:40" s="372" customFormat="1" ht="34.5" customHeight="1" thickBot="1">
      <c r="A193" s="734"/>
      <c r="B193" s="644"/>
      <c r="N193" s="9"/>
      <c r="P193" s="9"/>
      <c r="Q193" s="9"/>
      <c r="R193" s="9"/>
      <c r="S193" s="483" t="s">
        <v>318</v>
      </c>
      <c r="T193" s="672" t="s">
        <v>561</v>
      </c>
      <c r="U193" s="460">
        <f>U195+U209</f>
        <v>10282942055</v>
      </c>
      <c r="V193" s="461">
        <f t="shared" ref="V193:AJ193" si="169">V195+V209</f>
        <v>0</v>
      </c>
      <c r="W193" s="461">
        <f t="shared" si="169"/>
        <v>2825666885</v>
      </c>
      <c r="X193" s="370">
        <f t="shared" si="169"/>
        <v>13108608940</v>
      </c>
      <c r="Y193" s="369">
        <f t="shared" si="169"/>
        <v>6321291302</v>
      </c>
      <c r="Z193" s="484">
        <f t="shared" si="169"/>
        <v>2189021686</v>
      </c>
      <c r="AA193" s="370">
        <f t="shared" si="169"/>
        <v>8510312988</v>
      </c>
      <c r="AB193" s="460">
        <f t="shared" si="169"/>
        <v>2995381812</v>
      </c>
      <c r="AC193" s="484">
        <f t="shared" si="169"/>
        <v>1858744027</v>
      </c>
      <c r="AD193" s="462">
        <f t="shared" si="169"/>
        <v>4854125839</v>
      </c>
      <c r="AE193" s="369">
        <f t="shared" si="169"/>
        <v>1087305294</v>
      </c>
      <c r="AF193" s="484">
        <f t="shared" si="169"/>
        <v>996562370</v>
      </c>
      <c r="AG193" s="370">
        <f t="shared" si="169"/>
        <v>2083867664</v>
      </c>
      <c r="AH193" s="369">
        <f t="shared" si="169"/>
        <v>4598295952</v>
      </c>
      <c r="AI193" s="461">
        <f t="shared" si="169"/>
        <v>8254483101</v>
      </c>
      <c r="AJ193" s="370">
        <f t="shared" si="169"/>
        <v>11024741276</v>
      </c>
      <c r="AK193" s="9"/>
      <c r="AL193" s="369">
        <f>AL195+AL209</f>
        <v>0</v>
      </c>
      <c r="AM193" s="370">
        <f>AM195+AM209</f>
        <v>2259317916</v>
      </c>
      <c r="AN193" s="9"/>
    </row>
    <row r="194" spans="1:40" s="372" customFormat="1" ht="24.95" customHeight="1">
      <c r="A194" s="734"/>
      <c r="B194" s="644"/>
      <c r="N194" s="9"/>
      <c r="P194" s="9"/>
      <c r="Q194" s="9"/>
      <c r="R194" s="9"/>
      <c r="S194" s="479"/>
      <c r="T194" s="671"/>
      <c r="U194" s="204"/>
      <c r="V194" s="167"/>
      <c r="W194" s="167"/>
      <c r="X194" s="168"/>
      <c r="Y194" s="480"/>
      <c r="Z194" s="204"/>
      <c r="AA194" s="168"/>
      <c r="AB194" s="167"/>
      <c r="AC194" s="204"/>
      <c r="AD194" s="167"/>
      <c r="AE194" s="480"/>
      <c r="AF194" s="204"/>
      <c r="AG194" s="168"/>
      <c r="AH194" s="480"/>
      <c r="AI194" s="167"/>
      <c r="AJ194" s="168"/>
      <c r="AK194" s="9"/>
      <c r="AL194" s="481"/>
      <c r="AM194" s="482"/>
      <c r="AN194" s="9"/>
    </row>
    <row r="195" spans="1:40" s="372" customFormat="1" ht="24.95" customHeight="1">
      <c r="A195" s="734"/>
      <c r="B195" s="644"/>
      <c r="N195" s="9"/>
      <c r="P195" s="9"/>
      <c r="Q195" s="9"/>
      <c r="R195" s="9"/>
      <c r="S195" s="686">
        <f>+IF(ENERO!S195=0,"",ENERO!S195)</f>
        <v>4000000</v>
      </c>
      <c r="T195" s="706" t="str">
        <f>+IF(ENERO!T195=0,"",ENERO!T195)</f>
        <v>GASTOS  DE PRESTACION DE SERVICIOS</v>
      </c>
      <c r="U195" s="369">
        <f t="shared" ref="U195:AJ195" si="170">U196</f>
        <v>10282942055</v>
      </c>
      <c r="V195" s="461">
        <f t="shared" si="170"/>
        <v>0</v>
      </c>
      <c r="W195" s="461">
        <f t="shared" si="170"/>
        <v>2825666885</v>
      </c>
      <c r="X195" s="370">
        <f t="shared" si="170"/>
        <v>13108608940</v>
      </c>
      <c r="Y195" s="369">
        <f t="shared" si="170"/>
        <v>6321291302</v>
      </c>
      <c r="Z195" s="461">
        <f t="shared" si="170"/>
        <v>2189021686</v>
      </c>
      <c r="AA195" s="462">
        <f t="shared" si="170"/>
        <v>8510312988</v>
      </c>
      <c r="AB195" s="369">
        <f t="shared" si="170"/>
        <v>2995381812</v>
      </c>
      <c r="AC195" s="461">
        <f t="shared" si="170"/>
        <v>1858744027</v>
      </c>
      <c r="AD195" s="370">
        <f t="shared" si="170"/>
        <v>4854125839</v>
      </c>
      <c r="AE195" s="369">
        <f t="shared" si="170"/>
        <v>1087305294</v>
      </c>
      <c r="AF195" s="461">
        <f t="shared" si="170"/>
        <v>996562370</v>
      </c>
      <c r="AG195" s="370">
        <f t="shared" si="170"/>
        <v>2083867664</v>
      </c>
      <c r="AH195" s="369">
        <f t="shared" si="170"/>
        <v>4598295952</v>
      </c>
      <c r="AI195" s="461">
        <f t="shared" si="170"/>
        <v>8254483101</v>
      </c>
      <c r="AJ195" s="370">
        <f t="shared" si="170"/>
        <v>11024741276</v>
      </c>
      <c r="AK195" s="9"/>
      <c r="AL195" s="128">
        <f>AL196</f>
        <v>0</v>
      </c>
      <c r="AM195" s="130">
        <f>AM196</f>
        <v>2259317916</v>
      </c>
      <c r="AN195" s="9"/>
    </row>
    <row r="196" spans="1:40" s="372" customFormat="1" ht="24.95" customHeight="1">
      <c r="A196" s="734"/>
      <c r="B196" s="644"/>
      <c r="N196" s="9"/>
      <c r="P196" s="9"/>
      <c r="Q196" s="9"/>
      <c r="R196" s="9"/>
      <c r="S196" s="687">
        <f>+IF(ENERO!S196=0,"",ENERO!S196)</f>
        <v>4100000</v>
      </c>
      <c r="T196" s="703" t="str">
        <f>+IF(ENERO!T196=0,"",ENERO!T196)</f>
        <v>Insumos y Suministros Hospitalarios</v>
      </c>
      <c r="U196" s="128">
        <f t="shared" ref="U196:AJ196" si="171">U197+U205+U207</f>
        <v>10282942055</v>
      </c>
      <c r="V196" s="122">
        <f t="shared" si="171"/>
        <v>0</v>
      </c>
      <c r="W196" s="122">
        <f t="shared" si="171"/>
        <v>2825666885</v>
      </c>
      <c r="X196" s="130">
        <f t="shared" si="171"/>
        <v>13108608940</v>
      </c>
      <c r="Y196" s="128">
        <f t="shared" si="171"/>
        <v>6321291302</v>
      </c>
      <c r="Z196" s="122">
        <f t="shared" si="171"/>
        <v>2189021686</v>
      </c>
      <c r="AA196" s="129">
        <f t="shared" si="171"/>
        <v>8510312988</v>
      </c>
      <c r="AB196" s="128">
        <f t="shared" si="171"/>
        <v>2995381812</v>
      </c>
      <c r="AC196" s="122">
        <f t="shared" si="171"/>
        <v>1858744027</v>
      </c>
      <c r="AD196" s="130">
        <f t="shared" si="171"/>
        <v>4854125839</v>
      </c>
      <c r="AE196" s="128">
        <f t="shared" si="171"/>
        <v>1087305294</v>
      </c>
      <c r="AF196" s="122">
        <f t="shared" si="171"/>
        <v>996562370</v>
      </c>
      <c r="AG196" s="130">
        <f t="shared" si="171"/>
        <v>2083867664</v>
      </c>
      <c r="AH196" s="128">
        <f t="shared" si="171"/>
        <v>4598295952</v>
      </c>
      <c r="AI196" s="122">
        <f t="shared" si="171"/>
        <v>8254483101</v>
      </c>
      <c r="AJ196" s="130">
        <f t="shared" si="171"/>
        <v>11024741276</v>
      </c>
      <c r="AK196" s="10"/>
      <c r="AL196" s="128">
        <f>AL197+AL205+AL207</f>
        <v>0</v>
      </c>
      <c r="AM196" s="130">
        <f>AM197+AM205+AM207</f>
        <v>2259317916</v>
      </c>
      <c r="AN196" s="9"/>
    </row>
    <row r="197" spans="1:40" s="372" customFormat="1" ht="24.95" customHeight="1">
      <c r="A197" s="734"/>
      <c r="B197" s="644"/>
      <c r="N197" s="9"/>
      <c r="P197" s="9"/>
      <c r="Q197" s="9"/>
      <c r="R197" s="9"/>
      <c r="S197" s="688">
        <f>+IF(ENERO!S197=0,"",ENERO!S197)</f>
        <v>4100100</v>
      </c>
      <c r="T197" s="704" t="str">
        <f>+IF(ENERO!T197=0,"",ENERO!T197)</f>
        <v>Compra de Bienes para la Prestacion de servicios</v>
      </c>
      <c r="U197" s="29">
        <f t="shared" ref="U197:AJ197" si="172">SUM(U198:U204)</f>
        <v>8084311192</v>
      </c>
      <c r="V197" s="15">
        <f t="shared" si="172"/>
        <v>-10000000</v>
      </c>
      <c r="W197" s="15">
        <f t="shared" si="172"/>
        <v>487792891</v>
      </c>
      <c r="X197" s="16">
        <f t="shared" si="172"/>
        <v>8562104083</v>
      </c>
      <c r="Y197" s="19">
        <f t="shared" si="172"/>
        <v>4106896266</v>
      </c>
      <c r="Z197" s="142">
        <f t="shared" si="172"/>
        <v>1877879490</v>
      </c>
      <c r="AA197" s="18">
        <f t="shared" si="172"/>
        <v>5984775756</v>
      </c>
      <c r="AB197" s="19">
        <f t="shared" si="172"/>
        <v>1831684933</v>
      </c>
      <c r="AC197" s="142">
        <f t="shared" si="172"/>
        <v>1464604119</v>
      </c>
      <c r="AD197" s="16">
        <f t="shared" si="172"/>
        <v>3296289052</v>
      </c>
      <c r="AE197" s="19">
        <f t="shared" si="172"/>
        <v>22910258</v>
      </c>
      <c r="AF197" s="142">
        <f t="shared" si="172"/>
        <v>685420174</v>
      </c>
      <c r="AG197" s="16">
        <f t="shared" si="172"/>
        <v>708330432</v>
      </c>
      <c r="AH197" s="19">
        <f t="shared" si="172"/>
        <v>2577328327</v>
      </c>
      <c r="AI197" s="15">
        <f t="shared" si="172"/>
        <v>5265815031</v>
      </c>
      <c r="AJ197" s="16">
        <f t="shared" si="172"/>
        <v>7853773651</v>
      </c>
      <c r="AK197" s="9"/>
      <c r="AL197" s="29">
        <f>SUM(AL198:AL204)</f>
        <v>-10000000</v>
      </c>
      <c r="AM197" s="26">
        <f>SUM(AM198:AM204)</f>
        <v>287792891</v>
      </c>
      <c r="AN197" s="9"/>
    </row>
    <row r="198" spans="1:40" s="372" customFormat="1" ht="24.95" customHeight="1">
      <c r="A198" s="734"/>
      <c r="B198" s="644"/>
      <c r="N198" s="9"/>
      <c r="P198" s="9"/>
      <c r="Q198" s="9"/>
      <c r="R198" s="9"/>
      <c r="S198" s="689" t="str">
        <f>+IF(ENERO!S198=0,"",ENERO!S198)</f>
        <v>4100100-1</v>
      </c>
      <c r="T198" s="705" t="str">
        <f>+IF(ENERO!T198=0,"",ENERO!T198)</f>
        <v>Productos Farmaceuticos</v>
      </c>
      <c r="U198" s="29">
        <f>+ENERO!U198</f>
        <v>4000000000</v>
      </c>
      <c r="V198" s="15">
        <f>ENERO!V198+FEBRERO!AL198</f>
        <v>-10000000</v>
      </c>
      <c r="W198" s="15">
        <f>ENERO!W198+FEBRERO!AM198</f>
        <v>0</v>
      </c>
      <c r="X198" s="16">
        <f t="shared" ref="X198:X204" si="173">SUM(U198:W198)</f>
        <v>3990000000</v>
      </c>
      <c r="Y198" s="19">
        <f>ENERO!AA198</f>
        <v>1703146438</v>
      </c>
      <c r="Z198" s="364">
        <v>1210642467</v>
      </c>
      <c r="AA198" s="18">
        <f t="shared" ref="AA198:AA204" si="174">SUM(Y198:Z198)</f>
        <v>2913788905</v>
      </c>
      <c r="AB198" s="19">
        <f>ENERO!AD198</f>
        <v>702598799</v>
      </c>
      <c r="AC198" s="364">
        <v>735626162</v>
      </c>
      <c r="AD198" s="16">
        <f t="shared" ref="AD198:AD204" si="175">SUM(AB198:AC198)</f>
        <v>1438224961</v>
      </c>
      <c r="AE198" s="19">
        <f>ENERO!AG198</f>
        <v>22910258</v>
      </c>
      <c r="AF198" s="364">
        <v>340632155</v>
      </c>
      <c r="AG198" s="16">
        <f t="shared" ref="AG198:AG204" si="176">SUM(AE198:AF198)</f>
        <v>363542413</v>
      </c>
      <c r="AH198" s="19">
        <f t="shared" ref="AH198:AH204" si="177">X198-AA198</f>
        <v>1076211095</v>
      </c>
      <c r="AI198" s="15">
        <f t="shared" ref="AI198:AI204" si="178">X198-AD198</f>
        <v>2551775039</v>
      </c>
      <c r="AJ198" s="16">
        <f t="shared" ref="AJ198:AJ204" si="179">X198-AG198</f>
        <v>3626457587</v>
      </c>
      <c r="AK198" s="9"/>
      <c r="AL198" s="362">
        <v>-10000000</v>
      </c>
      <c r="AM198" s="365">
        <v>0</v>
      </c>
      <c r="AN198" s="9"/>
    </row>
    <row r="199" spans="1:40" s="372" customFormat="1" ht="24.95" customHeight="1">
      <c r="A199" s="734"/>
      <c r="B199" s="644"/>
      <c r="N199" s="9"/>
      <c r="P199" s="9"/>
      <c r="Q199" s="9"/>
      <c r="R199" s="9"/>
      <c r="S199" s="689" t="str">
        <f>+IF(ENERO!S199=0,"",ENERO!S199)</f>
        <v>4100100-2</v>
      </c>
      <c r="T199" s="705" t="str">
        <f>+IF(ENERO!T199=0,"",ENERO!T199)</f>
        <v>Material Médico Quirúrgico</v>
      </c>
      <c r="U199" s="29">
        <f>+ENERO!U199</f>
        <v>3244311192</v>
      </c>
      <c r="V199" s="15">
        <f>ENERO!V199+FEBRERO!AL199</f>
        <v>0</v>
      </c>
      <c r="W199" s="15">
        <f>ENERO!W199+FEBRERO!AM199</f>
        <v>487792891</v>
      </c>
      <c r="X199" s="16">
        <f t="shared" si="173"/>
        <v>3732104083</v>
      </c>
      <c r="Y199" s="19">
        <f>ENERO!AA199</f>
        <v>2392498110</v>
      </c>
      <c r="Z199" s="364">
        <v>598336437</v>
      </c>
      <c r="AA199" s="18">
        <f t="shared" si="174"/>
        <v>2990834547</v>
      </c>
      <c r="AB199" s="19">
        <f>ENERO!AD199</f>
        <v>1117834416</v>
      </c>
      <c r="AC199" s="364">
        <v>660077101</v>
      </c>
      <c r="AD199" s="16">
        <f t="shared" si="175"/>
        <v>1777911517</v>
      </c>
      <c r="AE199" s="19">
        <f>ENERO!AG199</f>
        <v>0</v>
      </c>
      <c r="AF199" s="364">
        <v>344569059</v>
      </c>
      <c r="AG199" s="16">
        <f t="shared" si="176"/>
        <v>344569059</v>
      </c>
      <c r="AH199" s="19">
        <f t="shared" si="177"/>
        <v>741269536</v>
      </c>
      <c r="AI199" s="15">
        <f t="shared" si="178"/>
        <v>1954192566</v>
      </c>
      <c r="AJ199" s="16">
        <f t="shared" si="179"/>
        <v>3387535024</v>
      </c>
      <c r="AK199" s="9"/>
      <c r="AL199" s="362">
        <v>0</v>
      </c>
      <c r="AM199" s="365">
        <v>287792891</v>
      </c>
      <c r="AN199" s="9"/>
    </row>
    <row r="200" spans="1:40" s="372" customFormat="1" ht="24.95" customHeight="1">
      <c r="A200" s="734"/>
      <c r="B200" s="644"/>
      <c r="N200" s="9"/>
      <c r="P200" s="9"/>
      <c r="Q200" s="9"/>
      <c r="R200" s="9"/>
      <c r="S200" s="689" t="str">
        <f>+IF(ENERO!S200=0,"",ENERO!S200)</f>
        <v>4100100-3</v>
      </c>
      <c r="T200" s="705" t="str">
        <f>+IF(ENERO!T200=0,"",ENERO!T200)</f>
        <v>Material de Laboratorio</v>
      </c>
      <c r="U200" s="29">
        <f>+ENERO!U200</f>
        <v>840000000</v>
      </c>
      <c r="V200" s="15">
        <f>ENERO!V200+FEBRERO!AL200</f>
        <v>0</v>
      </c>
      <c r="W200" s="15">
        <f>ENERO!W200+FEBRERO!AM200</f>
        <v>0</v>
      </c>
      <c r="X200" s="16">
        <f t="shared" si="173"/>
        <v>840000000</v>
      </c>
      <c r="Y200" s="19">
        <f>ENERO!AA200</f>
        <v>11251718</v>
      </c>
      <c r="Z200" s="364">
        <v>68900586</v>
      </c>
      <c r="AA200" s="18">
        <f t="shared" si="174"/>
        <v>80152304</v>
      </c>
      <c r="AB200" s="19">
        <f>ENERO!AD200</f>
        <v>11251718</v>
      </c>
      <c r="AC200" s="364">
        <v>68900856</v>
      </c>
      <c r="AD200" s="16">
        <f t="shared" si="175"/>
        <v>80152574</v>
      </c>
      <c r="AE200" s="19">
        <f>ENERO!AG200</f>
        <v>0</v>
      </c>
      <c r="AF200" s="364">
        <v>218960</v>
      </c>
      <c r="AG200" s="16">
        <f t="shared" si="176"/>
        <v>218960</v>
      </c>
      <c r="AH200" s="19">
        <f t="shared" si="177"/>
        <v>759847696</v>
      </c>
      <c r="AI200" s="15">
        <f t="shared" si="178"/>
        <v>759847426</v>
      </c>
      <c r="AJ200" s="16">
        <f t="shared" si="179"/>
        <v>839781040</v>
      </c>
      <c r="AK200" s="9"/>
      <c r="AL200" s="362">
        <v>0</v>
      </c>
      <c r="AM200" s="365">
        <v>0</v>
      </c>
      <c r="AN200" s="9"/>
    </row>
    <row r="201" spans="1:40" s="372" customFormat="1" ht="24.95" customHeight="1">
      <c r="A201" s="734"/>
      <c r="B201" s="644"/>
      <c r="N201" s="9"/>
      <c r="P201" s="9"/>
      <c r="Q201" s="9"/>
      <c r="R201" s="9"/>
      <c r="S201" s="689" t="str">
        <f>+IF(ENERO!S201=0,"",ENERO!S201)</f>
        <v>4100100-4</v>
      </c>
      <c r="T201" s="705" t="str">
        <f>+IF(ENERO!T201=0,"",ENERO!T201)</f>
        <v>Material para Odontologia</v>
      </c>
      <c r="U201" s="29">
        <f>+ENERO!U201</f>
        <v>0</v>
      </c>
      <c r="V201" s="15">
        <f>ENERO!V201+FEBRERO!AL201</f>
        <v>0</v>
      </c>
      <c r="W201" s="15">
        <f>ENERO!W201+FEBRERO!AM201</f>
        <v>0</v>
      </c>
      <c r="X201" s="16">
        <f t="shared" si="173"/>
        <v>0</v>
      </c>
      <c r="Y201" s="19">
        <f>ENERO!AA201</f>
        <v>0</v>
      </c>
      <c r="Z201" s="364">
        <v>0</v>
      </c>
      <c r="AA201" s="18">
        <f t="shared" si="174"/>
        <v>0</v>
      </c>
      <c r="AB201" s="19">
        <f>ENERO!AD201</f>
        <v>0</v>
      </c>
      <c r="AC201" s="364">
        <v>0</v>
      </c>
      <c r="AD201" s="16">
        <f t="shared" si="175"/>
        <v>0</v>
      </c>
      <c r="AE201" s="19">
        <f>ENERO!AG201</f>
        <v>0</v>
      </c>
      <c r="AF201" s="364">
        <v>0</v>
      </c>
      <c r="AG201" s="16">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N202" s="9"/>
      <c r="P202" s="9"/>
      <c r="Q202" s="9"/>
      <c r="R202" s="9"/>
      <c r="S202" s="689" t="str">
        <f>+IF(ENERO!S202=0,"",ENERO!S202)</f>
        <v>4100100-5</v>
      </c>
      <c r="T202" s="705" t="str">
        <f>+IF(ENERO!T202=0,"",ENERO!T202)</f>
        <v>Material para Rayos X</v>
      </c>
      <c r="U202" s="29">
        <f>+ENERO!U202</f>
        <v>0</v>
      </c>
      <c r="V202" s="15">
        <f>ENERO!V202+FEBRERO!AL202</f>
        <v>0</v>
      </c>
      <c r="W202" s="15">
        <f>ENERO!W202+FEBRERO!AM202</f>
        <v>0</v>
      </c>
      <c r="X202" s="16">
        <f t="shared" si="173"/>
        <v>0</v>
      </c>
      <c r="Y202" s="19">
        <f>ENERO!AA202</f>
        <v>0</v>
      </c>
      <c r="Z202" s="364">
        <v>0</v>
      </c>
      <c r="AA202" s="18">
        <f t="shared" si="174"/>
        <v>0</v>
      </c>
      <c r="AB202" s="19">
        <f>ENERO!AD202</f>
        <v>0</v>
      </c>
      <c r="AC202" s="364">
        <v>0</v>
      </c>
      <c r="AD202" s="16">
        <f t="shared" si="175"/>
        <v>0</v>
      </c>
      <c r="AE202" s="19">
        <f>ENERO!AG202</f>
        <v>0</v>
      </c>
      <c r="AF202" s="364">
        <v>0</v>
      </c>
      <c r="AG202" s="16">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N203" s="9"/>
      <c r="P203" s="9"/>
      <c r="Q203" s="9"/>
      <c r="R203" s="9"/>
      <c r="S203" s="689" t="str">
        <f>+IF(ENERO!S203=0,"",ENERO!S203)</f>
        <v>4100100-6</v>
      </c>
      <c r="T203" s="705" t="str">
        <f>+IF(ENERO!T203=0,"",ENERO!T203)</f>
        <v/>
      </c>
      <c r="U203" s="29">
        <f>+ENERO!U203</f>
        <v>0</v>
      </c>
      <c r="V203" s="15">
        <f>ENERO!V203+FEBRERO!AL203</f>
        <v>0</v>
      </c>
      <c r="W203" s="15">
        <f>ENERO!W203+FEBRERO!AM203</f>
        <v>0</v>
      </c>
      <c r="X203" s="16">
        <f t="shared" si="173"/>
        <v>0</v>
      </c>
      <c r="Y203" s="19">
        <f>ENERO!AA203</f>
        <v>0</v>
      </c>
      <c r="Z203" s="364">
        <v>0</v>
      </c>
      <c r="AA203" s="18">
        <f t="shared" si="174"/>
        <v>0</v>
      </c>
      <c r="AB203" s="19">
        <f>ENERO!AD203</f>
        <v>0</v>
      </c>
      <c r="AC203" s="364">
        <v>0</v>
      </c>
      <c r="AD203" s="16">
        <f t="shared" si="175"/>
        <v>0</v>
      </c>
      <c r="AE203" s="19">
        <f>ENERO!AG203</f>
        <v>0</v>
      </c>
      <c r="AF203" s="364">
        <v>0</v>
      </c>
      <c r="AG203" s="16">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N204" s="9"/>
      <c r="P204" s="9"/>
      <c r="Q204" s="9"/>
      <c r="R204" s="9"/>
      <c r="S204" s="689" t="str">
        <f>+IF(ENERO!S204=0,"",ENERO!S204)</f>
        <v>4100100-7</v>
      </c>
      <c r="T204" s="705" t="str">
        <f>+IF(ENERO!T204=0,"",ENERO!T204)</f>
        <v/>
      </c>
      <c r="U204" s="29">
        <f>+ENERO!U204</f>
        <v>0</v>
      </c>
      <c r="V204" s="15">
        <f>ENERO!V204+FEBRERO!AL204</f>
        <v>0</v>
      </c>
      <c r="W204" s="15">
        <f>ENERO!W204+FEBRERO!AM204</f>
        <v>0</v>
      </c>
      <c r="X204" s="16">
        <f t="shared" si="173"/>
        <v>0</v>
      </c>
      <c r="Y204" s="19">
        <f>ENERO!AA204</f>
        <v>0</v>
      </c>
      <c r="Z204" s="364">
        <v>0</v>
      </c>
      <c r="AA204" s="18">
        <f t="shared" si="174"/>
        <v>0</v>
      </c>
      <c r="AB204" s="19">
        <f>ENERO!AD204</f>
        <v>0</v>
      </c>
      <c r="AC204" s="364">
        <v>0</v>
      </c>
      <c r="AD204" s="16">
        <f t="shared" si="175"/>
        <v>0</v>
      </c>
      <c r="AE204" s="19">
        <f>ENERO!AG204</f>
        <v>0</v>
      </c>
      <c r="AF204" s="364">
        <v>0</v>
      </c>
      <c r="AG204" s="16">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N205" s="9"/>
      <c r="P205" s="9"/>
      <c r="Q205" s="9"/>
      <c r="R205" s="9"/>
      <c r="S205" s="688">
        <f>+IF(ENERO!S205=0,"",ENERO!S205)</f>
        <v>4100200</v>
      </c>
      <c r="T205" s="704" t="str">
        <f>+IF(ENERO!T205=0,"",ENERO!T205)</f>
        <v>Gastos Complementarios e Intermedios</v>
      </c>
      <c r="U205" s="29">
        <f t="shared" ref="U205:AJ205" si="180">U206</f>
        <v>1200000000</v>
      </c>
      <c r="V205" s="15">
        <f t="shared" si="180"/>
        <v>0</v>
      </c>
      <c r="W205" s="15">
        <f t="shared" si="180"/>
        <v>0</v>
      </c>
      <c r="X205" s="16">
        <f t="shared" si="180"/>
        <v>1200000000</v>
      </c>
      <c r="Y205" s="19">
        <f t="shared" si="180"/>
        <v>1150307400</v>
      </c>
      <c r="Z205" s="142">
        <f t="shared" si="180"/>
        <v>250000</v>
      </c>
      <c r="AA205" s="18">
        <f t="shared" si="180"/>
        <v>1150557400</v>
      </c>
      <c r="AB205" s="19">
        <f t="shared" si="180"/>
        <v>99609243</v>
      </c>
      <c r="AC205" s="142">
        <f t="shared" si="180"/>
        <v>83247712</v>
      </c>
      <c r="AD205" s="16">
        <f t="shared" si="180"/>
        <v>182856955</v>
      </c>
      <c r="AE205" s="19">
        <f t="shared" si="180"/>
        <v>307400</v>
      </c>
      <c r="AF205" s="142">
        <f t="shared" si="180"/>
        <v>250000</v>
      </c>
      <c r="AG205" s="16">
        <f t="shared" si="180"/>
        <v>557400</v>
      </c>
      <c r="AH205" s="19">
        <f t="shared" si="180"/>
        <v>49442600</v>
      </c>
      <c r="AI205" s="15">
        <f t="shared" si="180"/>
        <v>1017143045</v>
      </c>
      <c r="AJ205" s="16">
        <f t="shared" si="180"/>
        <v>1199442600</v>
      </c>
      <c r="AK205" s="9"/>
      <c r="AL205" s="29">
        <f>AL206</f>
        <v>0</v>
      </c>
      <c r="AM205" s="26">
        <f>AM206</f>
        <v>0</v>
      </c>
      <c r="AN205" s="9"/>
    </row>
    <row r="206" spans="1:40" s="372" customFormat="1" ht="24.95" customHeight="1">
      <c r="A206" s="734"/>
      <c r="B206" s="644"/>
      <c r="N206" s="9"/>
      <c r="P206" s="9"/>
      <c r="Q206" s="9"/>
      <c r="R206" s="9"/>
      <c r="S206" s="689" t="str">
        <f>+IF(ENERO!S206=0,"",ENERO!S206)</f>
        <v>4100200-1</v>
      </c>
      <c r="T206" s="705" t="str">
        <f>+IF(ENERO!T206=0,"",ENERO!T206)</f>
        <v>Alimentación</v>
      </c>
      <c r="U206" s="29">
        <f>+ENERO!U206</f>
        <v>1200000000</v>
      </c>
      <c r="V206" s="15">
        <f>ENERO!V206+FEBRERO!AL206</f>
        <v>0</v>
      </c>
      <c r="W206" s="15">
        <f>ENERO!W206+FEBRERO!AM206</f>
        <v>0</v>
      </c>
      <c r="X206" s="16">
        <f>SUM(U206:W206)</f>
        <v>1200000000</v>
      </c>
      <c r="Y206" s="19">
        <f>ENERO!AA206</f>
        <v>1150307400</v>
      </c>
      <c r="Z206" s="364">
        <v>250000</v>
      </c>
      <c r="AA206" s="18">
        <f>SUM(Y206:Z206)</f>
        <v>1150557400</v>
      </c>
      <c r="AB206" s="19">
        <f>ENERO!AD206</f>
        <v>99609243</v>
      </c>
      <c r="AC206" s="364">
        <v>83247712</v>
      </c>
      <c r="AD206" s="16">
        <f>SUM(AB206:AC206)</f>
        <v>182856955</v>
      </c>
      <c r="AE206" s="19">
        <f>ENERO!AG206</f>
        <v>307400</v>
      </c>
      <c r="AF206" s="364">
        <v>250000</v>
      </c>
      <c r="AG206" s="16">
        <f>SUM(AE206:AF206)</f>
        <v>557400</v>
      </c>
      <c r="AH206" s="19">
        <f>X206-AA206</f>
        <v>49442600</v>
      </c>
      <c r="AI206" s="15">
        <f>X206-AD206</f>
        <v>1017143045</v>
      </c>
      <c r="AJ206" s="16">
        <f>X206-AG206</f>
        <v>1199442600</v>
      </c>
      <c r="AK206" s="9"/>
      <c r="AL206" s="362">
        <v>0</v>
      </c>
      <c r="AM206" s="365">
        <v>0</v>
      </c>
      <c r="AN206" s="9"/>
    </row>
    <row r="207" spans="1:40" s="372" customFormat="1" ht="24.95" customHeight="1" thickBot="1">
      <c r="A207" s="734"/>
      <c r="B207" s="644"/>
      <c r="N207" s="9"/>
      <c r="P207" s="9"/>
      <c r="Q207" s="9"/>
      <c r="R207" s="9"/>
      <c r="S207" s="691">
        <f>+IF(ENERO!S207=0,"",ENERO!S207)</f>
        <v>4199999</v>
      </c>
      <c r="T207" s="707" t="str">
        <f>+IF(ENERO!T207=0,"",ENERO!T207)</f>
        <v>Vigencias Anteriores</v>
      </c>
      <c r="U207" s="191">
        <f>+ENERO!U207</f>
        <v>998630863</v>
      </c>
      <c r="V207" s="121">
        <f>ENERO!V207+FEBRERO!AL207</f>
        <v>10000000</v>
      </c>
      <c r="W207" s="121">
        <f>ENERO!W207+FEBRERO!AM207</f>
        <v>2337873994</v>
      </c>
      <c r="X207" s="125">
        <f>SUM(U207:W207)</f>
        <v>3346504857</v>
      </c>
      <c r="Y207" s="124">
        <f>ENERO!AA207</f>
        <v>1064087636</v>
      </c>
      <c r="Z207" s="378">
        <v>310892196</v>
      </c>
      <c r="AA207" s="126">
        <f>SUM(Y207:Z207)</f>
        <v>1374979832</v>
      </c>
      <c r="AB207" s="124">
        <f>ENERO!AD207</f>
        <v>1064087636</v>
      </c>
      <c r="AC207" s="378">
        <v>310892196</v>
      </c>
      <c r="AD207" s="125">
        <f>SUM(AB207:AC207)</f>
        <v>1374979832</v>
      </c>
      <c r="AE207" s="124">
        <f>ENERO!AG207</f>
        <v>1064087636</v>
      </c>
      <c r="AF207" s="378">
        <v>310892196</v>
      </c>
      <c r="AG207" s="125">
        <f>SUM(AE207:AF207)</f>
        <v>1374979832</v>
      </c>
      <c r="AH207" s="124">
        <f>X207-AA207</f>
        <v>1971525025</v>
      </c>
      <c r="AI207" s="121">
        <f>X207-AD207</f>
        <v>1971525025</v>
      </c>
      <c r="AJ207" s="125">
        <f>X207-AG207</f>
        <v>1971525025</v>
      </c>
      <c r="AK207" s="9"/>
      <c r="AL207" s="374">
        <v>10000000</v>
      </c>
      <c r="AM207" s="379">
        <v>1971525025</v>
      </c>
      <c r="AN207" s="9"/>
    </row>
    <row r="208" spans="1:40" s="372" customFormat="1" ht="24.95" customHeight="1">
      <c r="A208" s="734"/>
      <c r="B208" s="644"/>
      <c r="N208" s="9"/>
      <c r="P208" s="9"/>
      <c r="Q208" s="9"/>
      <c r="R208" s="9"/>
      <c r="S208" s="479" t="str">
        <f>+IF(ENERO!S208=0,"",ENERO!S208)</f>
        <v/>
      </c>
      <c r="T208" s="671" t="str">
        <f>+IF(ENERO!T208=0,"",ENERO!T208)</f>
        <v/>
      </c>
      <c r="U208" s="167"/>
      <c r="V208" s="167"/>
      <c r="W208" s="167"/>
      <c r="X208" s="167"/>
      <c r="Y208" s="167"/>
      <c r="Z208" s="167"/>
      <c r="AA208" s="167"/>
      <c r="AB208" s="480"/>
      <c r="AC208" s="167"/>
      <c r="AD208" s="168"/>
      <c r="AE208" s="480"/>
      <c r="AF208" s="167"/>
      <c r="AG208" s="168"/>
      <c r="AH208" s="480"/>
      <c r="AI208" s="167"/>
      <c r="AJ208" s="168"/>
      <c r="AK208" s="9"/>
      <c r="AL208" s="481"/>
      <c r="AM208" s="482"/>
      <c r="AN208" s="9"/>
    </row>
    <row r="209" spans="1:40" s="372" customFormat="1" ht="24.95" customHeight="1">
      <c r="A209" s="734"/>
      <c r="B209" s="644"/>
      <c r="N209" s="9"/>
      <c r="P209" s="9"/>
      <c r="Q209" s="9"/>
      <c r="R209" s="9"/>
      <c r="S209" s="686">
        <f>+IF(ENERO!S209=0,"",ENERO!S209)</f>
        <v>5000000</v>
      </c>
      <c r="T209" s="708" t="str">
        <f>+IF(ENERO!T209=0,"",ENERO!T209)</f>
        <v>GASTOS DE COMERCIALIZACION</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370">
        <f t="shared" si="181"/>
        <v>0</v>
      </c>
      <c r="AE209" s="369">
        <f t="shared" si="181"/>
        <v>0</v>
      </c>
      <c r="AF209" s="461">
        <f t="shared" si="181"/>
        <v>0</v>
      </c>
      <c r="AG209" s="370">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N210" s="9"/>
      <c r="P210" s="9"/>
      <c r="Q210" s="9"/>
      <c r="R210" s="9"/>
      <c r="S210" s="687">
        <f>+IF(ENERO!S210=0,"",ENERO!S210)</f>
        <v>5100000</v>
      </c>
      <c r="T210" s="663" t="str">
        <f>+IF(ENERO!T210=0,"",ENERO!T210)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30">
        <f t="shared" si="182"/>
        <v>0</v>
      </c>
      <c r="AE210" s="128">
        <f t="shared" si="182"/>
        <v>0</v>
      </c>
      <c r="AF210" s="122">
        <f t="shared" si="182"/>
        <v>0</v>
      </c>
      <c r="AG210" s="130">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N211" s="9"/>
      <c r="P211" s="9"/>
      <c r="Q211" s="9"/>
      <c r="R211" s="9"/>
      <c r="S211" s="688">
        <f>+IF(ENERO!S211=0,"",ENERO!S211)</f>
        <v>5100100</v>
      </c>
      <c r="T211" s="664" t="str">
        <f>+IF(ENERO!T211=0,"",ENERO!T211)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6">
        <f t="shared" si="183"/>
        <v>0</v>
      </c>
      <c r="AE211" s="19">
        <f t="shared" si="183"/>
        <v>0</v>
      </c>
      <c r="AF211" s="142">
        <f t="shared" si="183"/>
        <v>0</v>
      </c>
      <c r="AG211" s="16">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N212" s="9"/>
      <c r="P212" s="9"/>
      <c r="Q212" s="9"/>
      <c r="R212" s="9"/>
      <c r="S212" s="689" t="str">
        <f>+IF(ENERO!S212=0,"",ENERO!S212)</f>
        <v>5100100-1</v>
      </c>
      <c r="T212" s="665" t="str">
        <f>+IF(ENERO!T212=0,"",ENERO!T212)</f>
        <v>Productos Farmaceuticos</v>
      </c>
      <c r="U212" s="27">
        <f>+ENERO!U212</f>
        <v>0</v>
      </c>
      <c r="V212" s="15">
        <f>ENERO!V212+FEBRERO!AL212</f>
        <v>0</v>
      </c>
      <c r="W212" s="15">
        <f>ENERO!W212+FEBRERO!AM212</f>
        <v>0</v>
      </c>
      <c r="X212" s="18">
        <f t="shared" ref="X212:X218" si="184">SUM(U212:W212)</f>
        <v>0</v>
      </c>
      <c r="Y212" s="19">
        <f>ENERO!AA212</f>
        <v>0</v>
      </c>
      <c r="Z212" s="364">
        <v>0</v>
      </c>
      <c r="AA212" s="18">
        <f t="shared" ref="AA212:AA218" si="185">SUM(Y212:Z212)</f>
        <v>0</v>
      </c>
      <c r="AB212" s="19">
        <f>ENERO!AD212</f>
        <v>0</v>
      </c>
      <c r="AC212" s="364">
        <v>0</v>
      </c>
      <c r="AD212" s="16">
        <f t="shared" ref="AD212:AD218" si="186">SUM(AB212:AC212)</f>
        <v>0</v>
      </c>
      <c r="AE212" s="19">
        <f>ENERO!AG212</f>
        <v>0</v>
      </c>
      <c r="AF212" s="364">
        <v>0</v>
      </c>
      <c r="AG212" s="16">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N213" s="9"/>
      <c r="P213" s="9"/>
      <c r="Q213" s="9"/>
      <c r="R213" s="9"/>
      <c r="S213" s="689" t="str">
        <f>+IF(ENERO!S213=0,"",ENERO!S213)</f>
        <v>5100100-2</v>
      </c>
      <c r="T213" s="665" t="str">
        <f>+IF(ENERO!T213=0,"",ENERO!T213)</f>
        <v>Material Médico Quirúrgico</v>
      </c>
      <c r="U213" s="27">
        <f>+ENERO!U213</f>
        <v>0</v>
      </c>
      <c r="V213" s="15">
        <f>ENERO!V213+FEBRERO!AL213</f>
        <v>0</v>
      </c>
      <c r="W213" s="15">
        <f>ENERO!W213+FEBRERO!AM213</f>
        <v>0</v>
      </c>
      <c r="X213" s="18">
        <f t="shared" si="184"/>
        <v>0</v>
      </c>
      <c r="Y213" s="19">
        <f>ENERO!AA213</f>
        <v>0</v>
      </c>
      <c r="Z213" s="364">
        <v>0</v>
      </c>
      <c r="AA213" s="18">
        <f t="shared" si="185"/>
        <v>0</v>
      </c>
      <c r="AB213" s="19">
        <f>ENERO!AD213</f>
        <v>0</v>
      </c>
      <c r="AC213" s="364">
        <v>0</v>
      </c>
      <c r="AD213" s="16">
        <f t="shared" si="186"/>
        <v>0</v>
      </c>
      <c r="AE213" s="19">
        <f>ENERO!AG213</f>
        <v>0</v>
      </c>
      <c r="AF213" s="364">
        <v>0</v>
      </c>
      <c r="AG213" s="16">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N214" s="9"/>
      <c r="P214" s="9"/>
      <c r="Q214" s="9"/>
      <c r="R214" s="9"/>
      <c r="S214" s="689" t="str">
        <f>+IF(ENERO!S214=0,"",ENERO!S214)</f>
        <v>5100100-3</v>
      </c>
      <c r="T214" s="665" t="str">
        <f>+IF(ENERO!T214=0,"",ENERO!T214)</f>
        <v>Material de Laboratorio</v>
      </c>
      <c r="U214" s="27">
        <f>+ENERO!U214</f>
        <v>0</v>
      </c>
      <c r="V214" s="15">
        <f>ENERO!V214+FEBRERO!AL214</f>
        <v>0</v>
      </c>
      <c r="W214" s="15">
        <f>ENERO!W214+FEBRERO!AM214</f>
        <v>0</v>
      </c>
      <c r="X214" s="18">
        <f t="shared" si="184"/>
        <v>0</v>
      </c>
      <c r="Y214" s="19">
        <f>ENERO!AA214</f>
        <v>0</v>
      </c>
      <c r="Z214" s="364">
        <v>0</v>
      </c>
      <c r="AA214" s="18">
        <f t="shared" si="185"/>
        <v>0</v>
      </c>
      <c r="AB214" s="19">
        <f>ENERO!AD214</f>
        <v>0</v>
      </c>
      <c r="AC214" s="364">
        <v>0</v>
      </c>
      <c r="AD214" s="16">
        <f t="shared" si="186"/>
        <v>0</v>
      </c>
      <c r="AE214" s="19">
        <f>ENERO!AG214</f>
        <v>0</v>
      </c>
      <c r="AF214" s="364">
        <v>0</v>
      </c>
      <c r="AG214" s="16">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N215" s="9"/>
      <c r="P215" s="9"/>
      <c r="Q215" s="9"/>
      <c r="R215" s="9"/>
      <c r="S215" s="689" t="str">
        <f>+IF(ENERO!S215=0,"",ENERO!S215)</f>
        <v>5100100-4</v>
      </c>
      <c r="T215" s="665" t="str">
        <f>+IF(ENERO!T215=0,"",ENERO!T215)</f>
        <v>Material para Odontologia</v>
      </c>
      <c r="U215" s="27">
        <f>+ENERO!U215</f>
        <v>0</v>
      </c>
      <c r="V215" s="15">
        <f>ENERO!V215+FEBRERO!AL215</f>
        <v>0</v>
      </c>
      <c r="W215" s="15">
        <f>ENERO!W215+FEBRERO!AM215</f>
        <v>0</v>
      </c>
      <c r="X215" s="18">
        <f t="shared" si="184"/>
        <v>0</v>
      </c>
      <c r="Y215" s="19">
        <f>ENERO!AA215</f>
        <v>0</v>
      </c>
      <c r="Z215" s="364">
        <v>0</v>
      </c>
      <c r="AA215" s="18">
        <f t="shared" si="185"/>
        <v>0</v>
      </c>
      <c r="AB215" s="19">
        <f>ENERO!AD215</f>
        <v>0</v>
      </c>
      <c r="AC215" s="364">
        <v>0</v>
      </c>
      <c r="AD215" s="16">
        <f t="shared" si="186"/>
        <v>0</v>
      </c>
      <c r="AE215" s="19">
        <f>ENERO!AG215</f>
        <v>0</v>
      </c>
      <c r="AF215" s="364">
        <v>0</v>
      </c>
      <c r="AG215" s="16">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N216" s="9"/>
      <c r="P216" s="9"/>
      <c r="Q216" s="9"/>
      <c r="R216" s="9"/>
      <c r="S216" s="689" t="str">
        <f>+IF(ENERO!S216=0,"",ENERO!S216)</f>
        <v>5100100-5</v>
      </c>
      <c r="T216" s="665" t="str">
        <f>+IF(ENERO!T216=0,"",ENERO!T216)</f>
        <v>Material para Rayos X</v>
      </c>
      <c r="U216" s="27">
        <f>+ENERO!U216</f>
        <v>0</v>
      </c>
      <c r="V216" s="15">
        <f>ENERO!V216+FEBRERO!AL216</f>
        <v>0</v>
      </c>
      <c r="W216" s="15">
        <f>ENERO!W216+FEBRERO!AM216</f>
        <v>0</v>
      </c>
      <c r="X216" s="18">
        <f t="shared" si="184"/>
        <v>0</v>
      </c>
      <c r="Y216" s="19">
        <f>ENERO!AA216</f>
        <v>0</v>
      </c>
      <c r="Z216" s="364">
        <v>0</v>
      </c>
      <c r="AA216" s="18">
        <f t="shared" si="185"/>
        <v>0</v>
      </c>
      <c r="AB216" s="19">
        <f>ENERO!AD216</f>
        <v>0</v>
      </c>
      <c r="AC216" s="364">
        <v>0</v>
      </c>
      <c r="AD216" s="16">
        <f t="shared" si="186"/>
        <v>0</v>
      </c>
      <c r="AE216" s="19">
        <f>ENERO!AG216</f>
        <v>0</v>
      </c>
      <c r="AF216" s="364">
        <v>0</v>
      </c>
      <c r="AG216" s="16">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N217" s="9"/>
      <c r="P217" s="9"/>
      <c r="Q217" s="9"/>
      <c r="R217" s="9"/>
      <c r="S217" s="689" t="str">
        <f>+IF(ENERO!S217=0,"",ENERO!S217)</f>
        <v>5100100-6</v>
      </c>
      <c r="T217" s="665" t="str">
        <f>+IF(ENERO!T217=0,"",ENERO!T217)</f>
        <v>Material aseo personal, etc.</v>
      </c>
      <c r="U217" s="27">
        <f>+ENERO!U217</f>
        <v>0</v>
      </c>
      <c r="V217" s="15">
        <f>ENERO!V217+FEBRERO!AL217</f>
        <v>0</v>
      </c>
      <c r="W217" s="15">
        <f>ENERO!W217+FEBRERO!AM217</f>
        <v>0</v>
      </c>
      <c r="X217" s="18">
        <f t="shared" si="184"/>
        <v>0</v>
      </c>
      <c r="Y217" s="19">
        <f>ENERO!AA217</f>
        <v>0</v>
      </c>
      <c r="Z217" s="364">
        <v>0</v>
      </c>
      <c r="AA217" s="18">
        <f t="shared" si="185"/>
        <v>0</v>
      </c>
      <c r="AB217" s="19">
        <f>ENERO!AD217</f>
        <v>0</v>
      </c>
      <c r="AC217" s="364">
        <v>0</v>
      </c>
      <c r="AD217" s="16">
        <f t="shared" si="186"/>
        <v>0</v>
      </c>
      <c r="AE217" s="19">
        <f>ENERO!AG217</f>
        <v>0</v>
      </c>
      <c r="AF217" s="364">
        <v>0</v>
      </c>
      <c r="AG217" s="16">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N218" s="9"/>
      <c r="P218" s="9"/>
      <c r="Q218" s="9"/>
      <c r="R218" s="9"/>
      <c r="S218" s="698">
        <f>+IF(ENERO!S218=0,"",ENERO!S218)</f>
        <v>5199999</v>
      </c>
      <c r="T218" s="680" t="str">
        <f>+IF(ENERO!T218=0,"",ENERO!T218)</f>
        <v>Vigencias Anteriores</v>
      </c>
      <c r="U218" s="133">
        <f>+ENERO!U218</f>
        <v>0</v>
      </c>
      <c r="V218" s="121">
        <f>ENERO!V218+FEBRERO!AL218</f>
        <v>0</v>
      </c>
      <c r="W218" s="121">
        <f>ENERO!W218+FEBRERO!AM218</f>
        <v>0</v>
      </c>
      <c r="X218" s="126">
        <f t="shared" si="184"/>
        <v>0</v>
      </c>
      <c r="Y218" s="124">
        <f>ENERO!AA218</f>
        <v>0</v>
      </c>
      <c r="Z218" s="378">
        <v>0</v>
      </c>
      <c r="AA218" s="126">
        <f t="shared" si="185"/>
        <v>0</v>
      </c>
      <c r="AB218" s="124">
        <f>ENERO!AD218</f>
        <v>0</v>
      </c>
      <c r="AC218" s="378">
        <v>0</v>
      </c>
      <c r="AD218" s="125">
        <f t="shared" si="186"/>
        <v>0</v>
      </c>
      <c r="AE218" s="124">
        <f>ENERO!AG218</f>
        <v>0</v>
      </c>
      <c r="AF218" s="378">
        <v>0</v>
      </c>
      <c r="AG218" s="125">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N219" s="9"/>
      <c r="P219" s="9"/>
      <c r="Q219" s="9"/>
      <c r="R219" s="9"/>
      <c r="S219" s="485" t="str">
        <f>+IF(ENERO!S219=0,"",ENERO!S219)</f>
        <v/>
      </c>
      <c r="T219" s="677" t="str">
        <f>+IF(ENERO!T219=0,"",ENERO!T219)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+IF(ENERO!S220=0,"",ENERO!S220)</f>
        <v>C</v>
      </c>
      <c r="T220" s="659" t="str">
        <f>+IF(ENERO!T220=0,"",ENERO!T220)</f>
        <v xml:space="preserve">SERVICIO DE LA DEUDA </v>
      </c>
      <c r="U220" s="348">
        <f t="shared" ref="U220:AJ220" si="191">U222+U227</f>
        <v>262344980</v>
      </c>
      <c r="V220" s="349">
        <f t="shared" si="191"/>
        <v>0</v>
      </c>
      <c r="W220" s="349">
        <f t="shared" si="191"/>
        <v>27000000</v>
      </c>
      <c r="X220" s="352">
        <f t="shared" si="191"/>
        <v>289344980</v>
      </c>
      <c r="Y220" s="351">
        <f t="shared" si="191"/>
        <v>52129663</v>
      </c>
      <c r="Z220" s="349">
        <f t="shared" si="191"/>
        <v>26080012</v>
      </c>
      <c r="AA220" s="352">
        <f t="shared" si="191"/>
        <v>78209675</v>
      </c>
      <c r="AB220" s="351">
        <f t="shared" si="191"/>
        <v>52129663</v>
      </c>
      <c r="AC220" s="349">
        <f t="shared" si="191"/>
        <v>26080012</v>
      </c>
      <c r="AD220" s="352">
        <f t="shared" si="191"/>
        <v>78209675</v>
      </c>
      <c r="AE220" s="351">
        <f t="shared" si="191"/>
        <v>26272654</v>
      </c>
      <c r="AF220" s="349">
        <f t="shared" si="191"/>
        <v>25857009</v>
      </c>
      <c r="AG220" s="352">
        <f t="shared" si="191"/>
        <v>52129663</v>
      </c>
      <c r="AH220" s="351">
        <f t="shared" si="191"/>
        <v>211135305</v>
      </c>
      <c r="AI220" s="349">
        <f t="shared" si="191"/>
        <v>211135305</v>
      </c>
      <c r="AJ220" s="350">
        <f t="shared" si="191"/>
        <v>237215317</v>
      </c>
      <c r="AK220" s="490"/>
      <c r="AL220" s="351">
        <f>AL222+AL227</f>
        <v>0</v>
      </c>
      <c r="AM220" s="350">
        <f>AM222+AM227</f>
        <v>0</v>
      </c>
      <c r="AN220" s="9"/>
    </row>
    <row r="221" spans="1:40" s="372" customFormat="1" ht="24.95" customHeight="1">
      <c r="A221" s="734"/>
      <c r="B221" s="644"/>
      <c r="N221" s="9"/>
      <c r="P221" s="9"/>
      <c r="Q221" s="9"/>
      <c r="R221" s="9"/>
      <c r="S221" s="356" t="str">
        <f>+IF(ENERO!S221=0,"",ENERO!S221)</f>
        <v/>
      </c>
      <c r="T221" s="678" t="str">
        <f>+IF(ENERO!T221=0,"",ENERO!T221)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+IF(ENERO!S222=0,"",ENERO!S222)</f>
        <v>7001000</v>
      </c>
      <c r="T222" s="663" t="str">
        <f>+IF(ENERO!T222=0,"",ENERO!T222)</f>
        <v>SERVICIO DE LA DEUDA INTERNA</v>
      </c>
      <c r="U222" s="132">
        <f t="shared" ref="U222:AJ222" si="192">SUM(U223:U225)</f>
        <v>262344980</v>
      </c>
      <c r="V222" s="122">
        <f t="shared" si="192"/>
        <v>0</v>
      </c>
      <c r="W222" s="122">
        <f t="shared" si="192"/>
        <v>27000000</v>
      </c>
      <c r="X222" s="129">
        <f t="shared" si="192"/>
        <v>289344980</v>
      </c>
      <c r="Y222" s="128">
        <f t="shared" si="192"/>
        <v>52129663</v>
      </c>
      <c r="Z222" s="122">
        <f t="shared" si="192"/>
        <v>26080012</v>
      </c>
      <c r="AA222" s="129">
        <f t="shared" si="192"/>
        <v>78209675</v>
      </c>
      <c r="AB222" s="128">
        <f t="shared" si="192"/>
        <v>52129663</v>
      </c>
      <c r="AC222" s="122">
        <f t="shared" si="192"/>
        <v>26080012</v>
      </c>
      <c r="AD222" s="129">
        <f t="shared" si="192"/>
        <v>78209675</v>
      </c>
      <c r="AE222" s="128">
        <f t="shared" si="192"/>
        <v>26272654</v>
      </c>
      <c r="AF222" s="122">
        <f t="shared" si="192"/>
        <v>25857009</v>
      </c>
      <c r="AG222" s="129">
        <f t="shared" si="192"/>
        <v>52129663</v>
      </c>
      <c r="AH222" s="128">
        <f t="shared" si="192"/>
        <v>211135305</v>
      </c>
      <c r="AI222" s="122">
        <f t="shared" si="192"/>
        <v>211135305</v>
      </c>
      <c r="AJ222" s="130">
        <f t="shared" si="192"/>
        <v>237215317</v>
      </c>
      <c r="AK222" s="9"/>
      <c r="AL222" s="128">
        <f>SUM(AL223:AL225)</f>
        <v>0</v>
      </c>
      <c r="AM222" s="130">
        <f>SUM(AM223:AM225)</f>
        <v>0</v>
      </c>
      <c r="AN222" s="9"/>
    </row>
    <row r="223" spans="1:40" s="372" customFormat="1" ht="24.95" customHeight="1">
      <c r="A223" s="734"/>
      <c r="B223" s="644"/>
      <c r="N223" s="9"/>
      <c r="P223" s="9"/>
      <c r="Q223" s="9"/>
      <c r="R223" s="9"/>
      <c r="S223" s="688">
        <f>+IF(ENERO!S223=0,"",ENERO!S223)</f>
        <v>7001100</v>
      </c>
      <c r="T223" s="664" t="str">
        <f>+IF(ENERO!T223=0,"",ENERO!T223)</f>
        <v>Amortización deuda Pública Interna</v>
      </c>
      <c r="U223" s="27">
        <f>+ENERO!U223</f>
        <v>250000000</v>
      </c>
      <c r="V223" s="15">
        <f>ENERO!V223+FEBRERO!AL223</f>
        <v>0</v>
      </c>
      <c r="W223" s="15">
        <f>ENERO!W223+FEBRERO!AM223</f>
        <v>0</v>
      </c>
      <c r="X223" s="18">
        <f>SUM(U223:W223)</f>
        <v>250000000</v>
      </c>
      <c r="Y223" s="19">
        <f>ENERO!AA223</f>
        <v>25000000</v>
      </c>
      <c r="Z223" s="364">
        <v>25000000</v>
      </c>
      <c r="AA223" s="18">
        <f>SUM(Y223:Z223)</f>
        <v>50000000</v>
      </c>
      <c r="AB223" s="19">
        <f>ENERO!AD223</f>
        <v>25000000</v>
      </c>
      <c r="AC223" s="364">
        <v>25000000</v>
      </c>
      <c r="AD223" s="18">
        <f>SUM(AB223:AC223)</f>
        <v>50000000</v>
      </c>
      <c r="AE223" s="19">
        <f>ENERO!AG223</f>
        <v>0</v>
      </c>
      <c r="AF223" s="364">
        <v>25000000</v>
      </c>
      <c r="AG223" s="18">
        <f>SUM(AE223:AF223)</f>
        <v>25000000</v>
      </c>
      <c r="AH223" s="19">
        <f>X223-AA223</f>
        <v>200000000</v>
      </c>
      <c r="AI223" s="15">
        <f>X223-AD223</f>
        <v>200000000</v>
      </c>
      <c r="AJ223" s="16">
        <f>X223-AG223</f>
        <v>225000000</v>
      </c>
      <c r="AK223" s="9"/>
      <c r="AL223" s="362">
        <v>0</v>
      </c>
      <c r="AM223" s="365">
        <v>0</v>
      </c>
      <c r="AN223" s="9"/>
    </row>
    <row r="224" spans="1:40" s="372" customFormat="1" ht="24.95" customHeight="1">
      <c r="A224" s="734"/>
      <c r="B224" s="644"/>
      <c r="N224" s="9"/>
      <c r="P224" s="9"/>
      <c r="Q224" s="9"/>
      <c r="R224" s="9"/>
      <c r="S224" s="688">
        <f>+IF(ENERO!S224=0,"",ENERO!S224)</f>
        <v>7001200</v>
      </c>
      <c r="T224" s="664" t="str">
        <f>+IF(ENERO!T224=0,"",ENERO!T224)</f>
        <v>Intereses Comisiones y gastos de la Deuda Pública</v>
      </c>
      <c r="U224" s="27">
        <f>+ENERO!U224</f>
        <v>12344980</v>
      </c>
      <c r="V224" s="15">
        <f>ENERO!V224+FEBRERO!AL224</f>
        <v>0</v>
      </c>
      <c r="W224" s="15">
        <f>ENERO!W224+FEBRERO!AM224</f>
        <v>0</v>
      </c>
      <c r="X224" s="18">
        <f>SUM(U224:W224)</f>
        <v>12344980</v>
      </c>
      <c r="Y224" s="19">
        <f>ENERO!AA224</f>
        <v>857009</v>
      </c>
      <c r="Z224" s="364">
        <v>1080012</v>
      </c>
      <c r="AA224" s="18">
        <f>SUM(Y224:Z224)</f>
        <v>1937021</v>
      </c>
      <c r="AB224" s="19">
        <f>ENERO!AD224</f>
        <v>857009</v>
      </c>
      <c r="AC224" s="364">
        <v>1080012</v>
      </c>
      <c r="AD224" s="18">
        <f>SUM(AB224:AC224)</f>
        <v>1937021</v>
      </c>
      <c r="AE224" s="19">
        <f>ENERO!AG224</f>
        <v>0</v>
      </c>
      <c r="AF224" s="364">
        <v>857009</v>
      </c>
      <c r="AG224" s="18">
        <f>SUM(AE224:AF224)</f>
        <v>857009</v>
      </c>
      <c r="AH224" s="19">
        <f>X224-AA224</f>
        <v>10407959</v>
      </c>
      <c r="AI224" s="15">
        <f>X224-AD224</f>
        <v>10407959</v>
      </c>
      <c r="AJ224" s="16">
        <f>X224-AG224</f>
        <v>11487971</v>
      </c>
      <c r="AK224" s="9"/>
      <c r="AL224" s="362">
        <v>0</v>
      </c>
      <c r="AM224" s="365">
        <v>0</v>
      </c>
      <c r="AN224" s="9"/>
    </row>
    <row r="225" spans="1:64" s="372" customFormat="1" ht="24.95" customHeight="1">
      <c r="A225" s="734"/>
      <c r="B225" s="644"/>
      <c r="N225" s="9"/>
      <c r="P225" s="9"/>
      <c r="Q225" s="9"/>
      <c r="R225" s="9"/>
      <c r="S225" s="688">
        <f>+IF(ENERO!S225=0,"",ENERO!S225)</f>
        <v>7001999</v>
      </c>
      <c r="T225" s="664" t="str">
        <f>+IF(ENERO!T225=0,"",ENERO!T225)</f>
        <v>Vigencias Anteriores</v>
      </c>
      <c r="U225" s="27">
        <f>+ENERO!U225</f>
        <v>0</v>
      </c>
      <c r="V225" s="15">
        <f>ENERO!V225+FEBRERO!AL225</f>
        <v>0</v>
      </c>
      <c r="W225" s="15">
        <f>ENERO!W225+FEBRERO!AM225</f>
        <v>27000000</v>
      </c>
      <c r="X225" s="18">
        <f>SUM(U225:W225)</f>
        <v>27000000</v>
      </c>
      <c r="Y225" s="19">
        <f>ENERO!AA225</f>
        <v>26272654</v>
      </c>
      <c r="Z225" s="364">
        <v>0</v>
      </c>
      <c r="AA225" s="18">
        <f>SUM(Y225:Z225)</f>
        <v>26272654</v>
      </c>
      <c r="AB225" s="19">
        <f>ENERO!AD225</f>
        <v>26272654</v>
      </c>
      <c r="AC225" s="364">
        <v>0</v>
      </c>
      <c r="AD225" s="18">
        <f>SUM(AB225:AC225)</f>
        <v>26272654</v>
      </c>
      <c r="AE225" s="19">
        <f>ENERO!AG225</f>
        <v>26272654</v>
      </c>
      <c r="AF225" s="364">
        <v>0</v>
      </c>
      <c r="AG225" s="18">
        <f>SUM(AE225:AF225)</f>
        <v>26272654</v>
      </c>
      <c r="AH225" s="19">
        <f>X225-AA225</f>
        <v>727346</v>
      </c>
      <c r="AI225" s="15">
        <f>X225-AD225</f>
        <v>727346</v>
      </c>
      <c r="AJ225" s="16">
        <f>X225-AG225</f>
        <v>727346</v>
      </c>
      <c r="AK225" s="9"/>
      <c r="AL225" s="362">
        <v>0</v>
      </c>
      <c r="AM225" s="365">
        <v>0</v>
      </c>
      <c r="AN225" s="9"/>
    </row>
    <row r="226" spans="1:64" s="372" customFormat="1" ht="24.95" customHeight="1">
      <c r="A226" s="734"/>
      <c r="B226" s="644"/>
      <c r="N226" s="9"/>
      <c r="P226" s="9"/>
      <c r="Q226" s="9"/>
      <c r="R226" s="9"/>
      <c r="S226" s="356" t="str">
        <f>+IF(ENERO!S226=0,"",ENERO!S226)</f>
        <v/>
      </c>
      <c r="T226" s="678" t="str">
        <f>+IF(ENERO!T226=0,"",ENERO!T226)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+IF(ENERO!S227=0,"",ENERO!S227)</f>
        <v>7002001</v>
      </c>
      <c r="T227" s="663" t="str">
        <f>+IF(ENERO!T227=0,"",ENERO!T227)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row>
    <row r="228" spans="1:64" s="372" customFormat="1" ht="24.95" customHeight="1">
      <c r="A228" s="734"/>
      <c r="B228" s="644"/>
      <c r="N228" s="9"/>
      <c r="P228" s="9"/>
      <c r="Q228" s="9"/>
      <c r="R228" s="9"/>
      <c r="S228" s="688">
        <f>+IF(ENERO!S228=0,"",ENERO!S228)</f>
        <v>7002100</v>
      </c>
      <c r="T228" s="664" t="str">
        <f>+IF(ENERO!T228=0,"",ENERO!T228)</f>
        <v>Amortización deuda Pública Externa</v>
      </c>
      <c r="U228" s="27">
        <f>+ENERO!U228</f>
        <v>0</v>
      </c>
      <c r="V228" s="15">
        <f>ENERO!V228+FEBRERO!AL228</f>
        <v>0</v>
      </c>
      <c r="W228" s="15">
        <f>ENERO!W228+FEBRERO!AM228</f>
        <v>0</v>
      </c>
      <c r="X228" s="18">
        <f>SUM(U228:W228)</f>
        <v>0</v>
      </c>
      <c r="Y228" s="19">
        <f>ENERO!AA228</f>
        <v>0</v>
      </c>
      <c r="Z228" s="364">
        <v>0</v>
      </c>
      <c r="AA228" s="18">
        <f>SUM(Y228:Z228)</f>
        <v>0</v>
      </c>
      <c r="AB228" s="19">
        <f>ENERO!AD228</f>
        <v>0</v>
      </c>
      <c r="AC228" s="364">
        <v>0</v>
      </c>
      <c r="AD228" s="18">
        <f>SUM(AB228:AC228)</f>
        <v>0</v>
      </c>
      <c r="AE228" s="19">
        <f>ENERO!AG228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+IF(ENERO!S229=0,"",ENERO!S229)</f>
        <v>7002200</v>
      </c>
      <c r="T229" s="664" t="str">
        <f>+IF(ENERO!T229=0,"",ENERO!T229)</f>
        <v>Intereses Comisiones y gastos de la Deuda Pública</v>
      </c>
      <c r="U229" s="27">
        <f>+ENERO!U229</f>
        <v>0</v>
      </c>
      <c r="V229" s="15">
        <f>ENERO!V229+FEBRERO!AL229</f>
        <v>0</v>
      </c>
      <c r="W229" s="15">
        <f>ENERO!W229+FEBRERO!AM229</f>
        <v>0</v>
      </c>
      <c r="X229" s="18">
        <f>SUM(U229:W229)</f>
        <v>0</v>
      </c>
      <c r="Y229" s="19">
        <f>ENERO!AA229</f>
        <v>0</v>
      </c>
      <c r="Z229" s="364">
        <v>0</v>
      </c>
      <c r="AA229" s="18">
        <f>SUM(Y229:Z229)</f>
        <v>0</v>
      </c>
      <c r="AB229" s="19">
        <f>ENERO!AD229</f>
        <v>0</v>
      </c>
      <c r="AC229" s="364">
        <v>0</v>
      </c>
      <c r="AD229" s="18">
        <f>SUM(AB229:AC229)</f>
        <v>0</v>
      </c>
      <c r="AE229" s="19">
        <f>ENERO!AG229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+IF(ENERO!S230=0,"",ENERO!S230)</f>
        <v>7002999</v>
      </c>
      <c r="T230" s="670" t="str">
        <f>+IF(ENERO!T230=0,"",ENERO!T230)</f>
        <v>Vigencias Anteriores</v>
      </c>
      <c r="U230" s="133">
        <f>+ENERO!U230</f>
        <v>0</v>
      </c>
      <c r="V230" s="121">
        <f>ENERO!V230+FEBRERO!AL230</f>
        <v>0</v>
      </c>
      <c r="W230" s="121">
        <f>ENERO!W230+FEBRERO!AM230</f>
        <v>0</v>
      </c>
      <c r="X230" s="126">
        <f>SUM(U230:W230)</f>
        <v>0</v>
      </c>
      <c r="Y230" s="124">
        <f>ENERO!AA230</f>
        <v>0</v>
      </c>
      <c r="Z230" s="378">
        <v>0</v>
      </c>
      <c r="AA230" s="126">
        <f>SUM(Y230:Z230)</f>
        <v>0</v>
      </c>
      <c r="AB230" s="124">
        <f>ENERO!AD230</f>
        <v>0</v>
      </c>
      <c r="AC230" s="378">
        <v>0</v>
      </c>
      <c r="AD230" s="126">
        <f>SUM(AB230:AC230)</f>
        <v>0</v>
      </c>
      <c r="AE230" s="124">
        <f>ENERO!AG230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+IF(ENERO!S231=0,"",ENERO!S231)</f>
        <v/>
      </c>
      <c r="T231" s="671" t="str">
        <f>+IF(ENERO!T231=0,"",ENERO!T231)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+IF(ENERO!S232=0,"",ENERO!S232)</f>
        <v>D</v>
      </c>
      <c r="T232" s="679" t="str">
        <f>+IF(ENERO!T232=0,"",ENERO!T232)</f>
        <v>INVERSION</v>
      </c>
      <c r="U232" s="460">
        <f>U234+U243</f>
        <v>5765730053</v>
      </c>
      <c r="V232" s="461">
        <f t="shared" ref="V232:AJ232" si="194">V234+V243</f>
        <v>0</v>
      </c>
      <c r="W232" s="461">
        <f t="shared" si="194"/>
        <v>9194323310</v>
      </c>
      <c r="X232" s="462">
        <f t="shared" si="194"/>
        <v>14960053363</v>
      </c>
      <c r="Y232" s="369">
        <f t="shared" si="194"/>
        <v>5647738707</v>
      </c>
      <c r="Z232" s="461">
        <f t="shared" si="194"/>
        <v>920331886</v>
      </c>
      <c r="AA232" s="462">
        <f t="shared" si="194"/>
        <v>6568070593</v>
      </c>
      <c r="AB232" s="369">
        <f t="shared" si="194"/>
        <v>559720914</v>
      </c>
      <c r="AC232" s="461">
        <f t="shared" si="194"/>
        <v>1328688790</v>
      </c>
      <c r="AD232" s="462">
        <f t="shared" si="194"/>
        <v>1888409704</v>
      </c>
      <c r="AE232" s="369">
        <f t="shared" si="194"/>
        <v>310797252</v>
      </c>
      <c r="AF232" s="461">
        <f t="shared" si="194"/>
        <v>806725544</v>
      </c>
      <c r="AG232" s="462">
        <f t="shared" si="194"/>
        <v>1117522796</v>
      </c>
      <c r="AH232" s="369">
        <f t="shared" si="194"/>
        <v>8391982770</v>
      </c>
      <c r="AI232" s="461">
        <f t="shared" si="194"/>
        <v>13071643659</v>
      </c>
      <c r="AJ232" s="370">
        <f t="shared" si="194"/>
        <v>13842530567</v>
      </c>
      <c r="AK232" s="490"/>
      <c r="AL232" s="369">
        <f>AL234+AL243</f>
        <v>0</v>
      </c>
      <c r="AM232" s="370">
        <f>AM234+AM243</f>
        <v>748900975</v>
      </c>
      <c r="AN232" s="9"/>
    </row>
    <row r="233" spans="1:64" s="372" customFormat="1" ht="24.95" customHeight="1">
      <c r="A233" s="734"/>
      <c r="B233" s="644"/>
      <c r="N233" s="9"/>
      <c r="P233" s="9"/>
      <c r="Q233" s="9"/>
      <c r="R233" s="9"/>
      <c r="S233" s="356" t="str">
        <f>+IF(ENERO!S233=0,"",ENERO!S233)</f>
        <v/>
      </c>
      <c r="T233" s="678" t="str">
        <f>+IF(ENERO!T233=0,"",ENERO!T233)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+IF(ENERO!S234=0,"",ENERO!S234)</f>
        <v>8000000</v>
      </c>
      <c r="T234" s="663" t="str">
        <f>+IF(ENERO!T234=0,"",ENERO!T234)</f>
        <v>Programas de Inversión</v>
      </c>
      <c r="U234" s="132">
        <f>U235</f>
        <v>5265730053</v>
      </c>
      <c r="V234" s="122">
        <f t="shared" ref="V234:AJ234" si="195">V235</f>
        <v>0</v>
      </c>
      <c r="W234" s="122">
        <f t="shared" si="195"/>
        <v>5752626782</v>
      </c>
      <c r="X234" s="129">
        <f t="shared" si="195"/>
        <v>11018356835</v>
      </c>
      <c r="Y234" s="128">
        <f t="shared" si="195"/>
        <v>4875659115</v>
      </c>
      <c r="Z234" s="122">
        <f t="shared" si="195"/>
        <v>3300000</v>
      </c>
      <c r="AA234" s="129">
        <f t="shared" si="195"/>
        <v>4878959115</v>
      </c>
      <c r="AB234" s="128">
        <f t="shared" si="195"/>
        <v>220561322</v>
      </c>
      <c r="AC234" s="122">
        <f t="shared" si="195"/>
        <v>319714904</v>
      </c>
      <c r="AD234" s="129">
        <f t="shared" si="195"/>
        <v>540276226</v>
      </c>
      <c r="AE234" s="128">
        <f t="shared" si="195"/>
        <v>142187310</v>
      </c>
      <c r="AF234" s="122">
        <f t="shared" si="195"/>
        <v>345034904</v>
      </c>
      <c r="AG234" s="129">
        <f t="shared" si="195"/>
        <v>487222214</v>
      </c>
      <c r="AH234" s="128">
        <f t="shared" si="195"/>
        <v>6139397720</v>
      </c>
      <c r="AI234" s="122">
        <f t="shared" si="195"/>
        <v>10478080609</v>
      </c>
      <c r="AJ234" s="130">
        <f t="shared" si="195"/>
        <v>10531134621</v>
      </c>
      <c r="AK234" s="9"/>
      <c r="AL234" s="128">
        <f>AL235</f>
        <v>0</v>
      </c>
      <c r="AM234" s="130">
        <f>AM235</f>
        <v>0</v>
      </c>
      <c r="AN234" s="9"/>
    </row>
    <row r="235" spans="1:64" s="372" customFormat="1" ht="24.95" customHeight="1">
      <c r="A235" s="734"/>
      <c r="B235" s="644"/>
      <c r="N235" s="9"/>
      <c r="P235" s="9"/>
      <c r="Q235" s="9"/>
      <c r="R235" s="9"/>
      <c r="S235" s="688">
        <f>+IF(ENERO!S235=0,"",ENERO!S235)</f>
        <v>8001000</v>
      </c>
      <c r="T235" s="664" t="str">
        <f>+IF(ENERO!T235=0,"",ENERO!T235)</f>
        <v>Formación Bruta del Capital</v>
      </c>
      <c r="U235" s="27">
        <f t="shared" ref="U235:AJ235" si="196">SUM(U236:U241)</f>
        <v>5265730053</v>
      </c>
      <c r="V235" s="15">
        <f t="shared" si="196"/>
        <v>0</v>
      </c>
      <c r="W235" s="15">
        <f t="shared" si="196"/>
        <v>5752626782</v>
      </c>
      <c r="X235" s="18">
        <f t="shared" si="196"/>
        <v>11018356835</v>
      </c>
      <c r="Y235" s="19">
        <f t="shared" si="196"/>
        <v>4875659115</v>
      </c>
      <c r="Z235" s="142">
        <f t="shared" si="196"/>
        <v>3300000</v>
      </c>
      <c r="AA235" s="18">
        <f t="shared" si="196"/>
        <v>4878959115</v>
      </c>
      <c r="AB235" s="19">
        <f t="shared" si="196"/>
        <v>220561322</v>
      </c>
      <c r="AC235" s="142">
        <f t="shared" si="196"/>
        <v>319714904</v>
      </c>
      <c r="AD235" s="18">
        <f t="shared" si="196"/>
        <v>540276226</v>
      </c>
      <c r="AE235" s="19">
        <f t="shared" si="196"/>
        <v>142187310</v>
      </c>
      <c r="AF235" s="142">
        <f t="shared" si="196"/>
        <v>345034904</v>
      </c>
      <c r="AG235" s="18">
        <f t="shared" si="196"/>
        <v>487222214</v>
      </c>
      <c r="AH235" s="19">
        <f t="shared" si="196"/>
        <v>6139397720</v>
      </c>
      <c r="AI235" s="15">
        <f t="shared" si="196"/>
        <v>10478080609</v>
      </c>
      <c r="AJ235" s="16">
        <f t="shared" si="196"/>
        <v>10531134621</v>
      </c>
      <c r="AK235" s="9"/>
      <c r="AL235" s="29">
        <f>SUM(AL236:AL241)</f>
        <v>0</v>
      </c>
      <c r="AM235" s="26">
        <f>SUM(AM236:AM241)</f>
        <v>0</v>
      </c>
      <c r="AN235" s="9"/>
    </row>
    <row r="236" spans="1:64" s="372" customFormat="1" ht="24.95" customHeight="1">
      <c r="A236" s="734"/>
      <c r="B236" s="644"/>
      <c r="N236" s="9"/>
      <c r="P236" s="9"/>
      <c r="Q236" s="9"/>
      <c r="R236" s="9"/>
      <c r="S236" s="689" t="str">
        <f>+IF(ENERO!S236=0,"",ENERO!S236)</f>
        <v>8001000-1</v>
      </c>
      <c r="T236" s="665" t="str">
        <f>+IF(ENERO!T236=0,"",ENERO!T236)</f>
        <v>Subprogr.Construc. Remodelac. Adecuación y Apliac.1</v>
      </c>
      <c r="U236" s="27">
        <f>+ENERO!U236</f>
        <v>4765730053</v>
      </c>
      <c r="V236" s="15">
        <f>ENERO!V236+FEBRERO!AL236</f>
        <v>0</v>
      </c>
      <c r="W236" s="15">
        <f>ENERO!W236+FEBRERO!AM236</f>
        <v>0</v>
      </c>
      <c r="X236" s="18">
        <f t="shared" ref="X236:X241" si="197">SUM(U236:W236)</f>
        <v>4765730053</v>
      </c>
      <c r="Y236" s="19">
        <f>ENERO!AA236</f>
        <v>4727619032</v>
      </c>
      <c r="Z236" s="364">
        <v>3300000</v>
      </c>
      <c r="AA236" s="18">
        <f t="shared" ref="AA236:AA241" si="198">SUM(Y236:Z236)</f>
        <v>4730919032</v>
      </c>
      <c r="AB236" s="19">
        <f>ENERO!AD236</f>
        <v>72521239</v>
      </c>
      <c r="AC236" s="364">
        <v>319714904</v>
      </c>
      <c r="AD236" s="18">
        <f t="shared" ref="AD236:AD241" si="199">SUM(AB236:AC236)</f>
        <v>392236143</v>
      </c>
      <c r="AE236" s="19">
        <f>ENERO!AG236</f>
        <v>18507227</v>
      </c>
      <c r="AF236" s="364">
        <v>320674904</v>
      </c>
      <c r="AG236" s="18">
        <f t="shared" ref="AG236:AG241" si="200">SUM(AE236:AF236)</f>
        <v>339182131</v>
      </c>
      <c r="AH236" s="19">
        <f t="shared" ref="AH236:AH241" si="201">X236-AA236</f>
        <v>34811021</v>
      </c>
      <c r="AI236" s="15">
        <f t="shared" ref="AI236:AI241" si="202">X236-AD236</f>
        <v>4373493910</v>
      </c>
      <c r="AJ236" s="16">
        <f t="shared" ref="AJ236:AJ241" si="203">X236-AG236</f>
        <v>4426547922</v>
      </c>
      <c r="AK236" s="9"/>
      <c r="AL236" s="362">
        <v>0</v>
      </c>
      <c r="AM236" s="365">
        <v>0</v>
      </c>
      <c r="AN236" s="9"/>
    </row>
    <row r="237" spans="1:64" s="372" customFormat="1" ht="24.95" customHeight="1">
      <c r="A237" s="734"/>
      <c r="B237" s="644"/>
      <c r="N237" s="9"/>
      <c r="P237" s="9"/>
      <c r="Q237" s="9"/>
      <c r="R237" s="9"/>
      <c r="S237" s="689" t="str">
        <f>+IF(ENERO!S237=0,"",ENERO!S237)</f>
        <v>8001000-2</v>
      </c>
      <c r="T237" s="665" t="str">
        <f>+IF(ENERO!T237=0,"",ENERO!T237)</f>
        <v>Subprogr.Construc. Remodelac. Adecuación y Apliac.2</v>
      </c>
      <c r="U237" s="27">
        <f>+ENERO!U237</f>
        <v>500000000</v>
      </c>
      <c r="V237" s="15">
        <f>ENERO!V237+FEBRERO!AL237</f>
        <v>0</v>
      </c>
      <c r="W237" s="15">
        <f>ENERO!W237+FEBRERO!AM237</f>
        <v>719283217</v>
      </c>
      <c r="X237" s="18">
        <f t="shared" si="197"/>
        <v>1219283217</v>
      </c>
      <c r="Y237" s="19">
        <f>ENERO!AA237</f>
        <v>0</v>
      </c>
      <c r="Z237" s="364">
        <v>0</v>
      </c>
      <c r="AA237" s="18">
        <f t="shared" si="198"/>
        <v>0</v>
      </c>
      <c r="AB237" s="19">
        <f>ENERO!AD237</f>
        <v>0</v>
      </c>
      <c r="AC237" s="364">
        <v>0</v>
      </c>
      <c r="AD237" s="18">
        <f t="shared" si="199"/>
        <v>0</v>
      </c>
      <c r="AE237" s="19">
        <f>ENERO!AG237</f>
        <v>0</v>
      </c>
      <c r="AF237" s="364">
        <v>0</v>
      </c>
      <c r="AG237" s="18">
        <f t="shared" si="200"/>
        <v>0</v>
      </c>
      <c r="AH237" s="19">
        <f t="shared" si="201"/>
        <v>1219283217</v>
      </c>
      <c r="AI237" s="15">
        <f t="shared" si="202"/>
        <v>1219283217</v>
      </c>
      <c r="AJ237" s="16">
        <f t="shared" si="203"/>
        <v>1219283217</v>
      </c>
      <c r="AK237" s="9"/>
      <c r="AL237" s="362">
        <v>0</v>
      </c>
      <c r="AM237" s="365">
        <v>0</v>
      </c>
      <c r="AN237" s="9"/>
    </row>
    <row r="238" spans="1:64" s="372" customFormat="1" ht="24.95" customHeight="1">
      <c r="A238" s="734"/>
      <c r="B238" s="644"/>
      <c r="N238" s="9"/>
      <c r="P238" s="9"/>
      <c r="Q238" s="9"/>
      <c r="R238" s="9"/>
      <c r="S238" s="689" t="str">
        <f>+IF(ENERO!S238=0,"",ENERO!S238)</f>
        <v>8001000-3</v>
      </c>
      <c r="T238" s="665" t="str">
        <f>+IF(ENERO!T238=0,"",ENERO!T238)</f>
        <v>Subprogr.Construc. Remodelac. Adecuación y Apliac.3</v>
      </c>
      <c r="U238" s="27">
        <f>+ENERO!U238</f>
        <v>0</v>
      </c>
      <c r="V238" s="15">
        <f>ENERO!V238+FEBRERO!AL238</f>
        <v>0</v>
      </c>
      <c r="W238" s="15">
        <f>ENERO!W238+FEBRERO!AM238</f>
        <v>0</v>
      </c>
      <c r="X238" s="18">
        <f t="shared" si="197"/>
        <v>0</v>
      </c>
      <c r="Y238" s="19">
        <f>ENERO!AA238</f>
        <v>0</v>
      </c>
      <c r="Z238" s="364">
        <v>0</v>
      </c>
      <c r="AA238" s="18">
        <f t="shared" si="198"/>
        <v>0</v>
      </c>
      <c r="AB238" s="19">
        <f>ENERO!AD238</f>
        <v>0</v>
      </c>
      <c r="AC238" s="364">
        <v>0</v>
      </c>
      <c r="AD238" s="18">
        <f t="shared" si="199"/>
        <v>0</v>
      </c>
      <c r="AE238" s="19">
        <f>ENERO!AG238</f>
        <v>0</v>
      </c>
      <c r="AF238" s="364">
        <v>0</v>
      </c>
      <c r="AG238" s="18">
        <f t="shared" si="200"/>
        <v>0</v>
      </c>
      <c r="AH238" s="19">
        <f t="shared" si="201"/>
        <v>0</v>
      </c>
      <c r="AI238" s="15">
        <f t="shared" si="202"/>
        <v>0</v>
      </c>
      <c r="AJ238" s="16">
        <f t="shared" si="203"/>
        <v>0</v>
      </c>
      <c r="AK238" s="9"/>
      <c r="AL238" s="362">
        <v>0</v>
      </c>
      <c r="AM238" s="365">
        <v>0</v>
      </c>
      <c r="AN238" s="9"/>
    </row>
    <row r="239" spans="1:64" s="372" customFormat="1" ht="24.95" customHeight="1">
      <c r="A239" s="734"/>
      <c r="B239" s="644"/>
      <c r="N239" s="9"/>
      <c r="P239" s="9"/>
      <c r="Q239" s="9"/>
      <c r="S239" s="689" t="str">
        <f>+IF(ENERO!S239=0,"",ENERO!S239)</f>
        <v>8001000-4</v>
      </c>
      <c r="T239" s="665" t="str">
        <f>+IF(ENERO!T239=0,"",ENERO!T239)</f>
        <v>Subprogr.Construc. Remodelac. Adecuación y Apliac.4</v>
      </c>
      <c r="U239" s="27">
        <f>+ENERO!U239</f>
        <v>0</v>
      </c>
      <c r="V239" s="15">
        <f>ENERO!V239+FEBRERO!AL239</f>
        <v>0</v>
      </c>
      <c r="W239" s="15">
        <f>ENERO!W239+FEBRERO!AM239</f>
        <v>0</v>
      </c>
      <c r="X239" s="18">
        <f t="shared" si="197"/>
        <v>0</v>
      </c>
      <c r="Y239" s="19">
        <f>ENERO!AA239</f>
        <v>0</v>
      </c>
      <c r="Z239" s="364">
        <v>0</v>
      </c>
      <c r="AA239" s="18">
        <f t="shared" si="198"/>
        <v>0</v>
      </c>
      <c r="AB239" s="19">
        <f>ENERO!AD239</f>
        <v>0</v>
      </c>
      <c r="AC239" s="364">
        <v>0</v>
      </c>
      <c r="AD239" s="18">
        <f t="shared" si="199"/>
        <v>0</v>
      </c>
      <c r="AE239" s="19">
        <f>ENERO!AG239</f>
        <v>0</v>
      </c>
      <c r="AF239" s="364">
        <v>0</v>
      </c>
      <c r="AG239" s="18">
        <f t="shared" si="200"/>
        <v>0</v>
      </c>
      <c r="AH239" s="19">
        <f t="shared" si="201"/>
        <v>0</v>
      </c>
      <c r="AI239" s="15">
        <f t="shared" si="202"/>
        <v>0</v>
      </c>
      <c r="AJ239" s="16">
        <f t="shared" si="203"/>
        <v>0</v>
      </c>
      <c r="AK239" s="9"/>
      <c r="AL239" s="362">
        <v>0</v>
      </c>
      <c r="AM239" s="365">
        <v>0</v>
      </c>
      <c r="AN239" s="9"/>
    </row>
    <row r="240" spans="1:64" s="372" customFormat="1" ht="24.95" customHeight="1">
      <c r="A240" s="734"/>
      <c r="B240" s="644"/>
      <c r="N240" s="9"/>
      <c r="P240" s="9"/>
      <c r="Q240" s="9"/>
      <c r="S240" s="689" t="str">
        <f>+IF(ENERO!S240=0,"",ENERO!S240)</f>
        <v>8001000-5</v>
      </c>
      <c r="T240" s="665" t="str">
        <f>+IF(ENERO!T240=0,"",ENERO!T240)</f>
        <v>Subprogr.Construc. Remodelac. Adecuación y Apliac.5</v>
      </c>
      <c r="U240" s="27">
        <f>+ENERO!U240</f>
        <v>0</v>
      </c>
      <c r="V240" s="15">
        <f>ENERO!V240+FEBRERO!AL240</f>
        <v>0</v>
      </c>
      <c r="W240" s="15">
        <f>ENERO!W240+FEBRERO!AM240</f>
        <v>0</v>
      </c>
      <c r="X240" s="18">
        <f t="shared" si="197"/>
        <v>0</v>
      </c>
      <c r="Y240" s="19">
        <f>ENERO!AA240</f>
        <v>0</v>
      </c>
      <c r="Z240" s="364">
        <v>0</v>
      </c>
      <c r="AA240" s="18">
        <f t="shared" si="198"/>
        <v>0</v>
      </c>
      <c r="AB240" s="19">
        <f>ENERO!AD240</f>
        <v>0</v>
      </c>
      <c r="AC240" s="364">
        <v>0</v>
      </c>
      <c r="AD240" s="18">
        <f t="shared" si="199"/>
        <v>0</v>
      </c>
      <c r="AE240" s="19">
        <f>ENERO!AG240</f>
        <v>0</v>
      </c>
      <c r="AF240" s="364">
        <v>0</v>
      </c>
      <c r="AG240" s="18">
        <f t="shared" si="200"/>
        <v>0</v>
      </c>
      <c r="AH240" s="19">
        <f t="shared" si="201"/>
        <v>0</v>
      </c>
      <c r="AI240" s="15">
        <f t="shared" si="202"/>
        <v>0</v>
      </c>
      <c r="AJ240" s="16">
        <f t="shared" si="203"/>
        <v>0</v>
      </c>
      <c r="AK240" s="9"/>
      <c r="AL240" s="362">
        <v>0</v>
      </c>
      <c r="AM240" s="365">
        <v>0</v>
      </c>
      <c r="AN240" s="9"/>
      <c r="BB240" s="262"/>
      <c r="BC240" s="262"/>
      <c r="BD240" s="262"/>
      <c r="BE240" s="262"/>
      <c r="BF240" s="262"/>
      <c r="BG240" s="262"/>
      <c r="BH240" s="262"/>
      <c r="BI240" s="262"/>
      <c r="BJ240" s="262"/>
      <c r="BK240" s="262"/>
      <c r="BL240" s="262"/>
    </row>
    <row r="241" spans="1:70" s="372" customFormat="1" ht="24.95" customHeight="1">
      <c r="A241" s="734"/>
      <c r="B241" s="644"/>
      <c r="N241" s="9"/>
      <c r="P241" s="9"/>
      <c r="Q241" s="9"/>
      <c r="S241" s="697">
        <f>+IF(ENERO!S241=0,"",ENERO!S241)</f>
        <v>8001999</v>
      </c>
      <c r="T241" s="665" t="str">
        <f>+IF(ENERO!T241=0,"",ENERO!T241)</f>
        <v>Vigencias Anteriores</v>
      </c>
      <c r="U241" s="27">
        <f>+ENERO!U241</f>
        <v>0</v>
      </c>
      <c r="V241" s="15">
        <f>ENERO!V241+FEBRERO!AL241</f>
        <v>0</v>
      </c>
      <c r="W241" s="15">
        <f>ENERO!W241+FEBRERO!AM241</f>
        <v>5033343565</v>
      </c>
      <c r="X241" s="18">
        <f t="shared" si="197"/>
        <v>5033343565</v>
      </c>
      <c r="Y241" s="19">
        <f>ENERO!AA241</f>
        <v>148040083</v>
      </c>
      <c r="Z241" s="364">
        <v>0</v>
      </c>
      <c r="AA241" s="18">
        <f t="shared" si="198"/>
        <v>148040083</v>
      </c>
      <c r="AB241" s="19">
        <f>ENERO!AD241</f>
        <v>148040083</v>
      </c>
      <c r="AC241" s="364">
        <v>0</v>
      </c>
      <c r="AD241" s="18">
        <f t="shared" si="199"/>
        <v>148040083</v>
      </c>
      <c r="AE241" s="19">
        <f>ENERO!AG241</f>
        <v>123680083</v>
      </c>
      <c r="AF241" s="364">
        <v>24360000</v>
      </c>
      <c r="AG241" s="18">
        <f t="shared" si="200"/>
        <v>148040083</v>
      </c>
      <c r="AH241" s="19">
        <f t="shared" si="201"/>
        <v>4885303482</v>
      </c>
      <c r="AI241" s="15">
        <f t="shared" si="202"/>
        <v>4885303482</v>
      </c>
      <c r="AJ241" s="16">
        <f t="shared" si="203"/>
        <v>4885303482</v>
      </c>
      <c r="AK241" s="9"/>
      <c r="AL241" s="362">
        <v>0</v>
      </c>
      <c r="AM241" s="365">
        <v>0</v>
      </c>
      <c r="AN241" s="9"/>
      <c r="BB241" s="262"/>
      <c r="BC241" s="262"/>
      <c r="BD241" s="262"/>
      <c r="BE241" s="262"/>
      <c r="BF241" s="262"/>
      <c r="BG241" s="262"/>
      <c r="BH241" s="262"/>
      <c r="BI241" s="262"/>
      <c r="BJ241" s="262"/>
      <c r="BK241" s="262"/>
      <c r="BL241" s="26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+IF(ENERO!S242=0,"",ENERO!S242)</f>
        <v/>
      </c>
      <c r="T242" s="678" t="str">
        <f>+IF(ENERO!T242=0,"",ENERO!T242)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32.25" customHeight="1">
      <c r="A243" s="734"/>
      <c r="B243" s="644"/>
      <c r="C243" s="372"/>
      <c r="D243" s="372"/>
      <c r="E243" s="372"/>
      <c r="F243" s="372"/>
      <c r="G243" s="372"/>
      <c r="H243" s="372"/>
      <c r="I243" s="372"/>
      <c r="J243" s="372"/>
      <c r="K243" s="372"/>
      <c r="L243" s="372"/>
      <c r="M243" s="372"/>
      <c r="N243" s="9"/>
      <c r="O243" s="372"/>
      <c r="P243" s="9"/>
      <c r="Q243" s="9"/>
      <c r="S243" s="687">
        <f>+IF(ENERO!S243=0,"",ENERO!S243)</f>
        <v>8002001</v>
      </c>
      <c r="T243" s="663" t="str">
        <f>+IF(ENERO!T243=0,"",ENERO!T243)</f>
        <v>Gastos Operativos de Inversion   (Programas Especiales)</v>
      </c>
      <c r="U243" s="132">
        <f t="shared" ref="U243:AJ243" si="204">SUM(U244:U256)</f>
        <v>500000000</v>
      </c>
      <c r="V243" s="122">
        <f t="shared" si="204"/>
        <v>0</v>
      </c>
      <c r="W243" s="122">
        <f t="shared" si="204"/>
        <v>3441696528</v>
      </c>
      <c r="X243" s="129">
        <f t="shared" si="204"/>
        <v>3941696528</v>
      </c>
      <c r="Y243" s="128">
        <f t="shared" si="204"/>
        <v>772079592</v>
      </c>
      <c r="Z243" s="122">
        <f t="shared" si="204"/>
        <v>917031886</v>
      </c>
      <c r="AA243" s="129">
        <f t="shared" si="204"/>
        <v>1689111478</v>
      </c>
      <c r="AB243" s="128">
        <f t="shared" si="204"/>
        <v>339159592</v>
      </c>
      <c r="AC243" s="122">
        <f t="shared" si="204"/>
        <v>1008973886</v>
      </c>
      <c r="AD243" s="129">
        <f t="shared" si="204"/>
        <v>1348133478</v>
      </c>
      <c r="AE243" s="128">
        <f t="shared" si="204"/>
        <v>168609942</v>
      </c>
      <c r="AF243" s="122">
        <f t="shared" si="204"/>
        <v>461690640</v>
      </c>
      <c r="AG243" s="129">
        <f t="shared" si="204"/>
        <v>630300582</v>
      </c>
      <c r="AH243" s="128">
        <f t="shared" si="204"/>
        <v>2252585050</v>
      </c>
      <c r="AI243" s="122">
        <f t="shared" si="204"/>
        <v>2593563050</v>
      </c>
      <c r="AJ243" s="130">
        <f t="shared" si="204"/>
        <v>3311395946</v>
      </c>
      <c r="AK243" s="9"/>
      <c r="AL243" s="128">
        <f>SUM(AL244:AL256)</f>
        <v>0</v>
      </c>
      <c r="AM243" s="130">
        <f>SUM(AM244:AM256)</f>
        <v>748900975</v>
      </c>
      <c r="BR243" s="372"/>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+IF(ENERO!S244=0,"",ENERO!S244)</f>
        <v>8002100-1</v>
      </c>
      <c r="T244" s="665" t="str">
        <f>+IF(ENERO!T244=0,"",ENERO!T244)</f>
        <v>Fondo de la Vivienda</v>
      </c>
      <c r="U244" s="27">
        <f>+ENERO!U244</f>
        <v>0</v>
      </c>
      <c r="V244" s="15">
        <f>ENERO!V244+FEBRERO!AL244</f>
        <v>0</v>
      </c>
      <c r="W244" s="15">
        <f>ENERO!W244+FEBRERO!AM244</f>
        <v>0</v>
      </c>
      <c r="X244" s="18">
        <f t="shared" ref="X244:X256" si="205">SUM(U244:W244)</f>
        <v>0</v>
      </c>
      <c r="Y244" s="19">
        <f>ENERO!AA244</f>
        <v>0</v>
      </c>
      <c r="Z244" s="364">
        <v>0</v>
      </c>
      <c r="AA244" s="18">
        <f t="shared" ref="AA244:AA256" si="206">SUM(Y244:Z244)</f>
        <v>0</v>
      </c>
      <c r="AB244" s="19">
        <f>ENERO!AD244</f>
        <v>0</v>
      </c>
      <c r="AC244" s="364">
        <v>0</v>
      </c>
      <c r="AD244" s="18">
        <f t="shared" ref="AD244:AD256" si="207">SUM(AB244:AC244)</f>
        <v>0</v>
      </c>
      <c r="AE244" s="19">
        <f>ENERO!AG244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+IF(ENERO!S245=0,"",ENERO!S245)</f>
        <v>8002100-2</v>
      </c>
      <c r="T245" s="665" t="str">
        <f>+IF(ENERO!T245=0,"",ENERO!T245)</f>
        <v>Programas Especial 01</v>
      </c>
      <c r="U245" s="27">
        <f>+ENERO!U245</f>
        <v>0</v>
      </c>
      <c r="V245" s="15">
        <f>ENERO!V245+FEBRERO!AL245</f>
        <v>0</v>
      </c>
      <c r="W245" s="15">
        <f>ENERO!W245+FEBRERO!AM245</f>
        <v>152517826</v>
      </c>
      <c r="X245" s="18">
        <f t="shared" si="205"/>
        <v>152517826</v>
      </c>
      <c r="Y245" s="19">
        <f>ENERO!AA245</f>
        <v>0</v>
      </c>
      <c r="Z245" s="364">
        <v>0</v>
      </c>
      <c r="AA245" s="18">
        <f t="shared" si="206"/>
        <v>0</v>
      </c>
      <c r="AB245" s="19">
        <f>ENERO!AD245</f>
        <v>0</v>
      </c>
      <c r="AC245" s="364">
        <v>0</v>
      </c>
      <c r="AD245" s="18">
        <f t="shared" si="207"/>
        <v>0</v>
      </c>
      <c r="AE245" s="19">
        <f>ENERO!AG245</f>
        <v>0</v>
      </c>
      <c r="AF245" s="364">
        <v>0</v>
      </c>
      <c r="AG245" s="18">
        <f t="shared" si="208"/>
        <v>0</v>
      </c>
      <c r="AH245" s="19">
        <f t="shared" si="209"/>
        <v>152517826</v>
      </c>
      <c r="AI245" s="15">
        <f t="shared" si="210"/>
        <v>152517826</v>
      </c>
      <c r="AJ245" s="16">
        <f t="shared" si="211"/>
        <v>152517826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+IF(ENERO!S246=0,"",ENERO!S246)</f>
        <v>8002100-3</v>
      </c>
      <c r="T246" s="665" t="str">
        <f>+IF(ENERO!T246=0,"",ENERO!T246)</f>
        <v>Programas Especial 02</v>
      </c>
      <c r="U246" s="27">
        <f>+ENERO!U246</f>
        <v>0</v>
      </c>
      <c r="V246" s="15">
        <f>ENERO!V246+FEBRERO!AL246</f>
        <v>0</v>
      </c>
      <c r="W246" s="15">
        <f>ENERO!W246+FEBRERO!AM246</f>
        <v>0</v>
      </c>
      <c r="X246" s="18">
        <f t="shared" si="205"/>
        <v>0</v>
      </c>
      <c r="Y246" s="19">
        <f>ENERO!AA246</f>
        <v>0</v>
      </c>
      <c r="Z246" s="364">
        <v>0</v>
      </c>
      <c r="AA246" s="18">
        <f t="shared" si="206"/>
        <v>0</v>
      </c>
      <c r="AB246" s="19">
        <f>ENERO!AD246</f>
        <v>0</v>
      </c>
      <c r="AC246" s="364">
        <v>0</v>
      </c>
      <c r="AD246" s="18">
        <f t="shared" si="207"/>
        <v>0</v>
      </c>
      <c r="AE246" s="19">
        <f>ENERO!AG246</f>
        <v>0</v>
      </c>
      <c r="AF246" s="364">
        <v>0</v>
      </c>
      <c r="AG246" s="18">
        <f t="shared" si="208"/>
        <v>0</v>
      </c>
      <c r="AH246" s="19">
        <f t="shared" si="209"/>
        <v>0</v>
      </c>
      <c r="AI246" s="15">
        <f t="shared" si="210"/>
        <v>0</v>
      </c>
      <c r="AJ246" s="16">
        <f t="shared" si="211"/>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+IF(ENERO!S247=0,"",ENERO!S247)</f>
        <v>8002100-4</v>
      </c>
      <c r="T247" s="665" t="str">
        <f>+IF(ENERO!T247=0,"",ENERO!T247)</f>
        <v>Programas Especial 03</v>
      </c>
      <c r="U247" s="27">
        <f>+ENERO!U247</f>
        <v>0</v>
      </c>
      <c r="V247" s="15">
        <f>ENERO!V247+FEBRERO!AL247</f>
        <v>0</v>
      </c>
      <c r="W247" s="15">
        <f>ENERO!W247+FEBRERO!AM247</f>
        <v>193911300</v>
      </c>
      <c r="X247" s="18">
        <f t="shared" si="205"/>
        <v>193911300</v>
      </c>
      <c r="Y247" s="19">
        <f>ENERO!AA247</f>
        <v>124425000</v>
      </c>
      <c r="Z247" s="364">
        <v>0</v>
      </c>
      <c r="AA247" s="18">
        <f t="shared" si="206"/>
        <v>124425000</v>
      </c>
      <c r="AB247" s="19">
        <f>ENERO!AD247</f>
        <v>0</v>
      </c>
      <c r="AC247" s="364">
        <v>10147000</v>
      </c>
      <c r="AD247" s="18">
        <f t="shared" si="207"/>
        <v>10147000</v>
      </c>
      <c r="AE247" s="19">
        <f>ENERO!AG247</f>
        <v>0</v>
      </c>
      <c r="AF247" s="364">
        <v>0</v>
      </c>
      <c r="AG247" s="18">
        <f t="shared" si="208"/>
        <v>0</v>
      </c>
      <c r="AH247" s="19">
        <f t="shared" si="209"/>
        <v>69486300</v>
      </c>
      <c r="AI247" s="15">
        <f t="shared" si="210"/>
        <v>183764300</v>
      </c>
      <c r="AJ247" s="16">
        <f t="shared" si="211"/>
        <v>193911300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+IF(ENERO!S248=0,"",ENERO!S248)</f>
        <v>8002100-5</v>
      </c>
      <c r="T248" s="665" t="str">
        <f>+IF(ENERO!T248=0,"",ENERO!T248)</f>
        <v>Programas Especial 04</v>
      </c>
      <c r="U248" s="27">
        <f>+ENERO!U248</f>
        <v>500000000</v>
      </c>
      <c r="V248" s="15">
        <f>ENERO!V248+FEBRERO!AL248</f>
        <v>0</v>
      </c>
      <c r="W248" s="15">
        <f>ENERO!W248+FEBRERO!AM248</f>
        <v>2619976000</v>
      </c>
      <c r="X248" s="18">
        <f t="shared" si="205"/>
        <v>3119976000</v>
      </c>
      <c r="Y248" s="19">
        <f>ENERO!AA248</f>
        <v>602605430</v>
      </c>
      <c r="Z248" s="364">
        <v>825166245</v>
      </c>
      <c r="AA248" s="18">
        <f t="shared" si="206"/>
        <v>1427771675</v>
      </c>
      <c r="AB248" s="19">
        <f>ENERO!AD248</f>
        <v>294110430</v>
      </c>
      <c r="AC248" s="364">
        <v>906961245</v>
      </c>
      <c r="AD248" s="18">
        <f t="shared" si="207"/>
        <v>1201071675</v>
      </c>
      <c r="AE248" s="19">
        <f>ENERO!AG248</f>
        <v>123560780</v>
      </c>
      <c r="AF248" s="364">
        <v>369824999</v>
      </c>
      <c r="AG248" s="18">
        <f t="shared" si="208"/>
        <v>493385779</v>
      </c>
      <c r="AH248" s="19">
        <f t="shared" si="209"/>
        <v>1692204325</v>
      </c>
      <c r="AI248" s="15">
        <f t="shared" si="210"/>
        <v>1918904325</v>
      </c>
      <c r="AJ248" s="16">
        <f t="shared" si="211"/>
        <v>2626590221</v>
      </c>
      <c r="AK248" s="9"/>
      <c r="AL248" s="362">
        <v>0</v>
      </c>
      <c r="AM248" s="365">
        <v>720426000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+IF(ENERO!S249=0,"",ENERO!S249)</f>
        <v>8002100-6</v>
      </c>
      <c r="T249" s="665" t="str">
        <f>+IF(ENERO!T249=0,"",ENERO!T249)</f>
        <v>Programas Especial 05</v>
      </c>
      <c r="U249" s="27">
        <f>+ENERO!U249</f>
        <v>0</v>
      </c>
      <c r="V249" s="15">
        <f>ENERO!V249+FEBRERO!AL249</f>
        <v>0</v>
      </c>
      <c r="W249" s="15">
        <f>ENERO!W249+FEBRERO!AM249</f>
        <v>0</v>
      </c>
      <c r="X249" s="18">
        <f t="shared" si="205"/>
        <v>0</v>
      </c>
      <c r="Y249" s="19">
        <f>ENERO!AA249</f>
        <v>0</v>
      </c>
      <c r="Z249" s="364">
        <v>0</v>
      </c>
      <c r="AA249" s="18">
        <f t="shared" si="206"/>
        <v>0</v>
      </c>
      <c r="AB249" s="19">
        <f>ENERO!AD249</f>
        <v>0</v>
      </c>
      <c r="AC249" s="364">
        <v>0</v>
      </c>
      <c r="AD249" s="18">
        <f t="shared" si="207"/>
        <v>0</v>
      </c>
      <c r="AE249" s="19">
        <f>ENERO!AG249</f>
        <v>0</v>
      </c>
      <c r="AF249" s="364">
        <v>0</v>
      </c>
      <c r="AG249" s="18">
        <f t="shared" si="208"/>
        <v>0</v>
      </c>
      <c r="AH249" s="19">
        <f t="shared" si="209"/>
        <v>0</v>
      </c>
      <c r="AI249" s="15">
        <f t="shared" si="210"/>
        <v>0</v>
      </c>
      <c r="AJ249" s="16">
        <f t="shared" si="211"/>
        <v>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+IF(ENERO!S250=0,"",ENERO!S250)</f>
        <v>8002100-7</v>
      </c>
      <c r="T250" s="665" t="str">
        <f>+IF(ENERO!T250=0,"",ENERO!T250)</f>
        <v>Programas Especial 06</v>
      </c>
      <c r="U250" s="27">
        <f>+ENERO!U250</f>
        <v>0</v>
      </c>
      <c r="V250" s="15">
        <f>ENERO!V250+FEBRERO!AL250</f>
        <v>0</v>
      </c>
      <c r="W250" s="15">
        <f>ENERO!W250+FEBRERO!AM250</f>
        <v>0</v>
      </c>
      <c r="X250" s="18">
        <f>SUM(U250:W250)</f>
        <v>0</v>
      </c>
      <c r="Y250" s="19">
        <f>ENERO!AA250</f>
        <v>0</v>
      </c>
      <c r="Z250" s="364">
        <v>0</v>
      </c>
      <c r="AA250" s="18">
        <f>SUM(Y250:Z250)</f>
        <v>0</v>
      </c>
      <c r="AB250" s="19">
        <f>ENERO!AD250</f>
        <v>0</v>
      </c>
      <c r="AC250" s="364">
        <v>0</v>
      </c>
      <c r="AD250" s="18">
        <f>SUM(AB250:AC250)</f>
        <v>0</v>
      </c>
      <c r="AE250" s="19">
        <f>ENERO!AG250</f>
        <v>0</v>
      </c>
      <c r="AF250" s="364">
        <v>0</v>
      </c>
      <c r="AG250" s="18">
        <f>SUM(AE250:AF250)</f>
        <v>0</v>
      </c>
      <c r="AH250" s="19">
        <f>X250-AA250</f>
        <v>0</v>
      </c>
      <c r="AI250" s="15">
        <f>X250-AD250</f>
        <v>0</v>
      </c>
      <c r="AJ250" s="16">
        <f>X250-AG250</f>
        <v>0</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+IF(ENERO!S251=0,"",ENERO!S251)</f>
        <v>8002100-8</v>
      </c>
      <c r="T251" s="665" t="str">
        <f>+IF(ENERO!T251=0,"",ENERO!T251)</f>
        <v>Programas Especial 07</v>
      </c>
      <c r="U251" s="27">
        <f>+ENERO!U251</f>
        <v>0</v>
      </c>
      <c r="V251" s="15">
        <f>ENERO!V251+FEBRERO!AL251</f>
        <v>0</v>
      </c>
      <c r="W251" s="15">
        <f>ENERO!W251+FEBRERO!AM251</f>
        <v>0</v>
      </c>
      <c r="X251" s="18">
        <f>SUM(U251:W251)</f>
        <v>0</v>
      </c>
      <c r="Y251" s="19">
        <f>ENERO!AA251</f>
        <v>0</v>
      </c>
      <c r="Z251" s="364">
        <v>0</v>
      </c>
      <c r="AA251" s="18">
        <f>SUM(Y251:Z251)</f>
        <v>0</v>
      </c>
      <c r="AB251" s="19">
        <f>ENERO!AD251</f>
        <v>0</v>
      </c>
      <c r="AC251" s="364">
        <v>0</v>
      </c>
      <c r="AD251" s="18">
        <f>SUM(AB251:AC251)</f>
        <v>0</v>
      </c>
      <c r="AE251" s="19">
        <f>ENERO!AG251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+IF(ENERO!S252=0,"",ENERO!S252)</f>
        <v>8002100-9</v>
      </c>
      <c r="T252" s="665" t="str">
        <f>+IF(ENERO!T252=0,"",ENERO!T252)</f>
        <v>Programas Especial 08</v>
      </c>
      <c r="U252" s="27">
        <f>+ENERO!U252</f>
        <v>0</v>
      </c>
      <c r="V252" s="15">
        <f>ENERO!V252+FEBRERO!AL252</f>
        <v>0</v>
      </c>
      <c r="W252" s="15">
        <f>ENERO!W252+FEBRERO!AM252</f>
        <v>0</v>
      </c>
      <c r="X252" s="18">
        <f>SUM(U252:W252)</f>
        <v>0</v>
      </c>
      <c r="Y252" s="19">
        <f>ENERO!AA252</f>
        <v>0</v>
      </c>
      <c r="Z252" s="364">
        <v>0</v>
      </c>
      <c r="AA252" s="18">
        <f>SUM(Y252:Z252)</f>
        <v>0</v>
      </c>
      <c r="AB252" s="19">
        <f>ENERO!AD252</f>
        <v>0</v>
      </c>
      <c r="AC252" s="364">
        <v>0</v>
      </c>
      <c r="AD252" s="18">
        <f>SUM(AB252:AC252)</f>
        <v>0</v>
      </c>
      <c r="AE252" s="19">
        <f>ENERO!AG252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+IF(ENERO!S253=0,"",ENERO!S253)</f>
        <v>8002100-10</v>
      </c>
      <c r="T253" s="665" t="str">
        <f>+IF(ENERO!T253=0,"",ENERO!T253)</f>
        <v>Programas Especial 09</v>
      </c>
      <c r="U253" s="27">
        <f>+ENERO!U253</f>
        <v>0</v>
      </c>
      <c r="V253" s="15">
        <f>ENERO!V253+FEBRERO!AL253</f>
        <v>0</v>
      </c>
      <c r="W253" s="15">
        <f>ENERO!W253+FEBRERO!AM253</f>
        <v>0</v>
      </c>
      <c r="X253" s="18">
        <f>SUM(U253:W253)</f>
        <v>0</v>
      </c>
      <c r="Y253" s="19">
        <f>ENERO!AA253</f>
        <v>0</v>
      </c>
      <c r="Z253" s="364">
        <v>0</v>
      </c>
      <c r="AA253" s="18">
        <f>SUM(Y253:Z253)</f>
        <v>0</v>
      </c>
      <c r="AB253" s="19">
        <f>ENERO!AD253</f>
        <v>0</v>
      </c>
      <c r="AC253" s="364">
        <v>0</v>
      </c>
      <c r="AD253" s="18">
        <f>SUM(AB253:AC253)</f>
        <v>0</v>
      </c>
      <c r="AE253" s="19">
        <f>ENERO!AG253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+IF(ENERO!S254=0,"",ENERO!S254)</f>
        <v>8002100-11</v>
      </c>
      <c r="T254" s="665" t="str">
        <f>+IF(ENERO!T254=0,"",ENERO!T254)</f>
        <v>Programas Especial 10</v>
      </c>
      <c r="U254" s="27">
        <f>+ENERO!U254</f>
        <v>0</v>
      </c>
      <c r="V254" s="15">
        <f>ENERO!V254+FEBRERO!AL254</f>
        <v>0</v>
      </c>
      <c r="W254" s="15">
        <f>ENERO!W254+FEBRERO!AM254</f>
        <v>0</v>
      </c>
      <c r="X254" s="18">
        <f>SUM(U254:W254)</f>
        <v>0</v>
      </c>
      <c r="Y254" s="19">
        <f>ENERO!AA254</f>
        <v>0</v>
      </c>
      <c r="Z254" s="364">
        <v>0</v>
      </c>
      <c r="AA254" s="18">
        <f>SUM(Y254:Z254)</f>
        <v>0</v>
      </c>
      <c r="AB254" s="19">
        <f>ENERO!AD254</f>
        <v>0</v>
      </c>
      <c r="AC254" s="364">
        <v>0</v>
      </c>
      <c r="AD254" s="18">
        <f>SUM(AB254:AC254)</f>
        <v>0</v>
      </c>
      <c r="AE254" s="19">
        <f>ENERO!AG254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+IF(ENERO!S255=0,"",ENERO!S255)</f>
        <v>8002100-12</v>
      </c>
      <c r="T255" s="665" t="str">
        <f>+IF(ENERO!T255=0,"",ENERO!T255)</f>
        <v>Programas Especial 11</v>
      </c>
      <c r="U255" s="27">
        <f>+ENERO!U255</f>
        <v>0</v>
      </c>
      <c r="V255" s="15">
        <f>ENERO!V255+FEBRERO!AL255</f>
        <v>0</v>
      </c>
      <c r="W255" s="15">
        <f>ENERO!W255+FEBRERO!AM255</f>
        <v>0</v>
      </c>
      <c r="X255" s="18">
        <f t="shared" si="205"/>
        <v>0</v>
      </c>
      <c r="Y255" s="19">
        <f>ENERO!AA255</f>
        <v>0</v>
      </c>
      <c r="Z255" s="364">
        <v>0</v>
      </c>
      <c r="AA255" s="18">
        <f t="shared" si="206"/>
        <v>0</v>
      </c>
      <c r="AB255" s="19">
        <f>ENERO!AD255</f>
        <v>0</v>
      </c>
      <c r="AC255" s="364">
        <v>0</v>
      </c>
      <c r="AD255" s="18">
        <f t="shared" si="207"/>
        <v>0</v>
      </c>
      <c r="AE255" s="19">
        <f>ENERO!AG255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+IF(ENERO!S256=0,"",ENERO!S256)</f>
        <v>8002999</v>
      </c>
      <c r="T256" s="680" t="str">
        <f>+IF(ENERO!T256=0,"",ENERO!T256)</f>
        <v>Vigencias Anteriores</v>
      </c>
      <c r="U256" s="133">
        <f>+ENERO!U256</f>
        <v>0</v>
      </c>
      <c r="V256" s="121">
        <f>ENERO!V256+FEBRERO!AL256</f>
        <v>0</v>
      </c>
      <c r="W256" s="121">
        <f>ENERO!W256+FEBRERO!AM256</f>
        <v>475291402</v>
      </c>
      <c r="X256" s="126">
        <f t="shared" si="205"/>
        <v>475291402</v>
      </c>
      <c r="Y256" s="124">
        <f>ENERO!AA256</f>
        <v>45049162</v>
      </c>
      <c r="Z256" s="378">
        <v>91865641</v>
      </c>
      <c r="AA256" s="126">
        <f t="shared" si="206"/>
        <v>136914803</v>
      </c>
      <c r="AB256" s="124">
        <f>ENERO!AD256</f>
        <v>45049162</v>
      </c>
      <c r="AC256" s="378">
        <v>91865641</v>
      </c>
      <c r="AD256" s="126">
        <f t="shared" si="207"/>
        <v>136914803</v>
      </c>
      <c r="AE256" s="124">
        <f>ENERO!AG256</f>
        <v>45049162</v>
      </c>
      <c r="AF256" s="378">
        <v>91865641</v>
      </c>
      <c r="AG256" s="126">
        <f t="shared" si="208"/>
        <v>136914803</v>
      </c>
      <c r="AH256" s="124">
        <f t="shared" si="209"/>
        <v>338376599</v>
      </c>
      <c r="AI256" s="121">
        <f t="shared" si="210"/>
        <v>338376599</v>
      </c>
      <c r="AJ256" s="125">
        <f t="shared" si="211"/>
        <v>338376599</v>
      </c>
      <c r="AK256" s="9"/>
      <c r="AL256" s="374">
        <v>0</v>
      </c>
      <c r="AM256" s="379">
        <v>28474975</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+IF(ENERO!S257=0,"",ENERO!S257)</f>
        <v/>
      </c>
      <c r="T257" s="677" t="str">
        <f>+IF(ENERO!T257=0,"",ENERO!T257)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2">+(D10+D17+D113)-(V10+V193+V220+V232)</f>
        <v>0</v>
      </c>
      <c r="W258" s="330">
        <f t="shared" si="212"/>
        <v>0</v>
      </c>
      <c r="X258" s="330">
        <f t="shared" si="212"/>
        <v>0</v>
      </c>
      <c r="Y258" s="330">
        <f t="shared" si="212"/>
        <v>-20503399250</v>
      </c>
      <c r="Z258" s="330">
        <f t="shared" si="212"/>
        <v>3720342821</v>
      </c>
      <c r="AA258" s="330">
        <f t="shared" si="212"/>
        <v>-16783056429</v>
      </c>
      <c r="AB258" s="330">
        <f t="shared" si="212"/>
        <v>6515191494</v>
      </c>
      <c r="AC258" s="330">
        <f t="shared" si="212"/>
        <v>-3756950330</v>
      </c>
      <c r="AD258" s="330">
        <f t="shared" si="212"/>
        <v>2758241164</v>
      </c>
      <c r="AE258" s="330">
        <f t="shared" si="212"/>
        <v>49840938060</v>
      </c>
      <c r="AF258" s="330">
        <f t="shared" si="212"/>
        <v>58596102999</v>
      </c>
      <c r="AG258" s="330">
        <f t="shared" si="212"/>
        <v>-7576486686</v>
      </c>
      <c r="AH258" s="330">
        <f t="shared" si="212"/>
        <v>-36227352245</v>
      </c>
      <c r="AI258" s="330">
        <f t="shared" si="212"/>
        <v>-61103141344</v>
      </c>
      <c r="AJ258" s="768">
        <f t="shared" si="212"/>
        <v>-73700864114</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562</v>
      </c>
      <c r="T260" s="786"/>
      <c r="U260" s="761">
        <f>+U8-U262</f>
        <v>62391028787</v>
      </c>
      <c r="V260" s="761">
        <f t="shared" ref="V260:AJ260" si="213">+V8-V262</f>
        <v>-10000000</v>
      </c>
      <c r="W260" s="761">
        <f t="shared" si="213"/>
        <v>4413481234</v>
      </c>
      <c r="X260" s="761">
        <f t="shared" si="213"/>
        <v>66794510021</v>
      </c>
      <c r="Y260" s="761">
        <f t="shared" si="213"/>
        <v>36573513528</v>
      </c>
      <c r="Z260" s="761">
        <f t="shared" si="213"/>
        <v>3949651305</v>
      </c>
      <c r="AA260" s="761">
        <f t="shared" si="213"/>
        <v>40523164833</v>
      </c>
      <c r="AB260" s="761">
        <f t="shared" si="213"/>
        <v>5139031726</v>
      </c>
      <c r="AC260" s="761">
        <f t="shared" si="213"/>
        <v>5850125117</v>
      </c>
      <c r="AD260" s="761">
        <f t="shared" si="213"/>
        <v>10989156843</v>
      </c>
      <c r="AE260" s="761">
        <f t="shared" si="213"/>
        <v>764183963</v>
      </c>
      <c r="AF260" s="761">
        <f t="shared" si="213"/>
        <v>2285469001</v>
      </c>
      <c r="AG260" s="761">
        <f t="shared" si="213"/>
        <v>3049652964</v>
      </c>
      <c r="AH260" s="761">
        <f t="shared" si="213"/>
        <v>26271345188</v>
      </c>
      <c r="AI260" s="761">
        <f t="shared" si="213"/>
        <v>55805353178</v>
      </c>
      <c r="AJ260" s="762">
        <f t="shared" si="213"/>
        <v>63744857057</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c r="S262" s="787" t="s">
        <v>563</v>
      </c>
      <c r="T262" s="788"/>
      <c r="U262" s="765">
        <f>+SUMIF($T$8:$T$256,$T$33,U8:U256)</f>
        <v>4029331818</v>
      </c>
      <c r="V262" s="765">
        <f t="shared" ref="V262:AJ262" si="214">+SUMIF($T$8:$T$256,$T$33,V8:V256)</f>
        <v>10000000</v>
      </c>
      <c r="W262" s="765">
        <f t="shared" si="214"/>
        <v>10443508961</v>
      </c>
      <c r="X262" s="765">
        <f t="shared" si="214"/>
        <v>14482840779</v>
      </c>
      <c r="Y262" s="765">
        <f t="shared" si="214"/>
        <v>2429646651</v>
      </c>
      <c r="Z262" s="765">
        <f t="shared" si="214"/>
        <v>2097187071</v>
      </c>
      <c r="AA262" s="765">
        <f t="shared" si="214"/>
        <v>4526833722</v>
      </c>
      <c r="AB262" s="765">
        <f t="shared" si="214"/>
        <v>2429646651</v>
      </c>
      <c r="AC262" s="765">
        <f t="shared" si="214"/>
        <v>2097187071</v>
      </c>
      <c r="AD262" s="765">
        <f t="shared" si="214"/>
        <v>4526833722</v>
      </c>
      <c r="AE262" s="765">
        <f t="shared" si="214"/>
        <v>2405286651</v>
      </c>
      <c r="AF262" s="765">
        <f t="shared" si="214"/>
        <v>2121547071</v>
      </c>
      <c r="AG262" s="765">
        <f t="shared" si="214"/>
        <v>4526833722</v>
      </c>
      <c r="AH262" s="765">
        <f t="shared" si="214"/>
        <v>9956007057</v>
      </c>
      <c r="AI262" s="765">
        <f t="shared" si="214"/>
        <v>9956007057</v>
      </c>
      <c r="AJ262" s="789">
        <f t="shared" si="214"/>
        <v>9956007057</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14856990195</v>
      </c>
      <c r="X264" s="783">
        <f t="shared" si="215"/>
        <v>81277350800</v>
      </c>
      <c r="Y264" s="783">
        <f t="shared" si="215"/>
        <v>39003160179</v>
      </c>
      <c r="Z264" s="783">
        <f t="shared" si="215"/>
        <v>6046838376</v>
      </c>
      <c r="AA264" s="783">
        <f t="shared" si="215"/>
        <v>45049998555</v>
      </c>
      <c r="AB264" s="783">
        <f t="shared" si="215"/>
        <v>7568678377</v>
      </c>
      <c r="AC264" s="783">
        <f t="shared" si="215"/>
        <v>7947312188</v>
      </c>
      <c r="AD264" s="783">
        <f t="shared" si="215"/>
        <v>15515990565</v>
      </c>
      <c r="AE264" s="783">
        <f t="shared" si="215"/>
        <v>3169470614</v>
      </c>
      <c r="AF264" s="783">
        <f t="shared" si="215"/>
        <v>4407016072</v>
      </c>
      <c r="AG264" s="783">
        <f t="shared" si="215"/>
        <v>7576486686</v>
      </c>
      <c r="AH264" s="783">
        <f t="shared" si="215"/>
        <v>36227352245</v>
      </c>
      <c r="AI264" s="783">
        <f t="shared" si="215"/>
        <v>65761360235</v>
      </c>
      <c r="AJ264" s="784">
        <f t="shared" si="215"/>
        <v>73700864114</v>
      </c>
    </row>
  </sheetData>
  <sheetProtection password="E676" sheet="1" objects="1" scenarios="1" formatCells="0" formatColumns="0"/>
  <mergeCells count="46">
    <mergeCell ref="S259:T259"/>
    <mergeCell ref="M5:N5"/>
    <mergeCell ref="P2:Q2"/>
    <mergeCell ref="N3:N4"/>
    <mergeCell ref="L2:M2"/>
    <mergeCell ref="L3:M4"/>
    <mergeCell ref="T3:T4"/>
    <mergeCell ref="S5:S6"/>
    <mergeCell ref="T5:T6"/>
    <mergeCell ref="J5:L5"/>
    <mergeCell ref="P3:P5"/>
    <mergeCell ref="F3:K4"/>
    <mergeCell ref="BM5:BM6"/>
    <mergeCell ref="D2:E2"/>
    <mergeCell ref="AL2:AM2"/>
    <mergeCell ref="BB2:BC2"/>
    <mergeCell ref="Y3:AG4"/>
    <mergeCell ref="Y2:AG2"/>
    <mergeCell ref="BM2:BO2"/>
    <mergeCell ref="BM3:BO3"/>
    <mergeCell ref="AL3:AL5"/>
    <mergeCell ref="D3:E4"/>
    <mergeCell ref="V3:X4"/>
    <mergeCell ref="Q3:Q5"/>
    <mergeCell ref="BH5:BK5"/>
    <mergeCell ref="AM3:AM5"/>
    <mergeCell ref="BB3:BC3"/>
    <mergeCell ref="BG3:BI3"/>
    <mergeCell ref="BG5:BG6"/>
    <mergeCell ref="BG2:BI2"/>
    <mergeCell ref="AB5:AD5"/>
    <mergeCell ref="AE5:AG5"/>
    <mergeCell ref="AH5:AJ5"/>
    <mergeCell ref="AH2:AI2"/>
    <mergeCell ref="AJ3:AJ4"/>
    <mergeCell ref="AH3:AI4"/>
    <mergeCell ref="AW19:AZ19"/>
    <mergeCell ref="AW4:AZ4"/>
    <mergeCell ref="C1:J1"/>
    <mergeCell ref="K1:N1"/>
    <mergeCell ref="V2:X2"/>
    <mergeCell ref="A5:A6"/>
    <mergeCell ref="B5:B6"/>
    <mergeCell ref="C5:F5"/>
    <mergeCell ref="G5:I5"/>
    <mergeCell ref="B3:B4"/>
  </mergeCells>
  <phoneticPr fontId="1" type="noConversion"/>
  <conditionalFormatting sqref="B5:B7">
    <cfRule type="expression" dxfId="10" priority="1" stopIfTrue="1">
      <formula>$B$5="OJO - RECUERDE RECAUDAR LA DISPONIBLIDAD INICIAL EN ESTE TRIMESTRE, haga clik en H9 para ampliar la información"</formula>
    </cfRule>
  </conditionalFormatting>
  <dataValidations count="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sheetPr>
  <dimension ref="A1:BS264"/>
  <sheetViews>
    <sheetView showGridLines="0" topLeftCell="A55" zoomScaleNormal="100" workbookViewId="0">
      <selection activeCell="H91" sqref="H91"/>
    </sheetView>
  </sheetViews>
  <sheetFormatPr baseColWidth="10" defaultColWidth="0" defaultRowHeight="24.95" customHeight="1"/>
  <cols>
    <col min="1" max="1" width="15.28515625" style="735" customWidth="1"/>
    <col min="2" max="2" width="50.5703125" style="645" customWidth="1"/>
    <col min="3" max="3" width="19.28515625" style="262" customWidth="1"/>
    <col min="4" max="4" width="16.140625" style="262" customWidth="1"/>
    <col min="5" max="6" width="14.42578125" style="262" customWidth="1"/>
    <col min="7" max="7" width="16.7109375" style="262" customWidth="1"/>
    <col min="8"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42578125" style="681" customWidth="1"/>
    <col min="20" max="20" width="51.140625" style="657" customWidth="1"/>
    <col min="21" max="26" width="14.7109375" style="262" customWidth="1"/>
    <col min="27" max="27" width="16.42578125" style="262" bestFit="1" customWidth="1"/>
    <col min="28" max="29" width="14.7109375" style="262" customWidth="1"/>
    <col min="30" max="30" width="15.85546875" style="262" bestFit="1" customWidth="1"/>
    <col min="31" max="32" width="14.7109375" style="262" customWidth="1"/>
    <col min="33" max="33" width="16.7109375" style="262" bestFit="1"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1.7109375" style="262" customWidth="1"/>
    <col min="59" max="59" width="72.7109375" style="262" customWidth="1"/>
    <col min="60" max="63" width="17.5703125" style="262" customWidth="1"/>
    <col min="64" max="64" width="35.42578125" style="262" customWidth="1"/>
    <col min="65" max="65" width="76" style="262" customWidth="1"/>
    <col min="66" max="66" width="17.28515625" style="262" customWidth="1"/>
    <col min="67" max="67" width="17" style="262" customWidth="1"/>
    <col min="68" max="68" width="18.28515625" style="262" customWidth="1"/>
    <col min="69" max="69" width="17.7109375"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3</v>
      </c>
      <c r="AP2" s="270" t="s">
        <v>7</v>
      </c>
      <c r="AQ2" s="271"/>
      <c r="AR2" s="3"/>
      <c r="AS2" s="3"/>
      <c r="AT2" s="3"/>
      <c r="AU2" s="3"/>
      <c r="AV2" s="3"/>
      <c r="AW2" s="3"/>
      <c r="AX2" s="3"/>
      <c r="AY2" s="3"/>
      <c r="AZ2" s="4"/>
      <c r="BB2" s="941" t="s">
        <v>588</v>
      </c>
      <c r="BC2" s="958"/>
      <c r="BD2" s="51" t="s">
        <v>380</v>
      </c>
      <c r="BE2" s="268" t="str">
        <f>+L3</f>
        <v>MARZO</v>
      </c>
      <c r="BF2" s="263"/>
      <c r="BG2" s="941" t="s">
        <v>589</v>
      </c>
      <c r="BH2" s="958"/>
      <c r="BI2" s="958"/>
      <c r="BJ2" s="51" t="s">
        <v>380</v>
      </c>
      <c r="BK2" s="268" t="str">
        <f>+BE2</f>
        <v>MARZO</v>
      </c>
      <c r="BM2" s="941" t="s">
        <v>589</v>
      </c>
      <c r="BN2" s="958"/>
      <c r="BO2" s="958"/>
      <c r="BP2" s="51" t="s">
        <v>380</v>
      </c>
      <c r="BQ2" s="268" t="str">
        <f>+BK2</f>
        <v>MARZO</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357</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MARZO</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5" customHeight="1" thickTop="1" thickBot="1">
      <c r="A5" s="993" t="s">
        <v>17</v>
      </c>
      <c r="B5" s="995" t="str">
        <f>IF(SUM(C8:N125)=0,"DESCRIPCIÓN",IF(I10&gt;0,"DESCRIPCIÓN",IF(MARZO!I10=0,"OJO - RECUERDE RECAUDAR LA DISPONIBLIDAD INICIAL EN ESTE TRIMESTRE, haga clik en H9 para ampliar la información","")))</f>
        <v>DESCRIPCIÓN</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1002" t="s">
        <v>358</v>
      </c>
      <c r="BG5" s="502" t="s">
        <v>32</v>
      </c>
      <c r="BH5" s="966" t="str">
        <f>+CONCATENATE("ACUMULADO ",N3)</f>
        <v>ACUMULADO 2019</v>
      </c>
      <c r="BI5" s="967"/>
      <c r="BJ5" s="967"/>
      <c r="BK5" s="999"/>
      <c r="BL5" s="1000" t="s">
        <v>359</v>
      </c>
      <c r="BM5" s="964" t="s">
        <v>32</v>
      </c>
      <c r="BN5" s="298" t="str">
        <f>+CONCATENATE("ACUMULADO ",BQ3)</f>
        <v>ACUMULADO 2019</v>
      </c>
      <c r="BO5" s="299"/>
      <c r="BP5" s="300"/>
      <c r="BQ5" s="503"/>
    </row>
    <row r="6" spans="1:69" ht="24.9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MARZO</v>
      </c>
      <c r="AS6" s="306" t="str">
        <f>AR6</f>
        <v>MARZO</v>
      </c>
      <c r="AT6" s="306" t="str">
        <f>AR6</f>
        <v>MARZO</v>
      </c>
      <c r="AU6" s="306" t="s">
        <v>14</v>
      </c>
      <c r="AV6" s="306" t="s">
        <v>29</v>
      </c>
      <c r="AW6" s="306"/>
      <c r="AX6" s="306"/>
      <c r="AY6" s="306" t="s">
        <v>14</v>
      </c>
      <c r="AZ6" s="307" t="s">
        <v>29</v>
      </c>
      <c r="BB6" s="308"/>
      <c r="BC6" s="309" t="s">
        <v>45</v>
      </c>
      <c r="BD6" s="310" t="s">
        <v>46</v>
      </c>
      <c r="BE6" s="311" t="s">
        <v>47</v>
      </c>
      <c r="BF6" s="1003"/>
      <c r="BG6" s="504"/>
      <c r="BH6" s="505" t="s">
        <v>45</v>
      </c>
      <c r="BI6" s="505" t="s">
        <v>48</v>
      </c>
      <c r="BJ6" s="505" t="s">
        <v>49</v>
      </c>
      <c r="BK6" s="506" t="s">
        <v>50</v>
      </c>
      <c r="BL6" s="1001"/>
      <c r="BM6" s="965"/>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3507485761</v>
      </c>
      <c r="AR7" s="317">
        <f>I22</f>
        <v>1405845804</v>
      </c>
      <c r="AS7" s="317">
        <f>L22</f>
        <v>444710061</v>
      </c>
      <c r="AT7" s="13"/>
      <c r="AU7" s="318">
        <f>IF(AQ7=0," ",AR7/AQ7)</f>
        <v>0.40081297538872601</v>
      </c>
      <c r="AV7" s="318">
        <f>IF(AQ7=0," ",AS7/AQ7)</f>
        <v>0.12678884286424336</v>
      </c>
      <c r="AW7" s="317">
        <f>I23/AO$2*12+I24</f>
        <v>4292167467</v>
      </c>
      <c r="AX7" s="317">
        <f>L23/AO$2*12+L24</f>
        <v>447624495</v>
      </c>
      <c r="AY7" s="317">
        <f t="shared" ref="AY7:AY16" si="0">AW7-AQ7</f>
        <v>784681706</v>
      </c>
      <c r="AZ7" s="319">
        <f>AX7-AQ7</f>
        <v>-3059861266</v>
      </c>
      <c r="BB7" s="320" t="s">
        <v>53</v>
      </c>
      <c r="BC7" s="54">
        <f>F10</f>
        <v>10176865038</v>
      </c>
      <c r="BD7" s="55">
        <f>I10</f>
        <v>10176865038</v>
      </c>
      <c r="BE7" s="56">
        <f>K10</f>
        <v>293182074</v>
      </c>
      <c r="BF7" s="53">
        <f>+ENERO!BE7+FEBRERO!BE7+MARZO!BE7</f>
        <v>10176865038</v>
      </c>
      <c r="BG7" s="91" t="s">
        <v>54</v>
      </c>
      <c r="BH7" s="116">
        <f>+SUM(BH8:BH11)</f>
        <v>47418642562</v>
      </c>
      <c r="BI7" s="116">
        <f>+SUM(BI8:BI11)</f>
        <v>28760720684</v>
      </c>
      <c r="BJ7" s="116">
        <f>+SUM(BJ8:BJ11)</f>
        <v>8958488030</v>
      </c>
      <c r="BK7" s="116">
        <f>+SUM(BK8:BK11)</f>
        <v>1366832750</v>
      </c>
      <c r="BL7" s="40">
        <f>+ENERO!BK7+FEBRERO!BK7+MARZO!BK7</f>
        <v>2849172963</v>
      </c>
      <c r="BM7" s="61" t="s">
        <v>54</v>
      </c>
      <c r="BN7" s="62">
        <f>BN8+BN15+BN22</f>
        <v>47418642562</v>
      </c>
      <c r="BO7" s="63">
        <f>BO8+BO15+BO22</f>
        <v>28760720684</v>
      </c>
      <c r="BP7" s="63">
        <f>BP8+BP15+BP22</f>
        <v>8958488030</v>
      </c>
      <c r="BQ7" s="64">
        <f>BQ8+BQ15+BQ22</f>
        <v>1366832750</v>
      </c>
    </row>
    <row r="8" spans="1:69" s="9" customFormat="1" ht="24.95" customHeight="1" thickBot="1">
      <c r="A8" s="711">
        <f>+IF(FEBRERO!A8=0,"",FEBRERO!A8)</f>
        <v>1</v>
      </c>
      <c r="B8" s="618" t="str">
        <f>+IF(FEBRERO!B8=0,"",FEBRERO!B8)</f>
        <v>INGRESOS</v>
      </c>
      <c r="C8" s="321">
        <f>C10+C17+C113</f>
        <v>66420360605</v>
      </c>
      <c r="D8" s="321">
        <f t="shared" ref="D8:N8" si="1">D10+D17+D113</f>
        <v>0</v>
      </c>
      <c r="E8" s="321">
        <f t="shared" si="1"/>
        <v>28438712545</v>
      </c>
      <c r="F8" s="321">
        <f t="shared" si="1"/>
        <v>94859073150</v>
      </c>
      <c r="G8" s="321">
        <f t="shared" si="1"/>
        <v>28266942126</v>
      </c>
      <c r="H8" s="321">
        <f t="shared" si="1"/>
        <v>11982707443</v>
      </c>
      <c r="I8" s="321">
        <f t="shared" si="1"/>
        <v>40249649569</v>
      </c>
      <c r="J8" s="321">
        <f t="shared" si="1"/>
        <v>18274231729</v>
      </c>
      <c r="K8" s="321">
        <f t="shared" si="1"/>
        <v>6600703877</v>
      </c>
      <c r="L8" s="321">
        <f t="shared" si="1"/>
        <v>24874935606</v>
      </c>
      <c r="M8" s="321">
        <f t="shared" si="1"/>
        <v>54609423581</v>
      </c>
      <c r="N8" s="321">
        <f t="shared" si="1"/>
        <v>69984137544</v>
      </c>
      <c r="O8" s="323"/>
      <c r="P8" s="324">
        <f>P10+P17+P113</f>
        <v>0</v>
      </c>
      <c r="Q8" s="322">
        <f>Q10+Q17+Q113</f>
        <v>13581722350</v>
      </c>
      <c r="S8" s="684" t="str">
        <f>+IF(FEBRERO!S8=0,"",FEBRERO!S8)</f>
        <v/>
      </c>
      <c r="T8" s="658" t="str">
        <f>+IF(FEBRERO!T8=0,"",FEBRERO!T8)</f>
        <v>GASTOS</v>
      </c>
      <c r="U8" s="325">
        <f>U10+U193+U220+U232</f>
        <v>66420360605</v>
      </c>
      <c r="V8" s="326">
        <f t="shared" ref="V8:AJ8" si="2">V10+V193+V220+V232</f>
        <v>0</v>
      </c>
      <c r="W8" s="326">
        <f t="shared" si="2"/>
        <v>28438712545</v>
      </c>
      <c r="X8" s="327">
        <f t="shared" si="2"/>
        <v>94859073150</v>
      </c>
      <c r="Y8" s="328">
        <f t="shared" si="2"/>
        <v>45049998555</v>
      </c>
      <c r="Z8" s="326">
        <f t="shared" si="2"/>
        <v>9735546755</v>
      </c>
      <c r="AA8" s="327">
        <f t="shared" si="2"/>
        <v>54785545310</v>
      </c>
      <c r="AB8" s="328">
        <f t="shared" si="2"/>
        <v>15515990565</v>
      </c>
      <c r="AC8" s="326">
        <f t="shared" si="2"/>
        <v>9831273376</v>
      </c>
      <c r="AD8" s="327">
        <f t="shared" si="2"/>
        <v>25347263941</v>
      </c>
      <c r="AE8" s="328">
        <f t="shared" si="2"/>
        <v>7576486686</v>
      </c>
      <c r="AF8" s="326">
        <f t="shared" si="2"/>
        <v>6618065696</v>
      </c>
      <c r="AG8" s="327">
        <f t="shared" si="2"/>
        <v>14194552382</v>
      </c>
      <c r="AH8" s="328">
        <f t="shared" si="2"/>
        <v>40073527840</v>
      </c>
      <c r="AI8" s="326">
        <f t="shared" si="2"/>
        <v>69511809209</v>
      </c>
      <c r="AJ8" s="329">
        <f t="shared" si="2"/>
        <v>80664520768</v>
      </c>
      <c r="AL8" s="330">
        <f>AL10+AL193+AL220+AL232</f>
        <v>0</v>
      </c>
      <c r="AM8" s="331">
        <f>AM10+AM193+AM220+AM232</f>
        <v>13581722350</v>
      </c>
      <c r="AO8" s="21"/>
      <c r="AP8" s="11" t="s">
        <v>56</v>
      </c>
      <c r="AQ8" s="12">
        <f>F25</f>
        <v>39358555582</v>
      </c>
      <c r="AR8" s="12">
        <f>I25</f>
        <v>17231294813</v>
      </c>
      <c r="AS8" s="12">
        <f>L25</f>
        <v>7721537535</v>
      </c>
      <c r="AT8" s="13"/>
      <c r="AU8" s="332">
        <f>IF(AQ8=0," ",AR8/AQ8)</f>
        <v>0.43780302803796117</v>
      </c>
      <c r="AV8" s="332">
        <f>IF(AQ8=0," ",AS8/AQ8)</f>
        <v>0.1961844742730173</v>
      </c>
      <c r="AW8" s="12">
        <f>I26/AO$2*12+I27</f>
        <v>46151264906</v>
      </c>
      <c r="AX8" s="12">
        <f>L26/AO$2*12+L27</f>
        <v>8112235794</v>
      </c>
      <c r="AY8" s="12">
        <f t="shared" si="0"/>
        <v>6792709324</v>
      </c>
      <c r="AZ8" s="333">
        <f>AX8-AQ8</f>
        <v>-31246319788</v>
      </c>
      <c r="BB8" s="140" t="s">
        <v>57</v>
      </c>
      <c r="BC8" s="65">
        <f>BC9+BC19</f>
        <v>73575883736</v>
      </c>
      <c r="BD8" s="66">
        <f>BD9+BD19</f>
        <v>18494944434</v>
      </c>
      <c r="BE8" s="67">
        <f>BE9+BE19</f>
        <v>1967362211</v>
      </c>
      <c r="BF8" s="53">
        <f>+ENERO!BE8+FEBRERO!BE8+MARZO!BE8</f>
        <v>3120230471</v>
      </c>
      <c r="BG8" s="68" t="s">
        <v>58</v>
      </c>
      <c r="BH8" s="69">
        <f>BN9+BN13</f>
        <v>11066915508</v>
      </c>
      <c r="BI8" s="69">
        <f>BO9+BO13</f>
        <v>1102570498</v>
      </c>
      <c r="BJ8" s="69">
        <f>BP9+BP13</f>
        <v>1102550498</v>
      </c>
      <c r="BK8" s="69">
        <f>BQ9+BQ13</f>
        <v>387132327</v>
      </c>
      <c r="BL8" s="40">
        <f>+ENERO!BK8+FEBRERO!BK8+MARZO!BK8</f>
        <v>1077263828</v>
      </c>
      <c r="BM8" s="71" t="s">
        <v>59</v>
      </c>
      <c r="BN8" s="72">
        <f>BN9+BN14+BN13</f>
        <v>34464468891</v>
      </c>
      <c r="BO8" s="69">
        <f>BO9+BO14+BO13</f>
        <v>21988332859</v>
      </c>
      <c r="BP8" s="69">
        <f>BP9+BP14+BP13</f>
        <v>6416351333</v>
      </c>
      <c r="BQ8" s="70">
        <f>BQ9+BQ14+BQ13</f>
        <v>733830162</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10927330205</v>
      </c>
      <c r="AR9" s="12">
        <f>I28+I75</f>
        <v>4572421939</v>
      </c>
      <c r="AS9" s="12">
        <f>L28+L75</f>
        <v>2308040865</v>
      </c>
      <c r="AT9" s="13"/>
      <c r="AU9" s="340">
        <f>IF(AQ9=0," ",AR9/AQ9)</f>
        <v>0.41843907461566454</v>
      </c>
      <c r="AV9" s="340">
        <f>IF(AQ9=0," ",AS9/AQ9)</f>
        <v>0.21121727098023574</v>
      </c>
      <c r="AW9" s="341">
        <f>(I30+I33+I36+I76)/AO$2*12+I31+I34+I37+I38+I39+I40+I77</f>
        <v>12756477292</v>
      </c>
      <c r="AX9" s="341">
        <f>(L30+L33+L36+L76)/AO$2*12+L31+L34+L37+L38+L39+L40+L77</f>
        <v>3698952996</v>
      </c>
      <c r="AY9" s="341">
        <f t="shared" si="0"/>
        <v>1829147087</v>
      </c>
      <c r="AZ9" s="342">
        <f>AX9-AQ9</f>
        <v>-7228377209</v>
      </c>
      <c r="BB9" s="343" t="s">
        <v>412</v>
      </c>
      <c r="BC9" s="73">
        <f>BC10+BC18</f>
        <v>73477711613</v>
      </c>
      <c r="BD9" s="74">
        <f>BD10+BD18</f>
        <v>18463103889</v>
      </c>
      <c r="BE9" s="75">
        <f>BE10+BE18</f>
        <v>1965251099</v>
      </c>
      <c r="BF9" s="53">
        <f>+ENERO!BE9+FEBRERO!BE9+MARZO!BE9</f>
        <v>3110233979</v>
      </c>
      <c r="BG9" s="77" t="s">
        <v>62</v>
      </c>
      <c r="BH9" s="78">
        <f t="shared" ref="BH9:BK10" si="3">BN14</f>
        <v>23397553383</v>
      </c>
      <c r="BI9" s="78">
        <f t="shared" si="3"/>
        <v>20885762361</v>
      </c>
      <c r="BJ9" s="78">
        <f t="shared" si="3"/>
        <v>5313800835</v>
      </c>
      <c r="BK9" s="78">
        <f t="shared" si="3"/>
        <v>346697835</v>
      </c>
      <c r="BL9" s="40">
        <f>+ENERO!BK9+FEBRERO!BK9+MARZO!BK9</f>
        <v>555047820</v>
      </c>
      <c r="BM9" s="137" t="s">
        <v>63</v>
      </c>
      <c r="BN9" s="80">
        <f>SUM(BN10:BN12)</f>
        <v>7152685503</v>
      </c>
      <c r="BO9" s="78">
        <f>SUM(BO10:BO12)</f>
        <v>884354973</v>
      </c>
      <c r="BP9" s="78">
        <f>SUM(BP10:BP12)</f>
        <v>884334973</v>
      </c>
      <c r="BQ9" s="79">
        <f>SUM(BQ10:BQ12)</f>
        <v>290756267</v>
      </c>
    </row>
    <row r="10" spans="1:69" s="9" customFormat="1" ht="24.95" customHeight="1">
      <c r="A10" s="712">
        <f>+IF(FEBRERO!A10=0,"",FEBRERO!A10)</f>
        <v>10</v>
      </c>
      <c r="B10" s="620" t="str">
        <f>+IF(FEBRERO!B10=0,"",FEBRERO!B10)</f>
        <v>DISPONIBILIDAD INICIAL</v>
      </c>
      <c r="C10" s="174">
        <f t="shared" ref="C10:N10" si="4">SUM(C12:C15)</f>
        <v>4845434734</v>
      </c>
      <c r="D10" s="344">
        <f t="shared" si="4"/>
        <v>0</v>
      </c>
      <c r="E10" s="344">
        <f t="shared" si="4"/>
        <v>5331430304</v>
      </c>
      <c r="F10" s="175">
        <f t="shared" si="4"/>
        <v>10176865038</v>
      </c>
      <c r="G10" s="345">
        <f t="shared" si="4"/>
        <v>9883682964</v>
      </c>
      <c r="H10" s="344">
        <f t="shared" si="4"/>
        <v>293182074</v>
      </c>
      <c r="I10" s="346">
        <f t="shared" si="4"/>
        <v>10176865038</v>
      </c>
      <c r="J10" s="174">
        <f t="shared" si="4"/>
        <v>9883682964</v>
      </c>
      <c r="K10" s="344">
        <f t="shared" si="4"/>
        <v>293182074</v>
      </c>
      <c r="L10" s="175">
        <f t="shared" si="4"/>
        <v>10176865038</v>
      </c>
      <c r="M10" s="174">
        <f t="shared" si="4"/>
        <v>0</v>
      </c>
      <c r="N10" s="175">
        <f t="shared" si="4"/>
        <v>0</v>
      </c>
      <c r="O10" s="13"/>
      <c r="P10" s="174">
        <f>SUM(P12:P15)</f>
        <v>0</v>
      </c>
      <c r="Q10" s="175">
        <f>SUM(Q12:Q15)</f>
        <v>13182074</v>
      </c>
      <c r="S10" s="347" t="str">
        <f>+IF(FEBRERO!S10=0,"",FEBRERO!S10)</f>
        <v>A</v>
      </c>
      <c r="T10" s="700" t="str">
        <f>+IF(FEBRERO!T10=0,"",FEBRERO!T10)</f>
        <v>GASTOS DE FUNCIONAMIENTO</v>
      </c>
      <c r="U10" s="351">
        <f>U12+U110+U170</f>
        <v>50109343517</v>
      </c>
      <c r="V10" s="349">
        <f t="shared" ref="V10:AJ10" si="5">V12+V110+V170</f>
        <v>-300000000</v>
      </c>
      <c r="W10" s="349">
        <f t="shared" si="5"/>
        <v>3823182074</v>
      </c>
      <c r="X10" s="352">
        <f t="shared" si="5"/>
        <v>53632525591</v>
      </c>
      <c r="Y10" s="351">
        <f t="shared" si="5"/>
        <v>29893405299</v>
      </c>
      <c r="Z10" s="349">
        <f t="shared" si="5"/>
        <v>3835132811</v>
      </c>
      <c r="AA10" s="350">
        <f t="shared" si="5"/>
        <v>33728538110</v>
      </c>
      <c r="AB10" s="351">
        <f t="shared" si="5"/>
        <v>8695245347</v>
      </c>
      <c r="AC10" s="349">
        <f t="shared" si="5"/>
        <v>5231060109</v>
      </c>
      <c r="AD10" s="350">
        <f t="shared" si="5"/>
        <v>13926305456</v>
      </c>
      <c r="AE10" s="351">
        <f t="shared" si="5"/>
        <v>4322966563</v>
      </c>
      <c r="AF10" s="349">
        <f t="shared" si="5"/>
        <v>3494023826</v>
      </c>
      <c r="AG10" s="350">
        <f t="shared" si="5"/>
        <v>7816990389</v>
      </c>
      <c r="AH10" s="351">
        <f t="shared" si="5"/>
        <v>19903987481</v>
      </c>
      <c r="AI10" s="349">
        <f t="shared" si="5"/>
        <v>39706220135</v>
      </c>
      <c r="AJ10" s="350">
        <f t="shared" si="5"/>
        <v>45815535202</v>
      </c>
      <c r="AL10" s="353">
        <f>AL12+AL110+AL170</f>
        <v>-300000000</v>
      </c>
      <c r="AM10" s="354">
        <f>AM12+AM110+AM170</f>
        <v>1013182074</v>
      </c>
      <c r="AO10" s="339"/>
      <c r="AP10" s="11" t="s">
        <v>65</v>
      </c>
      <c r="AQ10" s="12">
        <f>F42</f>
        <v>0</v>
      </c>
      <c r="AR10" s="12">
        <f>I42</f>
        <v>0</v>
      </c>
      <c r="AS10" s="12">
        <f>L42</f>
        <v>0</v>
      </c>
      <c r="AT10" s="13"/>
      <c r="AU10" s="340" t="str">
        <f>IF(AQ10=0," ",AR10/AQ10)</f>
        <v xml:space="preserve"> </v>
      </c>
      <c r="AV10" s="340" t="str">
        <f>IF(AQ10=0," ",AS10/AQ10)</f>
        <v xml:space="preserve"> </v>
      </c>
      <c r="AW10" s="341">
        <f>I43/AO$2*12+I44</f>
        <v>0</v>
      </c>
      <c r="AX10" s="341">
        <f>L43/AO$2*12+L44</f>
        <v>0</v>
      </c>
      <c r="AY10" s="341">
        <f t="shared" si="0"/>
        <v>0</v>
      </c>
      <c r="AZ10" s="342">
        <f>AX10-AQ10</f>
        <v>0</v>
      </c>
      <c r="BB10" s="355" t="s">
        <v>413</v>
      </c>
      <c r="BC10" s="73">
        <f>BC11+BC12+BC13+BC14+BC16+BC17+BC15</f>
        <v>65494812540</v>
      </c>
      <c r="BD10" s="74">
        <f>BD11+BD12+BD13+BD14+BD16+BD17+BD15</f>
        <v>18463103889</v>
      </c>
      <c r="BE10" s="75">
        <f>BE11+BE12+BE13+BE14+BE16+BE17+BE15</f>
        <v>1965251099</v>
      </c>
      <c r="BF10" s="53">
        <f>+ENERO!BE10+FEBRERO!BE10+MARZO!BE10</f>
        <v>3110233979</v>
      </c>
      <c r="BG10" s="68" t="s">
        <v>66</v>
      </c>
      <c r="BH10" s="81">
        <f t="shared" si="3"/>
        <v>11693819527</v>
      </c>
      <c r="BI10" s="81">
        <f t="shared" si="3"/>
        <v>6477438574</v>
      </c>
      <c r="BJ10" s="81">
        <f t="shared" si="3"/>
        <v>2253266548</v>
      </c>
      <c r="BK10" s="81">
        <f t="shared" si="3"/>
        <v>517568468</v>
      </c>
      <c r="BL10" s="40">
        <f>+ENERO!BK10+FEBRERO!BK10+MARZO!BK10</f>
        <v>927991166</v>
      </c>
      <c r="BM10" s="134" t="s">
        <v>425</v>
      </c>
      <c r="BN10" s="83">
        <f>X17+X66</f>
        <v>5293004812</v>
      </c>
      <c r="BO10" s="81">
        <f>AA17+AA66</f>
        <v>809953121</v>
      </c>
      <c r="BP10" s="81">
        <f>AD17+AD66</f>
        <v>809933121</v>
      </c>
      <c r="BQ10" s="82">
        <f>AF17+AF66</f>
        <v>268744686</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357"/>
      <c r="V11" s="161"/>
      <c r="W11" s="161"/>
      <c r="X11" s="161"/>
      <c r="Y11" s="357"/>
      <c r="Z11" s="161"/>
      <c r="AA11" s="166"/>
      <c r="AB11" s="357"/>
      <c r="AC11" s="161"/>
      <c r="AD11" s="166"/>
      <c r="AE11" s="357"/>
      <c r="AF11" s="161"/>
      <c r="AG11" s="166"/>
      <c r="AH11" s="357"/>
      <c r="AI11" s="161"/>
      <c r="AJ11" s="166"/>
      <c r="AL11" s="358"/>
      <c r="AM11" s="359"/>
      <c r="AO11" s="360" t="s">
        <v>11</v>
      </c>
      <c r="AP11" s="517" t="s">
        <v>522</v>
      </c>
      <c r="AQ11" s="12">
        <f>F88</f>
        <v>222386275</v>
      </c>
      <c r="AR11" s="12">
        <f>I88</f>
        <v>67257235</v>
      </c>
      <c r="AS11" s="12">
        <f>L88</f>
        <v>67257235</v>
      </c>
      <c r="AT11" s="361">
        <f>AO2/12</f>
        <v>0.25</v>
      </c>
      <c r="AU11" s="340">
        <f>IF(AQ11=0," ",AR11/AQ11)</f>
        <v>0.30243428916645149</v>
      </c>
      <c r="AV11" s="340">
        <f>IF(AQ11=0," ",AS11/AQ11)</f>
        <v>0.30243428916645149</v>
      </c>
      <c r="AW11" s="341">
        <f>I88</f>
        <v>67257235</v>
      </c>
      <c r="AX11" s="341">
        <f>L88</f>
        <v>67257235</v>
      </c>
      <c r="AY11" s="341">
        <f t="shared" si="0"/>
        <v>-155129040</v>
      </c>
      <c r="AZ11" s="342">
        <f>AX11-AQ11</f>
        <v>-155129040</v>
      </c>
      <c r="BB11" s="355" t="s">
        <v>414</v>
      </c>
      <c r="BC11" s="73">
        <f>F26</f>
        <v>32167564656</v>
      </c>
      <c r="BD11" s="74">
        <f>I26</f>
        <v>9639990031</v>
      </c>
      <c r="BE11" s="75">
        <f>K26</f>
        <v>130232753</v>
      </c>
      <c r="BF11" s="53">
        <f>+ENERO!BE11+FEBRERO!BE11+MARZO!BE11</f>
        <v>130232753</v>
      </c>
      <c r="BG11" s="68" t="s">
        <v>67</v>
      </c>
      <c r="BH11" s="84">
        <f>BN22</f>
        <v>1260354144</v>
      </c>
      <c r="BI11" s="84">
        <f>BO22</f>
        <v>294949251</v>
      </c>
      <c r="BJ11" s="84">
        <f>BP22</f>
        <v>288870149</v>
      </c>
      <c r="BK11" s="84">
        <f>BQ22</f>
        <v>115434120</v>
      </c>
      <c r="BL11" s="40">
        <f>+ENERO!BK11+FEBRERO!BK11+MARZO!BK11</f>
        <v>288870149</v>
      </c>
      <c r="BM11" s="135" t="s">
        <v>426</v>
      </c>
      <c r="BN11" s="86">
        <f>X18+X67</f>
        <v>336902465</v>
      </c>
      <c r="BO11" s="84">
        <f>AA18+AA67</f>
        <v>23406858</v>
      </c>
      <c r="BP11" s="84">
        <f>AD18+AD67</f>
        <v>23406858</v>
      </c>
      <c r="BQ11" s="85">
        <f>AF18+AF67</f>
        <v>11193189</v>
      </c>
    </row>
    <row r="12" spans="1:69" s="9" customFormat="1" ht="24.95" customHeight="1">
      <c r="A12" s="593">
        <f>+IF(FEBRERO!A12=0,"",FEBRERO!A12)</f>
        <v>1001</v>
      </c>
      <c r="B12" s="621" t="str">
        <f>+IF(FEBRERO!B12=0,"",FEBRERO!B12)</f>
        <v>Bienestar Social (Caja, Bancos, Inversiones Tempor.) a Dic-31-2018</v>
      </c>
      <c r="C12" s="655">
        <f>+ENERO!C12</f>
        <v>0</v>
      </c>
      <c r="D12" s="363">
        <f>FEBRERO!D12+MARZO!P12</f>
        <v>0</v>
      </c>
      <c r="E12" s="363">
        <f>FEBRERO!E12+MARZO!Q12</f>
        <v>0</v>
      </c>
      <c r="F12" s="143">
        <f>SUM(C12:E12)</f>
        <v>0</v>
      </c>
      <c r="G12" s="216">
        <f>FEBRERO!I12</f>
        <v>0</v>
      </c>
      <c r="H12" s="364">
        <v>0</v>
      </c>
      <c r="I12" s="143">
        <f>SUM(G12:H12)</f>
        <v>0</v>
      </c>
      <c r="J12" s="216">
        <f>FEBRERO!L12</f>
        <v>0</v>
      </c>
      <c r="K12" s="131">
        <f>+H12</f>
        <v>0</v>
      </c>
      <c r="L12" s="143">
        <f>SUM(J12:K12)</f>
        <v>0</v>
      </c>
      <c r="M12" s="216">
        <f>F12-I12</f>
        <v>0</v>
      </c>
      <c r="N12" s="143">
        <f>F12-L12</f>
        <v>0</v>
      </c>
      <c r="O12" s="284"/>
      <c r="P12" s="362">
        <v>0</v>
      </c>
      <c r="Q12" s="365">
        <v>0</v>
      </c>
      <c r="S12" s="685">
        <f>+IF(FEBRERO!S12=0,"",FEBRERO!S12)</f>
        <v>1000000</v>
      </c>
      <c r="T12" s="701" t="str">
        <f>+IF(FEBRERO!T12=0,"",FEBRERO!T12)</f>
        <v>GASTOS DE PERSONAL</v>
      </c>
      <c r="U12" s="353">
        <f t="shared" ref="U12:AJ12" si="6">U14+U63</f>
        <v>36893269846</v>
      </c>
      <c r="V12" s="367">
        <f t="shared" si="6"/>
        <v>0</v>
      </c>
      <c r="W12" s="367">
        <f t="shared" si="6"/>
        <v>1873182074</v>
      </c>
      <c r="X12" s="368">
        <f t="shared" si="6"/>
        <v>38766451920</v>
      </c>
      <c r="Y12" s="353">
        <f t="shared" si="6"/>
        <v>23425043658</v>
      </c>
      <c r="Z12" s="367">
        <f t="shared" si="6"/>
        <v>2280813864</v>
      </c>
      <c r="AA12" s="354">
        <f t="shared" si="6"/>
        <v>25705857522</v>
      </c>
      <c r="AB12" s="353">
        <f t="shared" si="6"/>
        <v>6153067162</v>
      </c>
      <c r="AC12" s="367">
        <f t="shared" si="6"/>
        <v>3980808834</v>
      </c>
      <c r="AD12" s="354">
        <f t="shared" si="6"/>
        <v>10133875996</v>
      </c>
      <c r="AE12" s="353">
        <f t="shared" si="6"/>
        <v>2823502196</v>
      </c>
      <c r="AF12" s="367">
        <f t="shared" si="6"/>
        <v>2526334115</v>
      </c>
      <c r="AG12" s="354">
        <f t="shared" si="6"/>
        <v>5349836311</v>
      </c>
      <c r="AH12" s="353">
        <f t="shared" si="6"/>
        <v>13060594398</v>
      </c>
      <c r="AI12" s="367">
        <f t="shared" si="6"/>
        <v>28632575924</v>
      </c>
      <c r="AJ12" s="354">
        <f t="shared" si="6"/>
        <v>33416615609</v>
      </c>
      <c r="AK12" s="10"/>
      <c r="AL12" s="369">
        <f>AL14+AL63</f>
        <v>0</v>
      </c>
      <c r="AM12" s="370">
        <f>AM14+AM63</f>
        <v>13182074</v>
      </c>
      <c r="AO12" s="360"/>
      <c r="AP12" s="517" t="s">
        <v>523</v>
      </c>
      <c r="AQ12" s="12">
        <f>F89</f>
        <v>0</v>
      </c>
      <c r="AR12" s="12">
        <f>I89</f>
        <v>0</v>
      </c>
      <c r="AS12" s="12">
        <f>L89</f>
        <v>0</v>
      </c>
      <c r="AT12" s="13"/>
      <c r="AU12" s="340"/>
      <c r="AV12" s="340"/>
      <c r="AW12" s="341">
        <f>I89</f>
        <v>0</v>
      </c>
      <c r="AX12" s="341">
        <f>L89</f>
        <v>0</v>
      </c>
      <c r="AY12" s="341">
        <f t="shared" si="0"/>
        <v>0</v>
      </c>
      <c r="AZ12" s="342"/>
      <c r="BB12" s="355" t="s">
        <v>415</v>
      </c>
      <c r="BC12" s="73">
        <f>F23</f>
        <v>3087894380</v>
      </c>
      <c r="BD12" s="74">
        <f>I23</f>
        <v>962107221</v>
      </c>
      <c r="BE12" s="75">
        <f>K23</f>
        <v>971478</v>
      </c>
      <c r="BF12" s="53">
        <f>+ENERO!BE12+FEBRERO!BE12+MARZO!BE12</f>
        <v>971478</v>
      </c>
      <c r="BG12" s="371" t="s">
        <v>383</v>
      </c>
      <c r="BH12" s="84">
        <f>BN25</f>
        <v>11252444359</v>
      </c>
      <c r="BI12" s="84">
        <f>BO25</f>
        <v>8721393641</v>
      </c>
      <c r="BJ12" s="84">
        <f>BP25</f>
        <v>5243432546</v>
      </c>
      <c r="BK12" s="84">
        <f>BQ25</f>
        <v>287664822</v>
      </c>
      <c r="BL12" s="40">
        <f>+ENERO!BK12+FEBRERO!BK12+MARZO!BK12</f>
        <v>996552654</v>
      </c>
      <c r="BM12" s="136" t="s">
        <v>427</v>
      </c>
      <c r="BN12" s="86">
        <f>X16+X65-X81-X33-BN10-BN11</f>
        <v>1522778226</v>
      </c>
      <c r="BO12" s="84">
        <f>AA16+AA65-AA81-AA33-BO10-BO11</f>
        <v>50994994</v>
      </c>
      <c r="BP12" s="84">
        <f>AD16+AD65-AD81-AD33-BP10-BP11</f>
        <v>50994994</v>
      </c>
      <c r="BQ12" s="85">
        <f>AF16+AF65-AF81-AF33-BQ10-BQ11</f>
        <v>10818392</v>
      </c>
    </row>
    <row r="13" spans="1:69" s="9" customFormat="1" ht="24.95" customHeight="1">
      <c r="A13" s="593">
        <f>+IF(FEBRERO!A13=0,"",FEBRERO!A13)</f>
        <v>1002</v>
      </c>
      <c r="B13" s="621" t="str">
        <f>+IF(FEBRERO!B13=0,"",FEBRERO!B13)</f>
        <v>Fondo Vivienda (Caja, Bancos, Inversiones Tempor.) a Dic-31-2018</v>
      </c>
      <c r="C13" s="655">
        <f>+ENERO!C13</f>
        <v>0</v>
      </c>
      <c r="D13" s="363">
        <f>FEBRERO!D13+MARZO!P13</f>
        <v>0</v>
      </c>
      <c r="E13" s="363">
        <f>FEBRERO!E13+MARZO!Q13</f>
        <v>0</v>
      </c>
      <c r="F13" s="143">
        <f>SUM(C13:E13)</f>
        <v>0</v>
      </c>
      <c r="G13" s="216">
        <f>FEBRERO!I13</f>
        <v>0</v>
      </c>
      <c r="H13" s="364">
        <v>0</v>
      </c>
      <c r="I13" s="143">
        <f>SUM(G13:H13)</f>
        <v>0</v>
      </c>
      <c r="J13" s="216">
        <f>FEBRERO!L13</f>
        <v>0</v>
      </c>
      <c r="K13" s="131">
        <f>+H13</f>
        <v>0</v>
      </c>
      <c r="L13" s="143">
        <f>SUM(J13:K13)</f>
        <v>0</v>
      </c>
      <c r="M13" s="216">
        <f>F13-I13</f>
        <v>0</v>
      </c>
      <c r="N13" s="143">
        <f>F13-L13</f>
        <v>0</v>
      </c>
      <c r="O13" s="372"/>
      <c r="P13" s="362">
        <v>0</v>
      </c>
      <c r="Q13" s="365">
        <v>0</v>
      </c>
      <c r="S13" s="356"/>
      <c r="T13" s="678"/>
      <c r="U13" s="357"/>
      <c r="V13" s="161"/>
      <c r="W13" s="161"/>
      <c r="X13" s="161"/>
      <c r="Y13" s="357"/>
      <c r="Z13" s="161"/>
      <c r="AA13" s="166"/>
      <c r="AB13" s="357"/>
      <c r="AC13" s="161"/>
      <c r="AD13" s="166"/>
      <c r="AE13" s="357"/>
      <c r="AF13" s="161"/>
      <c r="AG13" s="166"/>
      <c r="AH13" s="357"/>
      <c r="AI13" s="161"/>
      <c r="AJ13" s="166"/>
      <c r="AK13" s="10"/>
      <c r="AL13" s="358"/>
      <c r="AM13" s="359"/>
      <c r="AO13" s="20"/>
      <c r="AP13" s="517" t="s">
        <v>524</v>
      </c>
      <c r="AQ13" s="12">
        <f>F90</f>
        <v>0</v>
      </c>
      <c r="AR13" s="12">
        <f>I90</f>
        <v>0</v>
      </c>
      <c r="AS13" s="12">
        <f>L90</f>
        <v>0</v>
      </c>
      <c r="AT13" s="13"/>
      <c r="AU13" s="340"/>
      <c r="AV13" s="340"/>
      <c r="AW13" s="341">
        <f>I90</f>
        <v>0</v>
      </c>
      <c r="AX13" s="341">
        <f>L90</f>
        <v>0</v>
      </c>
      <c r="AY13" s="341">
        <f t="shared" si="0"/>
        <v>0</v>
      </c>
      <c r="AZ13" s="342"/>
      <c r="BA13" s="372"/>
      <c r="BB13" s="373" t="s">
        <v>416</v>
      </c>
      <c r="BC13" s="87">
        <f>+F30+F33+F36+F38+F39+F40</f>
        <v>8952361140</v>
      </c>
      <c r="BD13" s="88">
        <f>+I30+I33+I36+I38+I39+I40</f>
        <v>2783569794</v>
      </c>
      <c r="BE13" s="89">
        <f>+K30+K33+K36+K38+K39+K40</f>
        <v>518136620</v>
      </c>
      <c r="BF13" s="53">
        <f>+ENERO!BE13+FEBRERO!BE13+MARZO!BE13</f>
        <v>628533315</v>
      </c>
      <c r="BG13" s="91" t="s">
        <v>70</v>
      </c>
      <c r="BH13" s="84">
        <f t="shared" ref="BH13:BK15" si="7">BN29</f>
        <v>18829618396</v>
      </c>
      <c r="BI13" s="84">
        <f t="shared" si="7"/>
        <v>8760368877</v>
      </c>
      <c r="BJ13" s="84">
        <f t="shared" si="7"/>
        <v>2602281257</v>
      </c>
      <c r="BK13" s="84">
        <f t="shared" si="7"/>
        <v>999216963</v>
      </c>
      <c r="BL13" s="40">
        <f>+ENERO!BK13+FEBRERO!BK13+MARZO!BK13</f>
        <v>1831784873</v>
      </c>
      <c r="BM13" s="139" t="s">
        <v>428</v>
      </c>
      <c r="BN13" s="83">
        <f>X43-X55+X57-X61+X90-X102+X104-X108</f>
        <v>3914230005</v>
      </c>
      <c r="BO13" s="81">
        <f>AA43-AA55+AA57-AA61+AA90-AA102+AA104-AA108</f>
        <v>218215525</v>
      </c>
      <c r="BP13" s="81">
        <f>AD43-AD55+AD57-AD61+AD90-AD102+AD104-AD108</f>
        <v>218215525</v>
      </c>
      <c r="BQ13" s="82">
        <f>AF43-AF55+AF57-AF61+AF90-AF102+AF104-AF108</f>
        <v>96376060</v>
      </c>
    </row>
    <row r="14" spans="1:69" s="9" customFormat="1" ht="24.95" customHeight="1">
      <c r="A14" s="593">
        <f>+IF(FEBRERO!A14=0,"",FEBRERO!A14)</f>
        <v>1003</v>
      </c>
      <c r="B14" s="621" t="str">
        <f>+IF(FEBRERO!B14=0,"",FEBRERO!B14)</f>
        <v>Fondos Comunes y Especiales (Caja, Bancos, Invers. Tempor.) a Dic-31-2018</v>
      </c>
      <c r="C14" s="655">
        <f>+ENERO!C14</f>
        <v>4565434734</v>
      </c>
      <c r="D14" s="363">
        <f>FEBRERO!D14+MARZO!P14</f>
        <v>0</v>
      </c>
      <c r="E14" s="363">
        <f>FEBRERO!E14+MARZO!Q14</f>
        <v>5318248230</v>
      </c>
      <c r="F14" s="143">
        <f>SUM(C14:E14)</f>
        <v>9883682964</v>
      </c>
      <c r="G14" s="216">
        <f>FEBRERO!I14</f>
        <v>9883682964</v>
      </c>
      <c r="H14" s="364">
        <v>0</v>
      </c>
      <c r="I14" s="143">
        <f>SUM(G14:H14)</f>
        <v>9883682964</v>
      </c>
      <c r="J14" s="216">
        <f>FEBRERO!L14</f>
        <v>9883682964</v>
      </c>
      <c r="K14" s="131">
        <f>+H14</f>
        <v>0</v>
      </c>
      <c r="L14" s="143">
        <f>SUM(J14:K14)</f>
        <v>9883682964</v>
      </c>
      <c r="M14" s="216">
        <f>F14-I14</f>
        <v>0</v>
      </c>
      <c r="N14" s="143">
        <f>F14-L14</f>
        <v>0</v>
      </c>
      <c r="O14" s="372"/>
      <c r="P14" s="362">
        <v>0</v>
      </c>
      <c r="Q14" s="365">
        <v>0</v>
      </c>
      <c r="S14" s="686">
        <f>+IF(FEBRERO!S14=0,"",FEBRERO!S14)</f>
        <v>1010000</v>
      </c>
      <c r="T14" s="702" t="str">
        <f>+IF(FEBRERO!T14=0,"",FEBRERO!T14)</f>
        <v>Gastos de Administración</v>
      </c>
      <c r="U14" s="128">
        <f t="shared" ref="U14:AJ14" si="8">U16+U35+U43+U57</f>
        <v>6899222078</v>
      </c>
      <c r="V14" s="122">
        <f t="shared" si="8"/>
        <v>-6501068</v>
      </c>
      <c r="W14" s="122">
        <f t="shared" si="8"/>
        <v>220000000</v>
      </c>
      <c r="X14" s="129">
        <f t="shared" si="8"/>
        <v>7112721010</v>
      </c>
      <c r="Y14" s="128">
        <f t="shared" si="8"/>
        <v>4647743314</v>
      </c>
      <c r="Z14" s="122">
        <f t="shared" si="8"/>
        <v>237143933</v>
      </c>
      <c r="AA14" s="130">
        <f t="shared" si="8"/>
        <v>4884887247</v>
      </c>
      <c r="AB14" s="128">
        <f t="shared" si="8"/>
        <v>1441946363</v>
      </c>
      <c r="AC14" s="122">
        <f t="shared" si="8"/>
        <v>587078260</v>
      </c>
      <c r="AD14" s="130">
        <f t="shared" si="8"/>
        <v>2029024623</v>
      </c>
      <c r="AE14" s="128">
        <f t="shared" si="8"/>
        <v>917872378</v>
      </c>
      <c r="AF14" s="122">
        <f t="shared" si="8"/>
        <v>375379588</v>
      </c>
      <c r="AG14" s="130">
        <f t="shared" si="8"/>
        <v>1293251966</v>
      </c>
      <c r="AH14" s="128">
        <f t="shared" si="8"/>
        <v>2227833763</v>
      </c>
      <c r="AI14" s="122">
        <f t="shared" si="8"/>
        <v>5083696387</v>
      </c>
      <c r="AJ14" s="130">
        <f t="shared" si="8"/>
        <v>5819469044</v>
      </c>
      <c r="AK14" s="10"/>
      <c r="AL14" s="128">
        <f>AL16+AL35+AL43+AL57</f>
        <v>-6501068</v>
      </c>
      <c r="AM14" s="130">
        <f>AM16+AM35+AM43+AM57</f>
        <v>0</v>
      </c>
      <c r="AO14" s="21"/>
      <c r="AP14" s="11" t="s">
        <v>73</v>
      </c>
      <c r="AQ14" s="12">
        <f>F19-AQ7-AQ8-AQ9-AQ10-AQ11-AQ12-AQ13</f>
        <v>22382085787</v>
      </c>
      <c r="AR14" s="12">
        <f>I19-AR7-AR8-AR9-AR10-AR11-AR12-AR13</f>
        <v>6693799692</v>
      </c>
      <c r="AS14" s="12">
        <f>L19-AS7-AS8-AS9-AS10-AS11-AS12-AS13</f>
        <v>4076203877</v>
      </c>
      <c r="AT14" s="372"/>
      <c r="AU14" s="340">
        <f>IF(AQ14=0," ",AR14/AQ14)</f>
        <v>0.29906952174617718</v>
      </c>
      <c r="AV14" s="340">
        <f>IF(AQ14=0," ",AS14/AQ14)</f>
        <v>0.1821190355443793</v>
      </c>
      <c r="AW14" s="341">
        <f>(I41+I46+I49+I52+I55+I58+I61+I64+I67+I70+I73+I78+I81+I82+I83+I85+I94+I104)/AO$2*12+I47+I50+I53+I56+I59+I62+I65+I68+I71+I74</f>
        <v>21672534298</v>
      </c>
      <c r="AX14" s="341">
        <f>(L41+L46+L49+L52+L55+L58+L61+L64+L67+L70+L73+L78+L81+L82+L83+L85+L94+L104)/AO$2*12+L47+L50+L53+L56+L59+L62+L65+L68+L71+L74</f>
        <v>11114774826</v>
      </c>
      <c r="AY14" s="341">
        <f t="shared" si="0"/>
        <v>-709551489</v>
      </c>
      <c r="AZ14" s="342">
        <f>AX14-AQ14</f>
        <v>-11267310961</v>
      </c>
      <c r="BB14" s="373" t="s">
        <v>417</v>
      </c>
      <c r="BC14" s="92">
        <f>+F64</f>
        <v>8371510292</v>
      </c>
      <c r="BD14" s="93">
        <f>+I64</f>
        <v>2768797525</v>
      </c>
      <c r="BE14" s="94">
        <f>K64</f>
        <v>470185729</v>
      </c>
      <c r="BF14" s="53">
        <f>+ENERO!BE14+FEBRERO!BE14+MARZO!BE14</f>
        <v>531833676</v>
      </c>
      <c r="BG14" s="91" t="s">
        <v>74</v>
      </c>
      <c r="BH14" s="81">
        <f t="shared" si="7"/>
        <v>262344980</v>
      </c>
      <c r="BI14" s="81">
        <f t="shared" si="7"/>
        <v>77957237</v>
      </c>
      <c r="BJ14" s="81">
        <f t="shared" si="7"/>
        <v>77957237</v>
      </c>
      <c r="BK14" s="81">
        <f t="shared" si="7"/>
        <v>26080012</v>
      </c>
      <c r="BL14" s="40">
        <f>+ENERO!BK14+FEBRERO!BK14+MARZO!BK14</f>
        <v>51937021</v>
      </c>
      <c r="BM14" s="138" t="s">
        <v>424</v>
      </c>
      <c r="BN14" s="86">
        <f>X35-X41+X83-X88</f>
        <v>23397553383</v>
      </c>
      <c r="BO14" s="84">
        <f>AA35-AA41+AA83-AA88</f>
        <v>20885762361</v>
      </c>
      <c r="BP14" s="84">
        <f>AD35-AD41+AD83-AD88</f>
        <v>5313800835</v>
      </c>
      <c r="BQ14" s="85">
        <f>AF35-AF41+AF83-AF88</f>
        <v>346697835</v>
      </c>
    </row>
    <row r="15" spans="1:69" s="9" customFormat="1" ht="24.95" customHeight="1" thickBot="1">
      <c r="A15" s="594">
        <f>+IF(FEBRERO!A15=0,"",FEBRERO!A15)</f>
        <v>1004</v>
      </c>
      <c r="B15" s="621" t="str">
        <f>+IF(FEBRERO!B15=0,"",FEBRERO!B15)</f>
        <v>Cesantias Ley 50/1990 a Dic-31-2018</v>
      </c>
      <c r="C15" s="759">
        <f>+ENERO!C15</f>
        <v>280000000</v>
      </c>
      <c r="D15" s="375">
        <f>FEBRERO!D15+MARZO!P15</f>
        <v>0</v>
      </c>
      <c r="E15" s="375">
        <f>FEBRERO!E15+MARZO!Q15</f>
        <v>13182074</v>
      </c>
      <c r="F15" s="376">
        <f>SUM(C15:E15)</f>
        <v>293182074</v>
      </c>
      <c r="G15" s="377">
        <f>FEBRERO!I15</f>
        <v>0</v>
      </c>
      <c r="H15" s="378">
        <v>293182074</v>
      </c>
      <c r="I15" s="823">
        <f>SUM(G15:H15)</f>
        <v>293182074</v>
      </c>
      <c r="J15" s="377">
        <f>FEBRERO!L15</f>
        <v>0</v>
      </c>
      <c r="K15" s="165">
        <f>+H15</f>
        <v>293182074</v>
      </c>
      <c r="L15" s="823">
        <f>SUM(J15:K15)</f>
        <v>293182074</v>
      </c>
      <c r="M15" s="377">
        <f>F15-I15</f>
        <v>0</v>
      </c>
      <c r="N15" s="376">
        <f>F15-L15</f>
        <v>0</v>
      </c>
      <c r="O15" s="372"/>
      <c r="P15" s="374">
        <v>0</v>
      </c>
      <c r="Q15" s="379">
        <v>13182074</v>
      </c>
      <c r="S15" s="356" t="str">
        <f>+IF(FEBRERO!S15=0,"",FEBRERO!S15)</f>
        <v/>
      </c>
      <c r="T15" s="678" t="str">
        <f>+IF(FEBRERO!T15=0,"",FEBRERO!T15)</f>
        <v xml:space="preserve"> </v>
      </c>
      <c r="U15" s="357"/>
      <c r="V15" s="161"/>
      <c r="W15" s="161"/>
      <c r="X15" s="161"/>
      <c r="Y15" s="357"/>
      <c r="Z15" s="161"/>
      <c r="AA15" s="166"/>
      <c r="AB15" s="357"/>
      <c r="AC15" s="161"/>
      <c r="AD15" s="166"/>
      <c r="AE15" s="357"/>
      <c r="AF15" s="161"/>
      <c r="AG15" s="166"/>
      <c r="AH15" s="357"/>
      <c r="AI15" s="161"/>
      <c r="AJ15" s="166"/>
      <c r="AK15" s="10"/>
      <c r="AL15" s="170"/>
      <c r="AM15" s="171"/>
      <c r="AO15" s="20"/>
      <c r="AP15" s="11" t="s">
        <v>76</v>
      </c>
      <c r="AQ15" s="12">
        <f>F113</f>
        <v>203293306</v>
      </c>
      <c r="AR15" s="12">
        <f>I113</f>
        <v>70324503</v>
      </c>
      <c r="AS15" s="12">
        <f>L113</f>
        <v>70324503</v>
      </c>
      <c r="AT15" s="13"/>
      <c r="AU15" s="332">
        <f>IF(AQ15=0," ",AR15/AQ15)</f>
        <v>0.34592630905417021</v>
      </c>
      <c r="AV15" s="332">
        <f>IF(AQ15=0," ",AS15/AQ15)</f>
        <v>0.34592630905417021</v>
      </c>
      <c r="AW15" s="12">
        <f>+AR15</f>
        <v>70324503</v>
      </c>
      <c r="AX15" s="12">
        <f>+AS15</f>
        <v>70324503</v>
      </c>
      <c r="AY15" s="12">
        <f t="shared" si="0"/>
        <v>-132968803</v>
      </c>
      <c r="AZ15" s="333">
        <f>AX15-AQ15</f>
        <v>-132968803</v>
      </c>
      <c r="BA15" s="372"/>
      <c r="BB15" s="373" t="s">
        <v>77</v>
      </c>
      <c r="BC15" s="92">
        <f>F46+F49</f>
        <v>130489617</v>
      </c>
      <c r="BD15" s="93">
        <f>I46+I49</f>
        <v>273127315</v>
      </c>
      <c r="BE15" s="94">
        <f>K46+K49</f>
        <v>0</v>
      </c>
      <c r="BF15" s="53">
        <f>+ENERO!BE15+FEBRERO!BE15+MARZO!BE15</f>
        <v>0</v>
      </c>
      <c r="BG15" s="91" t="s">
        <v>78</v>
      </c>
      <c r="BH15" s="81">
        <f t="shared" si="7"/>
        <v>17096022853</v>
      </c>
      <c r="BI15" s="81">
        <f t="shared" si="7"/>
        <v>8465104871</v>
      </c>
      <c r="BJ15" s="81">
        <f t="shared" si="7"/>
        <v>8465104871</v>
      </c>
      <c r="BK15" s="81">
        <f t="shared" si="7"/>
        <v>3938271149</v>
      </c>
      <c r="BL15" s="40">
        <f>+ENERO!BK15+FEBRERO!BK15+MARZO!BK15</f>
        <v>8465104871</v>
      </c>
      <c r="BM15" s="71" t="s">
        <v>66</v>
      </c>
      <c r="BN15" s="83">
        <f>SUM(BN16:BN21)</f>
        <v>11693819527</v>
      </c>
      <c r="BO15" s="81">
        <f>SUM(BO16:BO21)</f>
        <v>6477438574</v>
      </c>
      <c r="BP15" s="81">
        <f>SUM(BP16:BP21)</f>
        <v>2253266548</v>
      </c>
      <c r="BQ15" s="82">
        <f>SUM(BQ16:BQ21)</f>
        <v>517568468</v>
      </c>
    </row>
    <row r="16" spans="1:69" s="9" customFormat="1" ht="24.95" customHeight="1" thickBot="1">
      <c r="A16" s="713" t="str">
        <f>+IF(FEBRERO!A16=0,"",FEBRERO!A16)</f>
        <v/>
      </c>
      <c r="B16" s="622" t="str">
        <f>+IF(FEBRERO!B16=0,"",FEBRERO!B16)</f>
        <v/>
      </c>
      <c r="C16" s="380"/>
      <c r="D16" s="380"/>
      <c r="E16" s="380"/>
      <c r="F16" s="380"/>
      <c r="G16" s="380"/>
      <c r="H16" s="380"/>
      <c r="I16" s="380"/>
      <c r="J16" s="380"/>
      <c r="K16" s="380"/>
      <c r="L16" s="380"/>
      <c r="M16" s="380"/>
      <c r="N16" s="381"/>
      <c r="O16" s="372"/>
      <c r="P16" s="382"/>
      <c r="Q16" s="383"/>
      <c r="S16" s="687">
        <f>+IF(FEBRERO!S16=0,"",FEBRERO!S16)</f>
        <v>1010100</v>
      </c>
      <c r="T16" s="703" t="str">
        <f>+IF(FEBRERO!T16=0,"",FEBRERO!T16)</f>
        <v>Servicios Personales Asociados a Nómina</v>
      </c>
      <c r="U16" s="128">
        <f t="shared" ref="U16:AJ16" si="9">SUM(U17:U20)+U33</f>
        <v>1868719642</v>
      </c>
      <c r="V16" s="122">
        <f t="shared" si="9"/>
        <v>-120000000</v>
      </c>
      <c r="W16" s="122">
        <f t="shared" si="9"/>
        <v>120000000</v>
      </c>
      <c r="X16" s="129">
        <f t="shared" si="9"/>
        <v>1868719642</v>
      </c>
      <c r="Y16" s="128">
        <f t="shared" si="9"/>
        <v>220116842</v>
      </c>
      <c r="Z16" s="122">
        <f t="shared" si="9"/>
        <v>111399751</v>
      </c>
      <c r="AA16" s="130">
        <f t="shared" si="9"/>
        <v>331516593</v>
      </c>
      <c r="AB16" s="128">
        <f t="shared" si="9"/>
        <v>220116842</v>
      </c>
      <c r="AC16" s="122">
        <f t="shared" si="9"/>
        <v>111399751</v>
      </c>
      <c r="AD16" s="130">
        <f t="shared" si="9"/>
        <v>331516593</v>
      </c>
      <c r="AE16" s="128">
        <f t="shared" si="9"/>
        <v>220116842</v>
      </c>
      <c r="AF16" s="122">
        <f t="shared" si="9"/>
        <v>111399751</v>
      </c>
      <c r="AG16" s="130">
        <f t="shared" si="9"/>
        <v>331516593</v>
      </c>
      <c r="AH16" s="128">
        <f t="shared" si="9"/>
        <v>1537203049</v>
      </c>
      <c r="AI16" s="122">
        <f t="shared" si="9"/>
        <v>1537203049</v>
      </c>
      <c r="AJ16" s="130">
        <f t="shared" si="9"/>
        <v>1537203049</v>
      </c>
      <c r="AK16" s="10"/>
      <c r="AL16" s="128">
        <f>SUM(AL17:AL20)+AL33</f>
        <v>0</v>
      </c>
      <c r="AM16" s="130">
        <f>SUM(AM17:AM20)+AM33</f>
        <v>0</v>
      </c>
      <c r="AO16" s="21"/>
      <c r="AP16" s="384" t="s">
        <v>81</v>
      </c>
      <c r="AQ16" s="385">
        <f>F10</f>
        <v>10176865038</v>
      </c>
      <c r="AR16" s="385">
        <f>I10</f>
        <v>10176865038</v>
      </c>
      <c r="AS16" s="385">
        <f>L10</f>
        <v>10176865038</v>
      </c>
      <c r="AT16" s="372"/>
      <c r="AU16" s="386">
        <f>IF(AQ16=0," ",AR16/AQ16)</f>
        <v>1</v>
      </c>
      <c r="AV16" s="386">
        <f>IF(AQ16=0," ",AS16/AQ16)</f>
        <v>1</v>
      </c>
      <c r="AW16" s="385">
        <f>+AR16</f>
        <v>10176865038</v>
      </c>
      <c r="AX16" s="385">
        <f>+AS16</f>
        <v>10176865038</v>
      </c>
      <c r="AY16" s="12">
        <f t="shared" si="0"/>
        <v>0</v>
      </c>
      <c r="AZ16" s="387">
        <f>AX16-AQ16</f>
        <v>0</v>
      </c>
      <c r="BA16" s="372"/>
      <c r="BB16" s="355" t="s">
        <v>418</v>
      </c>
      <c r="BC16" s="73">
        <f>F43</f>
        <v>0</v>
      </c>
      <c r="BD16" s="74">
        <f>I43</f>
        <v>0</v>
      </c>
      <c r="BE16" s="75">
        <f>K43</f>
        <v>0</v>
      </c>
      <c r="BF16" s="53">
        <f>+ENERO!BE16+FEBRERO!BE16+MARZO!BE16</f>
        <v>0</v>
      </c>
      <c r="BG16" s="91" t="s">
        <v>82</v>
      </c>
      <c r="BH16" s="96">
        <f>BH7+BH12+BH13+BH14+BH15</f>
        <v>94859073150</v>
      </c>
      <c r="BI16" s="96">
        <f>BI7+BI12+BI13+BI14+BI15</f>
        <v>54785545310</v>
      </c>
      <c r="BJ16" s="96">
        <f>BJ7+BJ12+BJ13+BJ14+BJ15</f>
        <v>25347263941</v>
      </c>
      <c r="BK16" s="96">
        <f>BK7+BK12+BK13+BK14+BK15</f>
        <v>6618065696</v>
      </c>
      <c r="BL16" s="40">
        <f>+ENERO!BK16+FEBRERO!BK16+MARZO!BK16</f>
        <v>14194552382</v>
      </c>
      <c r="BM16" s="137" t="s">
        <v>83</v>
      </c>
      <c r="BN16" s="83">
        <f>X114-X121+X147-X148-X153</f>
        <v>2180000000</v>
      </c>
      <c r="BO16" s="81">
        <f>AA114-AA121+AA147-AA148-AA153</f>
        <v>496349500</v>
      </c>
      <c r="BP16" s="81">
        <f>AD114-AD121+AD147-AD148-AD153</f>
        <v>172513755</v>
      </c>
      <c r="BQ16" s="82">
        <f>AF114-AF121+AF147-AF148-AF153</f>
        <v>29663426</v>
      </c>
    </row>
    <row r="17" spans="1:70" s="372" customFormat="1" ht="24.95" customHeight="1" thickBot="1">
      <c r="A17" s="712">
        <f>+IF(FEBRERO!A17=0,"",FEBRERO!A17)</f>
        <v>11</v>
      </c>
      <c r="B17" s="623" t="str">
        <f>+IF(FEBRERO!B17=0,"",FEBRERO!B17)</f>
        <v>INGRESOS  CORRIENTES</v>
      </c>
      <c r="C17" s="324">
        <f>C19+C94+C104</f>
        <v>61374630552</v>
      </c>
      <c r="D17" s="321">
        <f t="shared" ref="D17:N17" si="10">D19+D94+D104</f>
        <v>0</v>
      </c>
      <c r="E17" s="321">
        <f t="shared" si="10"/>
        <v>23104284254</v>
      </c>
      <c r="F17" s="321">
        <f t="shared" si="10"/>
        <v>84478914806</v>
      </c>
      <c r="G17" s="321">
        <f t="shared" si="10"/>
        <v>18371478888</v>
      </c>
      <c r="H17" s="321">
        <f t="shared" si="10"/>
        <v>11630981140</v>
      </c>
      <c r="I17" s="321">
        <f t="shared" si="10"/>
        <v>30002460028</v>
      </c>
      <c r="J17" s="321">
        <f t="shared" si="10"/>
        <v>8378768491</v>
      </c>
      <c r="K17" s="321">
        <f t="shared" si="10"/>
        <v>6248977574</v>
      </c>
      <c r="L17" s="321">
        <f t="shared" si="10"/>
        <v>14627746065</v>
      </c>
      <c r="M17" s="321">
        <f t="shared" si="10"/>
        <v>54476454778</v>
      </c>
      <c r="N17" s="322">
        <f t="shared" si="10"/>
        <v>69851168741</v>
      </c>
      <c r="P17" s="174">
        <f>P19+P94+P104</f>
        <v>0</v>
      </c>
      <c r="Q17" s="175">
        <f>Q19+Q94+Q104</f>
        <v>13568540276</v>
      </c>
      <c r="R17" s="9"/>
      <c r="S17" s="688">
        <f>+IF(FEBRERO!S17=0,"",FEBRERO!S17)</f>
        <v>1010101</v>
      </c>
      <c r="T17" s="704" t="str">
        <f>+IF(FEBRERO!T17=0,"",FEBRERO!T17)</f>
        <v>Sueldos del Personal de nómina</v>
      </c>
      <c r="U17" s="29">
        <f>+ENERO!U17</f>
        <v>1519896974</v>
      </c>
      <c r="V17" s="15">
        <f>FEBRERO!V17+MARZO!AL17</f>
        <v>0</v>
      </c>
      <c r="W17" s="15">
        <f>FEBRERO!W17+MARZO!AM17</f>
        <v>0</v>
      </c>
      <c r="X17" s="18">
        <f>SUM(U17:W17)</f>
        <v>1519896974</v>
      </c>
      <c r="Y17" s="19">
        <f>FEBRERO!AA17</f>
        <v>205636057</v>
      </c>
      <c r="Z17" s="364">
        <v>105486126</v>
      </c>
      <c r="AA17" s="16">
        <f>SUM(Y17:Z17)</f>
        <v>311122183</v>
      </c>
      <c r="AB17" s="19">
        <f>FEBRERO!AD17</f>
        <v>205636057</v>
      </c>
      <c r="AC17" s="364">
        <v>105486126</v>
      </c>
      <c r="AD17" s="16">
        <f>SUM(AB17:AC17)</f>
        <v>311122183</v>
      </c>
      <c r="AE17" s="19">
        <f>FEBRERO!AG17</f>
        <v>205636057</v>
      </c>
      <c r="AF17" s="364">
        <v>105486126</v>
      </c>
      <c r="AG17" s="16">
        <f>SUM(AE17:AF17)</f>
        <v>311122183</v>
      </c>
      <c r="AH17" s="19">
        <f>X17-AA17</f>
        <v>1208774791</v>
      </c>
      <c r="AI17" s="15">
        <f>X17-AD17</f>
        <v>1208774791</v>
      </c>
      <c r="AJ17" s="16">
        <f>X17-AG17</f>
        <v>1208774791</v>
      </c>
      <c r="AK17" s="9"/>
      <c r="AL17" s="362">
        <v>0</v>
      </c>
      <c r="AM17" s="365">
        <v>0</v>
      </c>
      <c r="AN17" s="9"/>
      <c r="AO17" s="339"/>
      <c r="AP17" s="389" t="s">
        <v>85</v>
      </c>
      <c r="AQ17" s="390">
        <f>SUM(AQ7:AQ16)</f>
        <v>86778001954</v>
      </c>
      <c r="AR17" s="391">
        <f>SUM(AR7:AR16)</f>
        <v>40217809024</v>
      </c>
      <c r="AS17" s="392">
        <f>SUM(AS7:AS16)</f>
        <v>24864939114</v>
      </c>
      <c r="AT17" s="393"/>
      <c r="AU17" s="391">
        <f>IF(AQ17=0," ",AR17/AQ17)</f>
        <v>0.46345626908209975</v>
      </c>
      <c r="AV17" s="391">
        <f>IF(AQ17=0," ",AS17/AQ17)</f>
        <v>0.28653504982957101</v>
      </c>
      <c r="AW17" s="394">
        <f>SUM(AX7:AX16)</f>
        <v>33688034887</v>
      </c>
      <c r="AX17" s="394">
        <f>SUM(AX7:AX16)</f>
        <v>33688034887</v>
      </c>
      <c r="AY17" s="394">
        <f>SUM(AY7:AY16)</f>
        <v>8408888785</v>
      </c>
      <c r="AZ17" s="395">
        <f>SUM(AZ7:AZ16)</f>
        <v>-53089967067</v>
      </c>
      <c r="BA17" s="9"/>
      <c r="BB17" s="355" t="s">
        <v>419</v>
      </c>
      <c r="BC17" s="73">
        <f>F41+F52+F55+F58+F61+F67+F70+F73+F76+F79+F82+F86+F87+F88+F89+F90+F91</f>
        <v>12784992455</v>
      </c>
      <c r="BD17" s="74">
        <f>I41+I52+I55+I58+I61+I67+I70+I73+I76+I79+I82+I86+I87+I88+I89+I90+I91</f>
        <v>2035512003</v>
      </c>
      <c r="BE17" s="75">
        <f>K41+K52+K55+K58+K61+K67+K70+K73+K76+K79+K82+K86+K87+K88+K89+K90+K91</f>
        <v>845724519</v>
      </c>
      <c r="BF17" s="53">
        <f>+ENERO!BE17+FEBRERO!BE17+MARZO!BE17</f>
        <v>1818662757</v>
      </c>
      <c r="BG17" s="98" t="s">
        <v>86</v>
      </c>
      <c r="BH17" s="99">
        <f>BC23-BH16</f>
        <v>-94859073150</v>
      </c>
      <c r="BI17" s="99"/>
      <c r="BJ17" s="99"/>
      <c r="BK17" s="99"/>
      <c r="BL17" s="40">
        <f>+ENERO!BK17+FEBRERO!BK17+MARZO!BK17</f>
        <v>0</v>
      </c>
      <c r="BM17" s="137" t="s">
        <v>434</v>
      </c>
      <c r="BN17" s="83">
        <f>X123-X126-X139+X155-X156-X167-X168</f>
        <v>5044712263</v>
      </c>
      <c r="BO17" s="81">
        <f>AA123-AA126-AA139+AA155-AA156-AA167-AA168</f>
        <v>3660262344</v>
      </c>
      <c r="BP17" s="81">
        <f>AD123-AD126-AD139+AD155-AD156-AD167-AD168</f>
        <v>1119523617</v>
      </c>
      <c r="BQ17" s="82">
        <f>AF123-AF126-AF139+AF155-AF156-AF167-AF168</f>
        <v>212992550</v>
      </c>
      <c r="BR17" s="9"/>
    </row>
    <row r="18" spans="1:70" s="9" customFormat="1" ht="24.95" customHeight="1" thickBot="1">
      <c r="A18" s="593" t="str">
        <f>+IF(FEBRERO!A18=0,"",FEBRERO!A18)</f>
        <v/>
      </c>
      <c r="B18" s="624" t="str">
        <f>+IF(FEBRERO!B18=0,"",FEBRERO!B18)</f>
        <v/>
      </c>
      <c r="C18" s="284"/>
      <c r="D18" s="284"/>
      <c r="E18" s="284"/>
      <c r="F18" s="284"/>
      <c r="G18" s="284"/>
      <c r="H18" s="284"/>
      <c r="I18" s="284"/>
      <c r="J18" s="284"/>
      <c r="K18" s="284"/>
      <c r="L18" s="284"/>
      <c r="M18" s="284"/>
      <c r="N18" s="453"/>
      <c r="P18" s="397"/>
      <c r="Q18" s="396"/>
      <c r="S18" s="688">
        <f>+IF(FEBRERO!S18=0,"",FEBRERO!S18)</f>
        <v>1010102</v>
      </c>
      <c r="T18" s="704" t="str">
        <f>+IF(FEBRERO!T18=0,"",FEBRERO!T18)</f>
        <v>Horas Extras,Dominic.,Festivos y Rec. Nocturnos</v>
      </c>
      <c r="U18" s="29">
        <f>+ENERO!U18</f>
        <v>7017105</v>
      </c>
      <c r="V18" s="15">
        <f>FEBRERO!V18+MARZO!AL18</f>
        <v>0</v>
      </c>
      <c r="W18" s="15">
        <f>FEBRERO!W18+MARZO!AM18</f>
        <v>0</v>
      </c>
      <c r="X18" s="18">
        <f>SUM(U18:W18)</f>
        <v>7017105</v>
      </c>
      <c r="Y18" s="19">
        <f>FEBRERO!AA18</f>
        <v>833303</v>
      </c>
      <c r="Z18" s="364">
        <v>969161</v>
      </c>
      <c r="AA18" s="16">
        <f>SUM(Y18:Z18)</f>
        <v>1802464</v>
      </c>
      <c r="AB18" s="19">
        <f>FEBRERO!AD18</f>
        <v>833303</v>
      </c>
      <c r="AC18" s="364">
        <v>969161</v>
      </c>
      <c r="AD18" s="16">
        <f>SUM(AB18:AC18)</f>
        <v>1802464</v>
      </c>
      <c r="AE18" s="19">
        <f>FEBRERO!AG18</f>
        <v>833303</v>
      </c>
      <c r="AF18" s="364">
        <v>969161</v>
      </c>
      <c r="AG18" s="16">
        <f>SUM(AE18:AF18)</f>
        <v>1802464</v>
      </c>
      <c r="AH18" s="19">
        <f>X18-AA18</f>
        <v>5214641</v>
      </c>
      <c r="AI18" s="15">
        <f>X18-AD18</f>
        <v>5214641</v>
      </c>
      <c r="AJ18" s="16">
        <f>X18-AG18</f>
        <v>5214641</v>
      </c>
      <c r="AL18" s="362">
        <v>0</v>
      </c>
      <c r="AM18" s="365">
        <v>0</v>
      </c>
      <c r="AO18" s="21"/>
      <c r="AP18" s="284" t="s">
        <v>51</v>
      </c>
      <c r="AQ18" s="284"/>
      <c r="AR18" s="284"/>
      <c r="AS18" s="284"/>
      <c r="AT18" s="284"/>
      <c r="AU18" s="284"/>
      <c r="AV18" s="284"/>
      <c r="AW18" s="284"/>
      <c r="AX18" s="284"/>
      <c r="AY18" s="284"/>
      <c r="AZ18" s="284"/>
      <c r="BA18" s="372"/>
      <c r="BB18" s="373" t="s">
        <v>420</v>
      </c>
      <c r="BC18" s="73">
        <f>+F95+F96+F97+F99</f>
        <v>7982899073</v>
      </c>
      <c r="BD18" s="74">
        <f>+I95+I96+I97+I99</f>
        <v>0</v>
      </c>
      <c r="BE18" s="75">
        <f>+K95+K96+K97+K99</f>
        <v>0</v>
      </c>
      <c r="BF18" s="53">
        <f>+ENERO!BE18+FEBRERO!BE18+MARZO!BE18</f>
        <v>0</v>
      </c>
      <c r="BM18" s="137" t="s">
        <v>87</v>
      </c>
      <c r="BN18" s="83">
        <f>X148+X156</f>
        <v>3202025000</v>
      </c>
      <c r="BO18" s="81">
        <f>AA148+AA156</f>
        <v>1996957727</v>
      </c>
      <c r="BP18" s="81">
        <f>AD148+AD156</f>
        <v>637360173</v>
      </c>
      <c r="BQ18" s="82">
        <f>AF148+AF156</f>
        <v>188703727</v>
      </c>
      <c r="BR18" s="372"/>
    </row>
    <row r="19" spans="1:70" s="9" customFormat="1" ht="24.95" customHeight="1" thickBot="1">
      <c r="A19" s="714">
        <f>+IF(FEBRERO!A19=0,"",FEBRERO!A19)</f>
        <v>113</v>
      </c>
      <c r="B19" s="625" t="str">
        <f>+IF(FEBRERO!B19=0,"",FEBRERO!B19)</f>
        <v>VENTA DE SERVICIOS</v>
      </c>
      <c r="C19" s="324">
        <f t="shared" ref="C19:N19" si="11">C21+C85</f>
        <v>53293559356</v>
      </c>
      <c r="D19" s="321">
        <f t="shared" si="11"/>
        <v>0</v>
      </c>
      <c r="E19" s="321">
        <f t="shared" si="11"/>
        <v>23104284254</v>
      </c>
      <c r="F19" s="322">
        <f t="shared" si="11"/>
        <v>76397843610</v>
      </c>
      <c r="G19" s="324">
        <f t="shared" si="11"/>
        <v>18349030806</v>
      </c>
      <c r="H19" s="321">
        <f t="shared" si="11"/>
        <v>11621588677</v>
      </c>
      <c r="I19" s="322">
        <f t="shared" si="11"/>
        <v>29970619483</v>
      </c>
      <c r="J19" s="324">
        <f t="shared" si="11"/>
        <v>8370883111</v>
      </c>
      <c r="K19" s="321">
        <f t="shared" si="11"/>
        <v>6246866462</v>
      </c>
      <c r="L19" s="322">
        <f t="shared" si="11"/>
        <v>14617749573</v>
      </c>
      <c r="M19" s="324">
        <f t="shared" si="11"/>
        <v>46427224127</v>
      </c>
      <c r="N19" s="322">
        <f t="shared" si="11"/>
        <v>61780094037</v>
      </c>
      <c r="O19" s="372"/>
      <c r="P19" s="43">
        <f>P21+P85</f>
        <v>0</v>
      </c>
      <c r="Q19" s="45">
        <f>Q21+Q85</f>
        <v>13568540276</v>
      </c>
      <c r="S19" s="688">
        <f>+IF(FEBRERO!S19=0,"",FEBRERO!S19)</f>
        <v>1010103</v>
      </c>
      <c r="T19" s="704" t="str">
        <f>+IF(FEBRERO!T19=0,"",FEBRERO!T19)</f>
        <v>Prima Técnica</v>
      </c>
      <c r="U19" s="29">
        <f>+ENERO!U19</f>
        <v>0</v>
      </c>
      <c r="V19" s="15">
        <f>FEBRERO!V19+MARZO!AL19</f>
        <v>0</v>
      </c>
      <c r="W19" s="15">
        <f>FEBRERO!W19+MARZO!AM19</f>
        <v>0</v>
      </c>
      <c r="X19" s="18">
        <f>SUM(U19:W19)</f>
        <v>0</v>
      </c>
      <c r="Y19" s="19">
        <f>FEBRERO!AA19</f>
        <v>0</v>
      </c>
      <c r="Z19" s="364">
        <v>0</v>
      </c>
      <c r="AA19" s="16">
        <f>SUM(Y19:Z19)</f>
        <v>0</v>
      </c>
      <c r="AB19" s="19">
        <f>FEBRERO!AD19</f>
        <v>0</v>
      </c>
      <c r="AC19" s="364">
        <v>0</v>
      </c>
      <c r="AD19" s="16">
        <f>SUM(AB19:AC19)</f>
        <v>0</v>
      </c>
      <c r="AE19" s="19">
        <f>FEBRERO!AG19</f>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98172123</v>
      </c>
      <c r="BD19" s="93">
        <f>+I105+I106+I107+I108+I109+I110+I98+I100+I101</f>
        <v>31840545</v>
      </c>
      <c r="BE19" s="94">
        <f>+K105+K106+K107+K108+K109+K110+K98+K100+K101</f>
        <v>2111112</v>
      </c>
      <c r="BF19" s="53">
        <f>+ENERO!BE19+FEBRERO!BE19+MARZO!BE19</f>
        <v>9996492</v>
      </c>
      <c r="BG19" s="372"/>
      <c r="BH19" s="372"/>
      <c r="BI19" s="372"/>
      <c r="BJ19" s="372"/>
      <c r="BK19" s="372"/>
      <c r="BM19" s="137" t="s">
        <v>94</v>
      </c>
      <c r="BN19" s="83">
        <f>X126+X167</f>
        <v>740000000</v>
      </c>
      <c r="BO19" s="81">
        <f>AA126+AA167</f>
        <v>212039691</v>
      </c>
      <c r="BP19" s="81">
        <f>AD126+AD167</f>
        <v>212039691</v>
      </c>
      <c r="BQ19" s="82">
        <f>AF126+AF167</f>
        <v>57599779</v>
      </c>
    </row>
    <row r="20" spans="1:70" s="412" customFormat="1" ht="24.95" customHeight="1" thickBot="1">
      <c r="A20" s="593" t="str">
        <f>+IF(FEBRERO!A20=0,"",FEBRERO!A20)</f>
        <v/>
      </c>
      <c r="B20" s="626" t="str">
        <f>+IF(FEBRERO!B20=0,"",FEBRERO!B20)</f>
        <v/>
      </c>
      <c r="C20" s="284"/>
      <c r="D20" s="284"/>
      <c r="E20" s="284"/>
      <c r="F20" s="284"/>
      <c r="G20" s="284"/>
      <c r="H20" s="284"/>
      <c r="I20" s="284"/>
      <c r="J20" s="284"/>
      <c r="K20" s="284"/>
      <c r="L20" s="284"/>
      <c r="M20" s="284"/>
      <c r="N20" s="453"/>
      <c r="O20" s="9"/>
      <c r="P20" s="397"/>
      <c r="Q20" s="396"/>
      <c r="R20" s="9"/>
      <c r="S20" s="688">
        <f>+IF(FEBRERO!S20=0,"",FEBRERO!S20)</f>
        <v>1010104</v>
      </c>
      <c r="T20" s="704" t="str">
        <f>+IF(FEBRERO!T20=0,"",FEBRERO!T20)</f>
        <v>Otros</v>
      </c>
      <c r="U20" s="29">
        <f t="shared" ref="U20:AJ20" si="12">SUM(U21:U32)</f>
        <v>341805563</v>
      </c>
      <c r="V20" s="15">
        <f t="shared" si="12"/>
        <v>0</v>
      </c>
      <c r="W20" s="15">
        <f t="shared" si="12"/>
        <v>0</v>
      </c>
      <c r="X20" s="18">
        <f t="shared" si="12"/>
        <v>341805563</v>
      </c>
      <c r="Y20" s="19">
        <f t="shared" si="12"/>
        <v>13647482</v>
      </c>
      <c r="Z20" s="142">
        <f t="shared" si="12"/>
        <v>4944464</v>
      </c>
      <c r="AA20" s="16">
        <f t="shared" si="12"/>
        <v>18591946</v>
      </c>
      <c r="AB20" s="19">
        <f t="shared" si="12"/>
        <v>13647482</v>
      </c>
      <c r="AC20" s="142">
        <f t="shared" si="12"/>
        <v>4944464</v>
      </c>
      <c r="AD20" s="16">
        <f t="shared" si="12"/>
        <v>18591946</v>
      </c>
      <c r="AE20" s="19">
        <f t="shared" si="12"/>
        <v>13647482</v>
      </c>
      <c r="AF20" s="142">
        <f t="shared" si="12"/>
        <v>4944464</v>
      </c>
      <c r="AG20" s="16">
        <f t="shared" si="12"/>
        <v>18591946</v>
      </c>
      <c r="AH20" s="19">
        <f t="shared" si="12"/>
        <v>323213617</v>
      </c>
      <c r="AI20" s="15">
        <f t="shared" si="12"/>
        <v>323213617</v>
      </c>
      <c r="AJ20" s="16">
        <f t="shared" si="12"/>
        <v>323213617</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203293306</v>
      </c>
      <c r="BD20" s="66">
        <f>+I115+I117+I119+I120+I121+I123+I124</f>
        <v>70324503</v>
      </c>
      <c r="BE20" s="67">
        <f>+K115+K117+K119+K120+K121+K123+K124</f>
        <v>58544229</v>
      </c>
      <c r="BF20" s="53">
        <f>+ENERO!BE20+FEBRERO!BE20+MARZO!BE20</f>
        <v>70324503</v>
      </c>
      <c r="BG20" s="372"/>
      <c r="BH20" s="372"/>
      <c r="BI20" s="372"/>
      <c r="BJ20" s="372"/>
      <c r="BK20" s="372"/>
      <c r="BL20" s="372"/>
      <c r="BM20" s="139" t="s">
        <v>429</v>
      </c>
      <c r="BN20" s="83">
        <f>+X141-X143</f>
        <v>527082264</v>
      </c>
      <c r="BO20" s="81">
        <f>+AA141-AA143</f>
        <v>111829312</v>
      </c>
      <c r="BP20" s="81">
        <f>+AD141-AD143</f>
        <v>111829312</v>
      </c>
      <c r="BQ20" s="82">
        <f>+AF141-AF143</f>
        <v>28608986</v>
      </c>
      <c r="BR20" s="9"/>
    </row>
    <row r="21" spans="1:70" s="412" customFormat="1" ht="24.95" customHeight="1" thickBot="1">
      <c r="A21" s="715">
        <f>+IF(FEBRERO!A21=0,"",FEBRERO!A21)</f>
        <v>11301</v>
      </c>
      <c r="B21" s="627" t="str">
        <f>+IF(FEBRERO!B21=0,"",FEBRERO!B21)</f>
        <v>Venta de Servicios de Salud</v>
      </c>
      <c r="C21" s="174">
        <f t="shared" ref="C21:N21" si="13">C22+C25+C28+C41+C42+C45+C48+C51+C54+C57+C60+C63+C66+C69+C72+C75+C78+C81</f>
        <v>53293559356</v>
      </c>
      <c r="D21" s="344">
        <f t="shared" si="13"/>
        <v>0</v>
      </c>
      <c r="E21" s="344">
        <f t="shared" si="13"/>
        <v>10903721979</v>
      </c>
      <c r="F21" s="344">
        <f t="shared" si="13"/>
        <v>64197281335</v>
      </c>
      <c r="G21" s="344">
        <f t="shared" si="13"/>
        <v>17486996831</v>
      </c>
      <c r="H21" s="344">
        <f t="shared" si="13"/>
        <v>10842705477</v>
      </c>
      <c r="I21" s="344">
        <f t="shared" si="13"/>
        <v>28329702308</v>
      </c>
      <c r="J21" s="344">
        <f t="shared" si="13"/>
        <v>7508849136</v>
      </c>
      <c r="K21" s="344">
        <f t="shared" si="13"/>
        <v>5467983262</v>
      </c>
      <c r="L21" s="344">
        <f t="shared" si="13"/>
        <v>12976832398</v>
      </c>
      <c r="M21" s="344">
        <f t="shared" si="13"/>
        <v>35867579027</v>
      </c>
      <c r="N21" s="175">
        <f t="shared" si="13"/>
        <v>51220448937</v>
      </c>
      <c r="O21" s="372"/>
      <c r="P21" s="43">
        <f>P22+P25+P28+P41+P42+P45+P48+P51+P54+P57+P60+P63+P66+P69+P72+P75+P78+P81</f>
        <v>0</v>
      </c>
      <c r="Q21" s="45">
        <f>Q22+Q25+Q28+Q41+Q42+Q45+Q48+Q51+Q54+Q57+Q60+Q63+Q66+Q69+Q72+Q75+Q78+Q81</f>
        <v>4210340276</v>
      </c>
      <c r="R21" s="9"/>
      <c r="S21" s="689" t="str">
        <f>+IF(FEBRERO!S21=0,"",FEBRERO!S21)</f>
        <v>1010104-1</v>
      </c>
      <c r="T21" s="705" t="str">
        <f>+IF(FEBRERO!T21=0,"",FEBRERO!T21)</f>
        <v xml:space="preserve">Prima de Navidad </v>
      </c>
      <c r="U21" s="29">
        <f>+ENERO!U21</f>
        <v>142096948</v>
      </c>
      <c r="V21" s="15">
        <f>FEBRERO!V21+MARZO!AL21</f>
        <v>0</v>
      </c>
      <c r="W21" s="15">
        <f>FEBRERO!W21+MARZO!AM21</f>
        <v>0</v>
      </c>
      <c r="X21" s="18">
        <f t="shared" ref="X21:X33" si="14">SUM(U21:W21)</f>
        <v>142096948</v>
      </c>
      <c r="Y21" s="19">
        <f>FEBRERO!AA21</f>
        <v>105221</v>
      </c>
      <c r="Z21" s="364">
        <v>0</v>
      </c>
      <c r="AA21" s="16">
        <f t="shared" ref="AA21:AA33" si="15">SUM(Y21:Z21)</f>
        <v>105221</v>
      </c>
      <c r="AB21" s="19">
        <f>FEBRERO!AD21</f>
        <v>105221</v>
      </c>
      <c r="AC21" s="364">
        <v>0</v>
      </c>
      <c r="AD21" s="16">
        <f t="shared" ref="AD21:AD33" si="16">SUM(AB21:AC21)</f>
        <v>105221</v>
      </c>
      <c r="AE21" s="19">
        <f>FEBRERO!AG21</f>
        <v>105221</v>
      </c>
      <c r="AF21" s="364">
        <v>0</v>
      </c>
      <c r="AG21" s="16">
        <f t="shared" ref="AG21:AG33" si="17">SUM(AE21:AF21)</f>
        <v>105221</v>
      </c>
      <c r="AH21" s="19">
        <f t="shared" ref="AH21:AH33" si="18">X21-AA21</f>
        <v>141991727</v>
      </c>
      <c r="AI21" s="15">
        <f t="shared" ref="AI21:AI33" si="19">X21-AD21</f>
        <v>141991727</v>
      </c>
      <c r="AJ21" s="16">
        <f t="shared" ref="AJ21:AJ33" si="20">X21-AG21</f>
        <v>141991727</v>
      </c>
      <c r="AK21" s="9"/>
      <c r="AL21" s="362">
        <v>0</v>
      </c>
      <c r="AM21" s="365">
        <v>0</v>
      </c>
      <c r="AN21" s="9"/>
      <c r="AO21" s="339"/>
      <c r="AP21" s="413"/>
      <c r="AQ21" s="414"/>
      <c r="AR21" s="415" t="str">
        <f>AR6</f>
        <v>MARZO</v>
      </c>
      <c r="AS21" s="416" t="str">
        <f>AR6</f>
        <v>MARZO</v>
      </c>
      <c r="AT21" s="415" t="str">
        <f>AR6</f>
        <v>MARZO</v>
      </c>
      <c r="AU21" s="415" t="s">
        <v>44</v>
      </c>
      <c r="AV21" s="415" t="s">
        <v>22</v>
      </c>
      <c r="AW21" s="417"/>
      <c r="AX21" s="417"/>
      <c r="AY21" s="415" t="s">
        <v>44</v>
      </c>
      <c r="AZ21" s="418" t="s">
        <v>22</v>
      </c>
      <c r="BA21" s="9"/>
      <c r="BB21" s="101" t="s">
        <v>422</v>
      </c>
      <c r="BC21" s="65">
        <f>SUMIF($B8:B122,$B24,F8:F122)+F122</f>
        <v>10903031070</v>
      </c>
      <c r="BD21" s="66">
        <f>SUMIF($B8:B122,$B24,I8:I122)+I122</f>
        <v>11507515594</v>
      </c>
      <c r="BE21" s="67">
        <f>SUMIF($B8:B122,$B24,K8:K122)+K122</f>
        <v>4281615363</v>
      </c>
      <c r="BF21" s="53">
        <f>+ENERO!BE21+FEBRERO!BE21+MARZO!BE21</f>
        <v>11507515594</v>
      </c>
      <c r="BG21" s="372"/>
      <c r="BH21" s="372"/>
      <c r="BI21" s="372"/>
      <c r="BJ21" s="372"/>
      <c r="BK21" s="372"/>
      <c r="BL21" s="372"/>
      <c r="BM21" s="137" t="s">
        <v>99</v>
      </c>
      <c r="BN21" s="83">
        <v>0</v>
      </c>
      <c r="BO21" s="81">
        <v>0</v>
      </c>
      <c r="BP21" s="81">
        <v>0</v>
      </c>
      <c r="BQ21" s="82">
        <v>0</v>
      </c>
      <c r="BR21" s="372"/>
    </row>
    <row r="22" spans="1:70" s="9" customFormat="1" ht="24.95" customHeight="1" thickBot="1">
      <c r="A22" s="714">
        <f>+IF(FEBRERO!A22=0,"",FEBRERO!A22)</f>
        <v>1130101</v>
      </c>
      <c r="B22" s="628" t="str">
        <f>+IF(FEBRERO!B22=0,"",FEBRERO!B22)</f>
        <v>EPS - REGIMEN CONTRIBUTIVO</v>
      </c>
      <c r="C22" s="43">
        <f t="shared" ref="C22:N22" si="21">SUM(C23:C24)</f>
        <v>3087894380</v>
      </c>
      <c r="D22" s="44">
        <f t="shared" si="21"/>
        <v>0</v>
      </c>
      <c r="E22" s="44">
        <f t="shared" si="21"/>
        <v>419591381</v>
      </c>
      <c r="F22" s="44">
        <f t="shared" si="21"/>
        <v>3507485761</v>
      </c>
      <c r="G22" s="44">
        <f t="shared" si="21"/>
        <v>901837200</v>
      </c>
      <c r="H22" s="44">
        <f t="shared" si="21"/>
        <v>504008604</v>
      </c>
      <c r="I22" s="44">
        <f t="shared" si="21"/>
        <v>1405845804</v>
      </c>
      <c r="J22" s="44">
        <f t="shared" si="21"/>
        <v>396471791</v>
      </c>
      <c r="K22" s="44">
        <f t="shared" si="21"/>
        <v>48238270</v>
      </c>
      <c r="L22" s="44">
        <f t="shared" si="21"/>
        <v>444710061</v>
      </c>
      <c r="M22" s="44">
        <f t="shared" si="21"/>
        <v>2101639957</v>
      </c>
      <c r="N22" s="45">
        <f t="shared" si="21"/>
        <v>3062775700</v>
      </c>
      <c r="P22" s="43">
        <f>SUM(P23:P24)</f>
        <v>0</v>
      </c>
      <c r="Q22" s="45">
        <f>SUM(Q23:Q24)</f>
        <v>55844168</v>
      </c>
      <c r="S22" s="689" t="str">
        <f>+IF(FEBRERO!S22=0,"",FEBRERO!S22)</f>
        <v>1010104-2</v>
      </c>
      <c r="T22" s="705" t="str">
        <f>+IF(FEBRERO!T22=0,"",FEBRERO!T22)</f>
        <v>Prima de Vacaciones</v>
      </c>
      <c r="U22" s="29">
        <f>+ENERO!U22</f>
        <v>72708845</v>
      </c>
      <c r="V22" s="15">
        <f>FEBRERO!V22+MARZO!AL22</f>
        <v>0</v>
      </c>
      <c r="W22" s="15">
        <f>FEBRERO!W22+MARZO!AM22</f>
        <v>0</v>
      </c>
      <c r="X22" s="18">
        <f t="shared" si="14"/>
        <v>72708845</v>
      </c>
      <c r="Y22" s="19">
        <f>FEBRERO!AA22</f>
        <v>3097941</v>
      </c>
      <c r="Z22" s="364">
        <v>1817607</v>
      </c>
      <c r="AA22" s="16">
        <f t="shared" si="15"/>
        <v>4915548</v>
      </c>
      <c r="AB22" s="19">
        <f>FEBRERO!AD22</f>
        <v>3097941</v>
      </c>
      <c r="AC22" s="364">
        <v>1817607</v>
      </c>
      <c r="AD22" s="16">
        <f t="shared" si="16"/>
        <v>4915548</v>
      </c>
      <c r="AE22" s="19">
        <f>FEBRERO!AG22</f>
        <v>3097941</v>
      </c>
      <c r="AF22" s="364">
        <v>1817607</v>
      </c>
      <c r="AG22" s="16">
        <f t="shared" si="17"/>
        <v>4915548</v>
      </c>
      <c r="AH22" s="19">
        <f t="shared" si="18"/>
        <v>67793297</v>
      </c>
      <c r="AI22" s="15">
        <f t="shared" si="19"/>
        <v>67793297</v>
      </c>
      <c r="AJ22" s="16">
        <f t="shared" si="20"/>
        <v>67793297</v>
      </c>
      <c r="AL22" s="362">
        <v>0</v>
      </c>
      <c r="AM22" s="365">
        <v>0</v>
      </c>
      <c r="AO22" s="21"/>
      <c r="AP22" s="419" t="s">
        <v>104</v>
      </c>
      <c r="AQ22" s="420">
        <f>X17+X66</f>
        <v>5293004812</v>
      </c>
      <c r="AR22" s="420">
        <f>AD17+AD66</f>
        <v>809933121</v>
      </c>
      <c r="AS22" s="420">
        <f>AG17+AG66</f>
        <v>809933121</v>
      </c>
      <c r="AT22" s="421"/>
      <c r="AU22" s="422">
        <f t="shared" ref="AU22:AU32" si="22">IF(AQ22=0," ",AR22/AQ22)</f>
        <v>0.1530195323389402</v>
      </c>
      <c r="AV22" s="422">
        <f t="shared" ref="AV22:AV32" si="23">IF(AQ22=0," ",AS22/AQ22)</f>
        <v>0.1530195323389402</v>
      </c>
      <c r="AW22" s="423">
        <f>AR22/$AO$2*12</f>
        <v>3239732484</v>
      </c>
      <c r="AX22" s="423">
        <f>AS22/$AO$2*12</f>
        <v>3239732484</v>
      </c>
      <c r="AY22" s="423">
        <f t="shared" ref="AY22:AY31" si="24">AQ22-AW22</f>
        <v>2053272328</v>
      </c>
      <c r="AZ22" s="424">
        <f t="shared" ref="AZ22:AZ31" si="25">AQ22-AX22</f>
        <v>2053272328</v>
      </c>
      <c r="BA22" s="372"/>
      <c r="BB22" s="102" t="s">
        <v>109</v>
      </c>
      <c r="BC22" s="103">
        <f>BC7+BC8+BC20+BC21</f>
        <v>94859073150</v>
      </c>
      <c r="BD22" s="104">
        <f>BD7+BD8+BD20+BD21</f>
        <v>40249649569</v>
      </c>
      <c r="BE22" s="105">
        <f>BE7+BE8+BE20+BE21</f>
        <v>6600703877</v>
      </c>
      <c r="BF22" s="53">
        <f>+ENERO!BE22+FEBRERO!BE22+MARZO!BE22</f>
        <v>24874935606</v>
      </c>
      <c r="BG22" s="372"/>
      <c r="BH22" s="372"/>
      <c r="BI22" s="372"/>
      <c r="BJ22" s="372"/>
      <c r="BK22" s="372"/>
      <c r="BM22" s="71" t="s">
        <v>67</v>
      </c>
      <c r="BN22" s="83">
        <f>BN23+BN24</f>
        <v>1260354144</v>
      </c>
      <c r="BO22" s="81">
        <f>BO23+BO24</f>
        <v>294949251</v>
      </c>
      <c r="BP22" s="81">
        <f>BP23+BP24</f>
        <v>288870149</v>
      </c>
      <c r="BQ22" s="82">
        <f>BQ23+BQ24</f>
        <v>115434120</v>
      </c>
      <c r="BR22" s="372"/>
    </row>
    <row r="23" spans="1:70" s="412" customFormat="1" ht="24.95" customHeight="1">
      <c r="A23" s="593" t="str">
        <f>+IF(FEBRERO!A23=0,"",FEBRERO!A23)</f>
        <v>1130101-1</v>
      </c>
      <c r="B23" s="629" t="str">
        <f>+CONCATENATE("Vigencia ",INSTRUCCIONES!$F$3)</f>
        <v>Vigencia 2019</v>
      </c>
      <c r="C23" s="655">
        <f>+ENERO!C23</f>
        <v>3087894380</v>
      </c>
      <c r="D23" s="363">
        <f>FEBRERO!D23+MARZO!P23</f>
        <v>0</v>
      </c>
      <c r="E23" s="363">
        <f>FEBRERO!E23+MARZO!Q23</f>
        <v>0</v>
      </c>
      <c r="F23" s="363">
        <f>SUM(C23:E23)</f>
        <v>3087894380</v>
      </c>
      <c r="G23" s="363">
        <f>FEBRERO!I23</f>
        <v>505365409</v>
      </c>
      <c r="H23" s="364">
        <v>456741812</v>
      </c>
      <c r="I23" s="363">
        <f>SUM(G23:H23)</f>
        <v>962107221</v>
      </c>
      <c r="J23" s="363">
        <f>FEBRERO!L23</f>
        <v>0</v>
      </c>
      <c r="K23" s="364">
        <v>971478</v>
      </c>
      <c r="L23" s="363">
        <f>SUM(J23:K23)</f>
        <v>971478</v>
      </c>
      <c r="M23" s="363">
        <f>F23-I23</f>
        <v>2125787159</v>
      </c>
      <c r="N23" s="143">
        <f>F23-L23</f>
        <v>3086922902</v>
      </c>
      <c r="O23" s="9"/>
      <c r="P23" s="362">
        <v>0</v>
      </c>
      <c r="Q23" s="365">
        <v>0</v>
      </c>
      <c r="R23" s="9"/>
      <c r="S23" s="689" t="str">
        <f>+IF(FEBRERO!S23=0,"",FEBRERO!S23)</f>
        <v>1010104-3</v>
      </c>
      <c r="T23" s="705" t="str">
        <f>+IF(FEBRERO!T23=0,"",FEBRERO!T23)</f>
        <v>Bonificación  por servicios prestados</v>
      </c>
      <c r="U23" s="29">
        <f>+ENERO!U23</f>
        <v>44330324</v>
      </c>
      <c r="V23" s="15">
        <f>FEBRERO!V23+MARZO!AL23</f>
        <v>0</v>
      </c>
      <c r="W23" s="15">
        <f>FEBRERO!W23+MARZO!AM23</f>
        <v>0</v>
      </c>
      <c r="X23" s="18">
        <f t="shared" si="14"/>
        <v>44330324</v>
      </c>
      <c r="Y23" s="19">
        <f>FEBRERO!AA23</f>
        <v>9335952</v>
      </c>
      <c r="Z23" s="364">
        <v>2802527</v>
      </c>
      <c r="AA23" s="16">
        <f t="shared" si="15"/>
        <v>12138479</v>
      </c>
      <c r="AB23" s="19">
        <f>FEBRERO!AD23</f>
        <v>9335952</v>
      </c>
      <c r="AC23" s="364">
        <v>2802527</v>
      </c>
      <c r="AD23" s="16">
        <f t="shared" si="16"/>
        <v>12138479</v>
      </c>
      <c r="AE23" s="19">
        <f>FEBRERO!AG23</f>
        <v>9335952</v>
      </c>
      <c r="AF23" s="364">
        <v>2802527</v>
      </c>
      <c r="AG23" s="16">
        <f t="shared" si="17"/>
        <v>12138479</v>
      </c>
      <c r="AH23" s="19">
        <f t="shared" si="18"/>
        <v>32191845</v>
      </c>
      <c r="AI23" s="15">
        <f t="shared" si="19"/>
        <v>32191845</v>
      </c>
      <c r="AJ23" s="16">
        <f t="shared" si="20"/>
        <v>32191845</v>
      </c>
      <c r="AK23" s="9"/>
      <c r="AL23" s="362">
        <v>0</v>
      </c>
      <c r="AM23" s="365">
        <v>0</v>
      </c>
      <c r="AN23" s="9"/>
      <c r="AO23" s="360"/>
      <c r="AP23" s="425" t="s">
        <v>108</v>
      </c>
      <c r="AQ23" s="426">
        <f>X16+X65-AQ22</f>
        <v>1859680691</v>
      </c>
      <c r="AR23" s="426">
        <f>AD16+AD65-AR22</f>
        <v>74401852</v>
      </c>
      <c r="AS23" s="426">
        <f>AG16+AG65-AS22</f>
        <v>74401852</v>
      </c>
      <c r="AT23" s="317"/>
      <c r="AU23" s="332">
        <f t="shared" si="22"/>
        <v>4.0007863909148907E-2</v>
      </c>
      <c r="AV23" s="332">
        <f t="shared" si="23"/>
        <v>4.0007863909148907E-2</v>
      </c>
      <c r="AW23" s="426">
        <f>(AR23-AD21-AD22-AD23-AD25-AD30-AD33-AD70-AD71-AD72-AD74-AD78-AD81)/$AO$2*12+AX22/12*2.5+AD30+AD33+AD78+AD81</f>
        <v>788782331.5</v>
      </c>
      <c r="AX23" s="426">
        <f>(AS23-AG21-AG22-AG23-AG25-AG30-AG33-AG70-AG71-AG72-AG74-AG78-AG81)/$AO$2*12+AX22/12*2.5+AG30+AG33+AG78+AG81</f>
        <v>788782331.5</v>
      </c>
      <c r="AY23" s="426">
        <f t="shared" si="24"/>
        <v>1070898359.5</v>
      </c>
      <c r="AZ23" s="46">
        <f t="shared" si="25"/>
        <v>1070898359.5</v>
      </c>
      <c r="BA23" s="372"/>
      <c r="BF23" s="372"/>
      <c r="BG23" s="372"/>
      <c r="BH23" s="372"/>
      <c r="BI23" s="372"/>
      <c r="BJ23" s="372"/>
      <c r="BK23" s="372"/>
      <c r="BL23" s="372"/>
      <c r="BM23" s="137" t="s">
        <v>105</v>
      </c>
      <c r="BN23" s="83">
        <f>X177</f>
        <v>965336472</v>
      </c>
      <c r="BO23" s="81">
        <f>AA177</f>
        <v>184479187</v>
      </c>
      <c r="BP23" s="81">
        <f>AD177</f>
        <v>184479187</v>
      </c>
      <c r="BQ23" s="82">
        <f>AF177</f>
        <v>61013032</v>
      </c>
      <c r="BR23" s="9"/>
    </row>
    <row r="24" spans="1:70" s="412" customFormat="1" ht="24.95" customHeight="1">
      <c r="A24" s="593" t="str">
        <f>+IF(FEBRERO!A24=0,"",FEBRERO!A24)</f>
        <v>1130101-2</v>
      </c>
      <c r="B24" s="629" t="str">
        <f>+IF(FEBRERO!B24=0,"",FEBRERO!B24)</f>
        <v>Vigencia Anterior</v>
      </c>
      <c r="C24" s="655">
        <f>+ENERO!C24</f>
        <v>0</v>
      </c>
      <c r="D24" s="363">
        <f>FEBRERO!D24+MARZO!P24</f>
        <v>0</v>
      </c>
      <c r="E24" s="363">
        <f>FEBRERO!E24+MARZO!Q24</f>
        <v>419591381</v>
      </c>
      <c r="F24" s="363">
        <f>SUM(C24:E24)</f>
        <v>419591381</v>
      </c>
      <c r="G24" s="363">
        <f>FEBRERO!I24</f>
        <v>396471791</v>
      </c>
      <c r="H24" s="364">
        <v>47266792</v>
      </c>
      <c r="I24" s="363">
        <f>SUM(G24:H24)</f>
        <v>443738583</v>
      </c>
      <c r="J24" s="363">
        <f>FEBRERO!L24</f>
        <v>396471791</v>
      </c>
      <c r="K24" s="364">
        <v>47266792</v>
      </c>
      <c r="L24" s="363">
        <f>SUM(J24:K24)</f>
        <v>443738583</v>
      </c>
      <c r="M24" s="363">
        <f>F24-I24</f>
        <v>-24147202</v>
      </c>
      <c r="N24" s="143">
        <f>F24-L24</f>
        <v>-24147202</v>
      </c>
      <c r="O24" s="372"/>
      <c r="P24" s="362">
        <v>0</v>
      </c>
      <c r="Q24" s="365">
        <v>55844168</v>
      </c>
      <c r="R24" s="9"/>
      <c r="S24" s="689" t="str">
        <f>+IF(FEBRERO!S24=0,"",FEBRERO!S24)</f>
        <v>1010104-4</v>
      </c>
      <c r="T24" s="705" t="str">
        <f>+IF(FEBRERO!T24=0,"",FEBRERO!T24)</f>
        <v>Prima de Servicios</v>
      </c>
      <c r="U24" s="29">
        <f>+ENERO!U24</f>
        <v>67115850</v>
      </c>
      <c r="V24" s="15">
        <f>FEBRERO!V24+MARZO!AL24</f>
        <v>0</v>
      </c>
      <c r="W24" s="15">
        <f>FEBRERO!W24+MARZO!AM24</f>
        <v>0</v>
      </c>
      <c r="X24" s="18">
        <f t="shared" si="14"/>
        <v>67115850</v>
      </c>
      <c r="Y24" s="19">
        <f>FEBRERO!AA24</f>
        <v>507152</v>
      </c>
      <c r="Z24" s="364">
        <v>0</v>
      </c>
      <c r="AA24" s="16">
        <f t="shared" si="15"/>
        <v>507152</v>
      </c>
      <c r="AB24" s="19">
        <f>FEBRERO!AD24</f>
        <v>507152</v>
      </c>
      <c r="AC24" s="364">
        <v>0</v>
      </c>
      <c r="AD24" s="16">
        <f t="shared" si="16"/>
        <v>507152</v>
      </c>
      <c r="AE24" s="19">
        <f>FEBRERO!AG24</f>
        <v>507152</v>
      </c>
      <c r="AF24" s="364">
        <v>0</v>
      </c>
      <c r="AG24" s="16">
        <f t="shared" si="17"/>
        <v>507152</v>
      </c>
      <c r="AH24" s="19">
        <f t="shared" si="18"/>
        <v>66608698</v>
      </c>
      <c r="AI24" s="15">
        <f t="shared" si="19"/>
        <v>66608698</v>
      </c>
      <c r="AJ24" s="16">
        <f t="shared" si="20"/>
        <v>66608698</v>
      </c>
      <c r="AK24" s="9"/>
      <c r="AL24" s="362">
        <v>0</v>
      </c>
      <c r="AM24" s="365">
        <v>0</v>
      </c>
      <c r="AN24" s="9"/>
      <c r="AO24" s="360"/>
      <c r="AP24" s="405" t="s">
        <v>113</v>
      </c>
      <c r="AQ24" s="421">
        <f>X35+X83</f>
        <v>27406354338</v>
      </c>
      <c r="AR24" s="421">
        <f>AD35+AD83</f>
        <v>8738143424</v>
      </c>
      <c r="AS24" s="421">
        <f>AG35+AG83</f>
        <v>3979390409</v>
      </c>
      <c r="AT24" s="421"/>
      <c r="AU24" s="363">
        <f t="shared" si="22"/>
        <v>0.31883640254494616</v>
      </c>
      <c r="AV24" s="363">
        <f t="shared" si="23"/>
        <v>0.14519955335622356</v>
      </c>
      <c r="AW24" s="363">
        <f>(AR24-AD41-AD88)/$AO$2*12+AD41+AD88</f>
        <v>24679545929</v>
      </c>
      <c r="AX24" s="363">
        <f>(AS24-AG41-AG88)/$AO$2*12+AG41+AG88</f>
        <v>5644533869</v>
      </c>
      <c r="AY24" s="363">
        <f t="shared" si="24"/>
        <v>2726808409</v>
      </c>
      <c r="AZ24" s="143">
        <f t="shared" si="25"/>
        <v>21761820469</v>
      </c>
      <c r="BA24" s="9"/>
      <c r="BB24" s="427"/>
      <c r="BC24" s="372"/>
      <c r="BD24" s="372"/>
      <c r="BE24" s="372"/>
      <c r="BF24" s="372"/>
      <c r="BG24" s="372"/>
      <c r="BH24" s="372"/>
      <c r="BI24" s="372"/>
      <c r="BJ24" s="372"/>
      <c r="BK24" s="372"/>
      <c r="BL24" s="372"/>
      <c r="BM24" s="137" t="s">
        <v>110</v>
      </c>
      <c r="BN24" s="83">
        <f>X170-X177-X174-X183-X191</f>
        <v>295017672</v>
      </c>
      <c r="BO24" s="81">
        <f>AA170-AA177-AA174-AA183-AA191</f>
        <v>110470064</v>
      </c>
      <c r="BP24" s="81">
        <f>AD170-AD177-AD174-AD183-AD191</f>
        <v>104390962</v>
      </c>
      <c r="BQ24" s="82">
        <f>AF170-AF177-AF174-AF183-AF191</f>
        <v>54421088</v>
      </c>
      <c r="BR24" s="372"/>
    </row>
    <row r="25" spans="1:70" s="372" customFormat="1" ht="24.95" customHeight="1">
      <c r="A25" s="714">
        <f>+IF(FEBRERO!A25=0,"",FEBRERO!A25)</f>
        <v>1130102</v>
      </c>
      <c r="B25" s="628" t="str">
        <f>+IF(FEBRERO!B25=0,"",FEBRERO!B25)</f>
        <v>ARS - REGIMEN SUBSIDIADO</v>
      </c>
      <c r="C25" s="43">
        <f t="shared" ref="C25:N25" si="26">SUM(C26:C27)</f>
        <v>32167564656</v>
      </c>
      <c r="D25" s="44">
        <f t="shared" si="26"/>
        <v>0</v>
      </c>
      <c r="E25" s="44">
        <f t="shared" si="26"/>
        <v>7190990926</v>
      </c>
      <c r="F25" s="44">
        <f t="shared" si="26"/>
        <v>39358555582</v>
      </c>
      <c r="G25" s="44">
        <f t="shared" si="26"/>
        <v>11358352219</v>
      </c>
      <c r="H25" s="44">
        <f t="shared" si="26"/>
        <v>5872942594</v>
      </c>
      <c r="I25" s="44">
        <f t="shared" si="26"/>
        <v>17231294813</v>
      </c>
      <c r="J25" s="44">
        <f t="shared" si="26"/>
        <v>5629854872</v>
      </c>
      <c r="K25" s="44">
        <f t="shared" si="26"/>
        <v>2091682663</v>
      </c>
      <c r="L25" s="44">
        <f t="shared" si="26"/>
        <v>7721537535</v>
      </c>
      <c r="M25" s="44">
        <f t="shared" si="26"/>
        <v>22127260769</v>
      </c>
      <c r="N25" s="45">
        <f t="shared" si="26"/>
        <v>31637018047</v>
      </c>
      <c r="P25" s="43">
        <f>SUM(P26:P27)</f>
        <v>0</v>
      </c>
      <c r="Q25" s="45">
        <f>SUM(Q26:Q27)</f>
        <v>1878842495</v>
      </c>
      <c r="R25" s="9"/>
      <c r="S25" s="689" t="str">
        <f>+IF(FEBRERO!S25=0,"",FEBRERO!S25)</f>
        <v>1010104-5</v>
      </c>
      <c r="T25" s="705" t="str">
        <f>+IF(FEBRERO!T25=0,"",FEBRERO!T25)</f>
        <v>Bonificación Convencional</v>
      </c>
      <c r="U25" s="29">
        <f>+ENERO!U25</f>
        <v>0</v>
      </c>
      <c r="V25" s="15">
        <f>FEBRERO!V25+MARZO!AL25</f>
        <v>0</v>
      </c>
      <c r="W25" s="15">
        <f>FEBRERO!W25+MARZO!AM25</f>
        <v>0</v>
      </c>
      <c r="X25" s="18">
        <f t="shared" si="14"/>
        <v>0</v>
      </c>
      <c r="Y25" s="19">
        <f>FEBRERO!AA25</f>
        <v>0</v>
      </c>
      <c r="Z25" s="364">
        <v>0</v>
      </c>
      <c r="AA25" s="16">
        <f t="shared" si="15"/>
        <v>0</v>
      </c>
      <c r="AB25" s="19">
        <f>FEBRERO!AD25</f>
        <v>0</v>
      </c>
      <c r="AC25" s="364">
        <v>0</v>
      </c>
      <c r="AD25" s="16">
        <f t="shared" si="16"/>
        <v>0</v>
      </c>
      <c r="AE25" s="19">
        <f>FEBRERO!AG25</f>
        <v>0</v>
      </c>
      <c r="AF25" s="364">
        <v>0</v>
      </c>
      <c r="AG25" s="16">
        <f t="shared" si="17"/>
        <v>0</v>
      </c>
      <c r="AH25" s="19">
        <f t="shared" si="18"/>
        <v>0</v>
      </c>
      <c r="AI25" s="15">
        <f t="shared" si="19"/>
        <v>0</v>
      </c>
      <c r="AJ25" s="16">
        <f t="shared" si="20"/>
        <v>0</v>
      </c>
      <c r="AK25" s="9"/>
      <c r="AL25" s="362">
        <v>0</v>
      </c>
      <c r="AM25" s="365">
        <v>0</v>
      </c>
      <c r="AN25" s="9"/>
      <c r="AO25" s="21"/>
      <c r="AP25" s="428" t="s">
        <v>116</v>
      </c>
      <c r="AQ25" s="363">
        <f>X43+X57+X90+X104</f>
        <v>4207412079</v>
      </c>
      <c r="AR25" s="363">
        <f>AD43+AD57+AD90+AD104</f>
        <v>511397599</v>
      </c>
      <c r="AS25" s="363">
        <f>AG43+AG57+AG90+AG104</f>
        <v>486110929</v>
      </c>
      <c r="AT25" s="421"/>
      <c r="AU25" s="363">
        <f t="shared" si="22"/>
        <v>0.12154682959448718</v>
      </c>
      <c r="AV25" s="363">
        <f t="shared" si="23"/>
        <v>0.11553680026405609</v>
      </c>
      <c r="AW25" s="363">
        <f>(AR25-AD55-AD61-AD102-AD108)/$AO$2*12+AD55+AD61+AD102+AD108</f>
        <v>1166044174</v>
      </c>
      <c r="AX25" s="363">
        <f>(AS25-AG55-AG61-AG102-AG108)/$AO$2*12+AG55+AG61+AG102+AG108</f>
        <v>1064897494</v>
      </c>
      <c r="AY25" s="363">
        <f t="shared" si="24"/>
        <v>3041367905</v>
      </c>
      <c r="AZ25" s="143">
        <f t="shared" si="25"/>
        <v>3142514585</v>
      </c>
      <c r="BM25" s="140" t="s">
        <v>430</v>
      </c>
      <c r="BN25" s="106">
        <f>+SUM(BN26:BN28)</f>
        <v>11252444359</v>
      </c>
      <c r="BO25" s="107">
        <f>+SUM(BO26:BO28)</f>
        <v>8721393641</v>
      </c>
      <c r="BP25" s="107">
        <f>+SUM(BP26:BP28)</f>
        <v>5243432546</v>
      </c>
      <c r="BQ25" s="108">
        <f>+SUM(BQ26:BQ28)</f>
        <v>287664822</v>
      </c>
    </row>
    <row r="26" spans="1:70" s="9" customFormat="1" ht="24.95" customHeight="1">
      <c r="A26" s="593" t="str">
        <f>+IF(FEBRERO!A26=0,"",FEBRERO!A26)</f>
        <v>1130102-1</v>
      </c>
      <c r="B26" s="629" t="str">
        <f>+CONCATENATE("Vigencia ",INSTRUCCIONES!$F$3)</f>
        <v>Vigencia 2019</v>
      </c>
      <c r="C26" s="655">
        <f>+ENERO!C26</f>
        <v>32167564656</v>
      </c>
      <c r="D26" s="363">
        <f>FEBRERO!D26+MARZO!P26</f>
        <v>0</v>
      </c>
      <c r="E26" s="363">
        <f>FEBRERO!E26+MARZO!Q26</f>
        <v>0</v>
      </c>
      <c r="F26" s="363">
        <f>SUM(C26:E26)</f>
        <v>32167564656</v>
      </c>
      <c r="G26" s="363">
        <f>FEBRERO!I26</f>
        <v>5728497347</v>
      </c>
      <c r="H26" s="364">
        <v>3911492684</v>
      </c>
      <c r="I26" s="363">
        <f>SUM(G26:H26)</f>
        <v>9639990031</v>
      </c>
      <c r="J26" s="363">
        <f>FEBRERO!L26</f>
        <v>0</v>
      </c>
      <c r="K26" s="364">
        <v>130232753</v>
      </c>
      <c r="L26" s="363">
        <f>SUM(J26:K26)</f>
        <v>130232753</v>
      </c>
      <c r="M26" s="363">
        <f>F26-I26</f>
        <v>22527574625</v>
      </c>
      <c r="N26" s="143">
        <f>F26-L26</f>
        <v>32037331903</v>
      </c>
      <c r="P26" s="362">
        <v>0</v>
      </c>
      <c r="Q26" s="365">
        <v>0</v>
      </c>
      <c r="S26" s="689" t="str">
        <f>+IF(FEBRERO!S26=0,"",FEBRERO!S26)</f>
        <v>1010104-6</v>
      </c>
      <c r="T26" s="705" t="str">
        <f>+IF(FEBRERO!T26=0,"",FEBRERO!T26)</f>
        <v>Auxilio de Transporte</v>
      </c>
      <c r="U26" s="29">
        <f>+ENERO!U26</f>
        <v>7017105</v>
      </c>
      <c r="V26" s="15">
        <f>FEBRERO!V26+MARZO!AL26</f>
        <v>0</v>
      </c>
      <c r="W26" s="15">
        <f>FEBRERO!W26+MARZO!AM26</f>
        <v>0</v>
      </c>
      <c r="X26" s="18">
        <f t="shared" si="14"/>
        <v>7017105</v>
      </c>
      <c r="Y26" s="19">
        <f>FEBRERO!AA26</f>
        <v>194064</v>
      </c>
      <c r="Z26" s="364">
        <v>97032</v>
      </c>
      <c r="AA26" s="16">
        <f t="shared" si="15"/>
        <v>291096</v>
      </c>
      <c r="AB26" s="19">
        <f>FEBRERO!AD26</f>
        <v>194064</v>
      </c>
      <c r="AC26" s="364">
        <v>97032</v>
      </c>
      <c r="AD26" s="16">
        <f t="shared" si="16"/>
        <v>291096</v>
      </c>
      <c r="AE26" s="19">
        <f>FEBRERO!AG26</f>
        <v>194064</v>
      </c>
      <c r="AF26" s="364">
        <v>97032</v>
      </c>
      <c r="AG26" s="16">
        <f t="shared" si="17"/>
        <v>291096</v>
      </c>
      <c r="AH26" s="19">
        <f t="shared" si="18"/>
        <v>6726009</v>
      </c>
      <c r="AI26" s="15">
        <f t="shared" si="19"/>
        <v>6726009</v>
      </c>
      <c r="AJ26" s="16">
        <f t="shared" si="20"/>
        <v>6726009</v>
      </c>
      <c r="AL26" s="362">
        <v>0</v>
      </c>
      <c r="AM26" s="365">
        <v>0</v>
      </c>
      <c r="AO26" s="21"/>
      <c r="AP26" s="429" t="s">
        <v>120</v>
      </c>
      <c r="AQ26" s="317">
        <f>X110</f>
        <v>13605719527</v>
      </c>
      <c r="AR26" s="317">
        <f>AD110</f>
        <v>3503559311</v>
      </c>
      <c r="AS26" s="317">
        <f>AG110</f>
        <v>2178283929</v>
      </c>
      <c r="AT26" s="361">
        <f>AO2/12</f>
        <v>0.25</v>
      </c>
      <c r="AU26" s="332">
        <f t="shared" si="22"/>
        <v>0.25750636003096555</v>
      </c>
      <c r="AV26" s="332">
        <f t="shared" si="23"/>
        <v>0.16010060509312157</v>
      </c>
      <c r="AW26" s="426">
        <f>(AR26-AD121-AD139-AD143-AD153-AD168)/$AO$2*12+AD121+AD139+AD143+AD153+AD168</f>
        <v>10263358955</v>
      </c>
      <c r="AX26" s="426">
        <f>(AS26-AG121-AG139-AG143-AG153-AG168)/$AO$2*12+AG121+AG139+AG143+AG153+AG168</f>
        <v>4962257427</v>
      </c>
      <c r="AY26" s="426">
        <f t="shared" si="24"/>
        <v>3342360572</v>
      </c>
      <c r="AZ26" s="46">
        <f t="shared" si="25"/>
        <v>8643462100</v>
      </c>
      <c r="BA26" s="372"/>
      <c r="BB26" s="372"/>
      <c r="BC26" s="372"/>
      <c r="BD26" s="372"/>
      <c r="BE26" s="372"/>
      <c r="BF26" s="372"/>
      <c r="BG26" s="372"/>
      <c r="BH26" s="372"/>
      <c r="BI26" s="372"/>
      <c r="BJ26" s="372"/>
      <c r="BK26" s="372"/>
      <c r="BM26" s="109" t="s">
        <v>431</v>
      </c>
      <c r="BN26" s="86">
        <f>+X198+X212</f>
        <v>4590000000</v>
      </c>
      <c r="BO26" s="84">
        <f>+AA198+AA212</f>
        <v>3684513046</v>
      </c>
      <c r="BP26" s="84">
        <f>+AD198+AD212</f>
        <v>2318884378</v>
      </c>
      <c r="BQ26" s="85">
        <f>+AF198+AF212</f>
        <v>61810117</v>
      </c>
      <c r="BR26" s="372"/>
    </row>
    <row r="27" spans="1:70" s="412" customFormat="1" ht="24.95" customHeight="1">
      <c r="A27" s="593" t="str">
        <f>+IF(FEBRERO!A27=0,"",FEBRERO!A27)</f>
        <v>1130102-2</v>
      </c>
      <c r="B27" s="629" t="str">
        <f>+IF(FEBRERO!B27=0,"",FEBRERO!B27)</f>
        <v>Vigencia Anterior</v>
      </c>
      <c r="C27" s="655">
        <f>+ENERO!C27</f>
        <v>0</v>
      </c>
      <c r="D27" s="363">
        <f>FEBRERO!D27+MARZO!P27</f>
        <v>0</v>
      </c>
      <c r="E27" s="363">
        <f>FEBRERO!E27+MARZO!Q27</f>
        <v>7190990926</v>
      </c>
      <c r="F27" s="363">
        <f>SUM(C27:E27)</f>
        <v>7190990926</v>
      </c>
      <c r="G27" s="363">
        <f>FEBRERO!I27</f>
        <v>5629854872</v>
      </c>
      <c r="H27" s="364">
        <v>1961449910</v>
      </c>
      <c r="I27" s="363">
        <f>SUM(G27:H27)</f>
        <v>7591304782</v>
      </c>
      <c r="J27" s="363">
        <f>FEBRERO!L27</f>
        <v>5629854872</v>
      </c>
      <c r="K27" s="364">
        <v>1961449910</v>
      </c>
      <c r="L27" s="363">
        <f>SUM(J27:K27)</f>
        <v>7591304782</v>
      </c>
      <c r="M27" s="363">
        <f>F27-I27</f>
        <v>-400313856</v>
      </c>
      <c r="N27" s="143">
        <f>F27-L27</f>
        <v>-400313856</v>
      </c>
      <c r="O27" s="372"/>
      <c r="P27" s="362">
        <v>0</v>
      </c>
      <c r="Q27" s="365">
        <v>1878842495</v>
      </c>
      <c r="R27" s="9"/>
      <c r="S27" s="689" t="str">
        <f>+IF(FEBRERO!S27=0,"",FEBRERO!S27)</f>
        <v>1010104-7</v>
      </c>
      <c r="T27" s="705" t="str">
        <f>+IF(FEBRERO!T27=0,"",FEBRERO!T27)</f>
        <v>Auxilio de Alimentación</v>
      </c>
      <c r="U27" s="29">
        <f>+ENERO!U27</f>
        <v>92622</v>
      </c>
      <c r="V27" s="15">
        <f>FEBRERO!V27+MARZO!AL27</f>
        <v>0</v>
      </c>
      <c r="W27" s="15">
        <f>FEBRERO!W27+MARZO!AM27</f>
        <v>0</v>
      </c>
      <c r="X27" s="18">
        <f t="shared" si="14"/>
        <v>92622</v>
      </c>
      <c r="Y27" s="19">
        <f>FEBRERO!AA27</f>
        <v>0</v>
      </c>
      <c r="Z27" s="364">
        <v>0</v>
      </c>
      <c r="AA27" s="16">
        <f t="shared" si="15"/>
        <v>0</v>
      </c>
      <c r="AB27" s="19">
        <f>FEBRERO!AD27</f>
        <v>0</v>
      </c>
      <c r="AC27" s="364">
        <v>0</v>
      </c>
      <c r="AD27" s="16">
        <f t="shared" si="16"/>
        <v>0</v>
      </c>
      <c r="AE27" s="19">
        <f>FEBRERO!AG27</f>
        <v>0</v>
      </c>
      <c r="AF27" s="364">
        <v>0</v>
      </c>
      <c r="AG27" s="16">
        <f t="shared" si="17"/>
        <v>0</v>
      </c>
      <c r="AH27" s="19">
        <f t="shared" si="18"/>
        <v>92622</v>
      </c>
      <c r="AI27" s="15">
        <f t="shared" si="19"/>
        <v>92622</v>
      </c>
      <c r="AJ27" s="16">
        <f t="shared" si="20"/>
        <v>92622</v>
      </c>
      <c r="AK27" s="9"/>
      <c r="AL27" s="362">
        <v>0</v>
      </c>
      <c r="AM27" s="365">
        <v>0</v>
      </c>
      <c r="AN27" s="9"/>
      <c r="AO27" s="339"/>
      <c r="AP27" s="428" t="s">
        <v>123</v>
      </c>
      <c r="AQ27" s="363">
        <f>X170</f>
        <v>1260354144</v>
      </c>
      <c r="AR27" s="363">
        <f>AD170</f>
        <v>288870149</v>
      </c>
      <c r="AS27" s="363">
        <f>AG170</f>
        <v>288870149</v>
      </c>
      <c r="AT27" s="421"/>
      <c r="AU27" s="363">
        <f t="shared" si="22"/>
        <v>0.22919760320953092</v>
      </c>
      <c r="AV27" s="363">
        <f t="shared" si="23"/>
        <v>0.22919760320953092</v>
      </c>
      <c r="AW27" s="363">
        <f>(AR27-AD174-AD183-AD191)/$AO$2*12+AD174+AD183+AD191</f>
        <v>1155480596</v>
      </c>
      <c r="AX27" s="363">
        <f>(AS27-AG174-AG183-AG191)/$AO$2*12+AG174+AG183+AG191</f>
        <v>1155480596</v>
      </c>
      <c r="AY27" s="363">
        <f t="shared" si="24"/>
        <v>104873548</v>
      </c>
      <c r="AZ27" s="143">
        <f t="shared" si="25"/>
        <v>104873548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+IF(FEBRERO!A28=0,"",FEBRERO!A28)</f>
        <v>1130103</v>
      </c>
      <c r="B28" s="605" t="str">
        <f>+IF(FEBRERO!B28=0,"",FEBRERO!B28)</f>
        <v>SUBSIDIO A LA OFERTA- ATENCION PERSONAS POBRES NO CUBIERTOS CON SUBSIDIO A LA DEMANDA</v>
      </c>
      <c r="C28" s="43">
        <f>C29+C32+C35+C38+C39+C40</f>
        <v>8952361140</v>
      </c>
      <c r="D28" s="44">
        <f>+D29+D32+D35+D38+D39+D40</f>
        <v>0</v>
      </c>
      <c r="E28" s="44">
        <f>+E29+E32+E35+E38+E39+E40</f>
        <v>1623319475</v>
      </c>
      <c r="F28" s="44">
        <f>+F29+F32+F35+F38+F39+F40</f>
        <v>10575680615</v>
      </c>
      <c r="G28" s="44">
        <f t="shared" ref="G28:N28" si="27">G29+G32+G35+G38+G39+G40</f>
        <v>1552590670</v>
      </c>
      <c r="H28" s="44">
        <f t="shared" si="27"/>
        <v>2854298599</v>
      </c>
      <c r="I28" s="44">
        <f t="shared" si="27"/>
        <v>4406889269</v>
      </c>
      <c r="J28" s="44">
        <f t="shared" si="27"/>
        <v>140401185</v>
      </c>
      <c r="K28" s="44">
        <f t="shared" si="27"/>
        <v>2111451605</v>
      </c>
      <c r="L28" s="44">
        <f t="shared" si="27"/>
        <v>2251852790</v>
      </c>
      <c r="M28" s="44">
        <f t="shared" si="27"/>
        <v>6168791346</v>
      </c>
      <c r="N28" s="45">
        <f t="shared" si="27"/>
        <v>8323827825</v>
      </c>
      <c r="O28" s="372"/>
      <c r="P28" s="43">
        <f>P29+P32+P35+P38+P39+P940</f>
        <v>0</v>
      </c>
      <c r="Q28" s="45">
        <f>Q29+Q32+Q35+Q38+Q39+Q40</f>
        <v>1593314985</v>
      </c>
      <c r="R28" s="9"/>
      <c r="S28" s="689" t="str">
        <f>+IF(FEBRERO!S28=0,"",FEBRERO!S28)</f>
        <v>1010104-8</v>
      </c>
      <c r="T28" s="705" t="str">
        <f>+IF(FEBRERO!T28=0,"",FEBRERO!T28)</f>
        <v>Indemnizaciones por Vacaciones o Supresión de Cargos por Reestructuración</v>
      </c>
      <c r="U28" s="29">
        <f>+ENERO!U28</f>
        <v>0</v>
      </c>
      <c r="V28" s="15">
        <f>FEBRERO!V28+MARZO!AL28</f>
        <v>0</v>
      </c>
      <c r="W28" s="15">
        <f>FEBRERO!W28+MARZO!AM28</f>
        <v>0</v>
      </c>
      <c r="X28" s="18">
        <f t="shared" si="14"/>
        <v>0</v>
      </c>
      <c r="Y28" s="19">
        <f>FEBRERO!AA28</f>
        <v>0</v>
      </c>
      <c r="Z28" s="364">
        <v>0</v>
      </c>
      <c r="AA28" s="16">
        <f t="shared" si="15"/>
        <v>0</v>
      </c>
      <c r="AB28" s="19">
        <f>FEBRERO!AD28</f>
        <v>0</v>
      </c>
      <c r="AC28" s="364">
        <v>0</v>
      </c>
      <c r="AD28" s="16">
        <f t="shared" si="16"/>
        <v>0</v>
      </c>
      <c r="AE28" s="19">
        <f>FEBRERO!AG28</f>
        <v>0</v>
      </c>
      <c r="AF28" s="364">
        <v>0</v>
      </c>
      <c r="AG28" s="16">
        <f t="shared" si="17"/>
        <v>0</v>
      </c>
      <c r="AH28" s="19">
        <f t="shared" si="18"/>
        <v>0</v>
      </c>
      <c r="AI28" s="15">
        <f t="shared" si="19"/>
        <v>0</v>
      </c>
      <c r="AJ28" s="16">
        <f t="shared" si="20"/>
        <v>0</v>
      </c>
      <c r="AK28" s="9"/>
      <c r="AL28" s="362">
        <v>0</v>
      </c>
      <c r="AM28" s="365">
        <v>0</v>
      </c>
      <c r="AN28" s="9"/>
      <c r="AO28" s="339"/>
      <c r="AP28" s="777" t="s">
        <v>566</v>
      </c>
      <c r="AQ28" s="363">
        <f>X195</f>
        <v>16598949216</v>
      </c>
      <c r="AR28" s="363">
        <f>AD195</f>
        <v>8104622350</v>
      </c>
      <c r="AS28" s="363">
        <f>AG195</f>
        <v>3857742458</v>
      </c>
      <c r="AT28" s="421"/>
      <c r="AU28" s="363">
        <f t="shared" si="22"/>
        <v>0.48826116909784995</v>
      </c>
      <c r="AV28" s="363">
        <f t="shared" si="23"/>
        <v>0.2324088355111936</v>
      </c>
      <c r="AW28" s="363">
        <f>(AR28-AD207)/$AO$2*12+AD207</f>
        <v>23834919988</v>
      </c>
      <c r="AX28" s="363">
        <f>(AS28-AG207)/$AO$2*12+AG207</f>
        <v>6847400420</v>
      </c>
      <c r="AY28" s="363">
        <f t="shared" si="24"/>
        <v>-7235970772</v>
      </c>
      <c r="AZ28" s="143">
        <f t="shared" si="25"/>
        <v>9751548796</v>
      </c>
      <c r="BA28" s="372"/>
      <c r="BB28" s="372"/>
      <c r="BC28" s="372"/>
      <c r="BD28" s="372"/>
      <c r="BE28" s="372"/>
      <c r="BF28" s="372"/>
      <c r="BG28" s="372"/>
      <c r="BH28" s="372"/>
      <c r="BI28" s="372"/>
      <c r="BJ28" s="372"/>
      <c r="BK28" s="372"/>
      <c r="BL28" s="372"/>
      <c r="BM28" s="71" t="s">
        <v>433</v>
      </c>
      <c r="BN28" s="83">
        <f>+X196-X198-X207</f>
        <v>6662444359</v>
      </c>
      <c r="BO28" s="81">
        <f>+AA196-AA198-AA207</f>
        <v>5036880595</v>
      </c>
      <c r="BP28" s="81">
        <f>+AD196-AD198-AD207</f>
        <v>2924548168</v>
      </c>
      <c r="BQ28" s="82">
        <f>+AF196-AF198-AF207</f>
        <v>225854705</v>
      </c>
      <c r="BR28" s="9"/>
    </row>
    <row r="29" spans="1:70" s="9" customFormat="1" ht="24.95" customHeight="1">
      <c r="A29" s="593" t="str">
        <f>+IF(FEBRERO!A29=0,"",FEBRERO!A29)</f>
        <v>1130103-1</v>
      </c>
      <c r="B29" s="630" t="str">
        <f>+IF(FEBRERO!B29=0,"",FEBRERO!B29)</f>
        <v>Prestación de Servicios de salud  1er Nivel</v>
      </c>
      <c r="C29" s="19">
        <f t="shared" ref="C29:N29" si="28">SUM(C30:C31)</f>
        <v>0</v>
      </c>
      <c r="D29" s="15">
        <f t="shared" si="28"/>
        <v>0</v>
      </c>
      <c r="E29" s="15">
        <f t="shared" si="28"/>
        <v>0</v>
      </c>
      <c r="F29" s="15">
        <f t="shared" si="28"/>
        <v>0</v>
      </c>
      <c r="G29" s="15">
        <f t="shared" si="28"/>
        <v>0</v>
      </c>
      <c r="H29" s="15">
        <f t="shared" si="28"/>
        <v>0</v>
      </c>
      <c r="I29" s="15">
        <f t="shared" si="28"/>
        <v>0</v>
      </c>
      <c r="J29" s="15">
        <f t="shared" si="28"/>
        <v>0</v>
      </c>
      <c r="K29" s="15">
        <f t="shared" si="28"/>
        <v>0</v>
      </c>
      <c r="L29" s="15">
        <f t="shared" si="28"/>
        <v>0</v>
      </c>
      <c r="M29" s="15">
        <f t="shared" si="28"/>
        <v>0</v>
      </c>
      <c r="N29" s="16">
        <f t="shared" si="28"/>
        <v>0</v>
      </c>
      <c r="O29" s="372"/>
      <c r="P29" s="144">
        <f>SUM(P30:P31)</f>
        <v>0</v>
      </c>
      <c r="Q29" s="145">
        <f>SUM(Q30:Q31)</f>
        <v>0</v>
      </c>
      <c r="S29" s="689" t="str">
        <f>+IF(FEBRERO!S29=0,"",FEBRERO!S29)</f>
        <v>1010104-9</v>
      </c>
      <c r="T29" s="705" t="str">
        <f>+IF(FEBRERO!T29=0,"",FEBRERO!T29)</f>
        <v>Bonificación Especial por Recreación</v>
      </c>
      <c r="U29" s="29">
        <f>+ENERO!U29</f>
        <v>8443869</v>
      </c>
      <c r="V29" s="15">
        <f>FEBRERO!V29+MARZO!AL29</f>
        <v>0</v>
      </c>
      <c r="W29" s="15">
        <f>FEBRERO!W29+MARZO!AM29</f>
        <v>0</v>
      </c>
      <c r="X29" s="18">
        <f t="shared" si="14"/>
        <v>8443869</v>
      </c>
      <c r="Y29" s="19">
        <f>FEBRERO!AA29</f>
        <v>407152</v>
      </c>
      <c r="Z29" s="364">
        <v>227298</v>
      </c>
      <c r="AA29" s="16">
        <f t="shared" si="15"/>
        <v>634450</v>
      </c>
      <c r="AB29" s="19">
        <f>FEBRERO!AD29</f>
        <v>407152</v>
      </c>
      <c r="AC29" s="364">
        <v>227298</v>
      </c>
      <c r="AD29" s="16">
        <f t="shared" si="16"/>
        <v>634450</v>
      </c>
      <c r="AE29" s="19">
        <f>FEBRERO!AG29</f>
        <v>407152</v>
      </c>
      <c r="AF29" s="364">
        <v>227298</v>
      </c>
      <c r="AG29" s="16">
        <f t="shared" si="17"/>
        <v>634450</v>
      </c>
      <c r="AH29" s="19">
        <f t="shared" si="18"/>
        <v>7809419</v>
      </c>
      <c r="AI29" s="15">
        <f t="shared" si="19"/>
        <v>7809419</v>
      </c>
      <c r="AJ29" s="16">
        <f t="shared" si="20"/>
        <v>7809419</v>
      </c>
      <c r="AL29" s="362">
        <v>0</v>
      </c>
      <c r="AM29" s="365">
        <v>0</v>
      </c>
      <c r="AO29" s="21"/>
      <c r="AP29" s="777" t="s">
        <v>565</v>
      </c>
      <c r="AQ29" s="363">
        <f>X209</f>
        <v>0</v>
      </c>
      <c r="AR29" s="363">
        <f>AD209</f>
        <v>0</v>
      </c>
      <c r="AS29" s="363">
        <f>AG209</f>
        <v>0</v>
      </c>
      <c r="AT29" s="317"/>
      <c r="AU29" s="332" t="str">
        <f t="shared" si="22"/>
        <v xml:space="preserve"> </v>
      </c>
      <c r="AV29" s="332" t="str">
        <f t="shared" si="23"/>
        <v xml:space="preserve"> </v>
      </c>
      <c r="AW29" s="426">
        <f>(AR29-AD218)/$AO$2*12+AD218</f>
        <v>0</v>
      </c>
      <c r="AX29" s="426">
        <f>(AS29-AG218)/$AO$2*12+AG218</f>
        <v>0</v>
      </c>
      <c r="AY29" s="426">
        <f t="shared" si="24"/>
        <v>0</v>
      </c>
      <c r="AZ29" s="46">
        <f t="shared" si="25"/>
        <v>0</v>
      </c>
      <c r="BA29" s="372"/>
      <c r="BB29" s="412"/>
      <c r="BC29" s="412"/>
      <c r="BD29" s="412"/>
      <c r="BE29" s="412"/>
      <c r="BF29" s="412"/>
      <c r="BG29" s="372"/>
      <c r="BH29" s="372"/>
      <c r="BI29" s="372"/>
      <c r="BJ29" s="372"/>
      <c r="BK29" s="372"/>
      <c r="BM29" s="110" t="s">
        <v>70</v>
      </c>
      <c r="BN29" s="106">
        <f>X232-X256-X241</f>
        <v>18829618396</v>
      </c>
      <c r="BO29" s="107">
        <f>AA232-AA256-AA241</f>
        <v>8760368877</v>
      </c>
      <c r="BP29" s="107">
        <f>AD232-AD256-AD241</f>
        <v>2602281257</v>
      </c>
      <c r="BQ29" s="108">
        <f>AF232-AF256-AF241</f>
        <v>999216963</v>
      </c>
      <c r="BR29" s="372"/>
    </row>
    <row r="30" spans="1:70" s="412" customFormat="1" ht="24.95" customHeight="1">
      <c r="A30" s="593" t="str">
        <f>+IF(FEBRERO!A30=0,"",FEBRERO!A30)</f>
        <v>1130103-1-1</v>
      </c>
      <c r="B30" s="629" t="str">
        <f>+CONCATENATE("Vigencia ",INSTRUCCIONES!$F$3)</f>
        <v>Vigencia 2019</v>
      </c>
      <c r="C30" s="655">
        <f>+ENERO!C30</f>
        <v>0</v>
      </c>
      <c r="D30" s="363">
        <f>FEBRERO!D30+MARZO!P30</f>
        <v>0</v>
      </c>
      <c r="E30" s="363">
        <f>FEBRERO!E30+MARZO!Q30</f>
        <v>0</v>
      </c>
      <c r="F30" s="363">
        <f>SUM(C30:E30)</f>
        <v>0</v>
      </c>
      <c r="G30" s="363">
        <f>FEBRERO!I30</f>
        <v>0</v>
      </c>
      <c r="H30" s="364">
        <v>0</v>
      </c>
      <c r="I30" s="363">
        <f>SUM(G30:H30)</f>
        <v>0</v>
      </c>
      <c r="J30" s="363">
        <f>FEBRERO!L30</f>
        <v>0</v>
      </c>
      <c r="K30" s="364">
        <v>0</v>
      </c>
      <c r="L30" s="363">
        <f>SUM(J30:K30)</f>
        <v>0</v>
      </c>
      <c r="M30" s="363">
        <f>F30-I30</f>
        <v>0</v>
      </c>
      <c r="N30" s="143">
        <f>F30-L30</f>
        <v>0</v>
      </c>
      <c r="O30" s="9"/>
      <c r="P30" s="362">
        <v>0</v>
      </c>
      <c r="Q30" s="365">
        <v>0</v>
      </c>
      <c r="R30" s="9"/>
      <c r="S30" s="689" t="str">
        <f>+IF(FEBRERO!S30=0,"",FEBRERO!S30)</f>
        <v>1010104-10</v>
      </c>
      <c r="T30" s="705" t="str">
        <f>+IF(FEBRERO!T30=0,"",FEBRERO!T30)</f>
        <v>Gastos de Representación</v>
      </c>
      <c r="U30" s="29">
        <f>+ENERO!U30</f>
        <v>0</v>
      </c>
      <c r="V30" s="15">
        <f>FEBRERO!V30+MARZO!AL30</f>
        <v>0</v>
      </c>
      <c r="W30" s="15">
        <f>FEBRERO!W30+MARZO!AM30</f>
        <v>0</v>
      </c>
      <c r="X30" s="18">
        <f t="shared" si="14"/>
        <v>0</v>
      </c>
      <c r="Y30" s="19">
        <f>FEBRERO!AA30</f>
        <v>0</v>
      </c>
      <c r="Z30" s="364">
        <v>0</v>
      </c>
      <c r="AA30" s="16">
        <f t="shared" si="15"/>
        <v>0</v>
      </c>
      <c r="AB30" s="19">
        <f>FEBRERO!AD30</f>
        <v>0</v>
      </c>
      <c r="AC30" s="364">
        <v>0</v>
      </c>
      <c r="AD30" s="16">
        <f t="shared" si="16"/>
        <v>0</v>
      </c>
      <c r="AE30" s="19">
        <f>FEBRERO!AG30</f>
        <v>0</v>
      </c>
      <c r="AF30" s="364">
        <v>0</v>
      </c>
      <c r="AG30" s="16">
        <f t="shared" si="17"/>
        <v>0</v>
      </c>
      <c r="AH30" s="19">
        <f t="shared" si="18"/>
        <v>0</v>
      </c>
      <c r="AI30" s="15">
        <f t="shared" si="19"/>
        <v>0</v>
      </c>
      <c r="AJ30" s="16">
        <f t="shared" si="20"/>
        <v>0</v>
      </c>
      <c r="AK30" s="9"/>
      <c r="AL30" s="362">
        <v>0</v>
      </c>
      <c r="AM30" s="365">
        <v>0</v>
      </c>
      <c r="AN30" s="9"/>
      <c r="AO30" s="360" t="s">
        <v>51</v>
      </c>
      <c r="AP30" s="428" t="s">
        <v>130</v>
      </c>
      <c r="AQ30" s="363">
        <f>X220+X232</f>
        <v>24627598343</v>
      </c>
      <c r="AR30" s="363">
        <f>AD220+AD232</f>
        <v>3316336135</v>
      </c>
      <c r="AS30" s="363">
        <f>AG220+AG232</f>
        <v>2519819535</v>
      </c>
      <c r="AT30" s="421"/>
      <c r="AU30" s="363">
        <f t="shared" si="22"/>
        <v>0.13465933985165124</v>
      </c>
      <c r="AV30" s="363">
        <f t="shared" si="23"/>
        <v>0.10231690073491143</v>
      </c>
      <c r="AW30" s="363">
        <f>(AR30-AD225-AD230-AD241-AD256)/$AO$2*12+AD225+AD230+AD241+AD256</f>
        <v>11357051617</v>
      </c>
      <c r="AX30" s="363">
        <f>(AS30-AG225-AG230-AG241-AG256)/$AO$2*12+AG225+AG230+AG241+AG256</f>
        <v>8170985217</v>
      </c>
      <c r="AY30" s="363">
        <f t="shared" si="24"/>
        <v>13270546726</v>
      </c>
      <c r="AZ30" s="143">
        <f t="shared" si="25"/>
        <v>16456613126</v>
      </c>
      <c r="BA30" s="372"/>
      <c r="BG30" s="372"/>
      <c r="BH30" s="372"/>
      <c r="BI30" s="372"/>
      <c r="BJ30" s="372"/>
      <c r="BK30" s="372"/>
      <c r="BL30" s="372"/>
      <c r="BM30" s="110" t="s">
        <v>74</v>
      </c>
      <c r="BN30" s="106">
        <f>X220-X225-X230</f>
        <v>262344980</v>
      </c>
      <c r="BO30" s="107">
        <f>AA220-AA225-AA230</f>
        <v>77957237</v>
      </c>
      <c r="BP30" s="107">
        <f>AD220-AD225-AD230</f>
        <v>77957237</v>
      </c>
      <c r="BQ30" s="108">
        <f>AF220-AF225-AF230</f>
        <v>26080012</v>
      </c>
      <c r="BR30" s="372"/>
    </row>
    <row r="31" spans="1:70" s="412" customFormat="1" ht="24.95" customHeight="1">
      <c r="A31" s="593" t="str">
        <f>+IF(FEBRERO!A31=0,"",FEBRERO!A31)</f>
        <v>1130103-1-2</v>
      </c>
      <c r="B31" s="629" t="str">
        <f>+IF(FEBRERO!B31=0,"",FEBRERO!B31)</f>
        <v>Vigencia Anterior</v>
      </c>
      <c r="C31" s="655">
        <f>+ENERO!C31</f>
        <v>0</v>
      </c>
      <c r="D31" s="363">
        <f>FEBRERO!D31+MARZO!P31</f>
        <v>0</v>
      </c>
      <c r="E31" s="363">
        <f>FEBRERO!E31+MARZO!Q31</f>
        <v>0</v>
      </c>
      <c r="F31" s="363">
        <f>SUM(C31:E31)</f>
        <v>0</v>
      </c>
      <c r="G31" s="363">
        <f>FEBRERO!I31</f>
        <v>0</v>
      </c>
      <c r="H31" s="364">
        <v>0</v>
      </c>
      <c r="I31" s="363">
        <f>SUM(G31:H31)</f>
        <v>0</v>
      </c>
      <c r="J31" s="363">
        <f>FEBRERO!L31</f>
        <v>0</v>
      </c>
      <c r="K31" s="364">
        <v>0</v>
      </c>
      <c r="L31" s="363">
        <f>SUM(J31:K31)</f>
        <v>0</v>
      </c>
      <c r="M31" s="363">
        <f>F31-I31</f>
        <v>0</v>
      </c>
      <c r="N31" s="143">
        <f>F31-L31</f>
        <v>0</v>
      </c>
      <c r="O31" s="372"/>
      <c r="P31" s="362">
        <v>0</v>
      </c>
      <c r="Q31" s="365">
        <v>0</v>
      </c>
      <c r="R31" s="9"/>
      <c r="S31" s="689" t="str">
        <f>+IF(FEBRERO!S31=0,"",FEBRERO!S31)</f>
        <v>1010104-11</v>
      </c>
      <c r="T31" s="705" t="str">
        <f>+IF(FEBRERO!T31=0,"",FEBRERO!T31)</f>
        <v/>
      </c>
      <c r="U31" s="29">
        <f>+ENERO!U31</f>
        <v>0</v>
      </c>
      <c r="V31" s="15">
        <f>FEBRERO!V31+MARZO!AL31</f>
        <v>0</v>
      </c>
      <c r="W31" s="15">
        <f>FEBRERO!W31+MARZO!AM31</f>
        <v>0</v>
      </c>
      <c r="X31" s="18">
        <f t="shared" si="14"/>
        <v>0</v>
      </c>
      <c r="Y31" s="19">
        <f>FEBRERO!AA31</f>
        <v>0</v>
      </c>
      <c r="Z31" s="364">
        <v>0</v>
      </c>
      <c r="AA31" s="16">
        <f t="shared" si="15"/>
        <v>0</v>
      </c>
      <c r="AB31" s="19">
        <f>FEBRERO!AD31</f>
        <v>0</v>
      </c>
      <c r="AC31" s="364">
        <v>0</v>
      </c>
      <c r="AD31" s="16">
        <f t="shared" si="16"/>
        <v>0</v>
      </c>
      <c r="AE31" s="19">
        <f>FEBRERO!AG31</f>
        <v>0</v>
      </c>
      <c r="AF31" s="364">
        <v>0</v>
      </c>
      <c r="AG31" s="16">
        <f t="shared" si="17"/>
        <v>0</v>
      </c>
      <c r="AH31" s="19">
        <f t="shared" si="18"/>
        <v>0</v>
      </c>
      <c r="AI31" s="15">
        <f t="shared" si="19"/>
        <v>0</v>
      </c>
      <c r="AJ31" s="16">
        <f t="shared" si="20"/>
        <v>0</v>
      </c>
      <c r="AK31" s="9"/>
      <c r="AL31" s="362">
        <v>0</v>
      </c>
      <c r="AM31" s="365">
        <v>0</v>
      </c>
      <c r="AN31" s="9"/>
      <c r="AO31" s="339"/>
      <c r="AP31" s="405" t="s">
        <v>133</v>
      </c>
      <c r="AQ31" s="421">
        <f>X258</f>
        <v>0</v>
      </c>
      <c r="AR31" s="421">
        <f>AD258</f>
        <v>-472328335</v>
      </c>
      <c r="AS31" s="421">
        <f>AG258</f>
        <v>-14194552382</v>
      </c>
      <c r="AT31" s="421"/>
      <c r="AU31" s="363" t="str">
        <f t="shared" si="22"/>
        <v xml:space="preserve"> </v>
      </c>
      <c r="AV31" s="363" t="str">
        <f t="shared" si="23"/>
        <v xml:space="preserve"> </v>
      </c>
      <c r="AW31" s="363">
        <f>AQ31</f>
        <v>0</v>
      </c>
      <c r="AX31" s="363">
        <f>AQ31</f>
        <v>0</v>
      </c>
      <c r="AY31" s="363">
        <f t="shared" si="24"/>
        <v>0</v>
      </c>
      <c r="AZ31" s="143">
        <f t="shared" si="25"/>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17096022853</v>
      </c>
      <c r="BO31" s="107">
        <f>AA33+AA41+AA55+AA61+AA81+AA88+AA102+AA108+AA121+AA139+AA143+AA153+AA168+AA174+AA183+AA191+AA207+AA218+AA230+AA241+AA256+AA225</f>
        <v>8465104871</v>
      </c>
      <c r="BP31" s="107">
        <f>AD33+AD41+AD55+AD61+AD81+AD88+AD102+AD108+AD121+AD139+AD143+AD153+AD168+AD174+AD183+AD191+AD207+AD218+AD230+AD241+AD256+AD225</f>
        <v>8465104871</v>
      </c>
      <c r="BQ31" s="108">
        <f>AF33+AF41+AF55+AF61+AF81+AF88+AF102+AF108+AF121+AF139+AF143+AF153+AF168+AF174+AF183+AF191+AF207+AF218+AF230+AF241+AF256+AF225</f>
        <v>3938271149</v>
      </c>
      <c r="BR31" s="9"/>
    </row>
    <row r="32" spans="1:70" s="9" customFormat="1" ht="24.95" customHeight="1" thickBot="1">
      <c r="A32" s="593" t="str">
        <f>+IF(FEBRERO!A32=0,"",FEBRERO!A32)</f>
        <v>1130103-2</v>
      </c>
      <c r="B32" s="630" t="str">
        <f>+IF(FEBRERO!B32=0,"",FEBRERO!B32)</f>
        <v>Prestación de Servicios de salud  2o. Nivel</v>
      </c>
      <c r="C32" s="19">
        <f t="shared" ref="C32:N32" si="29">SUM(C33:C34)</f>
        <v>0</v>
      </c>
      <c r="D32" s="15">
        <f t="shared" si="29"/>
        <v>0</v>
      </c>
      <c r="E32" s="15">
        <f t="shared" si="29"/>
        <v>0</v>
      </c>
      <c r="F32" s="15">
        <f t="shared" si="29"/>
        <v>0</v>
      </c>
      <c r="G32" s="15">
        <f t="shared" si="29"/>
        <v>0</v>
      </c>
      <c r="H32" s="15">
        <f t="shared" si="29"/>
        <v>0</v>
      </c>
      <c r="I32" s="15">
        <f t="shared" si="29"/>
        <v>0</v>
      </c>
      <c r="J32" s="15">
        <f t="shared" si="29"/>
        <v>0</v>
      </c>
      <c r="K32" s="15">
        <f t="shared" si="29"/>
        <v>0</v>
      </c>
      <c r="L32" s="15">
        <f t="shared" si="29"/>
        <v>0</v>
      </c>
      <c r="M32" s="15">
        <f t="shared" si="29"/>
        <v>0</v>
      </c>
      <c r="N32" s="16">
        <f t="shared" si="29"/>
        <v>0</v>
      </c>
      <c r="O32" s="372"/>
      <c r="P32" s="144">
        <f>SUM(P33:P34)</f>
        <v>0</v>
      </c>
      <c r="Q32" s="145">
        <f>SUM(Q33:Q34)</f>
        <v>0</v>
      </c>
      <c r="S32" s="689" t="str">
        <f>+IF(FEBRERO!S32=0,"",FEBRERO!S32)</f>
        <v>1010104-12</v>
      </c>
      <c r="T32" s="705" t="str">
        <f>+IF(FEBRERO!T32=0,"",FEBRERO!T32)</f>
        <v/>
      </c>
      <c r="U32" s="29">
        <f>+ENERO!U32</f>
        <v>0</v>
      </c>
      <c r="V32" s="15">
        <f>FEBRERO!V32+MARZO!AL32</f>
        <v>0</v>
      </c>
      <c r="W32" s="15">
        <f>FEBRERO!W32+MARZO!AM32</f>
        <v>0</v>
      </c>
      <c r="X32" s="18">
        <f t="shared" si="14"/>
        <v>0</v>
      </c>
      <c r="Y32" s="19">
        <f>FEBRERO!AA32</f>
        <v>0</v>
      </c>
      <c r="Z32" s="364">
        <v>0</v>
      </c>
      <c r="AA32" s="16">
        <f t="shared" si="15"/>
        <v>0</v>
      </c>
      <c r="AB32" s="19">
        <f>FEBRERO!AD32</f>
        <v>0</v>
      </c>
      <c r="AC32" s="364">
        <v>0</v>
      </c>
      <c r="AD32" s="16">
        <f t="shared" si="16"/>
        <v>0</v>
      </c>
      <c r="AE32" s="19">
        <f>FEBRERO!AG32</f>
        <v>0</v>
      </c>
      <c r="AF32" s="364">
        <v>0</v>
      </c>
      <c r="AG32" s="16">
        <f t="shared" si="17"/>
        <v>0</v>
      </c>
      <c r="AH32" s="19">
        <f t="shared" si="18"/>
        <v>0</v>
      </c>
      <c r="AI32" s="15">
        <f t="shared" si="19"/>
        <v>0</v>
      </c>
      <c r="AJ32" s="16">
        <f t="shared" si="20"/>
        <v>0</v>
      </c>
      <c r="AL32" s="362">
        <v>0</v>
      </c>
      <c r="AM32" s="365">
        <v>0</v>
      </c>
      <c r="AO32" s="21"/>
      <c r="AP32" s="430" t="s">
        <v>138</v>
      </c>
      <c r="AQ32" s="385">
        <f>SUM(AQ22:AQ31)</f>
        <v>94859073150</v>
      </c>
      <c r="AR32" s="385">
        <f>SUM(AR22:AR31)</f>
        <v>24874935606</v>
      </c>
      <c r="AS32" s="385">
        <f>SUM(AS22:AS31)</f>
        <v>0</v>
      </c>
      <c r="AT32" s="431"/>
      <c r="AU32" s="432">
        <f t="shared" si="22"/>
        <v>0.26223043067968244</v>
      </c>
      <c r="AV32" s="432">
        <f t="shared" si="23"/>
        <v>0</v>
      </c>
      <c r="AW32" s="341">
        <f>SUM(AW22:AW31)</f>
        <v>76484916074.5</v>
      </c>
      <c r="AX32" s="341">
        <f>SUM(AX22:AX31)</f>
        <v>31874069838.5</v>
      </c>
      <c r="AY32" s="341">
        <f>SUM(AY22:AY31)</f>
        <v>18374157075.5</v>
      </c>
      <c r="AZ32" s="342">
        <f>SUM(AZ22:AZ31)</f>
        <v>62985003311.5</v>
      </c>
      <c r="BA32" s="372"/>
      <c r="BB32" s="412"/>
      <c r="BC32" s="412"/>
      <c r="BD32" s="412"/>
      <c r="BE32" s="412"/>
      <c r="BF32" s="412"/>
      <c r="BG32" s="372"/>
      <c r="BH32" s="372"/>
      <c r="BI32" s="372"/>
      <c r="BJ32" s="372"/>
      <c r="BK32" s="372"/>
      <c r="BM32" s="110" t="s">
        <v>134</v>
      </c>
      <c r="BN32" s="106">
        <f>+BN7+BN25+BN29+BN30+BN31</f>
        <v>94859073150</v>
      </c>
      <c r="BO32" s="107">
        <f>+BO7+BO25+BO29+BO30+BO31</f>
        <v>54785545310</v>
      </c>
      <c r="BP32" s="107">
        <f>+BP7+BP25+BP29+BP30+BP31</f>
        <v>25347263941</v>
      </c>
      <c r="BQ32" s="108">
        <f>+BQ7+BQ25+BQ29+BQ30+BQ31</f>
        <v>6618065696</v>
      </c>
      <c r="BR32" s="372"/>
    </row>
    <row r="33" spans="1:70" s="412" customFormat="1" ht="24.95" customHeight="1" thickBot="1">
      <c r="A33" s="593" t="str">
        <f>+IF(FEBRERO!A33=0,"",FEBRERO!A33)</f>
        <v>1130103-2-1</v>
      </c>
      <c r="B33" s="629" t="str">
        <f>+CONCATENATE("Vigencia ",INSTRUCCIONES!$F$3)</f>
        <v>Vigencia 2019</v>
      </c>
      <c r="C33" s="655">
        <f>+ENERO!C33</f>
        <v>0</v>
      </c>
      <c r="D33" s="363">
        <f>FEBRERO!D33+MARZO!P33</f>
        <v>0</v>
      </c>
      <c r="E33" s="363">
        <f>FEBRERO!E33+MARZO!Q33</f>
        <v>0</v>
      </c>
      <c r="F33" s="363">
        <f>SUM(C33:E33)</f>
        <v>0</v>
      </c>
      <c r="G33" s="363">
        <f>FEBRERO!I33</f>
        <v>0</v>
      </c>
      <c r="H33" s="364">
        <v>0</v>
      </c>
      <c r="I33" s="363">
        <f>SUM(G33:H33)</f>
        <v>0</v>
      </c>
      <c r="J33" s="363">
        <f>FEBRERO!L33</f>
        <v>0</v>
      </c>
      <c r="K33" s="364">
        <v>0</v>
      </c>
      <c r="L33" s="363">
        <f>SUM(J33:K33)</f>
        <v>0</v>
      </c>
      <c r="M33" s="363">
        <f>F33-I33</f>
        <v>0</v>
      </c>
      <c r="N33" s="143">
        <f>F33-L33</f>
        <v>0</v>
      </c>
      <c r="O33" s="9"/>
      <c r="P33" s="362">
        <v>0</v>
      </c>
      <c r="Q33" s="365">
        <v>0</v>
      </c>
      <c r="R33" s="9"/>
      <c r="S33" s="688">
        <f>+IF(FEBRERO!S33=0,"",FEBRERO!S33)</f>
        <v>1010199</v>
      </c>
      <c r="T33" s="704" t="str">
        <f>+IF(FEBRERO!T33=0,"",FEBRERO!T33)</f>
        <v>Vigencias Anteriores</v>
      </c>
      <c r="U33" s="29">
        <f>+ENERO!U33</f>
        <v>0</v>
      </c>
      <c r="V33" s="15">
        <f>FEBRERO!V33+MARZO!AL33</f>
        <v>-120000000</v>
      </c>
      <c r="W33" s="15">
        <f>FEBRERO!W33+MARZO!AM33</f>
        <v>120000000</v>
      </c>
      <c r="X33" s="18">
        <f t="shared" si="14"/>
        <v>0</v>
      </c>
      <c r="Y33" s="19">
        <f>FEBRERO!AA33</f>
        <v>0</v>
      </c>
      <c r="Z33" s="364">
        <v>0</v>
      </c>
      <c r="AA33" s="16">
        <f t="shared" si="15"/>
        <v>0</v>
      </c>
      <c r="AB33" s="19">
        <f>FEBRERO!AD33</f>
        <v>0</v>
      </c>
      <c r="AC33" s="364">
        <v>0</v>
      </c>
      <c r="AD33" s="16">
        <f t="shared" si="16"/>
        <v>0</v>
      </c>
      <c r="AE33" s="19">
        <f>FEBRERO!AG33</f>
        <v>0</v>
      </c>
      <c r="AF33" s="364">
        <v>0</v>
      </c>
      <c r="AG33" s="16">
        <f t="shared" si="17"/>
        <v>0</v>
      </c>
      <c r="AH33" s="19">
        <f t="shared" si="18"/>
        <v>0</v>
      </c>
      <c r="AI33" s="15">
        <f t="shared" si="19"/>
        <v>0</v>
      </c>
      <c r="AJ33" s="16">
        <f t="shared" si="20"/>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-14535895741</v>
      </c>
      <c r="BP33" s="113">
        <f>AD258</f>
        <v>-472328335</v>
      </c>
      <c r="BQ33" s="114">
        <f>AF258</f>
        <v>63366071848</v>
      </c>
      <c r="BR33" s="372"/>
    </row>
    <row r="34" spans="1:70" s="412" customFormat="1" ht="24.95" customHeight="1" thickBot="1">
      <c r="A34" s="593" t="str">
        <f>+IF(FEBRERO!A34=0,"",FEBRERO!A34)</f>
        <v>1130103-2-2</v>
      </c>
      <c r="B34" s="629" t="str">
        <f>+IF(FEBRERO!B34=0,"",FEBRERO!B34)</f>
        <v>Vigencia Anterior</v>
      </c>
      <c r="C34" s="655">
        <f>+ENERO!C34</f>
        <v>0</v>
      </c>
      <c r="D34" s="363">
        <f>FEBRERO!D34+MARZO!P34</f>
        <v>0</v>
      </c>
      <c r="E34" s="363">
        <f>FEBRERO!E34+MARZO!Q34</f>
        <v>0</v>
      </c>
      <c r="F34" s="363">
        <f>SUM(C34:E34)</f>
        <v>0</v>
      </c>
      <c r="G34" s="363">
        <f>FEBRERO!I34</f>
        <v>0</v>
      </c>
      <c r="H34" s="364">
        <v>0</v>
      </c>
      <c r="I34" s="363">
        <f>SUM(G34:H34)</f>
        <v>0</v>
      </c>
      <c r="J34" s="363">
        <f>FEBRERO!L34</f>
        <v>0</v>
      </c>
      <c r="K34" s="364">
        <v>0</v>
      </c>
      <c r="L34" s="363">
        <f>SUM(J34:K34)</f>
        <v>0</v>
      </c>
      <c r="M34" s="363">
        <f>F34-I34</f>
        <v>0</v>
      </c>
      <c r="N34" s="143">
        <f>F34-L34</f>
        <v>0</v>
      </c>
      <c r="O34" s="372"/>
      <c r="P34" s="362">
        <v>0</v>
      </c>
      <c r="Q34" s="365">
        <v>0</v>
      </c>
      <c r="R34" s="9"/>
      <c r="S34" s="356" t="str">
        <f>+IF(FEBRERO!S34=0,"",FEBRERO!S34)</f>
        <v/>
      </c>
      <c r="T34" s="678" t="str">
        <f>+IF(FEBRERO!T34=0,"",FEBRERO!T34)</f>
        <v/>
      </c>
      <c r="U34" s="357"/>
      <c r="V34" s="161"/>
      <c r="W34" s="161"/>
      <c r="X34" s="161"/>
      <c r="Y34" s="357"/>
      <c r="Z34" s="161"/>
      <c r="AA34" s="166"/>
      <c r="AB34" s="357"/>
      <c r="AC34" s="161"/>
      <c r="AD34" s="166"/>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+IF(FEBRERO!A35=0,"",FEBRERO!A35)</f>
        <v>1130103-3</v>
      </c>
      <c r="B35" s="630" t="str">
        <f>+IF(FEBRERO!B35=0,"",FEBRERO!B35)</f>
        <v>Prestación de Servicios de salud  3o. Nivel</v>
      </c>
      <c r="C35" s="19">
        <f t="shared" ref="C35:N35" si="30">SUM(C36:C37)</f>
        <v>7627600802</v>
      </c>
      <c r="D35" s="15">
        <f t="shared" si="30"/>
        <v>0</v>
      </c>
      <c r="E35" s="15">
        <f t="shared" si="30"/>
        <v>1623319475</v>
      </c>
      <c r="F35" s="15">
        <f t="shared" si="30"/>
        <v>9250920277</v>
      </c>
      <c r="G35" s="15">
        <f t="shared" si="30"/>
        <v>1442193975</v>
      </c>
      <c r="H35" s="15">
        <f t="shared" si="30"/>
        <v>2743901904</v>
      </c>
      <c r="I35" s="15">
        <f t="shared" si="30"/>
        <v>4186095879</v>
      </c>
      <c r="J35" s="15">
        <f t="shared" si="30"/>
        <v>30004490</v>
      </c>
      <c r="K35" s="15">
        <f t="shared" si="30"/>
        <v>2001054910</v>
      </c>
      <c r="L35" s="15">
        <f t="shared" si="30"/>
        <v>2031059400</v>
      </c>
      <c r="M35" s="15">
        <f t="shared" si="30"/>
        <v>5064824398</v>
      </c>
      <c r="N35" s="16">
        <f t="shared" si="30"/>
        <v>7219860877</v>
      </c>
      <c r="P35" s="144">
        <f>SUM(P36:P37)</f>
        <v>0</v>
      </c>
      <c r="Q35" s="145">
        <f>SUM(Q36:Q37)</f>
        <v>1593314985</v>
      </c>
      <c r="R35" s="9"/>
      <c r="S35" s="687">
        <f>+IF(FEBRERO!S35=0,"",FEBRERO!S35)</f>
        <v>1010200</v>
      </c>
      <c r="T35" s="703" t="str">
        <f>+IF(FEBRERO!T35=0,"",FEBRERO!T35)</f>
        <v>Servicios Personales Indirectos</v>
      </c>
      <c r="U35" s="128">
        <f t="shared" ref="U35:AJ35" si="31">SUM(U36:U41)</f>
        <v>4253886796</v>
      </c>
      <c r="V35" s="122">
        <f t="shared" si="31"/>
        <v>120000000</v>
      </c>
      <c r="W35" s="122">
        <f t="shared" si="31"/>
        <v>100000000</v>
      </c>
      <c r="X35" s="129">
        <f t="shared" si="31"/>
        <v>4473886796</v>
      </c>
      <c r="Y35" s="128">
        <f t="shared" si="31"/>
        <v>4393501679</v>
      </c>
      <c r="Z35" s="122">
        <f t="shared" si="31"/>
        <v>414058</v>
      </c>
      <c r="AA35" s="130">
        <f t="shared" si="31"/>
        <v>4393915737</v>
      </c>
      <c r="AB35" s="128">
        <f t="shared" si="31"/>
        <v>1187704728</v>
      </c>
      <c r="AC35" s="122">
        <f t="shared" si="31"/>
        <v>350348385</v>
      </c>
      <c r="AD35" s="130">
        <f t="shared" si="31"/>
        <v>1538053113</v>
      </c>
      <c r="AE35" s="128">
        <f t="shared" si="31"/>
        <v>673414283</v>
      </c>
      <c r="AF35" s="122">
        <f t="shared" si="31"/>
        <v>138580773</v>
      </c>
      <c r="AG35" s="130">
        <f t="shared" si="31"/>
        <v>811995056</v>
      </c>
      <c r="AH35" s="128">
        <f t="shared" si="31"/>
        <v>79971059</v>
      </c>
      <c r="AI35" s="122">
        <f t="shared" si="31"/>
        <v>2935833683</v>
      </c>
      <c r="AJ35" s="130">
        <f t="shared" si="31"/>
        <v>3661891740</v>
      </c>
      <c r="AK35" s="9"/>
      <c r="AL35" s="128">
        <f>SUM(AL36:AL41)</f>
        <v>0</v>
      </c>
      <c r="AM35" s="130">
        <f>SUM(AM36:AM41)</f>
        <v>0</v>
      </c>
      <c r="AN35" s="9"/>
      <c r="AO35" s="339"/>
      <c r="AP35" s="440"/>
      <c r="AQ35" s="282"/>
      <c r="AR35" s="441"/>
      <c r="AS35" s="441"/>
      <c r="AT35" s="441"/>
      <c r="AU35" s="442">
        <f>AR17-AR32</f>
        <v>15342873418</v>
      </c>
      <c r="AV35" s="443">
        <f>AS17-AR32</f>
        <v>-9996492</v>
      </c>
      <c r="AW35" s="443" t="s">
        <v>151</v>
      </c>
      <c r="AX35" s="444"/>
      <c r="AY35" s="443">
        <f>AY17+AY32</f>
        <v>26783045860.5</v>
      </c>
      <c r="AZ35" s="445">
        <f>AZ17+AY32</f>
        <v>-34715809991.5</v>
      </c>
      <c r="BB35" s="412"/>
      <c r="BC35" s="412"/>
      <c r="BD35" s="412"/>
      <c r="BE35" s="412"/>
      <c r="BF35" s="412"/>
    </row>
    <row r="36" spans="1:70" s="372" customFormat="1" ht="24.95" customHeight="1" thickBot="1">
      <c r="A36" s="593" t="str">
        <f>+IF(FEBRERO!A36=0,"",FEBRERO!A36)</f>
        <v>1130103-3-1</v>
      </c>
      <c r="B36" s="629" t="str">
        <f>+CONCATENATE("Vigencia ",INSTRUCCIONES!$F$3)</f>
        <v>Vigencia 2019</v>
      </c>
      <c r="C36" s="655">
        <f>+ENERO!C36</f>
        <v>7627600802</v>
      </c>
      <c r="D36" s="363">
        <f>FEBRERO!D36+MARZO!P36</f>
        <v>0</v>
      </c>
      <c r="E36" s="363">
        <f>FEBRERO!E36+MARZO!Q36</f>
        <v>0</v>
      </c>
      <c r="F36" s="363">
        <f t="shared" ref="F36:F41" si="32">SUM(C36:E36)</f>
        <v>7627600802</v>
      </c>
      <c r="G36" s="363">
        <f>FEBRERO!I36</f>
        <v>1412189485</v>
      </c>
      <c r="H36" s="364">
        <v>1150586919</v>
      </c>
      <c r="I36" s="363">
        <f t="shared" ref="I36:I41" si="33">SUM(G36:H36)</f>
        <v>2562776404</v>
      </c>
      <c r="J36" s="363">
        <f>FEBRERO!L36</f>
        <v>0</v>
      </c>
      <c r="K36" s="364">
        <v>407739925</v>
      </c>
      <c r="L36" s="363">
        <f t="shared" ref="L36:L41" si="34">SUM(J36:K36)</f>
        <v>407739925</v>
      </c>
      <c r="M36" s="363">
        <f t="shared" ref="M36:M41" si="35">F36-I36</f>
        <v>5064824398</v>
      </c>
      <c r="N36" s="143">
        <f t="shared" ref="N36:N41" si="36">F36-L36</f>
        <v>7219860877</v>
      </c>
      <c r="O36" s="9"/>
      <c r="P36" s="362">
        <v>0</v>
      </c>
      <c r="Q36" s="365">
        <v>0</v>
      </c>
      <c r="R36" s="9"/>
      <c r="S36" s="688" t="str">
        <f>+IF(FEBRERO!S36=0,"",FEBRERO!S36)</f>
        <v>1010200-1</v>
      </c>
      <c r="T36" s="704" t="str">
        <f>+IF(FEBRERO!T36=0,"",FEBRERO!T36)</f>
        <v>Remuneración y Honorarios por Servicios Técnicos y Profesionales</v>
      </c>
      <c r="U36" s="29">
        <f>+ENERO!U36</f>
        <v>1270340000</v>
      </c>
      <c r="V36" s="15">
        <f>FEBRERO!V36+MARZO!AL36</f>
        <v>0</v>
      </c>
      <c r="W36" s="15">
        <f>FEBRERO!W36+MARZO!AM36</f>
        <v>100000000</v>
      </c>
      <c r="X36" s="18">
        <f t="shared" ref="X36:X41" si="37">SUM(U36:W36)</f>
        <v>1370340000</v>
      </c>
      <c r="Y36" s="19">
        <f>FEBRERO!AA36</f>
        <v>1331280200</v>
      </c>
      <c r="Z36" s="364">
        <v>0</v>
      </c>
      <c r="AA36" s="16">
        <f t="shared" ref="AA36:AA41" si="38">SUM(Y36:Z36)</f>
        <v>1331280200</v>
      </c>
      <c r="AB36" s="19">
        <f>FEBRERO!AD36</f>
        <v>246682760</v>
      </c>
      <c r="AC36" s="364">
        <v>115490921</v>
      </c>
      <c r="AD36" s="16">
        <f t="shared" ref="AD36:AD41" si="39">SUM(AB36:AC36)</f>
        <v>362173681</v>
      </c>
      <c r="AE36" s="19">
        <f>FEBRERO!AG36</f>
        <v>189875000</v>
      </c>
      <c r="AF36" s="364">
        <v>132635000</v>
      </c>
      <c r="AG36" s="16">
        <f t="shared" ref="AG36:AG41" si="40">SUM(AE36:AF36)</f>
        <v>322510000</v>
      </c>
      <c r="AH36" s="19">
        <f t="shared" ref="AH36:AH41" si="41">X36-AA36</f>
        <v>39059800</v>
      </c>
      <c r="AI36" s="15">
        <f t="shared" ref="AI36:AI41" si="42">X36-AD36</f>
        <v>1008166319</v>
      </c>
      <c r="AJ36" s="16">
        <f t="shared" ref="AJ36:AJ41" si="43">X36-AG36</f>
        <v>1047830000</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+IF(FEBRERO!A37=0,"",FEBRERO!A37)</f>
        <v>1130103-3-2</v>
      </c>
      <c r="B37" s="629" t="str">
        <f>+IF(FEBRERO!B37=0,"",FEBRERO!B37)</f>
        <v>Vigencia Anterior</v>
      </c>
      <c r="C37" s="655">
        <f>+ENERO!C37</f>
        <v>0</v>
      </c>
      <c r="D37" s="363">
        <f>FEBRERO!D37+MARZO!P37</f>
        <v>0</v>
      </c>
      <c r="E37" s="363">
        <f>FEBRERO!E37+MARZO!Q37</f>
        <v>1623319475</v>
      </c>
      <c r="F37" s="363">
        <f t="shared" si="32"/>
        <v>1623319475</v>
      </c>
      <c r="G37" s="363">
        <f>FEBRERO!I37</f>
        <v>30004490</v>
      </c>
      <c r="H37" s="364">
        <v>1593314985</v>
      </c>
      <c r="I37" s="363">
        <f t="shared" si="33"/>
        <v>1623319475</v>
      </c>
      <c r="J37" s="363">
        <f>FEBRERO!L37</f>
        <v>30004490</v>
      </c>
      <c r="K37" s="364">
        <v>1593314985</v>
      </c>
      <c r="L37" s="363">
        <f t="shared" si="34"/>
        <v>1623319475</v>
      </c>
      <c r="M37" s="363">
        <f t="shared" si="35"/>
        <v>0</v>
      </c>
      <c r="N37" s="143">
        <f t="shared" si="36"/>
        <v>0</v>
      </c>
      <c r="P37" s="362">
        <v>0</v>
      </c>
      <c r="Q37" s="365">
        <v>1593314985</v>
      </c>
      <c r="R37" s="9"/>
      <c r="S37" s="688" t="str">
        <f>+IF(FEBRERO!S37=0,"",FEBRERO!S37)</f>
        <v>1010200-2</v>
      </c>
      <c r="T37" s="704" t="str">
        <f>+IF(FEBRERO!T37=0,"",FEBRERO!T37)</f>
        <v>Personal Supernumerario</v>
      </c>
      <c r="U37" s="29">
        <f>+ENERO!U37</f>
        <v>0</v>
      </c>
      <c r="V37" s="15">
        <f>FEBRERO!V37+MARZO!AL37</f>
        <v>0</v>
      </c>
      <c r="W37" s="15">
        <f>FEBRERO!W37+MARZO!AM37</f>
        <v>0</v>
      </c>
      <c r="X37" s="18">
        <f t="shared" si="37"/>
        <v>0</v>
      </c>
      <c r="Y37" s="19">
        <f>FEBRERO!AA37</f>
        <v>0</v>
      </c>
      <c r="Z37" s="364">
        <v>0</v>
      </c>
      <c r="AA37" s="16">
        <f t="shared" si="38"/>
        <v>0</v>
      </c>
      <c r="AB37" s="19">
        <f>FEBRERO!AD37</f>
        <v>0</v>
      </c>
      <c r="AC37" s="364">
        <v>0</v>
      </c>
      <c r="AD37" s="16">
        <f t="shared" si="39"/>
        <v>0</v>
      </c>
      <c r="AE37" s="19">
        <f>FEBRERO!AG37</f>
        <v>0</v>
      </c>
      <c r="AF37" s="364">
        <v>0</v>
      </c>
      <c r="AG37" s="16">
        <f t="shared" si="40"/>
        <v>0</v>
      </c>
      <c r="AH37" s="19">
        <f t="shared" si="41"/>
        <v>0</v>
      </c>
      <c r="AI37" s="15">
        <f t="shared" si="42"/>
        <v>0</v>
      </c>
      <c r="AJ37" s="16">
        <f t="shared" si="43"/>
        <v>0</v>
      </c>
      <c r="AK37" s="9"/>
      <c r="AL37" s="362">
        <v>0</v>
      </c>
      <c r="AM37" s="365">
        <v>0</v>
      </c>
      <c r="AN37" s="9"/>
      <c r="AO37" s="24" t="s">
        <v>153</v>
      </c>
    </row>
    <row r="38" spans="1:70" s="372" customFormat="1" ht="24.95" customHeight="1">
      <c r="A38" s="716" t="str">
        <f>+IF(FEBRERO!A38=0,"",FEBRERO!A38)</f>
        <v>1130103-4</v>
      </c>
      <c r="B38" s="631" t="str">
        <f>+IF(FEBRERO!B38=0,"",FEBRERO!B38)</f>
        <v xml:space="preserve"> Aportes Patronales  1o. Nivel</v>
      </c>
      <c r="C38" s="655">
        <f>+ENERO!C38</f>
        <v>0</v>
      </c>
      <c r="D38" s="363">
        <f>FEBRERO!D38+MARZO!P38</f>
        <v>0</v>
      </c>
      <c r="E38" s="363">
        <f>FEBRERO!E38+MARZO!Q38</f>
        <v>0</v>
      </c>
      <c r="F38" s="363">
        <f t="shared" si="32"/>
        <v>0</v>
      </c>
      <c r="G38" s="363">
        <f>FEBRERO!I38</f>
        <v>0</v>
      </c>
      <c r="H38" s="364">
        <v>0</v>
      </c>
      <c r="I38" s="363">
        <f t="shared" si="33"/>
        <v>0</v>
      </c>
      <c r="J38" s="363">
        <f>FEBRERO!L38</f>
        <v>0</v>
      </c>
      <c r="K38" s="364">
        <v>0</v>
      </c>
      <c r="L38" s="363">
        <f t="shared" si="34"/>
        <v>0</v>
      </c>
      <c r="M38" s="363">
        <f t="shared" si="35"/>
        <v>0</v>
      </c>
      <c r="N38" s="143">
        <f t="shared" si="36"/>
        <v>0</v>
      </c>
      <c r="O38" s="515"/>
      <c r="P38" s="362">
        <v>0</v>
      </c>
      <c r="Q38" s="365">
        <v>0</v>
      </c>
      <c r="R38" s="9"/>
      <c r="S38" s="688" t="str">
        <f>+IF(FEBRERO!S38=0,"",FEBRERO!S38)</f>
        <v>1010200-3</v>
      </c>
      <c r="T38" s="704" t="str">
        <f>+IF(FEBRERO!T38=0,"",FEBRERO!T38)</f>
        <v>Honorarios de la Junta Directiva</v>
      </c>
      <c r="U38" s="29">
        <f>+ENERO!U38</f>
        <v>5000000</v>
      </c>
      <c r="V38" s="15">
        <f>FEBRERO!V38+MARZO!AL38</f>
        <v>0</v>
      </c>
      <c r="W38" s="15">
        <f>FEBRERO!W38+MARZO!AM38</f>
        <v>0</v>
      </c>
      <c r="X38" s="18">
        <f t="shared" si="37"/>
        <v>5000000</v>
      </c>
      <c r="Y38" s="19">
        <f>FEBRERO!AA38</f>
        <v>414058</v>
      </c>
      <c r="Z38" s="364">
        <v>414058</v>
      </c>
      <c r="AA38" s="16">
        <f t="shared" si="38"/>
        <v>828116</v>
      </c>
      <c r="AB38" s="19">
        <f>FEBRERO!AD38</f>
        <v>414058</v>
      </c>
      <c r="AC38" s="364">
        <v>414058</v>
      </c>
      <c r="AD38" s="16">
        <f t="shared" si="39"/>
        <v>828116</v>
      </c>
      <c r="AE38" s="19">
        <f>FEBRERO!AG38</f>
        <v>414058</v>
      </c>
      <c r="AF38" s="364">
        <v>414058</v>
      </c>
      <c r="AG38" s="16">
        <f t="shared" si="40"/>
        <v>828116</v>
      </c>
      <c r="AH38" s="19">
        <f t="shared" si="41"/>
        <v>4171884</v>
      </c>
      <c r="AI38" s="15">
        <f t="shared" si="42"/>
        <v>4171884</v>
      </c>
      <c r="AJ38" s="16">
        <f t="shared" si="43"/>
        <v>4171884</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+IF(FEBRERO!A39=0,"",FEBRERO!A39)</f>
        <v>1130103-5</v>
      </c>
      <c r="B39" s="631" t="str">
        <f>+IF(FEBRERO!B39=0,"",FEBRERO!B39)</f>
        <v xml:space="preserve"> Aportes Patronales  2o. Nivel</v>
      </c>
      <c r="C39" s="655">
        <f>+ENERO!C39</f>
        <v>0</v>
      </c>
      <c r="D39" s="363">
        <f>FEBRERO!D39+MARZO!P39</f>
        <v>0</v>
      </c>
      <c r="E39" s="363">
        <f>FEBRERO!E39+MARZO!Q39</f>
        <v>0</v>
      </c>
      <c r="F39" s="363">
        <f t="shared" si="32"/>
        <v>0</v>
      </c>
      <c r="G39" s="363">
        <f>FEBRERO!I39</f>
        <v>0</v>
      </c>
      <c r="H39" s="364">
        <v>0</v>
      </c>
      <c r="I39" s="363">
        <f t="shared" si="33"/>
        <v>0</v>
      </c>
      <c r="J39" s="363">
        <f>FEBRERO!L39</f>
        <v>0</v>
      </c>
      <c r="K39" s="364">
        <v>0</v>
      </c>
      <c r="L39" s="363">
        <f t="shared" si="34"/>
        <v>0</v>
      </c>
      <c r="M39" s="363">
        <f t="shared" si="35"/>
        <v>0</v>
      </c>
      <c r="N39" s="143">
        <f t="shared" si="36"/>
        <v>0</v>
      </c>
      <c r="O39" s="515"/>
      <c r="P39" s="362">
        <v>0</v>
      </c>
      <c r="Q39" s="365">
        <v>0</v>
      </c>
      <c r="R39" s="9"/>
      <c r="S39" s="688" t="str">
        <f>+IF(FEBRERO!S39=0,"",FEBRERO!S39)</f>
        <v>1010200-4</v>
      </c>
      <c r="T39" s="704" t="str">
        <f>+IF(FEBRERO!T39=0,"",FEBRERO!T39)</f>
        <v>Otros Honorarios</v>
      </c>
      <c r="U39" s="29">
        <f>+ENERO!U39</f>
        <v>2589745841</v>
      </c>
      <c r="V39" s="15">
        <f>FEBRERO!V39+MARZO!AL39</f>
        <v>0</v>
      </c>
      <c r="W39" s="15">
        <f>FEBRERO!W39+MARZO!AM39</f>
        <v>0</v>
      </c>
      <c r="X39" s="18">
        <f t="shared" si="37"/>
        <v>2589745841</v>
      </c>
      <c r="Y39" s="19">
        <f>FEBRERO!AA39</f>
        <v>2589745626</v>
      </c>
      <c r="Z39" s="364">
        <v>0</v>
      </c>
      <c r="AA39" s="16">
        <f t="shared" si="38"/>
        <v>2589745626</v>
      </c>
      <c r="AB39" s="19">
        <f>FEBRERO!AD39</f>
        <v>468546115</v>
      </c>
      <c r="AC39" s="364">
        <v>234443406</v>
      </c>
      <c r="AD39" s="16">
        <f t="shared" si="39"/>
        <v>702989521</v>
      </c>
      <c r="AE39" s="19">
        <f>FEBRERO!AG39</f>
        <v>11063430</v>
      </c>
      <c r="AF39" s="364">
        <v>5531715</v>
      </c>
      <c r="AG39" s="16">
        <f t="shared" si="40"/>
        <v>16595145</v>
      </c>
      <c r="AH39" s="19">
        <f t="shared" si="41"/>
        <v>215</v>
      </c>
      <c r="AI39" s="15">
        <f t="shared" si="42"/>
        <v>1886756320</v>
      </c>
      <c r="AJ39" s="16">
        <f t="shared" si="43"/>
        <v>2573150696</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+IF(FEBRERO!A40=0,"",FEBRERO!A40)</f>
        <v>1130103-6</v>
      </c>
      <c r="B40" s="631" t="str">
        <f>+IF(FEBRERO!B40=0,"",FEBRERO!B40)</f>
        <v xml:space="preserve"> Aportes Patronales  3er. Nivel</v>
      </c>
      <c r="C40" s="655">
        <f>+ENERO!C40</f>
        <v>1324760338</v>
      </c>
      <c r="D40" s="363">
        <f>FEBRERO!D40+MARZO!P40</f>
        <v>0</v>
      </c>
      <c r="E40" s="363">
        <f>FEBRERO!E40+MARZO!Q40</f>
        <v>0</v>
      </c>
      <c r="F40" s="363">
        <f t="shared" si="32"/>
        <v>1324760338</v>
      </c>
      <c r="G40" s="363">
        <f>FEBRERO!I40</f>
        <v>110396695</v>
      </c>
      <c r="H40" s="364">
        <v>110396695</v>
      </c>
      <c r="I40" s="363">
        <f t="shared" si="33"/>
        <v>220793390</v>
      </c>
      <c r="J40" s="363">
        <f>FEBRERO!L40</f>
        <v>110396695</v>
      </c>
      <c r="K40" s="364">
        <v>110396695</v>
      </c>
      <c r="L40" s="363">
        <f t="shared" si="34"/>
        <v>220793390</v>
      </c>
      <c r="M40" s="363">
        <f t="shared" si="35"/>
        <v>1103966948</v>
      </c>
      <c r="N40" s="143">
        <f t="shared" si="36"/>
        <v>1103966948</v>
      </c>
      <c r="O40" s="515"/>
      <c r="P40" s="362">
        <v>0</v>
      </c>
      <c r="Q40" s="365">
        <v>0</v>
      </c>
      <c r="R40" s="9"/>
      <c r="S40" s="688" t="str">
        <f>+IF(FEBRERO!S40=0,"",FEBRERO!S40)</f>
        <v>1010200-5</v>
      </c>
      <c r="T40" s="704" t="str">
        <f>+IF(FEBRERO!T40=0,"",FEBRERO!T40)</f>
        <v>Certificación, Habilitación y Acreditación</v>
      </c>
      <c r="U40" s="29">
        <f>+ENERO!U40</f>
        <v>0</v>
      </c>
      <c r="V40" s="15">
        <f>FEBRERO!V40+MARZO!AL40</f>
        <v>0</v>
      </c>
      <c r="W40" s="15">
        <f>FEBRERO!W40+MARZO!AM40</f>
        <v>0</v>
      </c>
      <c r="X40" s="18">
        <f t="shared" si="37"/>
        <v>0</v>
      </c>
      <c r="Y40" s="19">
        <f>FEBRERO!AA40</f>
        <v>0</v>
      </c>
      <c r="Z40" s="364">
        <v>0</v>
      </c>
      <c r="AA40" s="16">
        <f t="shared" si="38"/>
        <v>0</v>
      </c>
      <c r="AB40" s="19">
        <f>FEBRERO!AD40</f>
        <v>0</v>
      </c>
      <c r="AC40" s="364">
        <v>0</v>
      </c>
      <c r="AD40" s="16">
        <f t="shared" si="39"/>
        <v>0</v>
      </c>
      <c r="AE40" s="19">
        <f>FEBRERO!AG40</f>
        <v>0</v>
      </c>
      <c r="AF40" s="364">
        <v>0</v>
      </c>
      <c r="AG40" s="16">
        <f t="shared" si="40"/>
        <v>0</v>
      </c>
      <c r="AH40" s="19">
        <f t="shared" si="41"/>
        <v>0</v>
      </c>
      <c r="AI40" s="15">
        <f t="shared" si="42"/>
        <v>0</v>
      </c>
      <c r="AJ40" s="16">
        <f t="shared" si="43"/>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+IF(FEBRERO!A41=0,"",FEBRERO!A41)</f>
        <v>1130104</v>
      </c>
      <c r="B41" s="628" t="str">
        <f>+IF(FEBRERO!B41=0,"",FEBRERO!B41)</f>
        <v>SUBSIDIO A LA OFERTA- ACTIVIDADES NO POS-S</v>
      </c>
      <c r="C41" s="655">
        <f>+ENERO!C41</f>
        <v>0</v>
      </c>
      <c r="D41" s="122">
        <f>FEBRERO!D41+MARZO!P41</f>
        <v>0</v>
      </c>
      <c r="E41" s="122">
        <f>FEBRERO!E41+MARZO!Q41</f>
        <v>0</v>
      </c>
      <c r="F41" s="122">
        <f t="shared" si="32"/>
        <v>0</v>
      </c>
      <c r="G41" s="122">
        <f>FEBRERO!I41</f>
        <v>0</v>
      </c>
      <c r="H41" s="364">
        <v>0</v>
      </c>
      <c r="I41" s="122">
        <f t="shared" si="33"/>
        <v>0</v>
      </c>
      <c r="J41" s="122">
        <f>FEBRERO!L41</f>
        <v>0</v>
      </c>
      <c r="K41" s="364">
        <v>0</v>
      </c>
      <c r="L41" s="122">
        <f t="shared" si="34"/>
        <v>0</v>
      </c>
      <c r="M41" s="122">
        <f t="shared" si="35"/>
        <v>0</v>
      </c>
      <c r="N41" s="130">
        <f t="shared" si="36"/>
        <v>0</v>
      </c>
      <c r="O41" s="372"/>
      <c r="P41" s="364">
        <v>0</v>
      </c>
      <c r="Q41" s="365">
        <v>0</v>
      </c>
      <c r="R41" s="9"/>
      <c r="S41" s="688">
        <f>+IF(FEBRERO!S41=0,"",FEBRERO!S41)</f>
        <v>1010299</v>
      </c>
      <c r="T41" s="704" t="str">
        <f>+IF(FEBRERO!T41=0,"",FEBRERO!T41)</f>
        <v>Vigencias Anteriores</v>
      </c>
      <c r="U41" s="29">
        <f>+ENERO!U41</f>
        <v>388800955</v>
      </c>
      <c r="V41" s="15">
        <f>FEBRERO!V41+MARZO!AL41</f>
        <v>120000000</v>
      </c>
      <c r="W41" s="15">
        <f>FEBRERO!W41+MARZO!AM41</f>
        <v>0</v>
      </c>
      <c r="X41" s="18">
        <f t="shared" si="37"/>
        <v>508800955</v>
      </c>
      <c r="Y41" s="19">
        <f>FEBRERO!AA41</f>
        <v>472061795</v>
      </c>
      <c r="Z41" s="364">
        <v>0</v>
      </c>
      <c r="AA41" s="16">
        <f t="shared" si="38"/>
        <v>472061795</v>
      </c>
      <c r="AB41" s="19">
        <f>FEBRERO!AD41</f>
        <v>472061795</v>
      </c>
      <c r="AC41" s="364">
        <v>0</v>
      </c>
      <c r="AD41" s="16">
        <f t="shared" si="39"/>
        <v>472061795</v>
      </c>
      <c r="AE41" s="19">
        <f>FEBRERO!AG41</f>
        <v>472061795</v>
      </c>
      <c r="AF41" s="364">
        <v>0</v>
      </c>
      <c r="AG41" s="16">
        <f t="shared" si="40"/>
        <v>472061795</v>
      </c>
      <c r="AH41" s="19">
        <f t="shared" si="41"/>
        <v>36739160</v>
      </c>
      <c r="AI41" s="15">
        <f t="shared" si="42"/>
        <v>36739160</v>
      </c>
      <c r="AJ41" s="16">
        <f t="shared" si="43"/>
        <v>36739160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+IF(FEBRERO!A42=0,"",FEBRERO!A42)</f>
        <v>1130106</v>
      </c>
      <c r="B42" s="628" t="str">
        <f>+IF(FEBRERO!B42=0,"",FEBRERO!B42)</f>
        <v>SALUD PUBLICA - PLAN DE INTERVENCIONES COLECTIVAS</v>
      </c>
      <c r="C42" s="43">
        <f t="shared" ref="C42:N42" si="44">SUM(C43:C44)</f>
        <v>0</v>
      </c>
      <c r="D42" s="44">
        <f t="shared" si="44"/>
        <v>0</v>
      </c>
      <c r="E42" s="44">
        <f t="shared" si="44"/>
        <v>0</v>
      </c>
      <c r="F42" s="44">
        <f t="shared" si="44"/>
        <v>0</v>
      </c>
      <c r="G42" s="44">
        <f t="shared" si="44"/>
        <v>0</v>
      </c>
      <c r="H42" s="44">
        <f t="shared" si="44"/>
        <v>0</v>
      </c>
      <c r="I42" s="44">
        <f t="shared" si="44"/>
        <v>0</v>
      </c>
      <c r="J42" s="44">
        <f t="shared" si="44"/>
        <v>0</v>
      </c>
      <c r="K42" s="44">
        <f t="shared" si="44"/>
        <v>0</v>
      </c>
      <c r="L42" s="44">
        <f t="shared" si="44"/>
        <v>0</v>
      </c>
      <c r="M42" s="44">
        <f t="shared" si="44"/>
        <v>0</v>
      </c>
      <c r="N42" s="45">
        <f t="shared" si="44"/>
        <v>0</v>
      </c>
      <c r="P42" s="43">
        <f>SUM(P43:P44)</f>
        <v>0</v>
      </c>
      <c r="Q42" s="45">
        <f>SUM(Q43:Q44)</f>
        <v>0</v>
      </c>
      <c r="R42" s="9"/>
      <c r="S42" s="356" t="str">
        <f>+IF(FEBRERO!S42=0,"",FEBRERO!S42)</f>
        <v/>
      </c>
      <c r="T42" s="678" t="str">
        <f>+IF(FEBRERO!T42=0,"",FEBRERO!T42)</f>
        <v/>
      </c>
      <c r="U42" s="357"/>
      <c r="V42" s="161"/>
      <c r="W42" s="161"/>
      <c r="X42" s="161"/>
      <c r="Y42" s="357"/>
      <c r="Z42" s="161"/>
      <c r="AA42" s="166"/>
      <c r="AB42" s="357"/>
      <c r="AC42" s="161"/>
      <c r="AD42" s="166"/>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+IF(FEBRERO!A43=0,"",FEBRERO!A43)</f>
        <v>1130106-1</v>
      </c>
      <c r="B43" s="629" t="str">
        <f>+CONCATENATE("Vigencia ",INSTRUCCIONES!$F$3)</f>
        <v>Vigencia 2019</v>
      </c>
      <c r="C43" s="655">
        <f>+ENERO!C43</f>
        <v>0</v>
      </c>
      <c r="D43" s="363">
        <f>FEBRERO!D43+MARZO!P43</f>
        <v>0</v>
      </c>
      <c r="E43" s="363">
        <f>FEBRERO!E43+MARZO!Q43</f>
        <v>0</v>
      </c>
      <c r="F43" s="363">
        <f>SUM(C43:E43)</f>
        <v>0</v>
      </c>
      <c r="G43" s="363">
        <f>FEBRERO!I43</f>
        <v>0</v>
      </c>
      <c r="H43" s="364">
        <v>0</v>
      </c>
      <c r="I43" s="363">
        <f>SUM(G43:H43)</f>
        <v>0</v>
      </c>
      <c r="J43" s="363">
        <f>FEBRERO!L43</f>
        <v>0</v>
      </c>
      <c r="K43" s="364">
        <v>0</v>
      </c>
      <c r="L43" s="363">
        <f>SUM(J43:K43)</f>
        <v>0</v>
      </c>
      <c r="M43" s="363">
        <f>F43-I43</f>
        <v>0</v>
      </c>
      <c r="N43" s="143">
        <f>F43-L43</f>
        <v>0</v>
      </c>
      <c r="O43" s="372"/>
      <c r="P43" s="362">
        <v>0</v>
      </c>
      <c r="Q43" s="365">
        <v>0</v>
      </c>
      <c r="R43" s="9"/>
      <c r="S43" s="687">
        <f>+IF(FEBRERO!S43=0,"",FEBRERO!S43)</f>
        <v>1010300</v>
      </c>
      <c r="T43" s="703" t="str">
        <f>+IF(FEBRERO!T43=0,"",FEBRERO!T43)</f>
        <v>Contribuciones Inherentes nómina al Sector Privado</v>
      </c>
      <c r="U43" s="128">
        <f t="shared" ref="U43:AJ43" si="45">U44+U49+U55</f>
        <v>682314446</v>
      </c>
      <c r="V43" s="122">
        <f t="shared" si="45"/>
        <v>-6501068</v>
      </c>
      <c r="W43" s="122">
        <f t="shared" si="45"/>
        <v>0</v>
      </c>
      <c r="X43" s="129">
        <f t="shared" si="45"/>
        <v>675813378</v>
      </c>
      <c r="Y43" s="128">
        <f t="shared" si="45"/>
        <v>23133343</v>
      </c>
      <c r="Z43" s="122">
        <f t="shared" si="45"/>
        <v>119933124</v>
      </c>
      <c r="AA43" s="130">
        <f t="shared" si="45"/>
        <v>143066467</v>
      </c>
      <c r="AB43" s="128">
        <f t="shared" si="45"/>
        <v>23133343</v>
      </c>
      <c r="AC43" s="122">
        <f t="shared" si="45"/>
        <v>119933124</v>
      </c>
      <c r="AD43" s="130">
        <f t="shared" si="45"/>
        <v>143066467</v>
      </c>
      <c r="AE43" s="128">
        <f t="shared" si="45"/>
        <v>18785103</v>
      </c>
      <c r="AF43" s="122">
        <f t="shared" si="45"/>
        <v>119963764</v>
      </c>
      <c r="AG43" s="130">
        <f t="shared" si="45"/>
        <v>138748867</v>
      </c>
      <c r="AH43" s="128">
        <f t="shared" si="45"/>
        <v>532746911</v>
      </c>
      <c r="AI43" s="122">
        <f t="shared" si="45"/>
        <v>532746911</v>
      </c>
      <c r="AJ43" s="130">
        <f t="shared" si="45"/>
        <v>537064511</v>
      </c>
      <c r="AK43" s="9"/>
      <c r="AL43" s="128">
        <f>AL44+AL49+AL55</f>
        <v>-6501068</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+IF(FEBRERO!A44=0,"",FEBRERO!A44)</f>
        <v>1130106-2</v>
      </c>
      <c r="B44" s="629" t="str">
        <f>+IF(FEBRERO!B44=0,"",FEBRERO!B44)</f>
        <v>Vigencia Anterior</v>
      </c>
      <c r="C44" s="655">
        <f>+ENERO!C44</f>
        <v>0</v>
      </c>
      <c r="D44" s="363">
        <f>FEBRERO!D44+MARZO!P44</f>
        <v>0</v>
      </c>
      <c r="E44" s="363">
        <f>FEBRERO!E44+MARZO!Q44</f>
        <v>0</v>
      </c>
      <c r="F44" s="363">
        <f>SUM(C44:E44)</f>
        <v>0</v>
      </c>
      <c r="G44" s="363">
        <f>FEBRERO!I44</f>
        <v>0</v>
      </c>
      <c r="H44" s="364">
        <v>0</v>
      </c>
      <c r="I44" s="363">
        <f>SUM(G44:H44)</f>
        <v>0</v>
      </c>
      <c r="J44" s="363">
        <f>FEBRERO!L44</f>
        <v>0</v>
      </c>
      <c r="K44" s="364">
        <v>0</v>
      </c>
      <c r="L44" s="363">
        <f>SUM(J44:K44)</f>
        <v>0</v>
      </c>
      <c r="M44" s="363">
        <f>F44-I44</f>
        <v>0</v>
      </c>
      <c r="N44" s="143">
        <f>F44-L44</f>
        <v>0</v>
      </c>
      <c r="O44" s="372"/>
      <c r="P44" s="362">
        <v>0</v>
      </c>
      <c r="Q44" s="365">
        <v>0</v>
      </c>
      <c r="R44" s="9"/>
      <c r="S44" s="688">
        <f>+IF(FEBRERO!S44=0,"",FEBRERO!S44)</f>
        <v>1010301</v>
      </c>
      <c r="T44" s="704" t="str">
        <f>+IF(FEBRERO!T44=0,"",FEBRERO!T44)</f>
        <v>Contribuciones - SGP - Aportes Patronales - Cuenta Maestra</v>
      </c>
      <c r="U44" s="29">
        <f t="shared" ref="U44:AJ44" si="46">SUM(U45:U48)</f>
        <v>224699564</v>
      </c>
      <c r="V44" s="15">
        <f t="shared" si="46"/>
        <v>0</v>
      </c>
      <c r="W44" s="15">
        <f t="shared" si="46"/>
        <v>0</v>
      </c>
      <c r="X44" s="18">
        <f t="shared" si="46"/>
        <v>224699564</v>
      </c>
      <c r="Y44" s="19">
        <f t="shared" si="46"/>
        <v>14340183</v>
      </c>
      <c r="Z44" s="142">
        <f t="shared" si="46"/>
        <v>14116592</v>
      </c>
      <c r="AA44" s="16">
        <f t="shared" si="46"/>
        <v>28456775</v>
      </c>
      <c r="AB44" s="19">
        <f t="shared" si="46"/>
        <v>14340183</v>
      </c>
      <c r="AC44" s="142">
        <f t="shared" si="46"/>
        <v>14116592</v>
      </c>
      <c r="AD44" s="16">
        <f t="shared" si="46"/>
        <v>28456775</v>
      </c>
      <c r="AE44" s="19">
        <f t="shared" si="46"/>
        <v>14340183</v>
      </c>
      <c r="AF44" s="142">
        <f t="shared" si="46"/>
        <v>14116592</v>
      </c>
      <c r="AG44" s="16">
        <f t="shared" si="46"/>
        <v>28456775</v>
      </c>
      <c r="AH44" s="19">
        <f t="shared" si="46"/>
        <v>196242789</v>
      </c>
      <c r="AI44" s="15">
        <f t="shared" si="46"/>
        <v>196242789</v>
      </c>
      <c r="AJ44" s="16">
        <f t="shared" si="46"/>
        <v>196242789</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+IF(FEBRERO!A45=0,"",FEBRERO!A45)</f>
        <v>1130107</v>
      </c>
      <c r="B45" s="628" t="str">
        <f>+IF(FEBRERO!B45=0,"",FEBRERO!B45)</f>
        <v>MINSALUD-FOSYGA-RECLAMACIONES ECAT</v>
      </c>
      <c r="C45" s="43">
        <f t="shared" ref="C45:N45" si="47">SUM(C46:C47)</f>
        <v>130489617</v>
      </c>
      <c r="D45" s="44">
        <f t="shared" si="47"/>
        <v>0</v>
      </c>
      <c r="E45" s="44">
        <f t="shared" si="47"/>
        <v>0</v>
      </c>
      <c r="F45" s="44">
        <f t="shared" si="47"/>
        <v>130489617</v>
      </c>
      <c r="G45" s="44">
        <f t="shared" si="47"/>
        <v>201051491</v>
      </c>
      <c r="H45" s="44">
        <f t="shared" si="47"/>
        <v>77640103</v>
      </c>
      <c r="I45" s="44">
        <f t="shared" si="47"/>
        <v>278691594</v>
      </c>
      <c r="J45" s="44">
        <f t="shared" si="47"/>
        <v>0</v>
      </c>
      <c r="K45" s="44">
        <f t="shared" si="47"/>
        <v>5564279</v>
      </c>
      <c r="L45" s="44">
        <f t="shared" si="47"/>
        <v>5564279</v>
      </c>
      <c r="M45" s="44">
        <f t="shared" si="47"/>
        <v>-148201977</v>
      </c>
      <c r="N45" s="45">
        <f t="shared" si="47"/>
        <v>124925338</v>
      </c>
      <c r="P45" s="43">
        <f>SUM(P46:P47)</f>
        <v>0</v>
      </c>
      <c r="Q45" s="45">
        <f>SUM(Q46:Q47)</f>
        <v>0</v>
      </c>
      <c r="R45" s="9"/>
      <c r="S45" s="689" t="str">
        <f>+IF(FEBRERO!S45=0,"",FEBRERO!S45)</f>
        <v>1010301-1</v>
      </c>
      <c r="T45" s="705" t="str">
        <f>+IF(FEBRERO!T45=0,"",FEBRERO!T45)</f>
        <v>E.P.S. - Aportes cuenta maestra</v>
      </c>
      <c r="U45" s="29">
        <f>+ENERO!U45</f>
        <v>56701284</v>
      </c>
      <c r="V45" s="15">
        <f>FEBRERO!V45+MARZO!AL45</f>
        <v>0</v>
      </c>
      <c r="W45" s="15">
        <f>FEBRERO!W45+MARZO!AM45</f>
        <v>0</v>
      </c>
      <c r="X45" s="18">
        <f>SUM(U45:W45)</f>
        <v>56701284</v>
      </c>
      <c r="Y45" s="19">
        <f>FEBRERO!AA45</f>
        <v>5785969</v>
      </c>
      <c r="Z45" s="364">
        <v>6023340</v>
      </c>
      <c r="AA45" s="16">
        <f>SUM(Y45:Z45)</f>
        <v>11809309</v>
      </c>
      <c r="AB45" s="19">
        <f>FEBRERO!AD45</f>
        <v>5785969</v>
      </c>
      <c r="AC45" s="364">
        <v>6023340</v>
      </c>
      <c r="AD45" s="16">
        <f>SUM(AB45:AC45)</f>
        <v>11809309</v>
      </c>
      <c r="AE45" s="19">
        <f>FEBRERO!AG45</f>
        <v>5785969</v>
      </c>
      <c r="AF45" s="364">
        <v>6023340</v>
      </c>
      <c r="AG45" s="16">
        <f>SUM(AE45:AF45)</f>
        <v>11809309</v>
      </c>
      <c r="AH45" s="19">
        <f>X45-AA45</f>
        <v>44891975</v>
      </c>
      <c r="AI45" s="15">
        <f>X45-AD45</f>
        <v>44891975</v>
      </c>
      <c r="AJ45" s="16">
        <f>X45-AG45</f>
        <v>44891975</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+IF(FEBRERO!A46=0,"",FEBRERO!A46)</f>
        <v>1130107-1</v>
      </c>
      <c r="B46" s="629" t="str">
        <f>+CONCATENATE("Vigencia ",INSTRUCCIONES!$F$3)</f>
        <v>Vigencia 2019</v>
      </c>
      <c r="C46" s="655">
        <f>+ENERO!C46</f>
        <v>130489617</v>
      </c>
      <c r="D46" s="363">
        <f>FEBRERO!D46+MARZO!P46</f>
        <v>0</v>
      </c>
      <c r="E46" s="363">
        <f>FEBRERO!E46+MARZO!Q46</f>
        <v>0</v>
      </c>
      <c r="F46" s="363">
        <f>SUM(C46:E46)</f>
        <v>130489617</v>
      </c>
      <c r="G46" s="363">
        <f>FEBRERO!I46</f>
        <v>201051491</v>
      </c>
      <c r="H46" s="364">
        <v>72075824</v>
      </c>
      <c r="I46" s="363">
        <f>SUM(G46:H46)</f>
        <v>273127315</v>
      </c>
      <c r="J46" s="363">
        <f>FEBRERO!L46</f>
        <v>0</v>
      </c>
      <c r="K46" s="364">
        <v>0</v>
      </c>
      <c r="L46" s="363">
        <f>SUM(J46:K46)</f>
        <v>0</v>
      </c>
      <c r="M46" s="363">
        <f>F46-I46</f>
        <v>-142637698</v>
      </c>
      <c r="N46" s="143">
        <f>F46-L46</f>
        <v>130489617</v>
      </c>
      <c r="O46" s="372"/>
      <c r="P46" s="362">
        <v>0</v>
      </c>
      <c r="Q46" s="365">
        <v>0</v>
      </c>
      <c r="R46" s="9"/>
      <c r="S46" s="689" t="str">
        <f>+IF(FEBRERO!S46=0,"",FEBRERO!S46)</f>
        <v>1010301-2</v>
      </c>
      <c r="T46" s="705" t="str">
        <f>+IF(FEBRERO!T46=0,"",FEBRERO!T46)</f>
        <v>Fondos pensionales - Aportes cuenta maestra</v>
      </c>
      <c r="U46" s="29">
        <f>+ENERO!U46</f>
        <v>77319919</v>
      </c>
      <c r="V46" s="15">
        <f>FEBRERO!V46+MARZO!AL46</f>
        <v>0</v>
      </c>
      <c r="W46" s="15">
        <f>FEBRERO!W46+MARZO!AM46</f>
        <v>0</v>
      </c>
      <c r="X46" s="18">
        <f>SUM(U46:W46)</f>
        <v>77319919</v>
      </c>
      <c r="Y46" s="19">
        <f>FEBRERO!AA46</f>
        <v>7750774</v>
      </c>
      <c r="Z46" s="364">
        <v>7178552</v>
      </c>
      <c r="AA46" s="16">
        <f>SUM(Y46:Z46)</f>
        <v>14929326</v>
      </c>
      <c r="AB46" s="19">
        <f>FEBRERO!AD46</f>
        <v>7750774</v>
      </c>
      <c r="AC46" s="364">
        <v>7178552</v>
      </c>
      <c r="AD46" s="16">
        <f>SUM(AB46:AC46)</f>
        <v>14929326</v>
      </c>
      <c r="AE46" s="19">
        <f>FEBRERO!AG46</f>
        <v>7750774</v>
      </c>
      <c r="AF46" s="364">
        <v>7178552</v>
      </c>
      <c r="AG46" s="16">
        <f>SUM(AE46:AF46)</f>
        <v>14929326</v>
      </c>
      <c r="AH46" s="19">
        <f>X46-AA46</f>
        <v>62390593</v>
      </c>
      <c r="AI46" s="15">
        <f>X46-AD46</f>
        <v>62390593</v>
      </c>
      <c r="AJ46" s="16">
        <f>X46-AG46</f>
        <v>62390593</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+IF(FEBRERO!A47=0,"",FEBRERO!A47)</f>
        <v>1130107-2</v>
      </c>
      <c r="B47" s="629" t="str">
        <f>+IF(FEBRERO!B47=0,"",FEBRERO!B47)</f>
        <v>Vigencia Anterior</v>
      </c>
      <c r="C47" s="655">
        <f>+ENERO!C47</f>
        <v>0</v>
      </c>
      <c r="D47" s="363">
        <f>FEBRERO!D47+MARZO!P47</f>
        <v>0</v>
      </c>
      <c r="E47" s="363">
        <f>FEBRERO!E47+MARZO!Q47</f>
        <v>0</v>
      </c>
      <c r="F47" s="363">
        <f>SUM(C47:E47)</f>
        <v>0</v>
      </c>
      <c r="G47" s="363">
        <f>FEBRERO!I47</f>
        <v>0</v>
      </c>
      <c r="H47" s="364">
        <v>5564279</v>
      </c>
      <c r="I47" s="363">
        <f>SUM(G47:H47)</f>
        <v>5564279</v>
      </c>
      <c r="J47" s="363">
        <f>FEBRERO!L47</f>
        <v>0</v>
      </c>
      <c r="K47" s="364">
        <v>5564279</v>
      </c>
      <c r="L47" s="363">
        <f>SUM(J47:K47)</f>
        <v>5564279</v>
      </c>
      <c r="M47" s="363">
        <f>F47-I47</f>
        <v>-5564279</v>
      </c>
      <c r="N47" s="143">
        <f>F47-L47</f>
        <v>-5564279</v>
      </c>
      <c r="O47" s="372"/>
      <c r="P47" s="362">
        <v>0</v>
      </c>
      <c r="Q47" s="365">
        <v>0</v>
      </c>
      <c r="R47" s="9"/>
      <c r="S47" s="689" t="str">
        <f>+IF(FEBRERO!S47=0,"",FEBRERO!S47)</f>
        <v>1010301-3</v>
      </c>
      <c r="T47" s="705" t="str">
        <f>+IF(FEBRERO!T47=0,"",FEBRERO!T47)</f>
        <v>Fondos de cesantías - Aportes cuenta maestra</v>
      </c>
      <c r="U47" s="29">
        <f>+ENERO!U47</f>
        <v>87698777</v>
      </c>
      <c r="V47" s="15">
        <f>FEBRERO!V47+MARZO!AL47</f>
        <v>0</v>
      </c>
      <c r="W47" s="15">
        <f>FEBRERO!W47+MARZO!AM47</f>
        <v>0</v>
      </c>
      <c r="X47" s="18">
        <f>SUM(U47:W47)</f>
        <v>87698777</v>
      </c>
      <c r="Y47" s="19">
        <f>FEBRERO!AA47</f>
        <v>0</v>
      </c>
      <c r="Z47" s="364">
        <v>0</v>
      </c>
      <c r="AA47" s="16">
        <f>SUM(Y47:Z47)</f>
        <v>0</v>
      </c>
      <c r="AB47" s="19">
        <f>FEBRERO!AD47</f>
        <v>0</v>
      </c>
      <c r="AC47" s="364">
        <v>0</v>
      </c>
      <c r="AD47" s="16">
        <f>SUM(AB47:AC47)</f>
        <v>0</v>
      </c>
      <c r="AE47" s="19">
        <f>FEBRERO!AG47</f>
        <v>0</v>
      </c>
      <c r="AF47" s="364">
        <v>0</v>
      </c>
      <c r="AG47" s="16">
        <f>SUM(AE47:AF47)</f>
        <v>0</v>
      </c>
      <c r="AH47" s="19">
        <f>X47-AA47</f>
        <v>87698777</v>
      </c>
      <c r="AI47" s="15">
        <f>X47-AD47</f>
        <v>87698777</v>
      </c>
      <c r="AJ47" s="16">
        <f>X47-AG47</f>
        <v>87698777</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+IF(FEBRERO!A48=0,"",FEBRERO!A48)</f>
        <v>1130108</v>
      </c>
      <c r="B48" s="628" t="str">
        <f>+IF(FEBRERO!B48=0,"",FEBRERO!B48)</f>
        <v>MINSALUD-FOSYGA -TRAUMA MAYOR Y DESPLAZADOS</v>
      </c>
      <c r="C48" s="43">
        <f t="shared" ref="C48:N48" si="48">SUM(C49:C50)</f>
        <v>0</v>
      </c>
      <c r="D48" s="44">
        <f t="shared" si="48"/>
        <v>0</v>
      </c>
      <c r="E48" s="44">
        <f t="shared" si="48"/>
        <v>0</v>
      </c>
      <c r="F48" s="44">
        <f t="shared" si="48"/>
        <v>0</v>
      </c>
      <c r="G48" s="44">
        <f t="shared" si="48"/>
        <v>0</v>
      </c>
      <c r="H48" s="44">
        <f t="shared" si="48"/>
        <v>0</v>
      </c>
      <c r="I48" s="44">
        <f t="shared" si="48"/>
        <v>0</v>
      </c>
      <c r="J48" s="44">
        <f t="shared" si="48"/>
        <v>0</v>
      </c>
      <c r="K48" s="44">
        <f t="shared" si="48"/>
        <v>0</v>
      </c>
      <c r="L48" s="44">
        <f t="shared" si="48"/>
        <v>0</v>
      </c>
      <c r="M48" s="44">
        <f t="shared" si="48"/>
        <v>0</v>
      </c>
      <c r="N48" s="45">
        <f t="shared" si="48"/>
        <v>0</v>
      </c>
      <c r="P48" s="43">
        <f>SUM(P49:P50)</f>
        <v>0</v>
      </c>
      <c r="Q48" s="45">
        <f>SUM(Q49:Q50)</f>
        <v>0</v>
      </c>
      <c r="R48" s="9"/>
      <c r="S48" s="689" t="str">
        <f>+IF(FEBRERO!S48=0,"",FEBRERO!S48)</f>
        <v>1010301-4</v>
      </c>
      <c r="T48" s="705" t="str">
        <f>+IF(FEBRERO!T48=0,"",FEBRERO!T48)</f>
        <v>Riesgos laborales - Aportes cuenta maestra</v>
      </c>
      <c r="U48" s="29">
        <f>+ENERO!U48</f>
        <v>2979584</v>
      </c>
      <c r="V48" s="15">
        <f>FEBRERO!V48+MARZO!AL48</f>
        <v>0</v>
      </c>
      <c r="W48" s="15">
        <f>FEBRERO!W48+MARZO!AM48</f>
        <v>0</v>
      </c>
      <c r="X48" s="18">
        <f>SUM(U48:W48)</f>
        <v>2979584</v>
      </c>
      <c r="Y48" s="19">
        <f>FEBRERO!AA48</f>
        <v>803440</v>
      </c>
      <c r="Z48" s="364">
        <v>914700</v>
      </c>
      <c r="AA48" s="16">
        <f>SUM(Y48:Z48)</f>
        <v>1718140</v>
      </c>
      <c r="AB48" s="19">
        <f>FEBRERO!AD48</f>
        <v>803440</v>
      </c>
      <c r="AC48" s="364">
        <v>914700</v>
      </c>
      <c r="AD48" s="16">
        <f>SUM(AB48:AC48)</f>
        <v>1718140</v>
      </c>
      <c r="AE48" s="19">
        <f>FEBRERO!AG48</f>
        <v>803440</v>
      </c>
      <c r="AF48" s="364">
        <v>914700</v>
      </c>
      <c r="AG48" s="16">
        <f>SUM(AE48:AF48)</f>
        <v>1718140</v>
      </c>
      <c r="AH48" s="19">
        <f>X48-AA48</f>
        <v>1261444</v>
      </c>
      <c r="AI48" s="15">
        <f>X48-AD48</f>
        <v>1261444</v>
      </c>
      <c r="AJ48" s="16">
        <f>X48-AG48</f>
        <v>1261444</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+IF(FEBRERO!A49=0,"",FEBRERO!A49)</f>
        <v>1130108-1</v>
      </c>
      <c r="B49" s="629" t="str">
        <f>+CONCATENATE("Vigencia ",INSTRUCCIONES!$F$3)</f>
        <v>Vigencia 2019</v>
      </c>
      <c r="C49" s="655">
        <f>+ENERO!C49</f>
        <v>0</v>
      </c>
      <c r="D49" s="363">
        <f>FEBRERO!D49+MARZO!P49</f>
        <v>0</v>
      </c>
      <c r="E49" s="363">
        <f>FEBRERO!E49+MARZO!Q49</f>
        <v>0</v>
      </c>
      <c r="F49" s="363">
        <f>SUM(C49:E49)</f>
        <v>0</v>
      </c>
      <c r="G49" s="363">
        <f>FEBRERO!I49</f>
        <v>0</v>
      </c>
      <c r="H49" s="364">
        <v>0</v>
      </c>
      <c r="I49" s="363">
        <f>SUM(G49:H49)</f>
        <v>0</v>
      </c>
      <c r="J49" s="363">
        <f>FEBRERO!L49</f>
        <v>0</v>
      </c>
      <c r="K49" s="364">
        <v>0</v>
      </c>
      <c r="L49" s="363">
        <f>SUM(J49:K49)</f>
        <v>0</v>
      </c>
      <c r="M49" s="363">
        <f>F49-I49</f>
        <v>0</v>
      </c>
      <c r="N49" s="143">
        <f>F49-L49</f>
        <v>0</v>
      </c>
      <c r="O49" s="372"/>
      <c r="P49" s="362">
        <v>0</v>
      </c>
      <c r="Q49" s="365">
        <v>0</v>
      </c>
      <c r="R49" s="9"/>
      <c r="S49" s="688">
        <f>+IF(FEBRERO!S49=0,"",FEBRERO!S49)</f>
        <v>1010302</v>
      </c>
      <c r="T49" s="704" t="str">
        <f>+IF(FEBRERO!T49=0,"",FEBRERO!T49)</f>
        <v>Contribuciones - Otros</v>
      </c>
      <c r="U49" s="29">
        <f t="shared" ref="U49:AJ49" si="49">SUM(U50:U54)</f>
        <v>349614882</v>
      </c>
      <c r="V49" s="15">
        <f t="shared" si="49"/>
        <v>0</v>
      </c>
      <c r="W49" s="15">
        <f t="shared" si="49"/>
        <v>0</v>
      </c>
      <c r="X49" s="18">
        <f t="shared" si="49"/>
        <v>349614882</v>
      </c>
      <c r="Y49" s="19">
        <f t="shared" si="49"/>
        <v>8793160</v>
      </c>
      <c r="Z49" s="142">
        <f t="shared" si="49"/>
        <v>4317600</v>
      </c>
      <c r="AA49" s="16">
        <f t="shared" si="49"/>
        <v>13110760</v>
      </c>
      <c r="AB49" s="19">
        <f t="shared" si="49"/>
        <v>8793160</v>
      </c>
      <c r="AC49" s="142">
        <f t="shared" si="49"/>
        <v>4317600</v>
      </c>
      <c r="AD49" s="16">
        <f t="shared" si="49"/>
        <v>13110760</v>
      </c>
      <c r="AE49" s="19">
        <f t="shared" si="49"/>
        <v>4444920</v>
      </c>
      <c r="AF49" s="142">
        <f t="shared" si="49"/>
        <v>4348240</v>
      </c>
      <c r="AG49" s="16">
        <f t="shared" si="49"/>
        <v>8793160</v>
      </c>
      <c r="AH49" s="19">
        <f t="shared" si="49"/>
        <v>336504122</v>
      </c>
      <c r="AI49" s="15">
        <f t="shared" si="49"/>
        <v>336504122</v>
      </c>
      <c r="AJ49" s="16">
        <f t="shared" si="49"/>
        <v>340821722</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+IF(FEBRERO!A50=0,"",FEBRERO!A50)</f>
        <v>1130108-2</v>
      </c>
      <c r="B50" s="629" t="str">
        <f>+IF(FEBRERO!B50=0,"",FEBRERO!B50)</f>
        <v>Vigencia Anterior</v>
      </c>
      <c r="C50" s="655">
        <f>+ENERO!C50</f>
        <v>0</v>
      </c>
      <c r="D50" s="363">
        <f>FEBRERO!D50+MARZO!P50</f>
        <v>0</v>
      </c>
      <c r="E50" s="363">
        <f>FEBRERO!E50+MARZO!Q50</f>
        <v>0</v>
      </c>
      <c r="F50" s="363">
        <f>SUM(C50:E50)</f>
        <v>0</v>
      </c>
      <c r="G50" s="363">
        <f>FEBRERO!I50</f>
        <v>0</v>
      </c>
      <c r="H50" s="364">
        <v>0</v>
      </c>
      <c r="I50" s="363">
        <f>SUM(G50:H50)</f>
        <v>0</v>
      </c>
      <c r="J50" s="363">
        <f>FEBRERO!L50</f>
        <v>0</v>
      </c>
      <c r="K50" s="364">
        <v>0</v>
      </c>
      <c r="L50" s="363">
        <f>SUM(J50:K50)</f>
        <v>0</v>
      </c>
      <c r="M50" s="363">
        <f>F50-I50</f>
        <v>0</v>
      </c>
      <c r="N50" s="143">
        <f>F50-L50</f>
        <v>0</v>
      </c>
      <c r="O50" s="372"/>
      <c r="P50" s="362">
        <v>0</v>
      </c>
      <c r="Q50" s="365">
        <v>0</v>
      </c>
      <c r="R50" s="9"/>
      <c r="S50" s="689" t="str">
        <f>+IF(FEBRERO!S50=0,"",FEBRERO!S50)</f>
        <v>1010302-1</v>
      </c>
      <c r="T50" s="705" t="str">
        <f>+IF(FEBRERO!T50=0,"",FEBRERO!T50)</f>
        <v>Aportes a E.P.S. - recursos propios</v>
      </c>
      <c r="U50" s="29">
        <f>+ENERO!U50</f>
        <v>79647420</v>
      </c>
      <c r="V50" s="15">
        <f>FEBRERO!V50+MARZO!AL50</f>
        <v>0</v>
      </c>
      <c r="W50" s="15">
        <f>FEBRERO!W50+MARZO!AM50</f>
        <v>0</v>
      </c>
      <c r="X50" s="18">
        <f t="shared" ref="X50:X55" si="50">SUM(U50:W50)</f>
        <v>79647420</v>
      </c>
      <c r="Y50" s="19">
        <f>FEBRERO!AA50</f>
        <v>0</v>
      </c>
      <c r="Z50" s="364">
        <v>0</v>
      </c>
      <c r="AA50" s="16">
        <f t="shared" ref="AA50:AA55" si="51">SUM(Y50:Z50)</f>
        <v>0</v>
      </c>
      <c r="AB50" s="19">
        <f>FEBRERO!AD50</f>
        <v>0</v>
      </c>
      <c r="AC50" s="364">
        <v>0</v>
      </c>
      <c r="AD50" s="16">
        <f t="shared" ref="AD50:AD55" si="52">SUM(AB50:AC50)</f>
        <v>0</v>
      </c>
      <c r="AE50" s="19">
        <f>FEBRERO!AG50</f>
        <v>0</v>
      </c>
      <c r="AF50" s="364">
        <v>0</v>
      </c>
      <c r="AG50" s="16">
        <f t="shared" ref="AG50:AG55" si="53">SUM(AE50:AF50)</f>
        <v>0</v>
      </c>
      <c r="AH50" s="19">
        <f t="shared" ref="AH50:AH55" si="54">X50-AA50</f>
        <v>79647420</v>
      </c>
      <c r="AI50" s="15">
        <f t="shared" ref="AI50:AI55" si="55">X50-AD50</f>
        <v>79647420</v>
      </c>
      <c r="AJ50" s="16">
        <f t="shared" ref="AJ50:AJ55" si="56">X50-AG50</f>
        <v>79647420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+IF(FEBRERO!A51=0,"",FEBRERO!A51)</f>
        <v>1130109</v>
      </c>
      <c r="B51" s="628" t="str">
        <f>+IF(FEBRERO!B51=0,"",FEBRERO!B51)</f>
        <v>EPS - PLANES COMPLEMENTARIOS</v>
      </c>
      <c r="C51" s="43">
        <f t="shared" ref="C51:N51" si="57">SUM(C52:C53)</f>
        <v>0</v>
      </c>
      <c r="D51" s="44">
        <f t="shared" si="57"/>
        <v>0</v>
      </c>
      <c r="E51" s="44">
        <f t="shared" si="57"/>
        <v>0</v>
      </c>
      <c r="F51" s="44">
        <f t="shared" si="57"/>
        <v>0</v>
      </c>
      <c r="G51" s="44">
        <f t="shared" si="57"/>
        <v>0</v>
      </c>
      <c r="H51" s="44">
        <f t="shared" si="57"/>
        <v>0</v>
      </c>
      <c r="I51" s="44">
        <f t="shared" si="57"/>
        <v>0</v>
      </c>
      <c r="J51" s="44">
        <f t="shared" si="57"/>
        <v>0</v>
      </c>
      <c r="K51" s="44">
        <f t="shared" si="57"/>
        <v>0</v>
      </c>
      <c r="L51" s="44">
        <f t="shared" si="57"/>
        <v>0</v>
      </c>
      <c r="M51" s="44">
        <f t="shared" si="57"/>
        <v>0</v>
      </c>
      <c r="N51" s="45">
        <f t="shared" si="57"/>
        <v>0</v>
      </c>
      <c r="P51" s="43">
        <f>SUM(P52:P53)</f>
        <v>0</v>
      </c>
      <c r="Q51" s="45">
        <f>SUM(Q52:Q53)</f>
        <v>0</v>
      </c>
      <c r="R51" s="9"/>
      <c r="S51" s="689" t="str">
        <f>+IF(FEBRERO!S51=0,"",FEBRERO!S51)</f>
        <v>1010302-2</v>
      </c>
      <c r="T51" s="705" t="str">
        <f>+IF(FEBRERO!T51=0,"",FEBRERO!T51)</f>
        <v>Aportes Fondos Pensionales - recursos propios</v>
      </c>
      <c r="U51" s="29">
        <f>+ENERO!U51</f>
        <v>115172321</v>
      </c>
      <c r="V51" s="15">
        <f>FEBRERO!V51+MARZO!AL51</f>
        <v>0</v>
      </c>
      <c r="W51" s="15">
        <f>FEBRERO!W51+MARZO!AM51</f>
        <v>0</v>
      </c>
      <c r="X51" s="18">
        <f t="shared" si="50"/>
        <v>115172321</v>
      </c>
      <c r="Y51" s="19">
        <f>FEBRERO!AA51</f>
        <v>0</v>
      </c>
      <c r="Z51" s="364">
        <v>0</v>
      </c>
      <c r="AA51" s="16">
        <f t="shared" si="51"/>
        <v>0</v>
      </c>
      <c r="AB51" s="19">
        <f>FEBRERO!AD51</f>
        <v>0</v>
      </c>
      <c r="AC51" s="364">
        <v>0</v>
      </c>
      <c r="AD51" s="16">
        <f t="shared" si="52"/>
        <v>0</v>
      </c>
      <c r="AE51" s="19">
        <f>FEBRERO!AG51</f>
        <v>0</v>
      </c>
      <c r="AF51" s="364">
        <v>0</v>
      </c>
      <c r="AG51" s="16">
        <f t="shared" si="53"/>
        <v>0</v>
      </c>
      <c r="AH51" s="19">
        <f t="shared" si="54"/>
        <v>115172321</v>
      </c>
      <c r="AI51" s="15">
        <f t="shared" si="55"/>
        <v>115172321</v>
      </c>
      <c r="AJ51" s="16">
        <f t="shared" si="56"/>
        <v>115172321</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+IF(FEBRERO!A52=0,"",FEBRERO!A52)</f>
        <v>1130109-1</v>
      </c>
      <c r="B52" s="629" t="str">
        <f>+CONCATENATE("Vigencia ",INSTRUCCIONES!$F$3)</f>
        <v>Vigencia 2019</v>
      </c>
      <c r="C52" s="655">
        <f>+ENERO!C52</f>
        <v>0</v>
      </c>
      <c r="D52" s="363">
        <f>FEBRERO!D52+MARZO!P52</f>
        <v>0</v>
      </c>
      <c r="E52" s="363">
        <f>FEBRERO!E52+MARZO!Q52</f>
        <v>0</v>
      </c>
      <c r="F52" s="363">
        <f>SUM(C52:E52)</f>
        <v>0</v>
      </c>
      <c r="G52" s="363">
        <f>FEBRERO!I52</f>
        <v>0</v>
      </c>
      <c r="H52" s="364">
        <v>0</v>
      </c>
      <c r="I52" s="363">
        <f>SUM(G52:H52)</f>
        <v>0</v>
      </c>
      <c r="J52" s="363">
        <f>FEBRERO!L52</f>
        <v>0</v>
      </c>
      <c r="K52" s="364">
        <v>0</v>
      </c>
      <c r="L52" s="363">
        <f>SUM(J52:K52)</f>
        <v>0</v>
      </c>
      <c r="M52" s="363">
        <f>F52-I52</f>
        <v>0</v>
      </c>
      <c r="N52" s="143">
        <f>F52-L52</f>
        <v>0</v>
      </c>
      <c r="O52" s="372"/>
      <c r="P52" s="362">
        <v>0</v>
      </c>
      <c r="Q52" s="365">
        <v>0</v>
      </c>
      <c r="R52" s="9"/>
      <c r="S52" s="689" t="str">
        <f>+IF(FEBRERO!S52=0,"",FEBRERO!S52)</f>
        <v>1010302-3</v>
      </c>
      <c r="T52" s="705" t="str">
        <f>+IF(FEBRERO!T52=0,"",FEBRERO!T52)</f>
        <v>Aportes a Fondos de Cesantia - recursos propios</v>
      </c>
      <c r="U52" s="29">
        <f>+ENERO!U52</f>
        <v>73960356</v>
      </c>
      <c r="V52" s="15">
        <f>FEBRERO!V52+MARZO!AL52</f>
        <v>0</v>
      </c>
      <c r="W52" s="15">
        <f>FEBRERO!W52+MARZO!AM52</f>
        <v>0</v>
      </c>
      <c r="X52" s="18">
        <f t="shared" si="50"/>
        <v>73960356</v>
      </c>
      <c r="Y52" s="19">
        <f>FEBRERO!AA52</f>
        <v>0</v>
      </c>
      <c r="Z52" s="364">
        <v>0</v>
      </c>
      <c r="AA52" s="16">
        <f t="shared" si="51"/>
        <v>0</v>
      </c>
      <c r="AB52" s="19">
        <f>FEBRERO!AD52</f>
        <v>0</v>
      </c>
      <c r="AC52" s="364">
        <v>0</v>
      </c>
      <c r="AD52" s="16">
        <f t="shared" si="52"/>
        <v>0</v>
      </c>
      <c r="AE52" s="19">
        <f>FEBRERO!AG52</f>
        <v>0</v>
      </c>
      <c r="AF52" s="364">
        <v>0</v>
      </c>
      <c r="AG52" s="16">
        <f t="shared" si="53"/>
        <v>0</v>
      </c>
      <c r="AH52" s="19">
        <f t="shared" si="54"/>
        <v>73960356</v>
      </c>
      <c r="AI52" s="15">
        <f t="shared" si="55"/>
        <v>73960356</v>
      </c>
      <c r="AJ52" s="16">
        <f t="shared" si="56"/>
        <v>73960356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+IF(FEBRERO!A53=0,"",FEBRERO!A53)</f>
        <v>1130109-2</v>
      </c>
      <c r="B53" s="629" t="str">
        <f>+IF(FEBRERO!B53=0,"",FEBRERO!B53)</f>
        <v>Vigencia Anterior</v>
      </c>
      <c r="C53" s="655">
        <f>+ENERO!C53</f>
        <v>0</v>
      </c>
      <c r="D53" s="363">
        <f>FEBRERO!D53+MARZO!P53</f>
        <v>0</v>
      </c>
      <c r="E53" s="363">
        <f>FEBRERO!E53+MARZO!Q53</f>
        <v>0</v>
      </c>
      <c r="F53" s="363">
        <f>SUM(C53:E53)</f>
        <v>0</v>
      </c>
      <c r="G53" s="363">
        <f>FEBRERO!I53</f>
        <v>0</v>
      </c>
      <c r="H53" s="364">
        <v>0</v>
      </c>
      <c r="I53" s="363">
        <f>SUM(G53:H53)</f>
        <v>0</v>
      </c>
      <c r="J53" s="363">
        <f>FEBRERO!L53</f>
        <v>0</v>
      </c>
      <c r="K53" s="364">
        <v>0</v>
      </c>
      <c r="L53" s="363">
        <f>SUM(J53:K53)</f>
        <v>0</v>
      </c>
      <c r="M53" s="363">
        <f>F53-I53</f>
        <v>0</v>
      </c>
      <c r="N53" s="143">
        <f>F53-L53</f>
        <v>0</v>
      </c>
      <c r="O53" s="372"/>
      <c r="P53" s="362">
        <v>0</v>
      </c>
      <c r="Q53" s="365">
        <v>0</v>
      </c>
      <c r="R53" s="9"/>
      <c r="S53" s="689" t="str">
        <f>+IF(FEBRERO!S53=0,"",FEBRERO!S53)</f>
        <v>1010302-4</v>
      </c>
      <c r="T53" s="705" t="str">
        <f>+IF(FEBRERO!T53=0,"",FEBRERO!T53)</f>
        <v>Aporte a ARL. - recursos propios</v>
      </c>
      <c r="U53" s="29">
        <f>+ENERO!U53</f>
        <v>5393830</v>
      </c>
      <c r="V53" s="15">
        <f>FEBRERO!V53+MARZO!AL53</f>
        <v>0</v>
      </c>
      <c r="W53" s="15">
        <f>FEBRERO!W53+MARZO!AM53</f>
        <v>0</v>
      </c>
      <c r="X53" s="18">
        <f t="shared" si="50"/>
        <v>5393830</v>
      </c>
      <c r="Y53" s="19">
        <f>FEBRERO!AA53</f>
        <v>0</v>
      </c>
      <c r="Z53" s="364">
        <v>0</v>
      </c>
      <c r="AA53" s="16">
        <f t="shared" si="51"/>
        <v>0</v>
      </c>
      <c r="AB53" s="19">
        <f>FEBRERO!AD53</f>
        <v>0</v>
      </c>
      <c r="AC53" s="364">
        <v>0</v>
      </c>
      <c r="AD53" s="16">
        <f t="shared" si="52"/>
        <v>0</v>
      </c>
      <c r="AE53" s="19">
        <f>FEBRERO!AG53</f>
        <v>0</v>
      </c>
      <c r="AF53" s="364">
        <v>0</v>
      </c>
      <c r="AG53" s="16">
        <f t="shared" si="53"/>
        <v>0</v>
      </c>
      <c r="AH53" s="19">
        <f t="shared" si="54"/>
        <v>5393830</v>
      </c>
      <c r="AI53" s="15">
        <f t="shared" si="55"/>
        <v>5393830</v>
      </c>
      <c r="AJ53" s="16">
        <f t="shared" si="56"/>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+IF(FEBRERO!A54=0,"",FEBRERO!A54)</f>
        <v>1130110</v>
      </c>
      <c r="B54" s="628" t="str">
        <f>+IF(FEBRERO!B54=0,"",FEBRERO!B54)</f>
        <v>EMPRESAS MEDICINA PREPAGADA</v>
      </c>
      <c r="C54" s="43">
        <f t="shared" ref="C54:N54" si="58">SUM(C55:C56)</f>
        <v>0</v>
      </c>
      <c r="D54" s="44">
        <f t="shared" si="58"/>
        <v>0</v>
      </c>
      <c r="E54" s="44">
        <f t="shared" si="58"/>
        <v>0</v>
      </c>
      <c r="F54" s="44">
        <f t="shared" si="58"/>
        <v>0</v>
      </c>
      <c r="G54" s="44">
        <f t="shared" si="58"/>
        <v>0</v>
      </c>
      <c r="H54" s="44">
        <f t="shared" si="58"/>
        <v>0</v>
      </c>
      <c r="I54" s="44">
        <f t="shared" si="58"/>
        <v>0</v>
      </c>
      <c r="J54" s="44">
        <f t="shared" si="58"/>
        <v>0</v>
      </c>
      <c r="K54" s="44">
        <f t="shared" si="58"/>
        <v>0</v>
      </c>
      <c r="L54" s="44">
        <f t="shared" si="58"/>
        <v>0</v>
      </c>
      <c r="M54" s="44">
        <f t="shared" si="58"/>
        <v>0</v>
      </c>
      <c r="N54" s="45">
        <f t="shared" si="58"/>
        <v>0</v>
      </c>
      <c r="P54" s="43">
        <f>SUM(P55:P56)</f>
        <v>0</v>
      </c>
      <c r="Q54" s="45">
        <f>SUM(Q55:Q56)</f>
        <v>0</v>
      </c>
      <c r="R54" s="9"/>
      <c r="S54" s="689" t="str">
        <f>+IF(FEBRERO!S54=0,"",FEBRERO!S54)</f>
        <v>1010302-5</v>
      </c>
      <c r="T54" s="705" t="str">
        <f>+IF(FEBRERO!T54=0,"",FEBRERO!T54)</f>
        <v>Aporte a Caja Compensación Familiar</v>
      </c>
      <c r="U54" s="29">
        <f>+ENERO!U54</f>
        <v>75440955</v>
      </c>
      <c r="V54" s="15">
        <f>FEBRERO!V54+MARZO!AL54</f>
        <v>0</v>
      </c>
      <c r="W54" s="15">
        <f>FEBRERO!W54+MARZO!AM54</f>
        <v>0</v>
      </c>
      <c r="X54" s="18">
        <f t="shared" si="50"/>
        <v>75440955</v>
      </c>
      <c r="Y54" s="19">
        <f>FEBRERO!AA54</f>
        <v>8793160</v>
      </c>
      <c r="Z54" s="364">
        <v>4317600</v>
      </c>
      <c r="AA54" s="16">
        <f t="shared" si="51"/>
        <v>13110760</v>
      </c>
      <c r="AB54" s="19">
        <f>FEBRERO!AD54</f>
        <v>8793160</v>
      </c>
      <c r="AC54" s="364">
        <v>4317600</v>
      </c>
      <c r="AD54" s="16">
        <f t="shared" si="52"/>
        <v>13110760</v>
      </c>
      <c r="AE54" s="19">
        <f>FEBRERO!AG54</f>
        <v>4444920</v>
      </c>
      <c r="AF54" s="364">
        <v>4348240</v>
      </c>
      <c r="AG54" s="16">
        <f t="shared" si="53"/>
        <v>8793160</v>
      </c>
      <c r="AH54" s="19">
        <f t="shared" si="54"/>
        <v>62330195</v>
      </c>
      <c r="AI54" s="15">
        <f t="shared" si="55"/>
        <v>62330195</v>
      </c>
      <c r="AJ54" s="16">
        <f t="shared" si="56"/>
        <v>66647795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+IF(FEBRERO!A55=0,"",FEBRERO!A55)</f>
        <v>1130110-1</v>
      </c>
      <c r="B55" s="629" t="str">
        <f>+CONCATENATE("Vigencia ",INSTRUCCIONES!$F$3)</f>
        <v>Vigencia 2019</v>
      </c>
      <c r="C55" s="655">
        <f>+ENERO!C55</f>
        <v>0</v>
      </c>
      <c r="D55" s="363">
        <f>FEBRERO!D55+MARZO!P55</f>
        <v>0</v>
      </c>
      <c r="E55" s="363">
        <f>FEBRERO!E55+MARZO!Q55</f>
        <v>0</v>
      </c>
      <c r="F55" s="363">
        <f>SUM(C55:E55)</f>
        <v>0</v>
      </c>
      <c r="G55" s="363">
        <f>FEBRERO!I55</f>
        <v>0</v>
      </c>
      <c r="H55" s="364">
        <v>0</v>
      </c>
      <c r="I55" s="363">
        <f>SUM(G55:H55)</f>
        <v>0</v>
      </c>
      <c r="J55" s="363">
        <f>FEBRERO!L55</f>
        <v>0</v>
      </c>
      <c r="K55" s="364">
        <v>0</v>
      </c>
      <c r="L55" s="363">
        <f>SUM(J55:K55)</f>
        <v>0</v>
      </c>
      <c r="M55" s="363">
        <f>F55-I55</f>
        <v>0</v>
      </c>
      <c r="N55" s="143">
        <f>F55-L55</f>
        <v>0</v>
      </c>
      <c r="O55" s="372"/>
      <c r="P55" s="362">
        <v>0</v>
      </c>
      <c r="Q55" s="365">
        <v>0</v>
      </c>
      <c r="R55" s="9"/>
      <c r="S55" s="688">
        <f>+IF(FEBRERO!S55=0,"",FEBRERO!S55)</f>
        <v>1010399</v>
      </c>
      <c r="T55" s="704" t="str">
        <f>+IF(FEBRERO!T55=0,"",FEBRERO!T55)</f>
        <v>Vigencias Anteriores</v>
      </c>
      <c r="U55" s="29">
        <f>+ENERO!U55</f>
        <v>108000000</v>
      </c>
      <c r="V55" s="15">
        <f>FEBRERO!V55+MARZO!AL55</f>
        <v>-6501068</v>
      </c>
      <c r="W55" s="15">
        <f>FEBRERO!W55+MARZO!AM55</f>
        <v>0</v>
      </c>
      <c r="X55" s="18">
        <f t="shared" si="50"/>
        <v>101498932</v>
      </c>
      <c r="Y55" s="19">
        <f>FEBRERO!AA55</f>
        <v>0</v>
      </c>
      <c r="Z55" s="364">
        <v>101498932</v>
      </c>
      <c r="AA55" s="16">
        <f t="shared" si="51"/>
        <v>101498932</v>
      </c>
      <c r="AB55" s="19">
        <f>FEBRERO!AD55</f>
        <v>0</v>
      </c>
      <c r="AC55" s="364">
        <v>101498932</v>
      </c>
      <c r="AD55" s="16">
        <f t="shared" si="52"/>
        <v>101498932</v>
      </c>
      <c r="AE55" s="19">
        <f>FEBRERO!AG55</f>
        <v>0</v>
      </c>
      <c r="AF55" s="364">
        <v>101498932</v>
      </c>
      <c r="AG55" s="16">
        <f t="shared" si="53"/>
        <v>101498932</v>
      </c>
      <c r="AH55" s="19">
        <f t="shared" si="54"/>
        <v>0</v>
      </c>
      <c r="AI55" s="15">
        <f t="shared" si="55"/>
        <v>0</v>
      </c>
      <c r="AJ55" s="16">
        <f t="shared" si="56"/>
        <v>0</v>
      </c>
      <c r="AK55" s="9"/>
      <c r="AL55" s="362">
        <v>-6501068</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+IF(FEBRERO!A56=0,"",FEBRERO!A56)</f>
        <v>1130110-2</v>
      </c>
      <c r="B56" s="629" t="str">
        <f>+IF(FEBRERO!B56=0,"",FEBRERO!B56)</f>
        <v>Vigencia Anterior</v>
      </c>
      <c r="C56" s="655">
        <f>+ENERO!C56</f>
        <v>0</v>
      </c>
      <c r="D56" s="363">
        <f>FEBRERO!D56+MARZO!P56</f>
        <v>0</v>
      </c>
      <c r="E56" s="363">
        <f>FEBRERO!E56+MARZO!Q56</f>
        <v>0</v>
      </c>
      <c r="F56" s="363">
        <f>SUM(C56:E56)</f>
        <v>0</v>
      </c>
      <c r="G56" s="363">
        <f>FEBRERO!I56</f>
        <v>0</v>
      </c>
      <c r="H56" s="364">
        <v>0</v>
      </c>
      <c r="I56" s="363">
        <f>SUM(G56:H56)</f>
        <v>0</v>
      </c>
      <c r="J56" s="363">
        <f>FEBRERO!L56</f>
        <v>0</v>
      </c>
      <c r="K56" s="364">
        <v>0</v>
      </c>
      <c r="L56" s="363">
        <f>SUM(J56:K56)</f>
        <v>0</v>
      </c>
      <c r="M56" s="363">
        <f>F56-I56</f>
        <v>0</v>
      </c>
      <c r="N56" s="143">
        <f>F56-L56</f>
        <v>0</v>
      </c>
      <c r="O56" s="372"/>
      <c r="P56" s="362">
        <v>0</v>
      </c>
      <c r="Q56" s="365">
        <v>0</v>
      </c>
      <c r="R56" s="9"/>
      <c r="S56" s="356" t="str">
        <f>+IF(FEBRERO!S56=0,"",FEBRERO!S56)</f>
        <v/>
      </c>
      <c r="T56" s="678" t="str">
        <f>+IF(FEBRERO!T56=0,"",FEBRERO!T56)</f>
        <v/>
      </c>
      <c r="U56" s="357"/>
      <c r="V56" s="161"/>
      <c r="W56" s="161"/>
      <c r="X56" s="161"/>
      <c r="Y56" s="357"/>
      <c r="Z56" s="161"/>
      <c r="AA56" s="166"/>
      <c r="AB56" s="357"/>
      <c r="AC56" s="161"/>
      <c r="AD56" s="166"/>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+IF(FEBRERO!A57=0,"",FEBRERO!A57)</f>
        <v>1130111</v>
      </c>
      <c r="B57" s="628" t="str">
        <f>+IF(FEBRERO!B57=0,"",FEBRERO!B57)</f>
        <v>IPS PRIVADAS</v>
      </c>
      <c r="C57" s="43">
        <f t="shared" ref="C57:N57" si="59">SUM(C58:C59)</f>
        <v>205713</v>
      </c>
      <c r="D57" s="44">
        <f t="shared" si="59"/>
        <v>0</v>
      </c>
      <c r="E57" s="44">
        <f t="shared" si="59"/>
        <v>0</v>
      </c>
      <c r="F57" s="44">
        <f t="shared" si="59"/>
        <v>205713</v>
      </c>
      <c r="G57" s="44">
        <f t="shared" si="59"/>
        <v>0</v>
      </c>
      <c r="H57" s="44">
        <f t="shared" si="59"/>
        <v>0</v>
      </c>
      <c r="I57" s="44">
        <f t="shared" si="59"/>
        <v>0</v>
      </c>
      <c r="J57" s="44">
        <f t="shared" si="59"/>
        <v>0</v>
      </c>
      <c r="K57" s="44">
        <f t="shared" si="59"/>
        <v>0</v>
      </c>
      <c r="L57" s="44">
        <f t="shared" si="59"/>
        <v>0</v>
      </c>
      <c r="M57" s="44">
        <f t="shared" si="59"/>
        <v>205713</v>
      </c>
      <c r="N57" s="45">
        <f t="shared" si="59"/>
        <v>205713</v>
      </c>
      <c r="P57" s="43">
        <f>SUM(P58:P59)</f>
        <v>0</v>
      </c>
      <c r="Q57" s="45">
        <f>SUM(Q58:Q59)</f>
        <v>0</v>
      </c>
      <c r="R57" s="9"/>
      <c r="S57" s="687">
        <f>+IF(FEBRERO!S57=0,"",FEBRERO!S57)</f>
        <v>1010400</v>
      </c>
      <c r="T57" s="703" t="str">
        <f>+IF(FEBRERO!T57=0,"",FEBRERO!T57)</f>
        <v>Contribuciones Inherentes nómina del Sector Publico</v>
      </c>
      <c r="U57" s="128">
        <f t="shared" ref="U57:AJ57" si="60">U58+U61</f>
        <v>94301194</v>
      </c>
      <c r="V57" s="122">
        <f t="shared" si="60"/>
        <v>0</v>
      </c>
      <c r="W57" s="122">
        <f t="shared" si="60"/>
        <v>0</v>
      </c>
      <c r="X57" s="129">
        <f t="shared" si="60"/>
        <v>94301194</v>
      </c>
      <c r="Y57" s="128">
        <f t="shared" si="60"/>
        <v>10991450</v>
      </c>
      <c r="Z57" s="122">
        <f t="shared" si="60"/>
        <v>5397000</v>
      </c>
      <c r="AA57" s="130">
        <f t="shared" si="60"/>
        <v>16388450</v>
      </c>
      <c r="AB57" s="128">
        <f t="shared" si="60"/>
        <v>10991450</v>
      </c>
      <c r="AC57" s="122">
        <f t="shared" si="60"/>
        <v>5397000</v>
      </c>
      <c r="AD57" s="130">
        <f t="shared" si="60"/>
        <v>16388450</v>
      </c>
      <c r="AE57" s="128">
        <f t="shared" si="60"/>
        <v>5556150</v>
      </c>
      <c r="AF57" s="122">
        <f t="shared" si="60"/>
        <v>5435300</v>
      </c>
      <c r="AG57" s="130">
        <f t="shared" si="60"/>
        <v>10991450</v>
      </c>
      <c r="AH57" s="128">
        <f t="shared" si="60"/>
        <v>77912744</v>
      </c>
      <c r="AI57" s="122">
        <f t="shared" si="60"/>
        <v>77912744</v>
      </c>
      <c r="AJ57" s="130">
        <f t="shared" si="60"/>
        <v>83309744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+IF(FEBRERO!A58=0,"",FEBRERO!A58)</f>
        <v>1130111-1</v>
      </c>
      <c r="B58" s="629" t="str">
        <f>+CONCATENATE("Vigencia ",INSTRUCCIONES!$F$3)</f>
        <v>Vigencia 2019</v>
      </c>
      <c r="C58" s="655">
        <f>+ENERO!C58</f>
        <v>205713</v>
      </c>
      <c r="D58" s="363">
        <f>FEBRERO!D58+MARZO!P58</f>
        <v>0</v>
      </c>
      <c r="E58" s="363">
        <f>FEBRERO!E58+MARZO!Q58</f>
        <v>0</v>
      </c>
      <c r="F58" s="363">
        <f>SUM(C58:E58)</f>
        <v>205713</v>
      </c>
      <c r="G58" s="363">
        <f>FEBRERO!I58</f>
        <v>0</v>
      </c>
      <c r="H58" s="364">
        <v>0</v>
      </c>
      <c r="I58" s="363">
        <f>SUM(G58:H58)</f>
        <v>0</v>
      </c>
      <c r="J58" s="363">
        <f>FEBRERO!L58</f>
        <v>0</v>
      </c>
      <c r="K58" s="364">
        <v>0</v>
      </c>
      <c r="L58" s="363">
        <f>SUM(J58:K58)</f>
        <v>0</v>
      </c>
      <c r="M58" s="363">
        <f>F58-I58</f>
        <v>205713</v>
      </c>
      <c r="N58" s="143">
        <f>F58-L58</f>
        <v>205713</v>
      </c>
      <c r="O58" s="372"/>
      <c r="P58" s="362">
        <v>0</v>
      </c>
      <c r="Q58" s="365">
        <v>0</v>
      </c>
      <c r="R58" s="9"/>
      <c r="S58" s="688">
        <f>+IF(FEBRERO!S58=0,"",FEBRERO!S58)</f>
        <v>1010402</v>
      </c>
      <c r="T58" s="704" t="str">
        <f>+IF(FEBRERO!T58=0,"",FEBRERO!T58)</f>
        <v>Contribuciones - Otros</v>
      </c>
      <c r="U58" s="29">
        <f t="shared" ref="U58:AJ58" si="61">SUM(U59:U60)</f>
        <v>94301194</v>
      </c>
      <c r="V58" s="15">
        <f t="shared" si="61"/>
        <v>0</v>
      </c>
      <c r="W58" s="15">
        <f t="shared" si="61"/>
        <v>0</v>
      </c>
      <c r="X58" s="18">
        <f t="shared" si="61"/>
        <v>94301194</v>
      </c>
      <c r="Y58" s="19">
        <f t="shared" si="61"/>
        <v>10991450</v>
      </c>
      <c r="Z58" s="142">
        <f t="shared" si="61"/>
        <v>5397000</v>
      </c>
      <c r="AA58" s="16">
        <f t="shared" si="61"/>
        <v>16388450</v>
      </c>
      <c r="AB58" s="19">
        <f t="shared" si="61"/>
        <v>10991450</v>
      </c>
      <c r="AC58" s="142">
        <f t="shared" si="61"/>
        <v>5397000</v>
      </c>
      <c r="AD58" s="16">
        <f t="shared" si="61"/>
        <v>16388450</v>
      </c>
      <c r="AE58" s="19">
        <f t="shared" si="61"/>
        <v>5556150</v>
      </c>
      <c r="AF58" s="142">
        <f t="shared" si="61"/>
        <v>5435300</v>
      </c>
      <c r="AG58" s="16">
        <f t="shared" si="61"/>
        <v>10991450</v>
      </c>
      <c r="AH58" s="19">
        <f t="shared" si="61"/>
        <v>77912744</v>
      </c>
      <c r="AI58" s="15">
        <f t="shared" si="61"/>
        <v>77912744</v>
      </c>
      <c r="AJ58" s="16">
        <f t="shared" si="61"/>
        <v>83309744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+IF(FEBRERO!A59=0,"",FEBRERO!A59)</f>
        <v>1130111-2</v>
      </c>
      <c r="B59" s="629" t="str">
        <f>+IF(FEBRERO!B59=0,"",FEBRERO!B59)</f>
        <v>Vigencia Anterior</v>
      </c>
      <c r="C59" s="655">
        <f>+ENERO!C59</f>
        <v>0</v>
      </c>
      <c r="D59" s="363">
        <f>FEBRERO!D59+MARZO!P59</f>
        <v>0</v>
      </c>
      <c r="E59" s="363">
        <f>FEBRERO!E59+MARZO!Q59</f>
        <v>0</v>
      </c>
      <c r="F59" s="363">
        <f>SUM(C59:E59)</f>
        <v>0</v>
      </c>
      <c r="G59" s="363">
        <f>FEBRERO!I59</f>
        <v>0</v>
      </c>
      <c r="H59" s="364">
        <v>0</v>
      </c>
      <c r="I59" s="363">
        <f>SUM(G59:H59)</f>
        <v>0</v>
      </c>
      <c r="J59" s="363">
        <f>FEBRERO!L59</f>
        <v>0</v>
      </c>
      <c r="K59" s="364">
        <v>0</v>
      </c>
      <c r="L59" s="363">
        <f>SUM(J59:K59)</f>
        <v>0</v>
      </c>
      <c r="M59" s="363">
        <f>F59-I59</f>
        <v>0</v>
      </c>
      <c r="N59" s="143">
        <f>F59-L59</f>
        <v>0</v>
      </c>
      <c r="O59" s="372"/>
      <c r="P59" s="362">
        <v>0</v>
      </c>
      <c r="Q59" s="365">
        <v>0</v>
      </c>
      <c r="R59" s="9"/>
      <c r="S59" s="689" t="str">
        <f>+IF(FEBRERO!S59=0,"",FEBRERO!S59)</f>
        <v>1010402-1</v>
      </c>
      <c r="T59" s="704" t="str">
        <f>+IF(FEBRERO!T59=0,"",FEBRERO!T59)</f>
        <v>S.E.N.A.</v>
      </c>
      <c r="U59" s="29">
        <f>+ENERO!U59</f>
        <v>37720478</v>
      </c>
      <c r="V59" s="15">
        <f>FEBRERO!V59+MARZO!AL59</f>
        <v>0</v>
      </c>
      <c r="W59" s="15">
        <f>FEBRERO!W59+MARZO!AM59</f>
        <v>0</v>
      </c>
      <c r="X59" s="18">
        <f>SUM(U59:W59)</f>
        <v>37720478</v>
      </c>
      <c r="Y59" s="19">
        <f>FEBRERO!AA59</f>
        <v>4396580</v>
      </c>
      <c r="Z59" s="364">
        <v>2158800</v>
      </c>
      <c r="AA59" s="16">
        <f>SUM(Y59:Z59)</f>
        <v>6555380</v>
      </c>
      <c r="AB59" s="19">
        <f>FEBRERO!AD59</f>
        <v>4396580</v>
      </c>
      <c r="AC59" s="364">
        <v>2158800</v>
      </c>
      <c r="AD59" s="16">
        <f>SUM(AB59:AC59)</f>
        <v>6555380</v>
      </c>
      <c r="AE59" s="19">
        <f>FEBRERO!AG59</f>
        <v>2222460</v>
      </c>
      <c r="AF59" s="364">
        <v>2174120</v>
      </c>
      <c r="AG59" s="16">
        <f>SUM(AE59:AF59)</f>
        <v>4396580</v>
      </c>
      <c r="AH59" s="19">
        <f>X59-AA59</f>
        <v>31165098</v>
      </c>
      <c r="AI59" s="15">
        <f>X59-AD59</f>
        <v>31165098</v>
      </c>
      <c r="AJ59" s="16">
        <f>X59-AG59</f>
        <v>33323898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+IF(FEBRERO!A60=0,"",FEBRERO!A60)</f>
        <v>1130112</v>
      </c>
      <c r="B60" s="628" t="str">
        <f>+IF(FEBRERO!B60=0,"",FEBRERO!B60)</f>
        <v>IPS PUBLICAS</v>
      </c>
      <c r="C60" s="43">
        <f t="shared" ref="C60:N60" si="62">SUM(C61:C62)</f>
        <v>0</v>
      </c>
      <c r="D60" s="44">
        <f t="shared" si="62"/>
        <v>0</v>
      </c>
      <c r="E60" s="44">
        <f t="shared" si="62"/>
        <v>0</v>
      </c>
      <c r="F60" s="44">
        <f t="shared" si="62"/>
        <v>0</v>
      </c>
      <c r="G60" s="44">
        <f t="shared" si="62"/>
        <v>1287138</v>
      </c>
      <c r="H60" s="44">
        <f t="shared" si="62"/>
        <v>578355</v>
      </c>
      <c r="I60" s="44">
        <f t="shared" si="62"/>
        <v>1865493</v>
      </c>
      <c r="J60" s="44">
        <f t="shared" si="62"/>
        <v>1128999</v>
      </c>
      <c r="K60" s="44">
        <f t="shared" si="62"/>
        <v>578355</v>
      </c>
      <c r="L60" s="44">
        <f t="shared" si="62"/>
        <v>1707354</v>
      </c>
      <c r="M60" s="44">
        <f t="shared" si="62"/>
        <v>-1865493</v>
      </c>
      <c r="N60" s="45">
        <f t="shared" si="62"/>
        <v>-1707354</v>
      </c>
      <c r="P60" s="43">
        <f>SUM(P61:P62)</f>
        <v>0</v>
      </c>
      <c r="Q60" s="45">
        <f>SUM(Q61:Q62)</f>
        <v>0</v>
      </c>
      <c r="R60" s="9"/>
      <c r="S60" s="689" t="str">
        <f>+IF(FEBRERO!S60=0,"",FEBRERO!S60)</f>
        <v>1010402-2</v>
      </c>
      <c r="T60" s="704" t="str">
        <f>+IF(FEBRERO!T60=0,"",FEBRERO!T60)</f>
        <v>I.C.B.F.</v>
      </c>
      <c r="U60" s="29">
        <f>+ENERO!U60</f>
        <v>56580716</v>
      </c>
      <c r="V60" s="15">
        <f>FEBRERO!V60+MARZO!AL60</f>
        <v>0</v>
      </c>
      <c r="W60" s="15">
        <f>FEBRERO!W60+MARZO!AM60</f>
        <v>0</v>
      </c>
      <c r="X60" s="18">
        <f>SUM(U60:W60)</f>
        <v>56580716</v>
      </c>
      <c r="Y60" s="19">
        <f>FEBRERO!AA60</f>
        <v>6594870</v>
      </c>
      <c r="Z60" s="364">
        <v>3238200</v>
      </c>
      <c r="AA60" s="16">
        <f>SUM(Y60:Z60)</f>
        <v>9833070</v>
      </c>
      <c r="AB60" s="19">
        <f>FEBRERO!AD60</f>
        <v>6594870</v>
      </c>
      <c r="AC60" s="364">
        <v>3238200</v>
      </c>
      <c r="AD60" s="16">
        <f>SUM(AB60:AC60)</f>
        <v>9833070</v>
      </c>
      <c r="AE60" s="19">
        <f>FEBRERO!AG60</f>
        <v>3333690</v>
      </c>
      <c r="AF60" s="364">
        <v>3261180</v>
      </c>
      <c r="AG60" s="16">
        <f>SUM(AE60:AF60)</f>
        <v>6594870</v>
      </c>
      <c r="AH60" s="19">
        <f>X60-AA60</f>
        <v>46747646</v>
      </c>
      <c r="AI60" s="15">
        <f>X60-AD60</f>
        <v>46747646</v>
      </c>
      <c r="AJ60" s="16">
        <f>X60-AG60</f>
        <v>49985846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+IF(FEBRERO!A61=0,"",FEBRERO!A61)</f>
        <v>1130112-1</v>
      </c>
      <c r="B61" s="629" t="str">
        <f>+CONCATENATE("Vigencia ",INSTRUCCIONES!$F$3)</f>
        <v>Vigencia 2019</v>
      </c>
      <c r="C61" s="655">
        <f>+ENERO!C61</f>
        <v>0</v>
      </c>
      <c r="D61" s="363">
        <f>FEBRERO!D61+MARZO!P61</f>
        <v>0</v>
      </c>
      <c r="E61" s="363">
        <f>FEBRERO!E61+MARZO!Q61</f>
        <v>0</v>
      </c>
      <c r="F61" s="363">
        <f>SUM(C61:E61)</f>
        <v>0</v>
      </c>
      <c r="G61" s="363">
        <f>FEBRERO!I61</f>
        <v>158139</v>
      </c>
      <c r="H61" s="364">
        <v>0</v>
      </c>
      <c r="I61" s="363">
        <f>SUM(G61:H61)</f>
        <v>158139</v>
      </c>
      <c r="J61" s="363">
        <f>FEBRERO!L61</f>
        <v>0</v>
      </c>
      <c r="K61" s="364">
        <v>0</v>
      </c>
      <c r="L61" s="363">
        <f>SUM(J61:K61)</f>
        <v>0</v>
      </c>
      <c r="M61" s="363">
        <f>F61-I61</f>
        <v>-158139</v>
      </c>
      <c r="N61" s="143">
        <f>F61-L61</f>
        <v>0</v>
      </c>
      <c r="O61" s="372"/>
      <c r="P61" s="362">
        <v>0</v>
      </c>
      <c r="Q61" s="365">
        <v>0</v>
      </c>
      <c r="R61" s="9"/>
      <c r="S61" s="688">
        <f>+IF(FEBRERO!S61=0,"",FEBRERO!S61)</f>
        <v>1010499</v>
      </c>
      <c r="T61" s="704" t="str">
        <f>+IF(FEBRERO!T61=0,"",FEBRERO!T61)</f>
        <v>Vigencias Anteriores</v>
      </c>
      <c r="U61" s="29">
        <f>+ENERO!U61</f>
        <v>0</v>
      </c>
      <c r="V61" s="15">
        <f>FEBRERO!V61+MARZO!AL61</f>
        <v>0</v>
      </c>
      <c r="W61" s="15">
        <f>FEBRERO!W61+MARZO!AM61</f>
        <v>0</v>
      </c>
      <c r="X61" s="18">
        <f>SUM(U61:W61)</f>
        <v>0</v>
      </c>
      <c r="Y61" s="19">
        <f>FEBRERO!AA61</f>
        <v>0</v>
      </c>
      <c r="Z61" s="364">
        <v>0</v>
      </c>
      <c r="AA61" s="16">
        <f>SUM(Y61:Z61)</f>
        <v>0</v>
      </c>
      <c r="AB61" s="19">
        <f>FEBRERO!AD61</f>
        <v>0</v>
      </c>
      <c r="AC61" s="364">
        <v>0</v>
      </c>
      <c r="AD61" s="16">
        <f>SUM(AB61:AC61)</f>
        <v>0</v>
      </c>
      <c r="AE61" s="19">
        <f>FEBRERO!AG61</f>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+IF(FEBRERO!A62=0,"",FEBRERO!A62)</f>
        <v>1130112-2</v>
      </c>
      <c r="B62" s="629" t="str">
        <f>+IF(FEBRERO!B62=0,"",FEBRERO!B62)</f>
        <v>Vigencia Anterior</v>
      </c>
      <c r="C62" s="655">
        <f>+ENERO!C62</f>
        <v>0</v>
      </c>
      <c r="D62" s="363">
        <f>FEBRERO!D62+MARZO!P62</f>
        <v>0</v>
      </c>
      <c r="E62" s="363">
        <f>FEBRERO!E62+MARZO!Q62</f>
        <v>0</v>
      </c>
      <c r="F62" s="363">
        <f>SUM(C62:E62)</f>
        <v>0</v>
      </c>
      <c r="G62" s="363">
        <f>FEBRERO!I62</f>
        <v>1128999</v>
      </c>
      <c r="H62" s="364">
        <v>578355</v>
      </c>
      <c r="I62" s="363">
        <f>SUM(G62:H62)</f>
        <v>1707354</v>
      </c>
      <c r="J62" s="363">
        <f>FEBRERO!L62</f>
        <v>1128999</v>
      </c>
      <c r="K62" s="364">
        <v>578355</v>
      </c>
      <c r="L62" s="363">
        <f>SUM(J62:K62)</f>
        <v>1707354</v>
      </c>
      <c r="M62" s="363">
        <f>F62-I62</f>
        <v>-1707354</v>
      </c>
      <c r="N62" s="143">
        <f>F62-L62</f>
        <v>-1707354</v>
      </c>
      <c r="O62" s="372"/>
      <c r="P62" s="362">
        <v>0</v>
      </c>
      <c r="Q62" s="365">
        <v>0</v>
      </c>
      <c r="R62" s="9"/>
      <c r="S62" s="356" t="str">
        <f>+IF(FEBRERO!S62=0,"",FEBRERO!S62)</f>
        <v/>
      </c>
      <c r="T62" s="678" t="str">
        <f>+IF(FEBRERO!T62=0,"",FEBRERO!T62)</f>
        <v/>
      </c>
      <c r="U62" s="357"/>
      <c r="V62" s="161"/>
      <c r="W62" s="161"/>
      <c r="X62" s="161"/>
      <c r="Y62" s="357"/>
      <c r="Z62" s="161"/>
      <c r="AA62" s="166"/>
      <c r="AB62" s="357"/>
      <c r="AC62" s="161"/>
      <c r="AD62" s="166"/>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+IF(FEBRERO!A63=0,"",FEBRERO!A63)</f>
        <v>1130113</v>
      </c>
      <c r="B63" s="628" t="str">
        <f>+IF(FEBRERO!B63=0,"",FEBRERO!B63)</f>
        <v>COMPAÑIAS DE SEGUROS  - ACCIDENTES DE TRANSITO (SOAT)</v>
      </c>
      <c r="C63" s="43">
        <f t="shared" ref="C63:N63" si="63">SUM(C64:C65)</f>
        <v>8371510292</v>
      </c>
      <c r="D63" s="44">
        <f t="shared" si="63"/>
        <v>0</v>
      </c>
      <c r="E63" s="44">
        <f t="shared" si="63"/>
        <v>1649933298</v>
      </c>
      <c r="F63" s="44">
        <f t="shared" si="63"/>
        <v>10021443590</v>
      </c>
      <c r="G63" s="44">
        <f t="shared" si="63"/>
        <v>3160265037</v>
      </c>
      <c r="H63" s="44">
        <f t="shared" si="63"/>
        <v>1323513198</v>
      </c>
      <c r="I63" s="44">
        <f t="shared" si="63"/>
        <v>4483778235</v>
      </c>
      <c r="J63" s="44">
        <f t="shared" si="63"/>
        <v>1208829166</v>
      </c>
      <c r="K63" s="44">
        <f t="shared" si="63"/>
        <v>1037985220</v>
      </c>
      <c r="L63" s="44">
        <f t="shared" si="63"/>
        <v>2246814386</v>
      </c>
      <c r="M63" s="44">
        <f t="shared" si="63"/>
        <v>5537665355</v>
      </c>
      <c r="N63" s="45">
        <f t="shared" si="63"/>
        <v>7774629204</v>
      </c>
      <c r="P63" s="43">
        <f>SUM(P64:P65)</f>
        <v>0</v>
      </c>
      <c r="Q63" s="45">
        <f>SUM(Q64:Q65)</f>
        <v>680753652</v>
      </c>
      <c r="R63" s="9"/>
      <c r="S63" s="686">
        <f>+IF(FEBRERO!S63=0,"",FEBRERO!S63)</f>
        <v>1020010</v>
      </c>
      <c r="T63" s="702" t="str">
        <f>+IF(FEBRERO!T63=0,"",FEBRERO!T63)</f>
        <v>Gastos de Operación</v>
      </c>
      <c r="U63" s="128">
        <f t="shared" ref="U63:AJ63" si="64">U65+U83+U90+U104</f>
        <v>29994047768</v>
      </c>
      <c r="V63" s="122">
        <f t="shared" si="64"/>
        <v>6501068</v>
      </c>
      <c r="W63" s="122">
        <f t="shared" si="64"/>
        <v>1653182074</v>
      </c>
      <c r="X63" s="129">
        <f t="shared" si="64"/>
        <v>31653730910</v>
      </c>
      <c r="Y63" s="128">
        <f t="shared" si="64"/>
        <v>18777300344</v>
      </c>
      <c r="Z63" s="122">
        <f t="shared" si="64"/>
        <v>2043669931</v>
      </c>
      <c r="AA63" s="130">
        <f t="shared" si="64"/>
        <v>20820970275</v>
      </c>
      <c r="AB63" s="128">
        <f t="shared" si="64"/>
        <v>4711120799</v>
      </c>
      <c r="AC63" s="122">
        <f t="shared" si="64"/>
        <v>3393730574</v>
      </c>
      <c r="AD63" s="130">
        <f t="shared" si="64"/>
        <v>8104851373</v>
      </c>
      <c r="AE63" s="128">
        <f t="shared" si="64"/>
        <v>1905629818</v>
      </c>
      <c r="AF63" s="122">
        <f t="shared" si="64"/>
        <v>2150954527</v>
      </c>
      <c r="AG63" s="130">
        <f t="shared" si="64"/>
        <v>4056584345</v>
      </c>
      <c r="AH63" s="128">
        <f t="shared" si="64"/>
        <v>10832760635</v>
      </c>
      <c r="AI63" s="122">
        <f t="shared" si="64"/>
        <v>23548879537</v>
      </c>
      <c r="AJ63" s="130">
        <f t="shared" si="64"/>
        <v>27597146565</v>
      </c>
      <c r="AK63" s="9"/>
      <c r="AL63" s="128">
        <f>AL65+AL83+AL90+AL104</f>
        <v>6501068</v>
      </c>
      <c r="AM63" s="130">
        <f>AM65+AM83+AM90+AM104</f>
        <v>13182074</v>
      </c>
      <c r="AN63" s="9"/>
      <c r="AO63" s="284"/>
      <c r="AP63" s="284"/>
      <c r="AQ63" s="284"/>
      <c r="AR63" s="284"/>
      <c r="AS63" s="284"/>
      <c r="AT63" s="284"/>
      <c r="AU63" s="284"/>
      <c r="AV63" s="284"/>
      <c r="AW63" s="284"/>
      <c r="AX63" s="284"/>
      <c r="AY63" s="284"/>
      <c r="AZ63" s="284"/>
    </row>
    <row r="64" spans="1:70" s="412" customFormat="1" ht="24.95" customHeight="1">
      <c r="A64" s="593" t="str">
        <f>+IF(FEBRERO!A64=0,"",FEBRERO!A64)</f>
        <v>1130113-1</v>
      </c>
      <c r="B64" s="629" t="str">
        <f>+CONCATENATE("Vigencia ",INSTRUCCIONES!$F$3)</f>
        <v>Vigencia 2019</v>
      </c>
      <c r="C64" s="655">
        <f>+ENERO!C64</f>
        <v>8371510292</v>
      </c>
      <c r="D64" s="363">
        <f>FEBRERO!D64+MARZO!P64</f>
        <v>0</v>
      </c>
      <c r="E64" s="363">
        <f>FEBRERO!E64+MARZO!Q64</f>
        <v>0</v>
      </c>
      <c r="F64" s="363">
        <f>SUM(C64:E64)</f>
        <v>8371510292</v>
      </c>
      <c r="G64" s="363">
        <f>FEBRERO!I64</f>
        <v>2013083818</v>
      </c>
      <c r="H64" s="364">
        <v>755713707</v>
      </c>
      <c r="I64" s="363">
        <f>SUM(G64:H64)</f>
        <v>2768797525</v>
      </c>
      <c r="J64" s="363">
        <f>FEBRERO!L64</f>
        <v>61647947</v>
      </c>
      <c r="K64" s="364">
        <v>470185729</v>
      </c>
      <c r="L64" s="363">
        <f>SUM(J64:K64)</f>
        <v>531833676</v>
      </c>
      <c r="M64" s="363">
        <f>F64-I64</f>
        <v>5602712767</v>
      </c>
      <c r="N64" s="143">
        <f>F64-L64</f>
        <v>7839676616</v>
      </c>
      <c r="O64" s="372"/>
      <c r="P64" s="362">
        <v>0</v>
      </c>
      <c r="Q64" s="365">
        <v>0</v>
      </c>
      <c r="R64" s="9"/>
      <c r="S64" s="356" t="str">
        <f>+IF(FEBRERO!S64=0,"",FEBRERO!S64)</f>
        <v/>
      </c>
      <c r="T64" s="678" t="str">
        <f>+IF(FEBRERO!T64=0,"",FEBRERO!T64)</f>
        <v/>
      </c>
      <c r="U64" s="357"/>
      <c r="V64" s="161"/>
      <c r="W64" s="161"/>
      <c r="X64" s="161"/>
      <c r="Y64" s="357"/>
      <c r="Z64" s="161"/>
      <c r="AA64" s="166"/>
      <c r="AB64" s="357"/>
      <c r="AC64" s="161"/>
      <c r="AD64" s="166"/>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+IF(FEBRERO!A65=0,"",FEBRERO!A65)</f>
        <v>1130113-2</v>
      </c>
      <c r="B65" s="629" t="str">
        <f>+IF(FEBRERO!B65=0,"",FEBRERO!B65)</f>
        <v>Vigencia Anterior</v>
      </c>
      <c r="C65" s="655">
        <f>+ENERO!C65</f>
        <v>0</v>
      </c>
      <c r="D65" s="363">
        <f>FEBRERO!D65+MARZO!P65</f>
        <v>0</v>
      </c>
      <c r="E65" s="363">
        <f>FEBRERO!E65+MARZO!Q65</f>
        <v>1649933298</v>
      </c>
      <c r="F65" s="363">
        <f>SUM(C65:E65)</f>
        <v>1649933298</v>
      </c>
      <c r="G65" s="363">
        <f>FEBRERO!I65</f>
        <v>1147181219</v>
      </c>
      <c r="H65" s="364">
        <v>567799491</v>
      </c>
      <c r="I65" s="363">
        <f>SUM(G65:H65)</f>
        <v>1714980710</v>
      </c>
      <c r="J65" s="363">
        <f>FEBRERO!L65</f>
        <v>1147181219</v>
      </c>
      <c r="K65" s="364">
        <v>567799491</v>
      </c>
      <c r="L65" s="363">
        <f>SUM(J65:K65)</f>
        <v>1714980710</v>
      </c>
      <c r="M65" s="363">
        <f>F65-I65</f>
        <v>-65047412</v>
      </c>
      <c r="N65" s="143">
        <f>F65-L65</f>
        <v>-65047412</v>
      </c>
      <c r="O65" s="372"/>
      <c r="P65" s="362">
        <v>0</v>
      </c>
      <c r="Q65" s="365">
        <v>680753652</v>
      </c>
      <c r="R65" s="9"/>
      <c r="S65" s="687">
        <f>+IF(FEBRERO!S65=0,"",FEBRERO!S65)</f>
        <v>1020100</v>
      </c>
      <c r="T65" s="703" t="str">
        <f>+IF(FEBRERO!T65=0,"",FEBRERO!T65)</f>
        <v>Servicios Personales Asociados a Nómina</v>
      </c>
      <c r="U65" s="128">
        <f t="shared" ref="U65:AJ65" si="65">SUM(U66:U69)+U81</f>
        <v>5283965861</v>
      </c>
      <c r="V65" s="122">
        <f t="shared" si="65"/>
        <v>0</v>
      </c>
      <c r="W65" s="122">
        <f t="shared" si="65"/>
        <v>0</v>
      </c>
      <c r="X65" s="129">
        <f t="shared" si="65"/>
        <v>5283965861</v>
      </c>
      <c r="Y65" s="128">
        <f t="shared" si="65"/>
        <v>373481864</v>
      </c>
      <c r="Z65" s="122">
        <f t="shared" si="65"/>
        <v>179356516</v>
      </c>
      <c r="AA65" s="130">
        <f t="shared" si="65"/>
        <v>552838380</v>
      </c>
      <c r="AB65" s="128">
        <f t="shared" si="65"/>
        <v>373461864</v>
      </c>
      <c r="AC65" s="122">
        <f t="shared" si="65"/>
        <v>179356516</v>
      </c>
      <c r="AD65" s="130">
        <f t="shared" si="65"/>
        <v>552818380</v>
      </c>
      <c r="AE65" s="128">
        <f t="shared" si="65"/>
        <v>373461864</v>
      </c>
      <c r="AF65" s="122">
        <f t="shared" si="65"/>
        <v>179356516</v>
      </c>
      <c r="AG65" s="130">
        <f t="shared" si="65"/>
        <v>552818380</v>
      </c>
      <c r="AH65" s="128">
        <f t="shared" si="65"/>
        <v>4731127481</v>
      </c>
      <c r="AI65" s="122">
        <f t="shared" si="65"/>
        <v>4731147481</v>
      </c>
      <c r="AJ65" s="130">
        <f t="shared" si="65"/>
        <v>4731147481</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+IF(FEBRERO!A66=0,"",FEBRERO!A66)</f>
        <v>1130114</v>
      </c>
      <c r="B66" s="628" t="str">
        <f>+IF(FEBRERO!B66=0,"",FEBRERO!B66)</f>
        <v xml:space="preserve">COMPAÑIAS DE SEGUROS  - PLANES DE SALUD  </v>
      </c>
      <c r="C66" s="43">
        <f t="shared" ref="C66:N66" si="66">SUM(C67:C68)</f>
        <v>11965775</v>
      </c>
      <c r="D66" s="44">
        <f t="shared" si="66"/>
        <v>0</v>
      </c>
      <c r="E66" s="44">
        <f t="shared" si="66"/>
        <v>0</v>
      </c>
      <c r="F66" s="44">
        <f t="shared" si="66"/>
        <v>11965775</v>
      </c>
      <c r="G66" s="44">
        <f t="shared" si="66"/>
        <v>2989086</v>
      </c>
      <c r="H66" s="44">
        <f t="shared" si="66"/>
        <v>15269130</v>
      </c>
      <c r="I66" s="44">
        <f t="shared" si="66"/>
        <v>18258216</v>
      </c>
      <c r="J66" s="44">
        <f t="shared" si="66"/>
        <v>0</v>
      </c>
      <c r="K66" s="44">
        <f t="shared" si="66"/>
        <v>0</v>
      </c>
      <c r="L66" s="44">
        <f t="shared" si="66"/>
        <v>0</v>
      </c>
      <c r="M66" s="44">
        <f t="shared" si="66"/>
        <v>-6292441</v>
      </c>
      <c r="N66" s="45">
        <f t="shared" si="66"/>
        <v>11965775</v>
      </c>
      <c r="P66" s="43">
        <f>SUM(P67:P68)</f>
        <v>0</v>
      </c>
      <c r="Q66" s="45">
        <f>SUM(Q67:Q68)</f>
        <v>0</v>
      </c>
      <c r="R66" s="9"/>
      <c r="S66" s="688">
        <f>+IF(FEBRERO!S66=0,"",FEBRERO!S66)</f>
        <v>1020101</v>
      </c>
      <c r="T66" s="704" t="str">
        <f>+IF(FEBRERO!T66=0,"",FEBRERO!T66)</f>
        <v>Sueldos del Personal de nómina</v>
      </c>
      <c r="U66" s="29">
        <f>+ENERO!U66</f>
        <v>3773107838</v>
      </c>
      <c r="V66" s="15">
        <f>FEBRERO!V66+MARZO!AL66</f>
        <v>0</v>
      </c>
      <c r="W66" s="15">
        <f>FEBRERO!W66+MARZO!AM66</f>
        <v>0</v>
      </c>
      <c r="X66" s="18">
        <f>SUM(U66:W66)</f>
        <v>3773107838</v>
      </c>
      <c r="Y66" s="19">
        <f>FEBRERO!AA66</f>
        <v>335572378</v>
      </c>
      <c r="Z66" s="364">
        <v>163258560</v>
      </c>
      <c r="AA66" s="16">
        <f>SUM(Y66:Z66)</f>
        <v>498830938</v>
      </c>
      <c r="AB66" s="19">
        <f>FEBRERO!AD66</f>
        <v>335552378</v>
      </c>
      <c r="AC66" s="364">
        <v>163258560</v>
      </c>
      <c r="AD66" s="16">
        <f>SUM(AB66:AC66)</f>
        <v>498810938</v>
      </c>
      <c r="AE66" s="19">
        <f>FEBRERO!AG66</f>
        <v>335552378</v>
      </c>
      <c r="AF66" s="364">
        <v>163258560</v>
      </c>
      <c r="AG66" s="16">
        <f>SUM(AE66:AF66)</f>
        <v>498810938</v>
      </c>
      <c r="AH66" s="19">
        <f>X66-AA66</f>
        <v>3274276900</v>
      </c>
      <c r="AI66" s="15">
        <f>X66-AD66</f>
        <v>3274296900</v>
      </c>
      <c r="AJ66" s="16">
        <f>X66-AG66</f>
        <v>3274296900</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+IF(FEBRERO!A67=0,"",FEBRERO!A67)</f>
        <v>1130114-1</v>
      </c>
      <c r="B67" s="629" t="str">
        <f>+CONCATENATE("Vigencia ",INSTRUCCIONES!$F$3)</f>
        <v>Vigencia 2019</v>
      </c>
      <c r="C67" s="655">
        <f>+ENERO!C67</f>
        <v>11965775</v>
      </c>
      <c r="D67" s="363">
        <f>FEBRERO!D67+MARZO!P67</f>
        <v>0</v>
      </c>
      <c r="E67" s="363">
        <f>FEBRERO!E67+MARZO!Q67</f>
        <v>0</v>
      </c>
      <c r="F67" s="363">
        <f>SUM(C67:E67)</f>
        <v>11965775</v>
      </c>
      <c r="G67" s="363">
        <f>FEBRERO!I67</f>
        <v>2989086</v>
      </c>
      <c r="H67" s="364">
        <v>15269130</v>
      </c>
      <c r="I67" s="363">
        <f>SUM(G67:H67)</f>
        <v>18258216</v>
      </c>
      <c r="J67" s="363">
        <f>FEBRERO!L67</f>
        <v>0</v>
      </c>
      <c r="K67" s="364">
        <v>0</v>
      </c>
      <c r="L67" s="363">
        <f>SUM(J67:K67)</f>
        <v>0</v>
      </c>
      <c r="M67" s="363">
        <f>F67-I67</f>
        <v>-6292441</v>
      </c>
      <c r="N67" s="143">
        <f>F67-L67</f>
        <v>11965775</v>
      </c>
      <c r="O67" s="372"/>
      <c r="P67" s="362">
        <v>0</v>
      </c>
      <c r="Q67" s="365">
        <v>0</v>
      </c>
      <c r="R67" s="9"/>
      <c r="S67" s="688">
        <f>+IF(FEBRERO!S67=0,"",FEBRERO!S67)</f>
        <v>1020102</v>
      </c>
      <c r="T67" s="704" t="str">
        <f>+IF(FEBRERO!T67=0,"",FEBRERO!T67)</f>
        <v>Horas Extras,Dominic.,Festivos y Rec. Nocturnos</v>
      </c>
      <c r="U67" s="29">
        <f>+ENERO!U67</f>
        <v>329885360</v>
      </c>
      <c r="V67" s="15">
        <f>FEBRERO!V67+MARZO!AL67</f>
        <v>0</v>
      </c>
      <c r="W67" s="15">
        <f>FEBRERO!W67+MARZO!AM67</f>
        <v>0</v>
      </c>
      <c r="X67" s="18">
        <f>SUM(U67:W67)</f>
        <v>329885360</v>
      </c>
      <c r="Y67" s="19">
        <f>FEBRERO!AA67</f>
        <v>11380366</v>
      </c>
      <c r="Z67" s="364">
        <v>10224028</v>
      </c>
      <c r="AA67" s="16">
        <f>SUM(Y67:Z67)</f>
        <v>21604394</v>
      </c>
      <c r="AB67" s="19">
        <f>FEBRERO!AD67</f>
        <v>11380366</v>
      </c>
      <c r="AC67" s="364">
        <v>10224028</v>
      </c>
      <c r="AD67" s="16">
        <f>SUM(AB67:AC67)</f>
        <v>21604394</v>
      </c>
      <c r="AE67" s="19">
        <f>FEBRERO!AG67</f>
        <v>11380366</v>
      </c>
      <c r="AF67" s="364">
        <v>10224028</v>
      </c>
      <c r="AG67" s="16">
        <f>SUM(AE67:AF67)</f>
        <v>21604394</v>
      </c>
      <c r="AH67" s="19">
        <f>X67-AA67</f>
        <v>308280966</v>
      </c>
      <c r="AI67" s="15">
        <f>X67-AD67</f>
        <v>308280966</v>
      </c>
      <c r="AJ67" s="16">
        <f>X67-AG67</f>
        <v>308280966</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+IF(FEBRERO!A68=0,"",FEBRERO!A68)</f>
        <v>1130114-2</v>
      </c>
      <c r="B68" s="629" t="str">
        <f>+IF(FEBRERO!B68=0,"",FEBRERO!B68)</f>
        <v>Vigencia Anterior</v>
      </c>
      <c r="C68" s="655">
        <f>+ENERO!C68</f>
        <v>0</v>
      </c>
      <c r="D68" s="363">
        <f>FEBRERO!D68+MARZO!P68</f>
        <v>0</v>
      </c>
      <c r="E68" s="363">
        <f>FEBRERO!E68+MARZO!Q68</f>
        <v>0</v>
      </c>
      <c r="F68" s="363">
        <f>SUM(C68:E68)</f>
        <v>0</v>
      </c>
      <c r="G68" s="363">
        <f>FEBRERO!I68</f>
        <v>0</v>
      </c>
      <c r="H68" s="364">
        <v>0</v>
      </c>
      <c r="I68" s="363">
        <f>SUM(G68:H68)</f>
        <v>0</v>
      </c>
      <c r="J68" s="363">
        <f>FEBRERO!L68</f>
        <v>0</v>
      </c>
      <c r="K68" s="364">
        <v>0</v>
      </c>
      <c r="L68" s="363">
        <f>SUM(J68:K68)</f>
        <v>0</v>
      </c>
      <c r="M68" s="363">
        <f>F68-I68</f>
        <v>0</v>
      </c>
      <c r="N68" s="143">
        <f>F68-L68</f>
        <v>0</v>
      </c>
      <c r="O68" s="372"/>
      <c r="P68" s="362">
        <v>0</v>
      </c>
      <c r="Q68" s="365">
        <v>0</v>
      </c>
      <c r="R68" s="9"/>
      <c r="S68" s="688">
        <f>+IF(FEBRERO!S68=0,"",FEBRERO!S68)</f>
        <v>1020103</v>
      </c>
      <c r="T68" s="704" t="str">
        <f>+IF(FEBRERO!T68=0,"",FEBRERO!T68)</f>
        <v>Prima Técnica</v>
      </c>
      <c r="U68" s="29">
        <f>+ENERO!U68</f>
        <v>0</v>
      </c>
      <c r="V68" s="15">
        <f>FEBRERO!V68+MARZO!AL68</f>
        <v>0</v>
      </c>
      <c r="W68" s="15">
        <f>FEBRERO!W68+MARZO!AM68</f>
        <v>0</v>
      </c>
      <c r="X68" s="18">
        <f>SUM(U68:W68)</f>
        <v>0</v>
      </c>
      <c r="Y68" s="19">
        <f>FEBRERO!AA68</f>
        <v>0</v>
      </c>
      <c r="Z68" s="364">
        <v>0</v>
      </c>
      <c r="AA68" s="16">
        <f>SUM(Y68:Z68)</f>
        <v>0</v>
      </c>
      <c r="AB68" s="19">
        <f>FEBRERO!AD68</f>
        <v>0</v>
      </c>
      <c r="AC68" s="364">
        <v>0</v>
      </c>
      <c r="AD68" s="16">
        <f>SUM(AB68:AC68)</f>
        <v>0</v>
      </c>
      <c r="AE68" s="19">
        <f>FEBRERO!AG68</f>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+IF(FEBRERO!A69=0,"",FEBRERO!A69)</f>
        <v>1130115</v>
      </c>
      <c r="B69" s="628" t="str">
        <f>+IF(FEBRERO!B69=0,"",FEBRERO!B69)</f>
        <v>ENTIDADES DE REGIMEN ESPECIAL (Magisterio, Fuerza Pca.)</v>
      </c>
      <c r="C69" s="43">
        <f t="shared" ref="C69:N69" si="67">SUM(C70:C71)</f>
        <v>8401952</v>
      </c>
      <c r="D69" s="44">
        <f t="shared" si="67"/>
        <v>0</v>
      </c>
      <c r="E69" s="44">
        <f t="shared" si="67"/>
        <v>4860226</v>
      </c>
      <c r="F69" s="44">
        <f t="shared" si="67"/>
        <v>13262178</v>
      </c>
      <c r="G69" s="44">
        <f t="shared" si="67"/>
        <v>18700592</v>
      </c>
      <c r="H69" s="44">
        <f t="shared" si="67"/>
        <v>103874997</v>
      </c>
      <c r="I69" s="44">
        <f t="shared" si="67"/>
        <v>122575589</v>
      </c>
      <c r="J69" s="44">
        <f t="shared" si="67"/>
        <v>13262178</v>
      </c>
      <c r="K69" s="44">
        <f t="shared" si="67"/>
        <v>103874997</v>
      </c>
      <c r="L69" s="44">
        <f t="shared" si="67"/>
        <v>117137175</v>
      </c>
      <c r="M69" s="44">
        <f t="shared" si="67"/>
        <v>-109313411</v>
      </c>
      <c r="N69" s="45">
        <f t="shared" si="67"/>
        <v>-103874997</v>
      </c>
      <c r="P69" s="43">
        <f>SUM(P70:P71)</f>
        <v>0</v>
      </c>
      <c r="Q69" s="45">
        <f>SUM(Q70:Q71)</f>
        <v>0</v>
      </c>
      <c r="R69" s="9"/>
      <c r="S69" s="688">
        <f>+IF(FEBRERO!S69=0,"",FEBRERO!S69)</f>
        <v>1020104</v>
      </c>
      <c r="T69" s="704" t="str">
        <f>+IF(FEBRERO!T69=0,"",FEBRERO!T69)</f>
        <v>Otros</v>
      </c>
      <c r="U69" s="29">
        <f t="shared" ref="U69:AJ69" si="68">SUM(U70:U80)</f>
        <v>1180972663</v>
      </c>
      <c r="V69" s="15">
        <f t="shared" si="68"/>
        <v>0</v>
      </c>
      <c r="W69" s="15">
        <f t="shared" si="68"/>
        <v>0</v>
      </c>
      <c r="X69" s="18">
        <f t="shared" si="68"/>
        <v>1180972663</v>
      </c>
      <c r="Y69" s="19">
        <f t="shared" si="68"/>
        <v>26529120</v>
      </c>
      <c r="Z69" s="142">
        <f t="shared" si="68"/>
        <v>5873928</v>
      </c>
      <c r="AA69" s="16">
        <f t="shared" si="68"/>
        <v>32403048</v>
      </c>
      <c r="AB69" s="19">
        <f t="shared" si="68"/>
        <v>26529120</v>
      </c>
      <c r="AC69" s="142">
        <f t="shared" si="68"/>
        <v>5873928</v>
      </c>
      <c r="AD69" s="16">
        <f t="shared" si="68"/>
        <v>32403048</v>
      </c>
      <c r="AE69" s="19">
        <f t="shared" si="68"/>
        <v>26529120</v>
      </c>
      <c r="AF69" s="142">
        <f t="shared" si="68"/>
        <v>5873928</v>
      </c>
      <c r="AG69" s="16">
        <f t="shared" si="68"/>
        <v>32403048</v>
      </c>
      <c r="AH69" s="19">
        <f t="shared" si="68"/>
        <v>1148569615</v>
      </c>
      <c r="AI69" s="15">
        <f t="shared" si="68"/>
        <v>1148569615</v>
      </c>
      <c r="AJ69" s="16">
        <f t="shared" si="68"/>
        <v>1148569615</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+IF(FEBRERO!A70=0,"",FEBRERO!A70)</f>
        <v>1130115-1</v>
      </c>
      <c r="B70" s="629" t="str">
        <f>+CONCATENATE("Vigencia ",INSTRUCCIONES!$F$3)</f>
        <v>Vigencia 2019</v>
      </c>
      <c r="C70" s="655">
        <f>+ENERO!C70</f>
        <v>8401952</v>
      </c>
      <c r="D70" s="363">
        <f>FEBRERO!D70+MARZO!P70</f>
        <v>0</v>
      </c>
      <c r="E70" s="363">
        <f>FEBRERO!E70+MARZO!Q70</f>
        <v>690909</v>
      </c>
      <c r="F70" s="363">
        <f>SUM(C70:E70)</f>
        <v>9092861</v>
      </c>
      <c r="G70" s="363">
        <f>FEBRERO!I70</f>
        <v>14531275</v>
      </c>
      <c r="H70" s="364">
        <v>0</v>
      </c>
      <c r="I70" s="363">
        <f>SUM(G70:H70)</f>
        <v>14531275</v>
      </c>
      <c r="J70" s="363">
        <f>FEBRERO!L70</f>
        <v>9092861</v>
      </c>
      <c r="K70" s="364">
        <v>0</v>
      </c>
      <c r="L70" s="363">
        <f>SUM(J70:K70)</f>
        <v>9092861</v>
      </c>
      <c r="M70" s="363">
        <f>F70-I70</f>
        <v>-5438414</v>
      </c>
      <c r="N70" s="143">
        <f>F70-L70</f>
        <v>0</v>
      </c>
      <c r="O70" s="372"/>
      <c r="P70" s="362">
        <v>0</v>
      </c>
      <c r="Q70" s="365">
        <v>0</v>
      </c>
      <c r="R70" s="9"/>
      <c r="S70" s="689" t="str">
        <f>+IF(FEBRERO!S70=0,"",FEBRERO!S70)</f>
        <v>1020104-1</v>
      </c>
      <c r="T70" s="705" t="str">
        <f>+IF(FEBRERO!T70=0,"",FEBRERO!T70)</f>
        <v xml:space="preserve">Prima de Navidad </v>
      </c>
      <c r="U70" s="29">
        <f>+ENERO!U70</f>
        <v>352482456</v>
      </c>
      <c r="V70" s="15">
        <f>FEBRERO!V70+MARZO!AL70</f>
        <v>0</v>
      </c>
      <c r="W70" s="15">
        <f>FEBRERO!W70+MARZO!AM70</f>
        <v>0</v>
      </c>
      <c r="X70" s="18">
        <f t="shared" ref="X70:X81" si="69">SUM(U70:W70)</f>
        <v>352482456</v>
      </c>
      <c r="Y70" s="19">
        <f>FEBRERO!AA70</f>
        <v>500303</v>
      </c>
      <c r="Z70" s="364">
        <v>0</v>
      </c>
      <c r="AA70" s="16">
        <f t="shared" ref="AA70:AA81" si="70">SUM(Y70:Z70)</f>
        <v>500303</v>
      </c>
      <c r="AB70" s="19">
        <f>FEBRERO!AD70</f>
        <v>500303</v>
      </c>
      <c r="AC70" s="364">
        <v>0</v>
      </c>
      <c r="AD70" s="16">
        <f t="shared" ref="AD70:AD81" si="71">SUM(AB70:AC70)</f>
        <v>500303</v>
      </c>
      <c r="AE70" s="19">
        <f>FEBRERO!AG70</f>
        <v>500303</v>
      </c>
      <c r="AF70" s="364">
        <v>0</v>
      </c>
      <c r="AG70" s="16">
        <f t="shared" ref="AG70:AG81" si="72">SUM(AE70:AF70)</f>
        <v>500303</v>
      </c>
      <c r="AH70" s="19">
        <f t="shared" ref="AH70:AH81" si="73">X70-AA70</f>
        <v>351982153</v>
      </c>
      <c r="AI70" s="15">
        <f t="shared" ref="AI70:AI81" si="74">X70-AD70</f>
        <v>351982153</v>
      </c>
      <c r="AJ70" s="16">
        <f t="shared" ref="AJ70:AJ81" si="75">X70-AG70</f>
        <v>351982153</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+IF(FEBRERO!A71=0,"",FEBRERO!A71)</f>
        <v>1130115-2</v>
      </c>
      <c r="B71" s="629" t="str">
        <f>+IF(FEBRERO!B71=0,"",FEBRERO!B71)</f>
        <v>Vigencia Anterior</v>
      </c>
      <c r="C71" s="655">
        <f>+ENERO!C71</f>
        <v>0</v>
      </c>
      <c r="D71" s="363">
        <f>FEBRERO!D71+MARZO!P71</f>
        <v>0</v>
      </c>
      <c r="E71" s="363">
        <f>FEBRERO!E71+MARZO!Q71</f>
        <v>4169317</v>
      </c>
      <c r="F71" s="363">
        <f>SUM(C71:E71)</f>
        <v>4169317</v>
      </c>
      <c r="G71" s="363">
        <f>FEBRERO!I71</f>
        <v>4169317</v>
      </c>
      <c r="H71" s="364">
        <v>103874997</v>
      </c>
      <c r="I71" s="363">
        <f>SUM(G71:H71)</f>
        <v>108044314</v>
      </c>
      <c r="J71" s="363">
        <f>FEBRERO!L71</f>
        <v>4169317</v>
      </c>
      <c r="K71" s="364">
        <v>103874997</v>
      </c>
      <c r="L71" s="363">
        <f>SUM(J71:K71)</f>
        <v>108044314</v>
      </c>
      <c r="M71" s="363">
        <f>F71-I71</f>
        <v>-103874997</v>
      </c>
      <c r="N71" s="143">
        <f>F71-L71</f>
        <v>-103874997</v>
      </c>
      <c r="O71" s="372"/>
      <c r="P71" s="362">
        <v>0</v>
      </c>
      <c r="Q71" s="365">
        <v>0</v>
      </c>
      <c r="R71" s="9"/>
      <c r="S71" s="689" t="str">
        <f>+IF(FEBRERO!S71=0,"",FEBRERO!S71)</f>
        <v>1020104-2</v>
      </c>
      <c r="T71" s="705" t="str">
        <f>+IF(FEBRERO!T71=0,"",FEBRERO!T71)</f>
        <v>Prima de Vacaciones</v>
      </c>
      <c r="U71" s="29">
        <f>+ENERO!U71</f>
        <v>180248873</v>
      </c>
      <c r="V71" s="15">
        <f>FEBRERO!V71+MARZO!AL71</f>
        <v>0</v>
      </c>
      <c r="W71" s="15">
        <f>FEBRERO!W71+MARZO!AM71</f>
        <v>0</v>
      </c>
      <c r="X71" s="18">
        <f t="shared" si="69"/>
        <v>180248873</v>
      </c>
      <c r="Y71" s="19">
        <f>FEBRERO!AA71</f>
        <v>8394456</v>
      </c>
      <c r="Z71" s="364">
        <v>1061820</v>
      </c>
      <c r="AA71" s="16">
        <f t="shared" si="70"/>
        <v>9456276</v>
      </c>
      <c r="AB71" s="19">
        <f>FEBRERO!AD71</f>
        <v>8394456</v>
      </c>
      <c r="AC71" s="364">
        <v>1061820</v>
      </c>
      <c r="AD71" s="16">
        <f t="shared" si="71"/>
        <v>9456276</v>
      </c>
      <c r="AE71" s="19">
        <f>FEBRERO!AG71</f>
        <v>8394456</v>
      </c>
      <c r="AF71" s="364">
        <v>1061820</v>
      </c>
      <c r="AG71" s="16">
        <f t="shared" si="72"/>
        <v>9456276</v>
      </c>
      <c r="AH71" s="19">
        <f t="shared" si="73"/>
        <v>170792597</v>
      </c>
      <c r="AI71" s="15">
        <f t="shared" si="74"/>
        <v>170792597</v>
      </c>
      <c r="AJ71" s="16">
        <f t="shared" si="75"/>
        <v>170792597</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+IF(FEBRERO!A72=0,"",FEBRERO!A72)</f>
        <v>1130116</v>
      </c>
      <c r="B72" s="628" t="str">
        <f>+IF(FEBRERO!B72=0,"",FEBRERO!B72)</f>
        <v>ADMINISTRADORAS DE RIESGOS LABORALES</v>
      </c>
      <c r="C72" s="43">
        <f t="shared" ref="C72:N72" si="76">SUM(C73:C74)</f>
        <v>2163183</v>
      </c>
      <c r="D72" s="44">
        <f t="shared" si="76"/>
        <v>0</v>
      </c>
      <c r="E72" s="44">
        <f t="shared" si="76"/>
        <v>0</v>
      </c>
      <c r="F72" s="44">
        <f t="shared" si="76"/>
        <v>2163183</v>
      </c>
      <c r="G72" s="44">
        <f t="shared" si="76"/>
        <v>18796957</v>
      </c>
      <c r="H72" s="44">
        <f t="shared" si="76"/>
        <v>13785638</v>
      </c>
      <c r="I72" s="44">
        <f t="shared" si="76"/>
        <v>32582595</v>
      </c>
      <c r="J72" s="44">
        <f t="shared" si="76"/>
        <v>2077970</v>
      </c>
      <c r="K72" s="44">
        <f t="shared" si="76"/>
        <v>12595153</v>
      </c>
      <c r="L72" s="44">
        <f t="shared" si="76"/>
        <v>14673123</v>
      </c>
      <c r="M72" s="44">
        <f t="shared" si="76"/>
        <v>-30419412</v>
      </c>
      <c r="N72" s="45">
        <f t="shared" si="76"/>
        <v>-12509940</v>
      </c>
      <c r="P72" s="43">
        <f>SUM(P73:P74)</f>
        <v>0</v>
      </c>
      <c r="Q72" s="45">
        <f>SUM(Q73:Q74)</f>
        <v>0</v>
      </c>
      <c r="R72" s="9"/>
      <c r="S72" s="689" t="str">
        <f>+IF(FEBRERO!S72=0,"",FEBRERO!S72)</f>
        <v>1020104-3</v>
      </c>
      <c r="T72" s="705" t="str">
        <f>+IF(FEBRERO!T72=0,"",FEBRERO!T72)</f>
        <v>Bonificación  por servicios prestados</v>
      </c>
      <c r="U72" s="29">
        <f>+ENERO!U72</f>
        <v>110048955</v>
      </c>
      <c r="V72" s="15">
        <f>FEBRERO!V72+MARZO!AL72</f>
        <v>0</v>
      </c>
      <c r="W72" s="15">
        <f>FEBRERO!W72+MARZO!AM72</f>
        <v>0</v>
      </c>
      <c r="X72" s="18">
        <f t="shared" si="69"/>
        <v>110048955</v>
      </c>
      <c r="Y72" s="19">
        <f>FEBRERO!AA72</f>
        <v>13739203</v>
      </c>
      <c r="Z72" s="364">
        <v>4197515</v>
      </c>
      <c r="AA72" s="16">
        <f t="shared" si="70"/>
        <v>17936718</v>
      </c>
      <c r="AB72" s="19">
        <f>FEBRERO!AD72</f>
        <v>13739203</v>
      </c>
      <c r="AC72" s="364">
        <v>4197515</v>
      </c>
      <c r="AD72" s="16">
        <f t="shared" si="71"/>
        <v>17936718</v>
      </c>
      <c r="AE72" s="19">
        <f>FEBRERO!AG72</f>
        <v>13739203</v>
      </c>
      <c r="AF72" s="364">
        <v>4197515</v>
      </c>
      <c r="AG72" s="16">
        <f t="shared" si="72"/>
        <v>17936718</v>
      </c>
      <c r="AH72" s="19">
        <f t="shared" si="73"/>
        <v>92112237</v>
      </c>
      <c r="AI72" s="15">
        <f t="shared" si="74"/>
        <v>92112237</v>
      </c>
      <c r="AJ72" s="16">
        <f t="shared" si="75"/>
        <v>92112237</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+IF(FEBRERO!A73=0,"",FEBRERO!A73)</f>
        <v>1130116-1</v>
      </c>
      <c r="B73" s="629" t="str">
        <f>+CONCATENATE("Vigencia ",INSTRUCCIONES!$F$3)</f>
        <v>Vigencia 2019</v>
      </c>
      <c r="C73" s="655">
        <f>+ENERO!C73</f>
        <v>2163183</v>
      </c>
      <c r="D73" s="363">
        <f>FEBRERO!D73+MARZO!P73</f>
        <v>0</v>
      </c>
      <c r="E73" s="363">
        <f>FEBRERO!E73+MARZO!Q73</f>
        <v>0</v>
      </c>
      <c r="F73" s="363">
        <f>SUM(C73:E73)</f>
        <v>2163183</v>
      </c>
      <c r="G73" s="363">
        <f>FEBRERO!I73</f>
        <v>16764087</v>
      </c>
      <c r="H73" s="364">
        <v>13096635</v>
      </c>
      <c r="I73" s="363">
        <f>SUM(G73:H73)</f>
        <v>29860722</v>
      </c>
      <c r="J73" s="363">
        <f>FEBRERO!L73</f>
        <v>45100</v>
      </c>
      <c r="K73" s="364">
        <v>11906150</v>
      </c>
      <c r="L73" s="363">
        <f>SUM(J73:K73)</f>
        <v>11951250</v>
      </c>
      <c r="M73" s="363">
        <f>F73-I73</f>
        <v>-27697539</v>
      </c>
      <c r="N73" s="143">
        <f>F73-L73</f>
        <v>-9788067</v>
      </c>
      <c r="O73" s="372"/>
      <c r="P73" s="362">
        <v>0</v>
      </c>
      <c r="Q73" s="365">
        <v>0</v>
      </c>
      <c r="R73" s="9"/>
      <c r="S73" s="689" t="str">
        <f>+IF(FEBRERO!S73=0,"",FEBRERO!S73)</f>
        <v>1020104-4</v>
      </c>
      <c r="T73" s="705" t="str">
        <f>+IF(FEBRERO!T73=0,"",FEBRERO!T73)</f>
        <v>Prima de Servicios</v>
      </c>
      <c r="U73" s="29">
        <f>+ENERO!U73</f>
        <v>166383593</v>
      </c>
      <c r="V73" s="15">
        <f>FEBRERO!V73+MARZO!AL73</f>
        <v>0</v>
      </c>
      <c r="W73" s="15">
        <f>FEBRERO!W73+MARZO!AM73</f>
        <v>0</v>
      </c>
      <c r="X73" s="18">
        <f t="shared" si="69"/>
        <v>166383593</v>
      </c>
      <c r="Y73" s="19">
        <f>FEBRERO!AA73</f>
        <v>1728804</v>
      </c>
      <c r="Z73" s="364">
        <v>0</v>
      </c>
      <c r="AA73" s="16">
        <f t="shared" si="70"/>
        <v>1728804</v>
      </c>
      <c r="AB73" s="19">
        <f>FEBRERO!AD73</f>
        <v>1728804</v>
      </c>
      <c r="AC73" s="364">
        <v>0</v>
      </c>
      <c r="AD73" s="16">
        <f t="shared" si="71"/>
        <v>1728804</v>
      </c>
      <c r="AE73" s="19">
        <f>FEBRERO!AG73</f>
        <v>1728804</v>
      </c>
      <c r="AF73" s="364">
        <v>0</v>
      </c>
      <c r="AG73" s="16">
        <f t="shared" si="72"/>
        <v>1728804</v>
      </c>
      <c r="AH73" s="19">
        <f t="shared" si="73"/>
        <v>164654789</v>
      </c>
      <c r="AI73" s="15">
        <f t="shared" si="74"/>
        <v>164654789</v>
      </c>
      <c r="AJ73" s="16">
        <f t="shared" si="75"/>
        <v>164654789</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+IF(FEBRERO!A74=0,"",FEBRERO!A74)</f>
        <v>1130116-2</v>
      </c>
      <c r="B74" s="629" t="str">
        <f>+IF(FEBRERO!B74=0,"",FEBRERO!B74)</f>
        <v>Vigencia Anterior</v>
      </c>
      <c r="C74" s="655">
        <f>+ENERO!C74</f>
        <v>0</v>
      </c>
      <c r="D74" s="363">
        <f>FEBRERO!D74+MARZO!P74</f>
        <v>0</v>
      </c>
      <c r="E74" s="363">
        <f>FEBRERO!E74+MARZO!Q74</f>
        <v>0</v>
      </c>
      <c r="F74" s="363">
        <f>SUM(C74:E74)</f>
        <v>0</v>
      </c>
      <c r="G74" s="363">
        <f>FEBRERO!I74</f>
        <v>2032870</v>
      </c>
      <c r="H74" s="364">
        <v>689003</v>
      </c>
      <c r="I74" s="363">
        <f>SUM(G74:H74)</f>
        <v>2721873</v>
      </c>
      <c r="J74" s="363">
        <f>FEBRERO!L74</f>
        <v>2032870</v>
      </c>
      <c r="K74" s="364">
        <v>689003</v>
      </c>
      <c r="L74" s="363">
        <f>SUM(J74:K74)</f>
        <v>2721873</v>
      </c>
      <c r="M74" s="363">
        <f>F74-I74</f>
        <v>-2721873</v>
      </c>
      <c r="N74" s="143">
        <f>F74-L74</f>
        <v>-2721873</v>
      </c>
      <c r="O74" s="372"/>
      <c r="P74" s="362">
        <v>0</v>
      </c>
      <c r="Q74" s="365">
        <v>0</v>
      </c>
      <c r="R74" s="9"/>
      <c r="S74" s="689" t="str">
        <f>+IF(FEBRERO!S74=0,"",FEBRERO!S74)</f>
        <v>1020104-5</v>
      </c>
      <c r="T74" s="705" t="str">
        <f>+IF(FEBRERO!T74=0,"",FEBRERO!T74)</f>
        <v>Bonificación Convencional</v>
      </c>
      <c r="U74" s="29">
        <f>+ENERO!U74</f>
        <v>20961713</v>
      </c>
      <c r="V74" s="15">
        <f>FEBRERO!V74+MARZO!AL74</f>
        <v>0</v>
      </c>
      <c r="W74" s="15">
        <f>FEBRERO!W74+MARZO!AM74</f>
        <v>0</v>
      </c>
      <c r="X74" s="18">
        <f t="shared" si="69"/>
        <v>20961713</v>
      </c>
      <c r="Y74" s="19">
        <f>FEBRERO!AA74</f>
        <v>0</v>
      </c>
      <c r="Z74" s="364">
        <v>0</v>
      </c>
      <c r="AA74" s="16">
        <f t="shared" si="70"/>
        <v>0</v>
      </c>
      <c r="AB74" s="19">
        <f>FEBRERO!AD74</f>
        <v>0</v>
      </c>
      <c r="AC74" s="364">
        <v>0</v>
      </c>
      <c r="AD74" s="16">
        <f t="shared" si="71"/>
        <v>0</v>
      </c>
      <c r="AE74" s="19">
        <f>FEBRERO!AG74</f>
        <v>0</v>
      </c>
      <c r="AF74" s="364">
        <v>0</v>
      </c>
      <c r="AG74" s="16">
        <f t="shared" si="72"/>
        <v>0</v>
      </c>
      <c r="AH74" s="19">
        <f t="shared" si="73"/>
        <v>20961713</v>
      </c>
      <c r="AI74" s="15">
        <f t="shared" si="74"/>
        <v>20961713</v>
      </c>
      <c r="AJ74" s="16">
        <f t="shared" si="75"/>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+IF(FEBRERO!A75=0,"",FEBRERO!A75)</f>
        <v>1130117</v>
      </c>
      <c r="B75" s="628" t="str">
        <f>+IF(FEBRERO!B75=0,"",FEBRERO!B75)</f>
        <v>CUOTAS DE RECUPERACION</v>
      </c>
      <c r="C75" s="43">
        <f t="shared" ref="C75:N75" si="77">SUM(C76:C77)</f>
        <v>351388967</v>
      </c>
      <c r="D75" s="44">
        <f t="shared" si="77"/>
        <v>0</v>
      </c>
      <c r="E75" s="44">
        <f t="shared" si="77"/>
        <v>260623</v>
      </c>
      <c r="F75" s="44">
        <f t="shared" si="77"/>
        <v>351649590</v>
      </c>
      <c r="G75" s="44">
        <f t="shared" si="77"/>
        <v>132295274</v>
      </c>
      <c r="H75" s="44">
        <f t="shared" si="77"/>
        <v>33237396</v>
      </c>
      <c r="I75" s="44">
        <f t="shared" si="77"/>
        <v>165532670</v>
      </c>
      <c r="J75" s="44">
        <f t="shared" si="77"/>
        <v>36161917</v>
      </c>
      <c r="K75" s="44">
        <f t="shared" si="77"/>
        <v>20026158</v>
      </c>
      <c r="L75" s="44">
        <f t="shared" si="77"/>
        <v>56188075</v>
      </c>
      <c r="M75" s="44">
        <f t="shared" si="77"/>
        <v>186116920</v>
      </c>
      <c r="N75" s="45">
        <f t="shared" si="77"/>
        <v>295461515</v>
      </c>
      <c r="P75" s="43">
        <f>SUM(P76:P77)</f>
        <v>0</v>
      </c>
      <c r="Q75" s="45">
        <f>SUM(Q76:Q77)</f>
        <v>0</v>
      </c>
      <c r="R75" s="9"/>
      <c r="S75" s="689" t="str">
        <f>+IF(FEBRERO!S75=0,"",FEBRERO!S75)</f>
        <v>1020104-6</v>
      </c>
      <c r="T75" s="705" t="str">
        <f>+IF(FEBRERO!T75=0,"",FEBRERO!T75)</f>
        <v>Auxilio de Transporte</v>
      </c>
      <c r="U75" s="29">
        <f>+ENERO!U75</f>
        <v>329885360</v>
      </c>
      <c r="V75" s="15">
        <f>FEBRERO!V75+MARZO!AL75</f>
        <v>0</v>
      </c>
      <c r="W75" s="15">
        <f>FEBRERO!W75+MARZO!AM75</f>
        <v>0</v>
      </c>
      <c r="X75" s="18">
        <f t="shared" si="69"/>
        <v>329885360</v>
      </c>
      <c r="Y75" s="19">
        <f>FEBRERO!AA75</f>
        <v>1115868</v>
      </c>
      <c r="Z75" s="364">
        <v>478691</v>
      </c>
      <c r="AA75" s="16">
        <f t="shared" si="70"/>
        <v>1594559</v>
      </c>
      <c r="AB75" s="19">
        <f>FEBRERO!AD75</f>
        <v>1115868</v>
      </c>
      <c r="AC75" s="364">
        <v>478691</v>
      </c>
      <c r="AD75" s="16">
        <f t="shared" si="71"/>
        <v>1594559</v>
      </c>
      <c r="AE75" s="19">
        <f>FEBRERO!AG75</f>
        <v>1115868</v>
      </c>
      <c r="AF75" s="364">
        <v>478691</v>
      </c>
      <c r="AG75" s="16">
        <f t="shared" si="72"/>
        <v>1594559</v>
      </c>
      <c r="AH75" s="19">
        <f t="shared" si="73"/>
        <v>328290801</v>
      </c>
      <c r="AI75" s="15">
        <f t="shared" si="74"/>
        <v>328290801</v>
      </c>
      <c r="AJ75" s="16">
        <f t="shared" si="75"/>
        <v>328290801</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+IF(FEBRERO!A76=0,"",FEBRERO!A76)</f>
        <v>1130117-1</v>
      </c>
      <c r="B76" s="629" t="str">
        <f>+CONCATENATE("Vigencia ",INSTRUCCIONES!$F$3)</f>
        <v>Vigencia 2019</v>
      </c>
      <c r="C76" s="655">
        <f>+ENERO!C76</f>
        <v>351388967</v>
      </c>
      <c r="D76" s="363">
        <f>FEBRERO!D76+MARZO!P76</f>
        <v>0</v>
      </c>
      <c r="E76" s="363">
        <f>FEBRERO!E76+MARZO!Q76</f>
        <v>0</v>
      </c>
      <c r="F76" s="363">
        <f t="shared" ref="F76:F83" si="78">SUM(C76:E76)</f>
        <v>351388967</v>
      </c>
      <c r="G76" s="363">
        <f>FEBRERO!I76</f>
        <v>132004651</v>
      </c>
      <c r="H76" s="364">
        <v>33237396</v>
      </c>
      <c r="I76" s="363">
        <f t="shared" ref="I76:I83" si="79">SUM(G76:H76)</f>
        <v>165242047</v>
      </c>
      <c r="J76" s="363">
        <f>FEBRERO!L76</f>
        <v>35871294</v>
      </c>
      <c r="K76" s="364">
        <v>20026158</v>
      </c>
      <c r="L76" s="363">
        <f t="shared" ref="L76:L83" si="80">SUM(J76:K76)</f>
        <v>55897452</v>
      </c>
      <c r="M76" s="363">
        <f t="shared" ref="M76:M83" si="81">F76-I76</f>
        <v>186146920</v>
      </c>
      <c r="N76" s="143">
        <f t="shared" ref="N76:N83" si="82">F76-L76</f>
        <v>295491515</v>
      </c>
      <c r="O76" s="372"/>
      <c r="P76" s="362">
        <v>0</v>
      </c>
      <c r="Q76" s="365">
        <v>0</v>
      </c>
      <c r="R76" s="9"/>
      <c r="S76" s="689" t="str">
        <f>+IF(FEBRERO!S76=0,"",FEBRERO!S76)</f>
        <v>1020104-7</v>
      </c>
      <c r="T76" s="705" t="str">
        <f>+IF(FEBRERO!T76=0,"",FEBRERO!T76)</f>
        <v>Auxilio de Alimentación</v>
      </c>
      <c r="U76" s="29">
        <f>+ENERO!U76</f>
        <v>0</v>
      </c>
      <c r="V76" s="15">
        <f>FEBRERO!V76+MARZO!AL76</f>
        <v>0</v>
      </c>
      <c r="W76" s="15">
        <f>FEBRERO!W76+MARZO!AM76</f>
        <v>0</v>
      </c>
      <c r="X76" s="18">
        <f t="shared" si="69"/>
        <v>0</v>
      </c>
      <c r="Y76" s="19">
        <f>FEBRERO!AA76</f>
        <v>0</v>
      </c>
      <c r="Z76" s="364">
        <v>0</v>
      </c>
      <c r="AA76" s="16">
        <f t="shared" si="70"/>
        <v>0</v>
      </c>
      <c r="AB76" s="19">
        <f>FEBRERO!AD76</f>
        <v>0</v>
      </c>
      <c r="AC76" s="364">
        <v>0</v>
      </c>
      <c r="AD76" s="16">
        <f t="shared" si="71"/>
        <v>0</v>
      </c>
      <c r="AE76" s="19">
        <f>FEBRERO!AG76</f>
        <v>0</v>
      </c>
      <c r="AF76" s="364">
        <v>0</v>
      </c>
      <c r="AG76" s="16">
        <f t="shared" si="72"/>
        <v>0</v>
      </c>
      <c r="AH76" s="19">
        <f t="shared" si="73"/>
        <v>0</v>
      </c>
      <c r="AI76" s="15">
        <f t="shared" si="74"/>
        <v>0</v>
      </c>
      <c r="AJ76" s="16">
        <f t="shared" si="75"/>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+IF(FEBRERO!A77=0,"",FEBRERO!A77)</f>
        <v>1130117-2</v>
      </c>
      <c r="B77" s="629" t="str">
        <f>+IF(FEBRERO!B77=0,"",FEBRERO!B77)</f>
        <v>Vigencia Anterior</v>
      </c>
      <c r="C77" s="655">
        <f>+ENERO!C77</f>
        <v>0</v>
      </c>
      <c r="D77" s="363">
        <f>FEBRERO!D77+MARZO!P77</f>
        <v>0</v>
      </c>
      <c r="E77" s="363">
        <f>FEBRERO!E77+MARZO!Q77</f>
        <v>260623</v>
      </c>
      <c r="F77" s="363">
        <f t="shared" si="78"/>
        <v>260623</v>
      </c>
      <c r="G77" s="363">
        <f>FEBRERO!I77</f>
        <v>290623</v>
      </c>
      <c r="H77" s="364">
        <v>0</v>
      </c>
      <c r="I77" s="363">
        <f t="shared" si="79"/>
        <v>290623</v>
      </c>
      <c r="J77" s="363">
        <f>FEBRERO!L77</f>
        <v>290623</v>
      </c>
      <c r="K77" s="364">
        <v>0</v>
      </c>
      <c r="L77" s="363">
        <f t="shared" si="80"/>
        <v>290623</v>
      </c>
      <c r="M77" s="363">
        <f t="shared" si="81"/>
        <v>-30000</v>
      </c>
      <c r="N77" s="143">
        <f t="shared" si="82"/>
        <v>-30000</v>
      </c>
      <c r="O77" s="372"/>
      <c r="P77" s="362">
        <v>0</v>
      </c>
      <c r="Q77" s="365">
        <v>0</v>
      </c>
      <c r="R77" s="9"/>
      <c r="S77" s="689" t="str">
        <f>+IF(FEBRERO!S77=0,"",FEBRERO!S77)</f>
        <v>1020104-8</v>
      </c>
      <c r="T77" s="705" t="str">
        <f>+IF(FEBRERO!T77=0,"",FEBRERO!T77)</f>
        <v>Indemnizaciones por Vacaciones o Supresión de Cargos por Reestructuración</v>
      </c>
      <c r="U77" s="29">
        <f>+ENERO!U77</f>
        <v>0</v>
      </c>
      <c r="V77" s="15">
        <f>FEBRERO!V77+MARZO!AL77</f>
        <v>0</v>
      </c>
      <c r="W77" s="15">
        <f>FEBRERO!W77+MARZO!AM77</f>
        <v>0</v>
      </c>
      <c r="X77" s="18">
        <f t="shared" si="69"/>
        <v>0</v>
      </c>
      <c r="Y77" s="19">
        <f>FEBRERO!AA77</f>
        <v>0</v>
      </c>
      <c r="Z77" s="364">
        <v>0</v>
      </c>
      <c r="AA77" s="16">
        <f t="shared" si="70"/>
        <v>0</v>
      </c>
      <c r="AB77" s="19">
        <f>FEBRERO!AD77</f>
        <v>0</v>
      </c>
      <c r="AC77" s="364">
        <v>0</v>
      </c>
      <c r="AD77" s="16">
        <f t="shared" si="71"/>
        <v>0</v>
      </c>
      <c r="AE77" s="19">
        <f>FEBRERO!AG77</f>
        <v>0</v>
      </c>
      <c r="AF77" s="364">
        <v>0</v>
      </c>
      <c r="AG77" s="16">
        <f t="shared" si="72"/>
        <v>0</v>
      </c>
      <c r="AH77" s="19">
        <f t="shared" si="73"/>
        <v>0</v>
      </c>
      <c r="AI77" s="15">
        <f t="shared" si="74"/>
        <v>0</v>
      </c>
      <c r="AJ77" s="16">
        <f t="shared" si="75"/>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+IF(FEBRERO!A78=0,"",FEBRERO!A78)</f>
        <v>1130118</v>
      </c>
      <c r="B78" s="628" t="str">
        <f>+IF(FEBRERO!B78=0,"",FEBRERO!B78)</f>
        <v>PARTICULARES   (Venta de Contado)</v>
      </c>
      <c r="C78" s="43">
        <f>SUM(C79:C80)</f>
        <v>209613681</v>
      </c>
      <c r="D78" s="44">
        <f>SUM(D79:D80)</f>
        <v>0</v>
      </c>
      <c r="E78" s="44">
        <f>SUM(E79:E80)</f>
        <v>14766050</v>
      </c>
      <c r="F78" s="44">
        <f t="shared" si="78"/>
        <v>224379731</v>
      </c>
      <c r="G78" s="44">
        <f>SUM(G79:G80)</f>
        <v>138831167</v>
      </c>
      <c r="H78" s="44">
        <f>SUM(H79:H80)</f>
        <v>43556863</v>
      </c>
      <c r="I78" s="44">
        <f t="shared" si="79"/>
        <v>182388030</v>
      </c>
      <c r="J78" s="44">
        <f>SUM(J79:J80)</f>
        <v>80661058</v>
      </c>
      <c r="K78" s="44">
        <f>SUM(K79:K80)</f>
        <v>35986562</v>
      </c>
      <c r="L78" s="44">
        <f t="shared" si="80"/>
        <v>116647620</v>
      </c>
      <c r="M78" s="44">
        <f t="shared" si="81"/>
        <v>41991701</v>
      </c>
      <c r="N78" s="45">
        <f t="shared" si="82"/>
        <v>107732111</v>
      </c>
      <c r="O78" s="372"/>
      <c r="P78" s="43">
        <f>SUM(P79:P80)</f>
        <v>0</v>
      </c>
      <c r="Q78" s="45">
        <f>SUM(Q79:Q80)</f>
        <v>1584976</v>
      </c>
      <c r="R78" s="9"/>
      <c r="S78" s="689" t="str">
        <f>+IF(FEBRERO!S78=0,"",FEBRERO!S78)</f>
        <v>1020104-9</v>
      </c>
      <c r="T78" s="705" t="str">
        <f>+IF(FEBRERO!T78=0,"",FEBRERO!T78)</f>
        <v>Bonificación Especial por Recreación</v>
      </c>
      <c r="U78" s="29">
        <f>+ENERO!U78</f>
        <v>20961713</v>
      </c>
      <c r="V78" s="15">
        <f>FEBRERO!V78+MARZO!AL78</f>
        <v>0</v>
      </c>
      <c r="W78" s="15">
        <f>FEBRERO!W78+MARZO!AM78</f>
        <v>0</v>
      </c>
      <c r="X78" s="18">
        <f t="shared" si="69"/>
        <v>20961713</v>
      </c>
      <c r="Y78" s="19">
        <f>FEBRERO!AA78</f>
        <v>1050486</v>
      </c>
      <c r="Z78" s="364">
        <v>135902</v>
      </c>
      <c r="AA78" s="16">
        <f t="shared" si="70"/>
        <v>1186388</v>
      </c>
      <c r="AB78" s="19">
        <f>FEBRERO!AD78</f>
        <v>1050486</v>
      </c>
      <c r="AC78" s="364">
        <v>135902</v>
      </c>
      <c r="AD78" s="16">
        <f t="shared" si="71"/>
        <v>1186388</v>
      </c>
      <c r="AE78" s="19">
        <f>FEBRERO!AG78</f>
        <v>1050486</v>
      </c>
      <c r="AF78" s="364">
        <v>135902</v>
      </c>
      <c r="AG78" s="16">
        <f t="shared" si="72"/>
        <v>1186388</v>
      </c>
      <c r="AH78" s="19">
        <f t="shared" si="73"/>
        <v>19775325</v>
      </c>
      <c r="AI78" s="15">
        <f t="shared" si="74"/>
        <v>19775325</v>
      </c>
      <c r="AJ78" s="16">
        <f t="shared" si="75"/>
        <v>19775325</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+IF(FEBRERO!A79=0,"",FEBRERO!A79)</f>
        <v>1130118-1</v>
      </c>
      <c r="B79" s="629" t="str">
        <f>+CONCATENATE("Vigencia ",INSTRUCCIONES!$F$3)</f>
        <v>Vigencia 2019</v>
      </c>
      <c r="C79" s="655">
        <f>+ENERO!C79</f>
        <v>209613681</v>
      </c>
      <c r="D79" s="363">
        <f>FEBRERO!D79+MARZO!P79</f>
        <v>0</v>
      </c>
      <c r="E79" s="363">
        <f>FEBRERO!E79+MARZO!Q79</f>
        <v>0</v>
      </c>
      <c r="F79" s="363">
        <f t="shared" si="78"/>
        <v>209613681</v>
      </c>
      <c r="G79" s="363">
        <f>FEBRERO!I79</f>
        <v>124065117</v>
      </c>
      <c r="H79" s="364">
        <v>42479312</v>
      </c>
      <c r="I79" s="363">
        <f t="shared" si="79"/>
        <v>166544429</v>
      </c>
      <c r="J79" s="363">
        <f>FEBRERO!L79</f>
        <v>65895008</v>
      </c>
      <c r="K79" s="364">
        <v>34909011</v>
      </c>
      <c r="L79" s="363">
        <f t="shared" si="80"/>
        <v>100804019</v>
      </c>
      <c r="M79" s="363">
        <f t="shared" si="81"/>
        <v>43069252</v>
      </c>
      <c r="N79" s="143">
        <f t="shared" si="82"/>
        <v>108809662</v>
      </c>
      <c r="P79" s="362">
        <v>0</v>
      </c>
      <c r="Q79" s="365">
        <v>0</v>
      </c>
      <c r="R79" s="9"/>
      <c r="S79" s="689" t="str">
        <f>+IF(FEBRERO!S79=0,"",FEBRERO!S79)</f>
        <v>1020104-10</v>
      </c>
      <c r="T79" s="705" t="str">
        <f>+IF(FEBRERO!T79=0,"",FEBRERO!T79)</f>
        <v/>
      </c>
      <c r="U79" s="29">
        <f>+ENERO!U79</f>
        <v>0</v>
      </c>
      <c r="V79" s="15">
        <f>FEBRERO!V79+MARZO!AL79</f>
        <v>0</v>
      </c>
      <c r="W79" s="15">
        <f>FEBRERO!W79+MARZO!AM79</f>
        <v>0</v>
      </c>
      <c r="X79" s="18">
        <f t="shared" si="69"/>
        <v>0</v>
      </c>
      <c r="Y79" s="19">
        <f>FEBRERO!AA79</f>
        <v>0</v>
      </c>
      <c r="Z79" s="364">
        <v>0</v>
      </c>
      <c r="AA79" s="16">
        <f t="shared" si="70"/>
        <v>0</v>
      </c>
      <c r="AB79" s="19">
        <f>FEBRERO!AD79</f>
        <v>0</v>
      </c>
      <c r="AC79" s="364">
        <v>0</v>
      </c>
      <c r="AD79" s="16">
        <f t="shared" si="71"/>
        <v>0</v>
      </c>
      <c r="AE79" s="19">
        <f>FEBRERO!AG79</f>
        <v>0</v>
      </c>
      <c r="AF79" s="364">
        <v>0</v>
      </c>
      <c r="AG79" s="16">
        <f t="shared" si="72"/>
        <v>0</v>
      </c>
      <c r="AH79" s="19">
        <f t="shared" si="73"/>
        <v>0</v>
      </c>
      <c r="AI79" s="15">
        <f t="shared" si="74"/>
        <v>0</v>
      </c>
      <c r="AJ79" s="16">
        <f t="shared" si="75"/>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+IF(FEBRERO!A80=0,"",FEBRERO!A80)</f>
        <v>1130118-2</v>
      </c>
      <c r="B80" s="629" t="str">
        <f>+IF(FEBRERO!B80=0,"",FEBRERO!B80)</f>
        <v>Vigencia Anterior</v>
      </c>
      <c r="C80" s="655">
        <f>+ENERO!C80</f>
        <v>0</v>
      </c>
      <c r="D80" s="363">
        <f>FEBRERO!D80+MARZO!P80</f>
        <v>0</v>
      </c>
      <c r="E80" s="363">
        <f>FEBRERO!E80+MARZO!Q80</f>
        <v>14766050</v>
      </c>
      <c r="F80" s="363">
        <f t="shared" si="78"/>
        <v>14766050</v>
      </c>
      <c r="G80" s="363">
        <f>FEBRERO!I80</f>
        <v>14766050</v>
      </c>
      <c r="H80" s="364">
        <v>1077551</v>
      </c>
      <c r="I80" s="363">
        <f t="shared" si="79"/>
        <v>15843601</v>
      </c>
      <c r="J80" s="363">
        <f>FEBRERO!L80</f>
        <v>14766050</v>
      </c>
      <c r="K80" s="364">
        <v>1077551</v>
      </c>
      <c r="L80" s="363">
        <f t="shared" si="80"/>
        <v>15843601</v>
      </c>
      <c r="M80" s="363">
        <f t="shared" si="81"/>
        <v>-1077551</v>
      </c>
      <c r="N80" s="143">
        <f t="shared" si="82"/>
        <v>-1077551</v>
      </c>
      <c r="O80" s="372"/>
      <c r="P80" s="362">
        <v>0</v>
      </c>
      <c r="Q80" s="365">
        <v>1584976</v>
      </c>
      <c r="S80" s="689" t="str">
        <f>+IF(FEBRERO!S80=0,"",FEBRERO!S80)</f>
        <v>1020104-11</v>
      </c>
      <c r="T80" s="705" t="str">
        <f>+IF(FEBRERO!T80=0,"",FEBRERO!T80)</f>
        <v/>
      </c>
      <c r="U80" s="29">
        <f>+ENERO!U80</f>
        <v>0</v>
      </c>
      <c r="V80" s="15">
        <f>FEBRERO!V80+MARZO!AL80</f>
        <v>0</v>
      </c>
      <c r="W80" s="15">
        <f>FEBRERO!W80+MARZO!AM80</f>
        <v>0</v>
      </c>
      <c r="X80" s="18">
        <f t="shared" si="69"/>
        <v>0</v>
      </c>
      <c r="Y80" s="19">
        <f>FEBRERO!AA80</f>
        <v>0</v>
      </c>
      <c r="Z80" s="364">
        <v>0</v>
      </c>
      <c r="AA80" s="16">
        <f t="shared" si="70"/>
        <v>0</v>
      </c>
      <c r="AB80" s="19">
        <f>FEBRERO!AD80</f>
        <v>0</v>
      </c>
      <c r="AC80" s="364">
        <v>0</v>
      </c>
      <c r="AD80" s="16">
        <f t="shared" si="71"/>
        <v>0</v>
      </c>
      <c r="AE80" s="19">
        <f>FEBRERO!AG80</f>
        <v>0</v>
      </c>
      <c r="AF80" s="364">
        <v>0</v>
      </c>
      <c r="AG80" s="16">
        <f t="shared" si="72"/>
        <v>0</v>
      </c>
      <c r="AH80" s="19">
        <f t="shared" si="73"/>
        <v>0</v>
      </c>
      <c r="AI80" s="15">
        <f t="shared" si="74"/>
        <v>0</v>
      </c>
      <c r="AJ80" s="16">
        <f t="shared" si="75"/>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c r="A81" s="714">
        <f>+IF(FEBRERO!A81=0,"",FEBRERO!A81)</f>
        <v>1130119</v>
      </c>
      <c r="B81" s="632" t="str">
        <f>+IF(FEBRERO!B81=0,"",FEBRERO!B81)</f>
        <v>Digitar nombre de Nuevo Rubro. Si lo Requiere</v>
      </c>
      <c r="C81" s="43">
        <f>ENERO!C81</f>
        <v>0</v>
      </c>
      <c r="D81" s="44">
        <f t="shared" ref="D81:Q81" si="83">SUM(D82:D83)</f>
        <v>0</v>
      </c>
      <c r="E81" s="44">
        <f t="shared" si="83"/>
        <v>0</v>
      </c>
      <c r="F81" s="44">
        <f t="shared" si="83"/>
        <v>0</v>
      </c>
      <c r="G81" s="44">
        <f t="shared" si="83"/>
        <v>0</v>
      </c>
      <c r="H81" s="44">
        <f t="shared" si="83"/>
        <v>0</v>
      </c>
      <c r="I81" s="44">
        <f t="shared" si="83"/>
        <v>0</v>
      </c>
      <c r="J81" s="44">
        <f t="shared" si="83"/>
        <v>0</v>
      </c>
      <c r="K81" s="44">
        <f t="shared" si="83"/>
        <v>0</v>
      </c>
      <c r="L81" s="44">
        <f t="shared" si="83"/>
        <v>0</v>
      </c>
      <c r="M81" s="44">
        <f t="shared" si="83"/>
        <v>0</v>
      </c>
      <c r="N81" s="45">
        <f t="shared" si="83"/>
        <v>0</v>
      </c>
      <c r="P81" s="43">
        <f t="shared" si="83"/>
        <v>0</v>
      </c>
      <c r="Q81" s="45">
        <f t="shared" si="83"/>
        <v>0</v>
      </c>
      <c r="R81" s="9"/>
      <c r="S81" s="688">
        <f>+IF(FEBRERO!S81=0,"",FEBRERO!S81)</f>
        <v>1020199</v>
      </c>
      <c r="T81" s="704" t="str">
        <f>+IF(FEBRERO!T81=0,"",FEBRERO!T81)</f>
        <v>Vigencias Anteriores</v>
      </c>
      <c r="U81" s="29">
        <f>+ENERO!U81</f>
        <v>0</v>
      </c>
      <c r="V81" s="15">
        <f>FEBRERO!V81+MARZO!AL81</f>
        <v>0</v>
      </c>
      <c r="W81" s="15">
        <f>FEBRERO!W81+MARZO!AM81</f>
        <v>0</v>
      </c>
      <c r="X81" s="18">
        <f t="shared" si="69"/>
        <v>0</v>
      </c>
      <c r="Y81" s="19">
        <f>FEBRERO!AA81</f>
        <v>0</v>
      </c>
      <c r="Z81" s="364">
        <v>0</v>
      </c>
      <c r="AA81" s="16">
        <f t="shared" si="70"/>
        <v>0</v>
      </c>
      <c r="AB81" s="19">
        <f>FEBRERO!AD81</f>
        <v>0</v>
      </c>
      <c r="AC81" s="364">
        <v>0</v>
      </c>
      <c r="AD81" s="16">
        <f t="shared" si="71"/>
        <v>0</v>
      </c>
      <c r="AE81" s="19">
        <f>FEBRERO!AG81</f>
        <v>0</v>
      </c>
      <c r="AF81" s="364">
        <v>0</v>
      </c>
      <c r="AG81" s="16">
        <f t="shared" si="72"/>
        <v>0</v>
      </c>
      <c r="AH81" s="19">
        <f t="shared" si="73"/>
        <v>0</v>
      </c>
      <c r="AI81" s="15">
        <f t="shared" si="74"/>
        <v>0</v>
      </c>
      <c r="AJ81" s="16">
        <f t="shared" si="75"/>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+IF(FEBRERO!A82=0,"",FEBRERO!A82)</f>
        <v>1130119-1</v>
      </c>
      <c r="B82" s="629" t="str">
        <f>+CONCATENATE("Vigencia ",INSTRUCCIONES!$F$3)</f>
        <v>Vigencia 2019</v>
      </c>
      <c r="C82" s="655">
        <f>+ENERO!C82</f>
        <v>0</v>
      </c>
      <c r="D82" s="363">
        <f>FEBRERO!D82+MARZO!P82</f>
        <v>0</v>
      </c>
      <c r="E82" s="363">
        <f>FEBRERO!E82+MARZO!Q82</f>
        <v>0</v>
      </c>
      <c r="F82" s="363">
        <f t="shared" si="78"/>
        <v>0</v>
      </c>
      <c r="G82" s="363">
        <f>FEBRERO!I82</f>
        <v>0</v>
      </c>
      <c r="H82" s="364">
        <v>0</v>
      </c>
      <c r="I82" s="363">
        <f t="shared" si="79"/>
        <v>0</v>
      </c>
      <c r="J82" s="363">
        <f>FEBRERO!L82</f>
        <v>0</v>
      </c>
      <c r="K82" s="364">
        <v>0</v>
      </c>
      <c r="L82" s="363">
        <f t="shared" si="80"/>
        <v>0</v>
      </c>
      <c r="M82" s="363">
        <f t="shared" si="81"/>
        <v>0</v>
      </c>
      <c r="N82" s="143">
        <f t="shared" si="82"/>
        <v>0</v>
      </c>
      <c r="P82" s="362">
        <v>0</v>
      </c>
      <c r="Q82" s="365">
        <v>0</v>
      </c>
      <c r="R82" s="9"/>
      <c r="S82" s="356" t="str">
        <f>+IF(FEBRERO!S82=0,"",FEBRERO!S82)</f>
        <v/>
      </c>
      <c r="T82" s="678" t="str">
        <f>+IF(FEBRERO!T82=0,"",FEBRERO!T82)</f>
        <v/>
      </c>
      <c r="U82" s="357"/>
      <c r="V82" s="161"/>
      <c r="W82" s="161"/>
      <c r="X82" s="161"/>
      <c r="Y82" s="357"/>
      <c r="Z82" s="161"/>
      <c r="AA82" s="166"/>
      <c r="AB82" s="357"/>
      <c r="AC82" s="161"/>
      <c r="AD82" s="166"/>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+IF(FEBRERO!A83=0,"",FEBRERO!A83)</f>
        <v>1130119-2</v>
      </c>
      <c r="B83" s="633" t="str">
        <f>+IF(FEBRERO!B83=0,"",FEBRERO!B83)</f>
        <v>Vigencia Anterior</v>
      </c>
      <c r="C83" s="759">
        <f>+ENERO!C83</f>
        <v>0</v>
      </c>
      <c r="D83" s="375">
        <f>FEBRERO!D83+MARZO!P83</f>
        <v>0</v>
      </c>
      <c r="E83" s="375">
        <f>FEBRERO!E83+MARZO!Q83</f>
        <v>0</v>
      </c>
      <c r="F83" s="375">
        <f t="shared" si="78"/>
        <v>0</v>
      </c>
      <c r="G83" s="375">
        <f>FEBRERO!I83</f>
        <v>0</v>
      </c>
      <c r="H83" s="378">
        <v>0</v>
      </c>
      <c r="I83" s="375">
        <f t="shared" si="79"/>
        <v>0</v>
      </c>
      <c r="J83" s="375">
        <f>FEBRERO!L83</f>
        <v>0</v>
      </c>
      <c r="K83" s="378">
        <v>0</v>
      </c>
      <c r="L83" s="375">
        <f t="shared" si="80"/>
        <v>0</v>
      </c>
      <c r="M83" s="375">
        <f t="shared" si="81"/>
        <v>0</v>
      </c>
      <c r="N83" s="376">
        <f t="shared" si="82"/>
        <v>0</v>
      </c>
      <c r="P83" s="362">
        <v>0</v>
      </c>
      <c r="Q83" s="365">
        <v>0</v>
      </c>
      <c r="R83" s="9"/>
      <c r="S83" s="687">
        <f>+IF(FEBRERO!S83=0,"",FEBRERO!S83)</f>
        <v>1020200</v>
      </c>
      <c r="T83" s="703" t="str">
        <f>+IF(FEBRERO!T83=0,"",FEBRERO!T83)</f>
        <v>Servicios Personales Indirectos</v>
      </c>
      <c r="U83" s="128">
        <f t="shared" ref="U83:AJ83" si="84">SUM(U84:U88)</f>
        <v>21292467542</v>
      </c>
      <c r="V83" s="122">
        <f t="shared" si="84"/>
        <v>0</v>
      </c>
      <c r="W83" s="122">
        <f t="shared" si="84"/>
        <v>1640000000</v>
      </c>
      <c r="X83" s="129">
        <f t="shared" si="84"/>
        <v>22932467542</v>
      </c>
      <c r="Y83" s="128">
        <f t="shared" si="84"/>
        <v>18315597378</v>
      </c>
      <c r="Z83" s="122">
        <f t="shared" si="84"/>
        <v>1600591835</v>
      </c>
      <c r="AA83" s="130">
        <f t="shared" si="84"/>
        <v>19916189213</v>
      </c>
      <c r="AB83" s="128">
        <f t="shared" si="84"/>
        <v>4249437833</v>
      </c>
      <c r="AC83" s="122">
        <f t="shared" si="84"/>
        <v>2950652478</v>
      </c>
      <c r="AD83" s="130">
        <f t="shared" si="84"/>
        <v>7200090311</v>
      </c>
      <c r="AE83" s="128">
        <f t="shared" si="84"/>
        <v>1459956412</v>
      </c>
      <c r="AF83" s="122">
        <f t="shared" si="84"/>
        <v>1707438941</v>
      </c>
      <c r="AG83" s="130">
        <f t="shared" si="84"/>
        <v>3167395353</v>
      </c>
      <c r="AH83" s="128">
        <f t="shared" si="84"/>
        <v>3016278329</v>
      </c>
      <c r="AI83" s="122">
        <f t="shared" si="84"/>
        <v>15732377231</v>
      </c>
      <c r="AJ83" s="130">
        <f t="shared" si="84"/>
        <v>19765072189</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+IF(FEBRERO!A84=0,"",FEBRERO!A84)</f>
        <v/>
      </c>
      <c r="B84" s="634" t="str">
        <f>+IF(FEBRERO!B84=0,"",FEBRERO!B84)</f>
        <v/>
      </c>
      <c r="C84" s="284"/>
      <c r="D84" s="284"/>
      <c r="E84" s="284"/>
      <c r="F84" s="284"/>
      <c r="G84" s="284"/>
      <c r="H84" s="284"/>
      <c r="I84" s="284"/>
      <c r="J84" s="284"/>
      <c r="K84" s="284"/>
      <c r="L84" s="284"/>
      <c r="M84" s="284"/>
      <c r="N84" s="453"/>
      <c r="O84" s="451"/>
      <c r="P84" s="457"/>
      <c r="Q84" s="381"/>
      <c r="R84" s="9"/>
      <c r="S84" s="688" t="str">
        <f>+IF(FEBRERO!S84=0,"",FEBRERO!S84)</f>
        <v>1020200-1</v>
      </c>
      <c r="T84" s="704" t="str">
        <f>+IF(FEBRERO!T84=0,"",FEBRERO!T84)</f>
        <v>Remuneración y Honorarios por Servicios Técnicos y Profesionales</v>
      </c>
      <c r="U84" s="29">
        <f>+ENERO!U84</f>
        <v>304448100</v>
      </c>
      <c r="V84" s="15">
        <f>FEBRERO!V84+MARZO!AL84</f>
        <v>0</v>
      </c>
      <c r="W84" s="15">
        <f>FEBRERO!W84+MARZO!AM84</f>
        <v>90000000</v>
      </c>
      <c r="X84" s="18">
        <f>SUM(U84:W84)</f>
        <v>394448100</v>
      </c>
      <c r="Y84" s="19">
        <f>FEBRERO!AA84</f>
        <v>304122910</v>
      </c>
      <c r="Z84" s="364">
        <v>0</v>
      </c>
      <c r="AA84" s="16">
        <f>SUM(Y84:Z84)</f>
        <v>304122910</v>
      </c>
      <c r="AB84" s="19">
        <f>FEBRERO!AD84</f>
        <v>35386059</v>
      </c>
      <c r="AC84" s="364">
        <v>13494436</v>
      </c>
      <c r="AD84" s="16">
        <f>SUM(AB84:AC84)</f>
        <v>48880495</v>
      </c>
      <c r="AE84" s="19">
        <f>FEBRERO!AG84</f>
        <v>6997497</v>
      </c>
      <c r="AF84" s="364">
        <v>14014706</v>
      </c>
      <c r="AG84" s="16">
        <f>SUM(AE84:AF84)</f>
        <v>21012203</v>
      </c>
      <c r="AH84" s="19">
        <f>X84-AA84</f>
        <v>90325190</v>
      </c>
      <c r="AI84" s="15">
        <f>X84-AD84</f>
        <v>345567605</v>
      </c>
      <c r="AJ84" s="16">
        <f>X84-AG84</f>
        <v>373435897</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+IF(FEBRERO!A85=0,"",FEBRERO!A85)</f>
        <v>11302</v>
      </c>
      <c r="B85" s="635" t="str">
        <f>+IF(FEBRERO!B85=0,"",FEBRERO!B85)</f>
        <v>Otras Ventas de Servicios de Salud</v>
      </c>
      <c r="C85" s="600">
        <f t="shared" ref="C85:N85" si="85">SUM(C86:C92)</f>
        <v>0</v>
      </c>
      <c r="D85" s="598">
        <f t="shared" si="85"/>
        <v>0</v>
      </c>
      <c r="E85" s="598">
        <f t="shared" si="85"/>
        <v>12200562275</v>
      </c>
      <c r="F85" s="598">
        <f t="shared" si="85"/>
        <v>12200562275</v>
      </c>
      <c r="G85" s="598">
        <f t="shared" si="85"/>
        <v>862033975</v>
      </c>
      <c r="H85" s="598">
        <f t="shared" si="85"/>
        <v>778883200</v>
      </c>
      <c r="I85" s="598">
        <f t="shared" si="85"/>
        <v>1640917175</v>
      </c>
      <c r="J85" s="598">
        <f t="shared" si="85"/>
        <v>862033975</v>
      </c>
      <c r="K85" s="598">
        <f t="shared" si="85"/>
        <v>778883200</v>
      </c>
      <c r="L85" s="598">
        <f t="shared" si="85"/>
        <v>1640917175</v>
      </c>
      <c r="M85" s="598">
        <f t="shared" si="85"/>
        <v>10559645100</v>
      </c>
      <c r="N85" s="599">
        <f t="shared" si="85"/>
        <v>10559645100</v>
      </c>
      <c r="P85" s="43">
        <f>SUM(P86:P92)</f>
        <v>0</v>
      </c>
      <c r="Q85" s="45">
        <f>SUM(Q86:Q92)</f>
        <v>9358200000</v>
      </c>
      <c r="R85" s="9"/>
      <c r="S85" s="688" t="str">
        <f>+IF(FEBRERO!S85=0,"",FEBRERO!S85)</f>
        <v>1020200-2</v>
      </c>
      <c r="T85" s="704" t="str">
        <f>+IF(FEBRERO!T85=0,"",FEBRERO!T85)</f>
        <v>Personal Supernumerario</v>
      </c>
      <c r="U85" s="29">
        <f>+ENERO!U85</f>
        <v>0</v>
      </c>
      <c r="V85" s="15">
        <f>FEBRERO!V85+MARZO!AL85</f>
        <v>0</v>
      </c>
      <c r="W85" s="15">
        <f>FEBRERO!W85+MARZO!AM85</f>
        <v>0</v>
      </c>
      <c r="X85" s="18">
        <f>SUM(U85:W85)</f>
        <v>0</v>
      </c>
      <c r="Y85" s="19">
        <f>FEBRERO!AA85</f>
        <v>0</v>
      </c>
      <c r="Z85" s="364">
        <v>0</v>
      </c>
      <c r="AA85" s="16">
        <f>SUM(Y85:Z85)</f>
        <v>0</v>
      </c>
      <c r="AB85" s="19">
        <f>FEBRERO!AD85</f>
        <v>0</v>
      </c>
      <c r="AC85" s="364">
        <v>0</v>
      </c>
      <c r="AD85" s="16">
        <f>SUM(AB85:AC85)</f>
        <v>0</v>
      </c>
      <c r="AE85" s="19">
        <f>FEBRERO!AG85</f>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+IF(FEBRERO!A86=0,"",FEBRERO!A86)</f>
        <v>1130201</v>
      </c>
      <c r="B86" s="609" t="str">
        <f>+IF(FEBRERO!B86=0,"",FEBRERO!B86)</f>
        <v/>
      </c>
      <c r="C86" s="654">
        <f>+ENERO!C86</f>
        <v>0</v>
      </c>
      <c r="D86" s="363">
        <f>FEBRERO!D86+MARZO!P86</f>
        <v>0</v>
      </c>
      <c r="E86" s="363">
        <f>FEBRERO!E86+MARZO!Q86</f>
        <v>0</v>
      </c>
      <c r="F86" s="363">
        <f t="shared" ref="F86:F92" si="86">SUM(C86:E86)</f>
        <v>0</v>
      </c>
      <c r="G86" s="363">
        <f>FEBRERO!I86</f>
        <v>0</v>
      </c>
      <c r="H86" s="364">
        <v>0</v>
      </c>
      <c r="I86" s="363">
        <f t="shared" ref="I86:I92" si="87">SUM(G86:H86)</f>
        <v>0</v>
      </c>
      <c r="J86" s="363">
        <f>FEBRERO!L86</f>
        <v>0</v>
      </c>
      <c r="K86" s="364">
        <v>0</v>
      </c>
      <c r="L86" s="363">
        <f t="shared" ref="L86:L92" si="88">SUM(J86:K86)</f>
        <v>0</v>
      </c>
      <c r="M86" s="363">
        <f t="shared" ref="M86:M92" si="89">F86-I86</f>
        <v>0</v>
      </c>
      <c r="N86" s="143">
        <f t="shared" ref="N86:N92" si="90">F86-L86</f>
        <v>0</v>
      </c>
      <c r="O86" s="372"/>
      <c r="P86" s="362">
        <v>0</v>
      </c>
      <c r="Q86" s="365">
        <v>0</v>
      </c>
      <c r="S86" s="688" t="str">
        <f>+IF(FEBRERO!S86=0,"",FEBRERO!S86)</f>
        <v>1020200-3</v>
      </c>
      <c r="T86" s="704" t="str">
        <f>+IF(FEBRERO!T86=0,"",FEBRERO!T86)</f>
        <v>Otros Honorarios</v>
      </c>
      <c r="U86" s="29">
        <f>+ENERO!U86</f>
        <v>18988019442</v>
      </c>
      <c r="V86" s="15">
        <f>FEBRERO!V86+MARZO!AL86</f>
        <v>0</v>
      </c>
      <c r="W86" s="15">
        <f>FEBRERO!W86+MARZO!AM86</f>
        <v>50000000</v>
      </c>
      <c r="X86" s="18">
        <f>SUM(U86:W86)</f>
        <v>19038019442</v>
      </c>
      <c r="Y86" s="19">
        <f>FEBRERO!AA86</f>
        <v>16558515553</v>
      </c>
      <c r="Z86" s="364">
        <v>101269956</v>
      </c>
      <c r="AA86" s="16">
        <f>SUM(Y86:Z86)</f>
        <v>16659785509</v>
      </c>
      <c r="AB86" s="19">
        <f>FEBRERO!AD86</f>
        <v>2761092859</v>
      </c>
      <c r="AC86" s="364">
        <v>1437836163</v>
      </c>
      <c r="AD86" s="16">
        <f>SUM(AB86:AC86)</f>
        <v>4198929022</v>
      </c>
      <c r="AE86" s="19">
        <f>FEBRERO!AG86</f>
        <v>0</v>
      </c>
      <c r="AF86" s="364">
        <v>194102356</v>
      </c>
      <c r="AG86" s="16">
        <f>SUM(AE86:AF86)</f>
        <v>194102356</v>
      </c>
      <c r="AH86" s="19">
        <f>X86-AA86</f>
        <v>2378233933</v>
      </c>
      <c r="AI86" s="15">
        <f>X86-AD86</f>
        <v>14839090420</v>
      </c>
      <c r="AJ86" s="16">
        <f>X86-AG86</f>
        <v>18843917086</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c r="A87" s="719">
        <f>+IF(FEBRERO!A87=0,"",FEBRERO!A87)</f>
        <v>1130202</v>
      </c>
      <c r="B87" s="609" t="str">
        <f>+IF(FEBRERO!B87=0,"",FEBRERO!B87)</f>
        <v/>
      </c>
      <c r="C87" s="654">
        <f>+ENERO!C87</f>
        <v>0</v>
      </c>
      <c r="D87" s="363">
        <f>FEBRERO!D87+MARZO!P87</f>
        <v>0</v>
      </c>
      <c r="E87" s="363">
        <f>FEBRERO!E87+MARZO!Q87</f>
        <v>0</v>
      </c>
      <c r="F87" s="363">
        <f t="shared" si="86"/>
        <v>0</v>
      </c>
      <c r="G87" s="363">
        <f>FEBRERO!I87</f>
        <v>0</v>
      </c>
      <c r="H87" s="364">
        <v>0</v>
      </c>
      <c r="I87" s="363">
        <f t="shared" si="87"/>
        <v>0</v>
      </c>
      <c r="J87" s="363">
        <f>FEBRERO!L87</f>
        <v>0</v>
      </c>
      <c r="K87" s="364">
        <v>0</v>
      </c>
      <c r="L87" s="363">
        <f t="shared" si="88"/>
        <v>0</v>
      </c>
      <c r="M87" s="363">
        <f t="shared" si="89"/>
        <v>0</v>
      </c>
      <c r="N87" s="143">
        <f t="shared" si="90"/>
        <v>0</v>
      </c>
      <c r="P87" s="362">
        <v>0</v>
      </c>
      <c r="Q87" s="365">
        <v>0</v>
      </c>
      <c r="R87" s="9"/>
      <c r="S87" s="688" t="str">
        <f>+IF(FEBRERO!S87=0,"",FEBRERO!S87)</f>
        <v>1020200-4</v>
      </c>
      <c r="T87" s="704" t="str">
        <f>+IF(FEBRERO!T87=0,"",FEBRERO!T87)</f>
        <v/>
      </c>
      <c r="U87" s="29">
        <f>+ENERO!U87</f>
        <v>0</v>
      </c>
      <c r="V87" s="15">
        <f>FEBRERO!V87+MARZO!AL87</f>
        <v>0</v>
      </c>
      <c r="W87" s="15">
        <f>FEBRERO!W87+MARZO!AM87</f>
        <v>0</v>
      </c>
      <c r="X87" s="18">
        <f>SUM(U87:W87)</f>
        <v>0</v>
      </c>
      <c r="Y87" s="19">
        <f>FEBRERO!AA87</f>
        <v>0</v>
      </c>
      <c r="Z87" s="364">
        <v>0</v>
      </c>
      <c r="AA87" s="16">
        <f>SUM(Y87:Z87)</f>
        <v>0</v>
      </c>
      <c r="AB87" s="19">
        <f>FEBRERO!AD87</f>
        <v>0</v>
      </c>
      <c r="AC87" s="364">
        <v>0</v>
      </c>
      <c r="AD87" s="16">
        <f>SUM(AB87:AC87)</f>
        <v>0</v>
      </c>
      <c r="AE87" s="19">
        <f>FEBRERO!AG87</f>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+IF(FEBRERO!A88=0,"",FEBRERO!A88)</f>
        <v>1130203</v>
      </c>
      <c r="B88" s="610" t="str">
        <f>+IF(FEBRERO!B88=0,"",FEBRERO!B88)</f>
        <v>CONVENIOS CON LA NACION LIGADOS A LA VENTA DE SERVICIOS</v>
      </c>
      <c r="C88" s="654">
        <f>+ENERO!C88</f>
        <v>0</v>
      </c>
      <c r="D88" s="363">
        <f>FEBRERO!D88+MARZO!P88</f>
        <v>0</v>
      </c>
      <c r="E88" s="363">
        <f>FEBRERO!E88+MARZO!Q88</f>
        <v>222386275</v>
      </c>
      <c r="F88" s="363">
        <f t="shared" si="86"/>
        <v>222386275</v>
      </c>
      <c r="G88" s="363">
        <f>FEBRERO!I88</f>
        <v>28474975</v>
      </c>
      <c r="H88" s="364">
        <v>38782260</v>
      </c>
      <c r="I88" s="363">
        <f t="shared" si="87"/>
        <v>67257235</v>
      </c>
      <c r="J88" s="363">
        <f>FEBRERO!L88</f>
        <v>28474975</v>
      </c>
      <c r="K88" s="364">
        <v>38782260</v>
      </c>
      <c r="L88" s="363">
        <f t="shared" si="88"/>
        <v>67257235</v>
      </c>
      <c r="M88" s="363">
        <f t="shared" si="89"/>
        <v>155129040</v>
      </c>
      <c r="N88" s="143">
        <f t="shared" si="90"/>
        <v>155129040</v>
      </c>
      <c r="P88" s="362">
        <v>0</v>
      </c>
      <c r="Q88" s="365">
        <v>0</v>
      </c>
      <c r="R88" s="9"/>
      <c r="S88" s="688">
        <f>+IF(FEBRERO!S88=0,"",FEBRERO!S88)</f>
        <v>1020299</v>
      </c>
      <c r="T88" s="704" t="str">
        <f>+IF(FEBRERO!T88=0,"",FEBRERO!T88)</f>
        <v>Vigencias Anteriores</v>
      </c>
      <c r="U88" s="29">
        <f>+ENERO!U88</f>
        <v>2000000000</v>
      </c>
      <c r="V88" s="15">
        <f>FEBRERO!V88+MARZO!AL88</f>
        <v>0</v>
      </c>
      <c r="W88" s="15">
        <f>FEBRERO!W88+MARZO!AM88</f>
        <v>1500000000</v>
      </c>
      <c r="X88" s="18">
        <f>SUM(U88:W88)</f>
        <v>3500000000</v>
      </c>
      <c r="Y88" s="19">
        <f>FEBRERO!AA88</f>
        <v>1452958915</v>
      </c>
      <c r="Z88" s="364">
        <v>1499321879</v>
      </c>
      <c r="AA88" s="16">
        <f>SUM(Y88:Z88)</f>
        <v>2952280794</v>
      </c>
      <c r="AB88" s="19">
        <f>FEBRERO!AD88</f>
        <v>1452958915</v>
      </c>
      <c r="AC88" s="364">
        <v>1499321879</v>
      </c>
      <c r="AD88" s="16">
        <f>SUM(AB88:AC88)</f>
        <v>2952280794</v>
      </c>
      <c r="AE88" s="19">
        <f>FEBRERO!AG88</f>
        <v>1452958915</v>
      </c>
      <c r="AF88" s="364">
        <v>1499321879</v>
      </c>
      <c r="AG88" s="16">
        <f>SUM(AE88:AF88)</f>
        <v>2952280794</v>
      </c>
      <c r="AH88" s="19">
        <f>X88-AA88</f>
        <v>547719206</v>
      </c>
      <c r="AI88" s="15">
        <f>X88-AD88</f>
        <v>547719206</v>
      </c>
      <c r="AJ88" s="16">
        <f>X88-AG88</f>
        <v>547719206</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+IF(FEBRERO!A89=0,"",FEBRERO!A89)</f>
        <v>1130204</v>
      </c>
      <c r="B89" s="610" t="str">
        <f>+IF(FEBRERO!B89=0,"",FEBRERO!B89)</f>
        <v>CONVENIOS CON EL DEPARTAMENTO LIGADOS A LA VENTA SERVICIOS</v>
      </c>
      <c r="C89" s="654">
        <f>+ENERO!C89</f>
        <v>0</v>
      </c>
      <c r="D89" s="363">
        <f>FEBRERO!D89+MARZO!P89</f>
        <v>0</v>
      </c>
      <c r="E89" s="363">
        <f>FEBRERO!E89+MARZO!Q89</f>
        <v>0</v>
      </c>
      <c r="F89" s="363">
        <f t="shared" si="86"/>
        <v>0</v>
      </c>
      <c r="G89" s="363">
        <f>FEBRERO!I89</f>
        <v>0</v>
      </c>
      <c r="H89" s="364">
        <v>0</v>
      </c>
      <c r="I89" s="363">
        <f t="shared" si="87"/>
        <v>0</v>
      </c>
      <c r="J89" s="363">
        <f>FEBRERO!L89</f>
        <v>0</v>
      </c>
      <c r="K89" s="364">
        <v>0</v>
      </c>
      <c r="L89" s="363">
        <f t="shared" si="88"/>
        <v>0</v>
      </c>
      <c r="M89" s="363">
        <f t="shared" si="89"/>
        <v>0</v>
      </c>
      <c r="N89" s="143">
        <f t="shared" si="90"/>
        <v>0</v>
      </c>
      <c r="P89" s="362">
        <v>0</v>
      </c>
      <c r="Q89" s="365">
        <v>0</v>
      </c>
      <c r="R89" s="9"/>
      <c r="S89" s="356" t="str">
        <f>+IF(FEBRERO!S89=0,"",FEBRERO!S89)</f>
        <v/>
      </c>
      <c r="T89" s="678" t="str">
        <f>+IF(FEBRERO!T89=0,"",FEBRERO!T89)</f>
        <v/>
      </c>
      <c r="U89" s="357"/>
      <c r="V89" s="161"/>
      <c r="W89" s="161"/>
      <c r="X89" s="161"/>
      <c r="Y89" s="357"/>
      <c r="Z89" s="161"/>
      <c r="AA89" s="166"/>
      <c r="AB89" s="357"/>
      <c r="AC89" s="161"/>
      <c r="AD89" s="166"/>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+IF(FEBRERO!A90=0,"",FEBRERO!A90)</f>
        <v>1130205</v>
      </c>
      <c r="B90" s="610" t="str">
        <f>+IF(FEBRERO!B90=0,"",FEBRERO!B90)</f>
        <v>CONVENIOS CON EL MUNICIPIO LIGADOS A LA VENTA DE SERVICIOS</v>
      </c>
      <c r="C90" s="654">
        <f>+ENERO!C90</f>
        <v>0</v>
      </c>
      <c r="D90" s="363">
        <f>FEBRERO!D90+MARZO!P90</f>
        <v>0</v>
      </c>
      <c r="E90" s="363">
        <f>FEBRERO!E90+MARZO!Q90</f>
        <v>0</v>
      </c>
      <c r="F90" s="363">
        <f t="shared" si="86"/>
        <v>0</v>
      </c>
      <c r="G90" s="363">
        <f>FEBRERO!I90</f>
        <v>0</v>
      </c>
      <c r="H90" s="364">
        <v>0</v>
      </c>
      <c r="I90" s="363">
        <f t="shared" si="87"/>
        <v>0</v>
      </c>
      <c r="J90" s="363">
        <f>FEBRERO!L90</f>
        <v>0</v>
      </c>
      <c r="K90" s="364">
        <v>0</v>
      </c>
      <c r="L90" s="363">
        <f t="shared" si="88"/>
        <v>0</v>
      </c>
      <c r="M90" s="363">
        <f t="shared" si="89"/>
        <v>0</v>
      </c>
      <c r="N90" s="143">
        <f t="shared" si="90"/>
        <v>0</v>
      </c>
      <c r="O90" s="372"/>
      <c r="P90" s="362">
        <v>0</v>
      </c>
      <c r="Q90" s="365">
        <v>0</v>
      </c>
      <c r="R90" s="30"/>
      <c r="S90" s="687">
        <f>+IF(FEBRERO!S90=0,"",FEBRERO!S90)</f>
        <v>1020300</v>
      </c>
      <c r="T90" s="703" t="str">
        <f>+IF(FEBRERO!T90=0,"",FEBRERO!T90)</f>
        <v>Contribuciones Inherentes nómina al Sector Privado</v>
      </c>
      <c r="U90" s="128">
        <f t="shared" ref="U90:AJ90" si="91">U91+U96+U102</f>
        <v>2996072011</v>
      </c>
      <c r="V90" s="122">
        <f t="shared" si="91"/>
        <v>6501068</v>
      </c>
      <c r="W90" s="122">
        <f t="shared" si="91"/>
        <v>13182074</v>
      </c>
      <c r="X90" s="129">
        <f t="shared" si="91"/>
        <v>3015755153</v>
      </c>
      <c r="Y90" s="128">
        <f t="shared" si="91"/>
        <v>71076452</v>
      </c>
      <c r="Z90" s="122">
        <f t="shared" si="91"/>
        <v>255070430</v>
      </c>
      <c r="AA90" s="130">
        <f t="shared" si="91"/>
        <v>326146882</v>
      </c>
      <c r="AB90" s="128">
        <f t="shared" si="91"/>
        <v>71076452</v>
      </c>
      <c r="AC90" s="122">
        <f t="shared" si="91"/>
        <v>255070430</v>
      </c>
      <c r="AD90" s="130">
        <f t="shared" si="91"/>
        <v>326146882</v>
      </c>
      <c r="AE90" s="128">
        <f t="shared" si="91"/>
        <v>63961092</v>
      </c>
      <c r="AF90" s="122">
        <f t="shared" si="91"/>
        <v>255264870</v>
      </c>
      <c r="AG90" s="130">
        <f t="shared" si="91"/>
        <v>319225962</v>
      </c>
      <c r="AH90" s="128">
        <f t="shared" si="91"/>
        <v>2689608271</v>
      </c>
      <c r="AI90" s="122">
        <f t="shared" si="91"/>
        <v>2689608271</v>
      </c>
      <c r="AJ90" s="130">
        <f t="shared" si="91"/>
        <v>2696529191</v>
      </c>
      <c r="AK90" s="9"/>
      <c r="AL90" s="128">
        <f>AL91+AL96+AL102</f>
        <v>6501068</v>
      </c>
      <c r="AM90" s="130">
        <f>AM91+AM96+AM102</f>
        <v>13182074</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+IF(FEBRERO!A91=0,"",FEBRERO!A91)</f>
        <v>1130206</v>
      </c>
      <c r="B91" s="610" t="str">
        <f>+IF(FEBRERO!B91=0,"",FEBRERO!B91)</f>
        <v>OTROS CONVENIOS LIGADOS A LA VENTA DE SERVICIOS</v>
      </c>
      <c r="C91" s="654">
        <f>+ENERO!C91</f>
        <v>0</v>
      </c>
      <c r="D91" s="363">
        <f>FEBRERO!D91+MARZO!P91</f>
        <v>0</v>
      </c>
      <c r="E91" s="363">
        <f>FEBRERO!E91+MARZO!Q91</f>
        <v>11978176000</v>
      </c>
      <c r="F91" s="363">
        <f t="shared" si="86"/>
        <v>11978176000</v>
      </c>
      <c r="G91" s="363">
        <f>FEBRERO!I91</f>
        <v>833559000</v>
      </c>
      <c r="H91" s="364">
        <v>740100940</v>
      </c>
      <c r="I91" s="363">
        <f t="shared" si="87"/>
        <v>1573659940</v>
      </c>
      <c r="J91" s="363">
        <f>FEBRERO!L91</f>
        <v>833559000</v>
      </c>
      <c r="K91" s="364">
        <v>740100940</v>
      </c>
      <c r="L91" s="363">
        <f t="shared" si="88"/>
        <v>1573659940</v>
      </c>
      <c r="M91" s="363">
        <f t="shared" si="89"/>
        <v>10404516060</v>
      </c>
      <c r="N91" s="143">
        <f t="shared" si="90"/>
        <v>10404516060</v>
      </c>
      <c r="O91" s="372"/>
      <c r="P91" s="362">
        <v>0</v>
      </c>
      <c r="Q91" s="365">
        <v>9358200000</v>
      </c>
      <c r="R91" s="30"/>
      <c r="S91" s="688">
        <f>+IF(FEBRERO!S91=0,"",FEBRERO!S91)</f>
        <v>1020301</v>
      </c>
      <c r="T91" s="704" t="str">
        <f>+IF(FEBRERO!T91=0,"",FEBRERO!T91)</f>
        <v>Contribuciones - SGP - Aportes Patronales - Cuenta Maestra</v>
      </c>
      <c r="U91" s="29">
        <f t="shared" ref="U91:AJ91" si="92">SUM(U92:U95)</f>
        <v>1100060774</v>
      </c>
      <c r="V91" s="15">
        <f t="shared" si="92"/>
        <v>0</v>
      </c>
      <c r="W91" s="15">
        <f t="shared" si="92"/>
        <v>0</v>
      </c>
      <c r="X91" s="18">
        <f t="shared" si="92"/>
        <v>1100060774</v>
      </c>
      <c r="Y91" s="19">
        <f t="shared" si="92"/>
        <v>57360732</v>
      </c>
      <c r="Z91" s="142">
        <f t="shared" si="92"/>
        <v>56466368</v>
      </c>
      <c r="AA91" s="16">
        <f t="shared" si="92"/>
        <v>113827100</v>
      </c>
      <c r="AB91" s="19">
        <f t="shared" si="92"/>
        <v>57360732</v>
      </c>
      <c r="AC91" s="142">
        <f t="shared" si="92"/>
        <v>56466368</v>
      </c>
      <c r="AD91" s="16">
        <f t="shared" si="92"/>
        <v>113827100</v>
      </c>
      <c r="AE91" s="19">
        <f t="shared" si="92"/>
        <v>57360732</v>
      </c>
      <c r="AF91" s="142">
        <f t="shared" si="92"/>
        <v>56466368</v>
      </c>
      <c r="AG91" s="16">
        <f t="shared" si="92"/>
        <v>113827100</v>
      </c>
      <c r="AH91" s="19">
        <f t="shared" si="92"/>
        <v>986233674</v>
      </c>
      <c r="AI91" s="15">
        <f t="shared" si="92"/>
        <v>986233674</v>
      </c>
      <c r="AJ91" s="16">
        <f t="shared" si="92"/>
        <v>986233674</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+IF(FEBRERO!A92=0,"",FEBRERO!A92)</f>
        <v>1130207</v>
      </c>
      <c r="B92" s="611" t="str">
        <f>+IF(FEBRERO!B92=0,"",FEBRERO!B92)</f>
        <v>Vigencia Anterior</v>
      </c>
      <c r="C92" s="760">
        <f>+ENERO!C92</f>
        <v>0</v>
      </c>
      <c r="D92" s="375">
        <f>FEBRERO!D92+MARZO!P92</f>
        <v>0</v>
      </c>
      <c r="E92" s="375">
        <f>FEBRERO!E92+MARZO!Q92</f>
        <v>0</v>
      </c>
      <c r="F92" s="375">
        <f t="shared" si="86"/>
        <v>0</v>
      </c>
      <c r="G92" s="375">
        <f>FEBRERO!I92</f>
        <v>0</v>
      </c>
      <c r="H92" s="378">
        <v>0</v>
      </c>
      <c r="I92" s="375">
        <f t="shared" si="87"/>
        <v>0</v>
      </c>
      <c r="J92" s="375">
        <f>FEBRERO!L92</f>
        <v>0</v>
      </c>
      <c r="K92" s="378">
        <v>0</v>
      </c>
      <c r="L92" s="375">
        <f t="shared" si="88"/>
        <v>0</v>
      </c>
      <c r="M92" s="375">
        <f t="shared" si="89"/>
        <v>0</v>
      </c>
      <c r="N92" s="376">
        <f t="shared" si="90"/>
        <v>0</v>
      </c>
      <c r="O92" s="372"/>
      <c r="P92" s="362">
        <v>0</v>
      </c>
      <c r="Q92" s="365">
        <v>0</v>
      </c>
      <c r="R92" s="30"/>
      <c r="S92" s="689" t="str">
        <f>+IF(FEBRERO!S92=0,"",FEBRERO!S92)</f>
        <v>1020301-1</v>
      </c>
      <c r="T92" s="705" t="str">
        <f>+IF(FEBRERO!T92=0,"",FEBRERO!T92)</f>
        <v>E.P.S. - Aportes cuenta maestra</v>
      </c>
      <c r="U92" s="29">
        <f>+ENERO!U92</f>
        <v>273298716</v>
      </c>
      <c r="V92" s="15">
        <f>FEBRERO!V92+MARZO!AL92</f>
        <v>0</v>
      </c>
      <c r="W92" s="15">
        <f>FEBRERO!W92+MARZO!AM92</f>
        <v>0</v>
      </c>
      <c r="X92" s="18">
        <f>SUM(U92:W92)</f>
        <v>273298716</v>
      </c>
      <c r="Y92" s="19">
        <f>FEBRERO!AA92</f>
        <v>23143876</v>
      </c>
      <c r="Z92" s="364">
        <v>24093359</v>
      </c>
      <c r="AA92" s="16">
        <f>SUM(Y92:Z92)</f>
        <v>47237235</v>
      </c>
      <c r="AB92" s="19">
        <f>FEBRERO!AD92</f>
        <v>23143876</v>
      </c>
      <c r="AC92" s="364">
        <v>24093359</v>
      </c>
      <c r="AD92" s="16">
        <f>SUM(AB92:AC92)</f>
        <v>47237235</v>
      </c>
      <c r="AE92" s="19">
        <f>FEBRERO!AG92</f>
        <v>23143876</v>
      </c>
      <c r="AF92" s="364">
        <v>24093359</v>
      </c>
      <c r="AG92" s="16">
        <f>SUM(AE92:AF92)</f>
        <v>47237235</v>
      </c>
      <c r="AH92" s="19">
        <f>X92-AA92</f>
        <v>226061481</v>
      </c>
      <c r="AI92" s="15">
        <f>X92-AD92</f>
        <v>226061481</v>
      </c>
      <c r="AJ92" s="16">
        <f>X92-AG92</f>
        <v>226061481</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+IF(FEBRERO!A93=0,"",FEBRERO!A93)</f>
        <v/>
      </c>
      <c r="B93" s="634" t="str">
        <f>+IF(FEBRERO!B93=0,"",FEBRERO!B93)</f>
        <v/>
      </c>
      <c r="C93" s="284"/>
      <c r="D93" s="284"/>
      <c r="E93" s="284"/>
      <c r="F93" s="284"/>
      <c r="G93" s="284"/>
      <c r="H93" s="284"/>
      <c r="I93" s="284"/>
      <c r="J93" s="284"/>
      <c r="K93" s="284"/>
      <c r="L93" s="284"/>
      <c r="M93" s="284"/>
      <c r="N93" s="453"/>
      <c r="P93" s="457"/>
      <c r="Q93" s="381"/>
      <c r="R93" s="30"/>
      <c r="S93" s="689" t="str">
        <f>+IF(FEBRERO!S93=0,"",FEBRERO!S93)</f>
        <v>1020301-2</v>
      </c>
      <c r="T93" s="705" t="str">
        <f>+IF(FEBRERO!T93=0,"",FEBRERO!T93)</f>
        <v>Fondos pensionales - Aportes cuenta maestra</v>
      </c>
      <c r="U93" s="29">
        <f>+ENERO!U93</f>
        <v>372680081</v>
      </c>
      <c r="V93" s="15">
        <f>FEBRERO!V93+MARZO!AL93</f>
        <v>0</v>
      </c>
      <c r="W93" s="15">
        <f>FEBRERO!W93+MARZO!AM93</f>
        <v>0</v>
      </c>
      <c r="X93" s="18">
        <f>SUM(U93:W93)</f>
        <v>372680081</v>
      </c>
      <c r="Y93" s="19">
        <f>FEBRERO!AA93</f>
        <v>31003096</v>
      </c>
      <c r="Z93" s="364">
        <v>28714209</v>
      </c>
      <c r="AA93" s="16">
        <f>SUM(Y93:Z93)</f>
        <v>59717305</v>
      </c>
      <c r="AB93" s="19">
        <f>FEBRERO!AD93</f>
        <v>31003096</v>
      </c>
      <c r="AC93" s="364">
        <v>28714209</v>
      </c>
      <c r="AD93" s="16">
        <f>SUM(AB93:AC93)</f>
        <v>59717305</v>
      </c>
      <c r="AE93" s="19">
        <f>FEBRERO!AG93</f>
        <v>31003096</v>
      </c>
      <c r="AF93" s="364">
        <v>28714209</v>
      </c>
      <c r="AG93" s="16">
        <f>SUM(AE93:AF93)</f>
        <v>59717305</v>
      </c>
      <c r="AH93" s="19">
        <f>X93-AA93</f>
        <v>312962776</v>
      </c>
      <c r="AI93" s="15">
        <f>X93-AD93</f>
        <v>312962776</v>
      </c>
      <c r="AJ93" s="16">
        <f>X93-AG93</f>
        <v>312962776</v>
      </c>
      <c r="AK93" s="9"/>
      <c r="AL93" s="362">
        <v>0</v>
      </c>
      <c r="AM93" s="365">
        <v>0</v>
      </c>
      <c r="AN93" s="30"/>
      <c r="AO93" s="450"/>
      <c r="AP93" s="450"/>
      <c r="AQ93" s="450"/>
      <c r="AR93" s="450"/>
      <c r="AS93" s="450"/>
      <c r="AT93" s="450"/>
      <c r="AU93" s="450"/>
      <c r="AV93" s="450"/>
      <c r="AW93" s="450"/>
      <c r="AX93" s="450"/>
      <c r="AY93" s="450"/>
      <c r="AZ93" s="450"/>
      <c r="BL93" s="30"/>
    </row>
    <row r="94" spans="1:70" s="451" customFormat="1" ht="37.5" customHeight="1">
      <c r="A94" s="720">
        <f>+IF(FEBRERO!A94=0,"",FEBRERO!A94)</f>
        <v>11303</v>
      </c>
      <c r="B94" s="601" t="str">
        <f>+IF(FEBRERO!B94=0,"",FEBRERO!B94)</f>
        <v>Aportes (No ligados a la venta de servicios de salud)</v>
      </c>
      <c r="C94" s="600">
        <f>SUM(C95:C102)</f>
        <v>7982899073</v>
      </c>
      <c r="D94" s="598">
        <f t="shared" ref="D94:N94" si="93">SUM(D95:D102)</f>
        <v>0</v>
      </c>
      <c r="E94" s="598">
        <f t="shared" si="93"/>
        <v>0</v>
      </c>
      <c r="F94" s="598">
        <f t="shared" si="93"/>
        <v>7982899073</v>
      </c>
      <c r="G94" s="598">
        <f t="shared" si="93"/>
        <v>0</v>
      </c>
      <c r="H94" s="598">
        <f t="shared" si="93"/>
        <v>0</v>
      </c>
      <c r="I94" s="598">
        <f t="shared" si="93"/>
        <v>0</v>
      </c>
      <c r="J94" s="598">
        <f t="shared" si="93"/>
        <v>0</v>
      </c>
      <c r="K94" s="598">
        <f t="shared" si="93"/>
        <v>0</v>
      </c>
      <c r="L94" s="598">
        <f t="shared" si="93"/>
        <v>0</v>
      </c>
      <c r="M94" s="598">
        <f t="shared" si="93"/>
        <v>7982899073</v>
      </c>
      <c r="N94" s="599">
        <f t="shared" si="93"/>
        <v>7982899073</v>
      </c>
      <c r="O94" s="372"/>
      <c r="P94" s="43">
        <f>SUM(P95:P102)</f>
        <v>0</v>
      </c>
      <c r="Q94" s="45">
        <f>SUM(Q95:Q102)</f>
        <v>0</v>
      </c>
      <c r="R94" s="30"/>
      <c r="S94" s="689" t="str">
        <f>+IF(FEBRERO!S94=0,"",FEBRERO!S94)</f>
        <v>1020301-3</v>
      </c>
      <c r="T94" s="705" t="str">
        <f>+IF(FEBRERO!T94=0,"",FEBRERO!T94)</f>
        <v>Fondos de cesantías - Aportes cuenta maestra</v>
      </c>
      <c r="U94" s="29">
        <f>+ENERO!U94</f>
        <v>387061561</v>
      </c>
      <c r="V94" s="15">
        <f>FEBRERO!V94+MARZO!AL94</f>
        <v>0</v>
      </c>
      <c r="W94" s="15">
        <f>FEBRERO!W94+MARZO!AM94</f>
        <v>0</v>
      </c>
      <c r="X94" s="18">
        <f>SUM(U94:W94)</f>
        <v>387061561</v>
      </c>
      <c r="Y94" s="19">
        <f>FEBRERO!AA94</f>
        <v>0</v>
      </c>
      <c r="Z94" s="364">
        <v>0</v>
      </c>
      <c r="AA94" s="16">
        <f>SUM(Y94:Z94)</f>
        <v>0</v>
      </c>
      <c r="AB94" s="19">
        <f>FEBRERO!AD94</f>
        <v>0</v>
      </c>
      <c r="AC94" s="364">
        <v>0</v>
      </c>
      <c r="AD94" s="16">
        <f>SUM(AB94:AC94)</f>
        <v>0</v>
      </c>
      <c r="AE94" s="19">
        <f>FEBRERO!AG94</f>
        <v>0</v>
      </c>
      <c r="AF94" s="364">
        <v>0</v>
      </c>
      <c r="AG94" s="16">
        <f>SUM(AE94:AF94)</f>
        <v>0</v>
      </c>
      <c r="AH94" s="19">
        <f>X94-AA94</f>
        <v>387061561</v>
      </c>
      <c r="AI94" s="15">
        <f>X94-AD94</f>
        <v>387061561</v>
      </c>
      <c r="AJ94" s="16">
        <f>X94-AG94</f>
        <v>387061561</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+IF(FEBRERO!A95=0,"",FEBRERO!A95)</f>
        <v>11303-1</v>
      </c>
      <c r="B95" s="602" t="str">
        <f>+IF(FEBRERO!B95=0,"",FEBRERO!B95)</f>
        <v>CONVENIOS CON LA NACION NO LIGADOS A LA VENTA DE SERVICIOS</v>
      </c>
      <c r="C95" s="654">
        <f>+ENERO!C95</f>
        <v>0</v>
      </c>
      <c r="D95" s="363">
        <f>FEBRERO!D95+MARZO!P95</f>
        <v>0</v>
      </c>
      <c r="E95" s="363">
        <f>FEBRERO!E95+MARZO!Q95</f>
        <v>0</v>
      </c>
      <c r="F95" s="363">
        <f t="shared" ref="F95:F102" si="94">SUM(C95:E95)</f>
        <v>0</v>
      </c>
      <c r="G95" s="363">
        <f>FEBRERO!I95</f>
        <v>0</v>
      </c>
      <c r="H95" s="364">
        <v>0</v>
      </c>
      <c r="I95" s="363">
        <f t="shared" ref="I95:I102" si="95">SUM(G95:H95)</f>
        <v>0</v>
      </c>
      <c r="J95" s="363">
        <f>FEBRERO!L95</f>
        <v>0</v>
      </c>
      <c r="K95" s="364">
        <v>0</v>
      </c>
      <c r="L95" s="363">
        <f t="shared" ref="L95:L102" si="96">SUM(J95:K95)</f>
        <v>0</v>
      </c>
      <c r="M95" s="363">
        <f t="shared" ref="M95:M102" si="97">F95-I95</f>
        <v>0</v>
      </c>
      <c r="N95" s="143">
        <f t="shared" ref="N95:N102" si="98">F95-L95</f>
        <v>0</v>
      </c>
      <c r="O95" s="372"/>
      <c r="P95" s="362">
        <v>0</v>
      </c>
      <c r="Q95" s="365">
        <v>0</v>
      </c>
      <c r="R95" s="30"/>
      <c r="S95" s="689" t="str">
        <f>+IF(FEBRERO!S95=0,"",FEBRERO!S95)</f>
        <v>1020301-4</v>
      </c>
      <c r="T95" s="705" t="str">
        <f>+IF(FEBRERO!T95=0,"",FEBRERO!T95)</f>
        <v>Riesgos laborales - Aportes cuenta maestra</v>
      </c>
      <c r="U95" s="29">
        <f>+ENERO!U95</f>
        <v>67020416</v>
      </c>
      <c r="V95" s="15">
        <f>FEBRERO!V95+MARZO!AL95</f>
        <v>0</v>
      </c>
      <c r="W95" s="15">
        <f>FEBRERO!W95+MARZO!AM95</f>
        <v>0</v>
      </c>
      <c r="X95" s="18">
        <f>SUM(U95:W95)</f>
        <v>67020416</v>
      </c>
      <c r="Y95" s="19">
        <f>FEBRERO!AA95</f>
        <v>3213760</v>
      </c>
      <c r="Z95" s="364">
        <v>3658800</v>
      </c>
      <c r="AA95" s="16">
        <f>SUM(Y95:Z95)</f>
        <v>6872560</v>
      </c>
      <c r="AB95" s="19">
        <f>FEBRERO!AD95</f>
        <v>3213760</v>
      </c>
      <c r="AC95" s="364">
        <v>3658800</v>
      </c>
      <c r="AD95" s="16">
        <f>SUM(AB95:AC95)</f>
        <v>6872560</v>
      </c>
      <c r="AE95" s="19">
        <f>FEBRERO!AG95</f>
        <v>3213760</v>
      </c>
      <c r="AF95" s="364">
        <v>3658800</v>
      </c>
      <c r="AG95" s="16">
        <f>SUM(AE95:AF95)</f>
        <v>6872560</v>
      </c>
      <c r="AH95" s="19">
        <f>X95-AA95</f>
        <v>60147856</v>
      </c>
      <c r="AI95" s="15">
        <f>X95-AD95</f>
        <v>60147856</v>
      </c>
      <c r="AJ95" s="16">
        <f>X95-AG95</f>
        <v>60147856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+IF(FEBRERO!A96=0,"",FEBRERO!A96)</f>
        <v>11303-2</v>
      </c>
      <c r="B96" s="602" t="str">
        <f>+IF(FEBRERO!B96=0,"",FEBRERO!B96)</f>
        <v>CONVENIOS CON EL DEPARTAMENTO NO LIGADOS A LA VENTA SERVICIOS</v>
      </c>
      <c r="C96" s="654">
        <f>+ENERO!C96</f>
        <v>7982899073</v>
      </c>
      <c r="D96" s="363">
        <f>FEBRERO!D96+MARZO!P96</f>
        <v>0</v>
      </c>
      <c r="E96" s="363">
        <f>FEBRERO!E96+MARZO!Q96</f>
        <v>0</v>
      </c>
      <c r="F96" s="363">
        <f t="shared" si="94"/>
        <v>7982899073</v>
      </c>
      <c r="G96" s="363">
        <f>FEBRERO!I96</f>
        <v>0</v>
      </c>
      <c r="H96" s="364">
        <v>0</v>
      </c>
      <c r="I96" s="363">
        <f t="shared" si="95"/>
        <v>0</v>
      </c>
      <c r="J96" s="363">
        <f>FEBRERO!L96</f>
        <v>0</v>
      </c>
      <c r="K96" s="364">
        <v>0</v>
      </c>
      <c r="L96" s="363">
        <f t="shared" si="96"/>
        <v>0</v>
      </c>
      <c r="M96" s="363">
        <f t="shared" si="97"/>
        <v>7982899073</v>
      </c>
      <c r="N96" s="143">
        <f t="shared" si="98"/>
        <v>7982899073</v>
      </c>
      <c r="O96" s="372"/>
      <c r="P96" s="362">
        <v>0</v>
      </c>
      <c r="Q96" s="365">
        <v>0</v>
      </c>
      <c r="S96" s="688">
        <f>+IF(FEBRERO!S96=0,"",FEBRERO!S96)</f>
        <v>1020302</v>
      </c>
      <c r="T96" s="704" t="str">
        <f>+IF(FEBRERO!T96=0,"",FEBRERO!T96)</f>
        <v>Contribuciones - Otros</v>
      </c>
      <c r="U96" s="29">
        <f t="shared" ref="U96:AJ96" si="99">SUM(U97:U101)</f>
        <v>1724011237</v>
      </c>
      <c r="V96" s="15">
        <f t="shared" si="99"/>
        <v>0</v>
      </c>
      <c r="W96" s="15">
        <f t="shared" si="99"/>
        <v>0</v>
      </c>
      <c r="X96" s="18">
        <f t="shared" si="99"/>
        <v>1724011237</v>
      </c>
      <c r="Y96" s="19">
        <f t="shared" si="99"/>
        <v>13715720</v>
      </c>
      <c r="Z96" s="142">
        <f t="shared" si="99"/>
        <v>6920920</v>
      </c>
      <c r="AA96" s="16">
        <f t="shared" si="99"/>
        <v>20636640</v>
      </c>
      <c r="AB96" s="19">
        <f t="shared" si="99"/>
        <v>13715720</v>
      </c>
      <c r="AC96" s="142">
        <f t="shared" si="99"/>
        <v>6920920</v>
      </c>
      <c r="AD96" s="16">
        <f t="shared" si="99"/>
        <v>20636640</v>
      </c>
      <c r="AE96" s="19">
        <f t="shared" si="99"/>
        <v>6600360</v>
      </c>
      <c r="AF96" s="142">
        <f t="shared" si="99"/>
        <v>7115360</v>
      </c>
      <c r="AG96" s="16">
        <f t="shared" si="99"/>
        <v>13715720</v>
      </c>
      <c r="AH96" s="19">
        <f t="shared" si="99"/>
        <v>1703374597</v>
      </c>
      <c r="AI96" s="15">
        <f t="shared" si="99"/>
        <v>1703374597</v>
      </c>
      <c r="AJ96" s="16">
        <f t="shared" si="99"/>
        <v>1710295517</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c r="A97" s="721" t="str">
        <f>+IF(FEBRERO!A97=0,"",FEBRERO!A97)</f>
        <v>11303-3</v>
      </c>
      <c r="B97" s="602" t="str">
        <f>+IF(FEBRERO!B97=0,"",FEBRERO!B97)</f>
        <v>CONVENIOS CON EL MUNICIPIO NO LIGADOS A LA VENTA DE SERVICIOS</v>
      </c>
      <c r="C97" s="654">
        <f>+ENERO!C97</f>
        <v>0</v>
      </c>
      <c r="D97" s="363">
        <f>FEBRERO!D97+MARZO!P97</f>
        <v>0</v>
      </c>
      <c r="E97" s="363">
        <f>FEBRERO!E97+MARZO!Q97</f>
        <v>0</v>
      </c>
      <c r="F97" s="363">
        <f t="shared" si="94"/>
        <v>0</v>
      </c>
      <c r="G97" s="363">
        <f>FEBRERO!I97</f>
        <v>0</v>
      </c>
      <c r="H97" s="364">
        <v>0</v>
      </c>
      <c r="I97" s="363">
        <f t="shared" si="95"/>
        <v>0</v>
      </c>
      <c r="J97" s="363">
        <f>FEBRERO!L97</f>
        <v>0</v>
      </c>
      <c r="K97" s="364">
        <v>0</v>
      </c>
      <c r="L97" s="363">
        <f t="shared" si="96"/>
        <v>0</v>
      </c>
      <c r="M97" s="363">
        <f t="shared" si="97"/>
        <v>0</v>
      </c>
      <c r="N97" s="143">
        <f t="shared" si="98"/>
        <v>0</v>
      </c>
      <c r="O97" s="372"/>
      <c r="P97" s="362">
        <v>0</v>
      </c>
      <c r="Q97" s="365">
        <v>0</v>
      </c>
      <c r="R97" s="30"/>
      <c r="S97" s="689" t="str">
        <f>+IF(FEBRERO!S97=0,"",FEBRERO!S97)</f>
        <v>1020302-1</v>
      </c>
      <c r="T97" s="705" t="str">
        <f>+IF(FEBRERO!T97=0,"",FEBRERO!T97)</f>
        <v>Aportes a E.P.S. - recursos propios</v>
      </c>
      <c r="U97" s="29">
        <f>+ENERO!U97</f>
        <v>383898492</v>
      </c>
      <c r="V97" s="15">
        <f>FEBRERO!V97+MARZO!AL97</f>
        <v>0</v>
      </c>
      <c r="W97" s="15">
        <f>FEBRERO!W97+MARZO!AM97</f>
        <v>0</v>
      </c>
      <c r="X97" s="18">
        <f t="shared" ref="X97:X102" si="100">SUM(U97:W97)</f>
        <v>383898492</v>
      </c>
      <c r="Y97" s="19">
        <f>FEBRERO!AA97</f>
        <v>0</v>
      </c>
      <c r="Z97" s="364">
        <v>0</v>
      </c>
      <c r="AA97" s="16">
        <f t="shared" ref="AA97:AA102" si="101">SUM(Y97:Z97)</f>
        <v>0</v>
      </c>
      <c r="AB97" s="19">
        <f>FEBRERO!AD97</f>
        <v>0</v>
      </c>
      <c r="AC97" s="364">
        <v>0</v>
      </c>
      <c r="AD97" s="16">
        <f t="shared" ref="AD97:AD102" si="102">SUM(AB97:AC97)</f>
        <v>0</v>
      </c>
      <c r="AE97" s="19">
        <f>FEBRERO!AG97</f>
        <v>0</v>
      </c>
      <c r="AF97" s="364">
        <v>0</v>
      </c>
      <c r="AG97" s="16">
        <f t="shared" ref="AG97:AG102" si="103">SUM(AE97:AF97)</f>
        <v>0</v>
      </c>
      <c r="AH97" s="19">
        <f t="shared" ref="AH97:AH102" si="104">X97-AA97</f>
        <v>383898492</v>
      </c>
      <c r="AI97" s="15">
        <f t="shared" ref="AI97:AI102" si="105">X97-AD97</f>
        <v>383898492</v>
      </c>
      <c r="AJ97" s="16">
        <f t="shared" ref="AJ97:AJ102" si="106">X97-AG97</f>
        <v>383898492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+IF(FEBRERO!A98=0,"",FEBRERO!A98)</f>
        <v>11303-4</v>
      </c>
      <c r="B98" s="602" t="str">
        <f>+IF(FEBRERO!B98=0,"",FEBRERO!B98)</f>
        <v>OTROS CONVENIOS NO LIGADOS A LA VENTA DE SERVICIOS</v>
      </c>
      <c r="C98" s="654">
        <f>+ENERO!C98</f>
        <v>0</v>
      </c>
      <c r="D98" s="363">
        <f>FEBRERO!D98+MARZO!P98</f>
        <v>0</v>
      </c>
      <c r="E98" s="363">
        <f>FEBRERO!E98+MARZO!Q98</f>
        <v>0</v>
      </c>
      <c r="F98" s="363">
        <f t="shared" si="94"/>
        <v>0</v>
      </c>
      <c r="G98" s="363">
        <f>FEBRERO!I98</f>
        <v>0</v>
      </c>
      <c r="H98" s="364">
        <v>0</v>
      </c>
      <c r="I98" s="363">
        <f t="shared" si="95"/>
        <v>0</v>
      </c>
      <c r="J98" s="363">
        <f>FEBRERO!L98</f>
        <v>0</v>
      </c>
      <c r="K98" s="364">
        <v>0</v>
      </c>
      <c r="L98" s="363">
        <f t="shared" si="96"/>
        <v>0</v>
      </c>
      <c r="M98" s="363">
        <f t="shared" si="97"/>
        <v>0</v>
      </c>
      <c r="N98" s="143">
        <f t="shared" si="98"/>
        <v>0</v>
      </c>
      <c r="O98" s="372"/>
      <c r="P98" s="362">
        <v>0</v>
      </c>
      <c r="Q98" s="365">
        <v>0</v>
      </c>
      <c r="R98" s="30"/>
      <c r="S98" s="689" t="str">
        <f>+IF(FEBRERO!S98=0,"",FEBRERO!S98)</f>
        <v>1020302-2</v>
      </c>
      <c r="T98" s="705" t="str">
        <f>+IF(FEBRERO!T98=0,"",FEBRERO!T98)</f>
        <v>Aportes Fondos Pensionales - recursos propios</v>
      </c>
      <c r="U98" s="29">
        <f>+ENERO!U98</f>
        <v>555127711</v>
      </c>
      <c r="V98" s="15">
        <f>FEBRERO!V98+MARZO!AL98</f>
        <v>0</v>
      </c>
      <c r="W98" s="15">
        <f>FEBRERO!W98+MARZO!AM98</f>
        <v>0</v>
      </c>
      <c r="X98" s="18">
        <f t="shared" si="100"/>
        <v>555127711</v>
      </c>
      <c r="Y98" s="19">
        <f>FEBRERO!AA98</f>
        <v>0</v>
      </c>
      <c r="Z98" s="364">
        <v>0</v>
      </c>
      <c r="AA98" s="16">
        <f t="shared" si="101"/>
        <v>0</v>
      </c>
      <c r="AB98" s="19">
        <f>FEBRERO!AD98</f>
        <v>0</v>
      </c>
      <c r="AC98" s="364">
        <v>0</v>
      </c>
      <c r="AD98" s="16">
        <f t="shared" si="102"/>
        <v>0</v>
      </c>
      <c r="AE98" s="19">
        <f>FEBRERO!AG98</f>
        <v>0</v>
      </c>
      <c r="AF98" s="364">
        <v>0</v>
      </c>
      <c r="AG98" s="16">
        <f t="shared" si="103"/>
        <v>0</v>
      </c>
      <c r="AH98" s="19">
        <f t="shared" si="104"/>
        <v>555127711</v>
      </c>
      <c r="AI98" s="15">
        <f t="shared" si="105"/>
        <v>555127711</v>
      </c>
      <c r="AJ98" s="16">
        <f t="shared" si="106"/>
        <v>555127711</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+IF(FEBRERO!A99=0,"",FEBRERO!A99)</f>
        <v>11303-5</v>
      </c>
      <c r="B99" s="602" t="str">
        <f>+IF(FEBRERO!B99=0,"",FEBRERO!B99)</f>
        <v>RECURSOS PARA PROGRAMA DE SANEAMIENTO FINANCIERO</v>
      </c>
      <c r="C99" s="654">
        <f>+ENERO!C99</f>
        <v>0</v>
      </c>
      <c r="D99" s="363">
        <f>FEBRERO!D99+MARZO!P99</f>
        <v>0</v>
      </c>
      <c r="E99" s="363">
        <f>FEBRERO!E99+MARZO!Q99</f>
        <v>0</v>
      </c>
      <c r="F99" s="363">
        <f t="shared" si="94"/>
        <v>0</v>
      </c>
      <c r="G99" s="363">
        <f>FEBRERO!I99</f>
        <v>0</v>
      </c>
      <c r="H99" s="364">
        <v>0</v>
      </c>
      <c r="I99" s="363">
        <f t="shared" si="95"/>
        <v>0</v>
      </c>
      <c r="J99" s="363">
        <f>FEBRERO!L99</f>
        <v>0</v>
      </c>
      <c r="K99" s="364">
        <v>0</v>
      </c>
      <c r="L99" s="363">
        <f t="shared" si="96"/>
        <v>0</v>
      </c>
      <c r="M99" s="363">
        <f t="shared" si="97"/>
        <v>0</v>
      </c>
      <c r="N99" s="143">
        <f t="shared" si="98"/>
        <v>0</v>
      </c>
      <c r="O99" s="372"/>
      <c r="P99" s="362">
        <v>0</v>
      </c>
      <c r="Q99" s="365">
        <v>0</v>
      </c>
      <c r="R99" s="30"/>
      <c r="S99" s="689" t="str">
        <f>+IF(FEBRERO!S99=0,"",FEBRERO!S99)</f>
        <v>1020302-3</v>
      </c>
      <c r="T99" s="705" t="str">
        <f>+IF(FEBRERO!T99=0,"",FEBRERO!T99)</f>
        <v>Aportes a Fondos de Cesantia - recursos propios</v>
      </c>
      <c r="U99" s="29">
        <f>+ENERO!U99</f>
        <v>326426572</v>
      </c>
      <c r="V99" s="15">
        <f>FEBRERO!V99+MARZO!AL99</f>
        <v>0</v>
      </c>
      <c r="W99" s="15">
        <f>FEBRERO!W99+MARZO!AM99</f>
        <v>0</v>
      </c>
      <c r="X99" s="18">
        <f t="shared" si="100"/>
        <v>326426572</v>
      </c>
      <c r="Y99" s="19">
        <f>FEBRERO!AA99</f>
        <v>0</v>
      </c>
      <c r="Z99" s="364">
        <v>0</v>
      </c>
      <c r="AA99" s="16">
        <f t="shared" si="101"/>
        <v>0</v>
      </c>
      <c r="AB99" s="19">
        <f>FEBRERO!AD99</f>
        <v>0</v>
      </c>
      <c r="AC99" s="364">
        <v>0</v>
      </c>
      <c r="AD99" s="16">
        <f t="shared" si="102"/>
        <v>0</v>
      </c>
      <c r="AE99" s="19">
        <f>FEBRERO!AG99</f>
        <v>0</v>
      </c>
      <c r="AF99" s="364">
        <v>0</v>
      </c>
      <c r="AG99" s="16">
        <f t="shared" si="103"/>
        <v>0</v>
      </c>
      <c r="AH99" s="19">
        <f t="shared" si="104"/>
        <v>326426572</v>
      </c>
      <c r="AI99" s="15">
        <f t="shared" si="105"/>
        <v>326426572</v>
      </c>
      <c r="AJ99" s="16">
        <f t="shared" si="106"/>
        <v>326426572</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+IF(FEBRERO!A100=0,"",FEBRERO!A100)</f>
        <v>11303-6</v>
      </c>
      <c r="B100" s="602" t="str">
        <f>+IF(FEBRERO!B100=0,"",FEBRERO!B100)</f>
        <v/>
      </c>
      <c r="C100" s="654">
        <f>+ENERO!C100</f>
        <v>0</v>
      </c>
      <c r="D100" s="363">
        <f>FEBRERO!D100+MARZO!P100</f>
        <v>0</v>
      </c>
      <c r="E100" s="363">
        <f>FEBRERO!E100+MARZO!Q100</f>
        <v>0</v>
      </c>
      <c r="F100" s="363">
        <f t="shared" si="94"/>
        <v>0</v>
      </c>
      <c r="G100" s="363">
        <f>FEBRERO!I100</f>
        <v>0</v>
      </c>
      <c r="H100" s="364">
        <v>0</v>
      </c>
      <c r="I100" s="363">
        <f t="shared" si="95"/>
        <v>0</v>
      </c>
      <c r="J100" s="363">
        <f>FEBRERO!L100</f>
        <v>0</v>
      </c>
      <c r="K100" s="364">
        <v>0</v>
      </c>
      <c r="L100" s="363">
        <f t="shared" si="96"/>
        <v>0</v>
      </c>
      <c r="M100" s="363">
        <f t="shared" si="97"/>
        <v>0</v>
      </c>
      <c r="N100" s="143">
        <f t="shared" si="98"/>
        <v>0</v>
      </c>
      <c r="P100" s="362">
        <v>0</v>
      </c>
      <c r="Q100" s="365">
        <v>0</v>
      </c>
      <c r="R100" s="9"/>
      <c r="S100" s="689" t="str">
        <f>+IF(FEBRERO!S100=0,"",FEBRERO!S100)</f>
        <v>1020302-4</v>
      </c>
      <c r="T100" s="705" t="str">
        <f>+IF(FEBRERO!T100=0,"",FEBRERO!T100)</f>
        <v>Aporte a ARL. - recursos propios</v>
      </c>
      <c r="U100" s="29">
        <f>+ENERO!U100</f>
        <v>121324579</v>
      </c>
      <c r="V100" s="15">
        <f>FEBRERO!V100+MARZO!AL100</f>
        <v>0</v>
      </c>
      <c r="W100" s="15">
        <f>FEBRERO!W100+MARZO!AM100</f>
        <v>0</v>
      </c>
      <c r="X100" s="18">
        <f t="shared" si="100"/>
        <v>121324579</v>
      </c>
      <c r="Y100" s="19">
        <f>FEBRERO!AA100</f>
        <v>0</v>
      </c>
      <c r="Z100" s="364">
        <v>0</v>
      </c>
      <c r="AA100" s="16">
        <f t="shared" si="101"/>
        <v>0</v>
      </c>
      <c r="AB100" s="19">
        <f>FEBRERO!AD100</f>
        <v>0</v>
      </c>
      <c r="AC100" s="364">
        <v>0</v>
      </c>
      <c r="AD100" s="16">
        <f t="shared" si="102"/>
        <v>0</v>
      </c>
      <c r="AE100" s="19">
        <f>FEBRERO!AG100</f>
        <v>0</v>
      </c>
      <c r="AF100" s="364">
        <v>0</v>
      </c>
      <c r="AG100" s="16">
        <f t="shared" si="103"/>
        <v>0</v>
      </c>
      <c r="AH100" s="19">
        <f t="shared" si="104"/>
        <v>121324579</v>
      </c>
      <c r="AI100" s="15">
        <f t="shared" si="105"/>
        <v>121324579</v>
      </c>
      <c r="AJ100" s="16">
        <f t="shared" si="106"/>
        <v>121324579</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+IF(FEBRERO!A101=0,"",FEBRERO!A101)</f>
        <v>11303-7</v>
      </c>
      <c r="B101" s="602" t="str">
        <f>+IF(FEBRERO!B101=0,"",FEBRERO!B101)</f>
        <v/>
      </c>
      <c r="C101" s="654">
        <f>+ENERO!C101</f>
        <v>0</v>
      </c>
      <c r="D101" s="363">
        <f>FEBRERO!D101+MARZO!P101</f>
        <v>0</v>
      </c>
      <c r="E101" s="363">
        <f>FEBRERO!E101+MARZO!Q101</f>
        <v>0</v>
      </c>
      <c r="F101" s="363">
        <f t="shared" si="94"/>
        <v>0</v>
      </c>
      <c r="G101" s="363">
        <f>FEBRERO!I101</f>
        <v>0</v>
      </c>
      <c r="H101" s="364">
        <v>0</v>
      </c>
      <c r="I101" s="363">
        <f t="shared" si="95"/>
        <v>0</v>
      </c>
      <c r="J101" s="363">
        <f>FEBRERO!L101</f>
        <v>0</v>
      </c>
      <c r="K101" s="364">
        <v>0</v>
      </c>
      <c r="L101" s="363">
        <f t="shared" si="96"/>
        <v>0</v>
      </c>
      <c r="M101" s="363">
        <f t="shared" si="97"/>
        <v>0</v>
      </c>
      <c r="N101" s="143">
        <f t="shared" si="98"/>
        <v>0</v>
      </c>
      <c r="P101" s="362">
        <v>0</v>
      </c>
      <c r="Q101" s="365">
        <v>0</v>
      </c>
      <c r="R101" s="9"/>
      <c r="S101" s="689" t="str">
        <f>+IF(FEBRERO!S101=0,"",FEBRERO!S101)</f>
        <v>1020302-5</v>
      </c>
      <c r="T101" s="705" t="str">
        <f>+IF(FEBRERO!T101=0,"",FEBRERO!T101)</f>
        <v>Aporte a Caja Compensación Familiar</v>
      </c>
      <c r="U101" s="29">
        <f>+ENERO!U101</f>
        <v>337233883</v>
      </c>
      <c r="V101" s="15">
        <f>FEBRERO!V101+MARZO!AL101</f>
        <v>0</v>
      </c>
      <c r="W101" s="15">
        <f>FEBRERO!W101+MARZO!AM101</f>
        <v>0</v>
      </c>
      <c r="X101" s="18">
        <f t="shared" si="100"/>
        <v>337233883</v>
      </c>
      <c r="Y101" s="19">
        <f>FEBRERO!AA101</f>
        <v>13715720</v>
      </c>
      <c r="Z101" s="364">
        <v>6920920</v>
      </c>
      <c r="AA101" s="16">
        <f t="shared" si="101"/>
        <v>20636640</v>
      </c>
      <c r="AB101" s="19">
        <f>FEBRERO!AD101</f>
        <v>13715720</v>
      </c>
      <c r="AC101" s="364">
        <v>6920920</v>
      </c>
      <c r="AD101" s="16">
        <f t="shared" si="102"/>
        <v>20636640</v>
      </c>
      <c r="AE101" s="19">
        <f>FEBRERO!AG101</f>
        <v>6600360</v>
      </c>
      <c r="AF101" s="364">
        <v>7115360</v>
      </c>
      <c r="AG101" s="16">
        <f t="shared" si="103"/>
        <v>13715720</v>
      </c>
      <c r="AH101" s="19">
        <f t="shared" si="104"/>
        <v>316597243</v>
      </c>
      <c r="AI101" s="15">
        <f t="shared" si="105"/>
        <v>316597243</v>
      </c>
      <c r="AJ101" s="16">
        <f t="shared" si="106"/>
        <v>323518163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+IF(FEBRERO!A102=0,"",FEBRERO!A102)</f>
        <v>11303-8</v>
      </c>
      <c r="B102" s="611" t="str">
        <f>+IF(FEBRERO!B102=0,"",FEBRERO!B102)</f>
        <v>Vigencia Anterior</v>
      </c>
      <c r="C102" s="760">
        <f>+ENERO!C102</f>
        <v>0</v>
      </c>
      <c r="D102" s="375">
        <f>FEBRERO!D102+MARZO!P102</f>
        <v>0</v>
      </c>
      <c r="E102" s="375">
        <f>FEBRERO!E102+MARZO!Q102</f>
        <v>0</v>
      </c>
      <c r="F102" s="375">
        <f t="shared" si="94"/>
        <v>0</v>
      </c>
      <c r="G102" s="375">
        <f>FEBRERO!I102</f>
        <v>0</v>
      </c>
      <c r="H102" s="378">
        <v>0</v>
      </c>
      <c r="I102" s="375">
        <f t="shared" si="95"/>
        <v>0</v>
      </c>
      <c r="J102" s="375">
        <f>FEBRERO!L102</f>
        <v>0</v>
      </c>
      <c r="K102" s="378">
        <v>0</v>
      </c>
      <c r="L102" s="375">
        <f t="shared" si="96"/>
        <v>0</v>
      </c>
      <c r="M102" s="375">
        <f t="shared" si="97"/>
        <v>0</v>
      </c>
      <c r="N102" s="376">
        <f t="shared" si="98"/>
        <v>0</v>
      </c>
      <c r="P102" s="362">
        <v>0</v>
      </c>
      <c r="Q102" s="365">
        <v>0</v>
      </c>
      <c r="R102" s="9"/>
      <c r="S102" s="688">
        <f>+IF(FEBRERO!S102=0,"",FEBRERO!S102)</f>
        <v>1020399</v>
      </c>
      <c r="T102" s="704" t="str">
        <f>+IF(FEBRERO!T102=0,"",FEBRERO!T102)</f>
        <v>Vigencias Anteriores</v>
      </c>
      <c r="U102" s="29">
        <f>+ENERO!U102</f>
        <v>172000000</v>
      </c>
      <c r="V102" s="15">
        <f>FEBRERO!V102+MARZO!AL102</f>
        <v>6501068</v>
      </c>
      <c r="W102" s="15">
        <f>FEBRERO!W102+MARZO!AM102</f>
        <v>13182074</v>
      </c>
      <c r="X102" s="18">
        <f t="shared" si="100"/>
        <v>191683142</v>
      </c>
      <c r="Y102" s="19">
        <f>FEBRERO!AA102</f>
        <v>0</v>
      </c>
      <c r="Z102" s="364">
        <v>191683142</v>
      </c>
      <c r="AA102" s="16">
        <f t="shared" si="101"/>
        <v>191683142</v>
      </c>
      <c r="AB102" s="19">
        <f>FEBRERO!AD102</f>
        <v>0</v>
      </c>
      <c r="AC102" s="364">
        <v>191683142</v>
      </c>
      <c r="AD102" s="16">
        <f t="shared" si="102"/>
        <v>191683142</v>
      </c>
      <c r="AE102" s="19">
        <f>FEBRERO!AG102</f>
        <v>0</v>
      </c>
      <c r="AF102" s="364">
        <v>191683142</v>
      </c>
      <c r="AG102" s="16">
        <f t="shared" si="103"/>
        <v>191683142</v>
      </c>
      <c r="AH102" s="19">
        <f t="shared" si="104"/>
        <v>0</v>
      </c>
      <c r="AI102" s="15">
        <f t="shared" si="105"/>
        <v>0</v>
      </c>
      <c r="AJ102" s="16">
        <f t="shared" si="106"/>
        <v>0</v>
      </c>
      <c r="AK102" s="9"/>
      <c r="AL102" s="362">
        <v>6501068</v>
      </c>
      <c r="AM102" s="365">
        <v>13182074</v>
      </c>
      <c r="AN102" s="9"/>
      <c r="AO102" s="284"/>
      <c r="AP102" s="284"/>
      <c r="AQ102" s="284"/>
      <c r="AR102" s="284"/>
      <c r="AS102" s="284"/>
      <c r="AT102" s="284"/>
      <c r="AU102" s="284"/>
      <c r="AV102" s="284"/>
      <c r="AW102" s="284"/>
      <c r="AX102" s="284"/>
      <c r="AY102" s="284"/>
      <c r="AZ102" s="284"/>
    </row>
    <row r="103" spans="1:70" s="372" customFormat="1" ht="24.95" customHeight="1" thickBot="1">
      <c r="A103" s="722" t="str">
        <f>+IF(FEBRERO!A103=0,"",FEBRERO!A103)</f>
        <v/>
      </c>
      <c r="B103" s="636" t="str">
        <f>+IF(FEBRERO!B103=0,"",FEBRERO!B103)</f>
        <v/>
      </c>
      <c r="C103" s="470"/>
      <c r="D103" s="470"/>
      <c r="E103" s="470"/>
      <c r="F103" s="470"/>
      <c r="G103" s="470"/>
      <c r="H103" s="470"/>
      <c r="I103" s="470"/>
      <c r="J103" s="470"/>
      <c r="K103" s="470"/>
      <c r="L103" s="470"/>
      <c r="M103" s="470"/>
      <c r="N103" s="471"/>
      <c r="P103" s="472"/>
      <c r="Q103" s="471"/>
      <c r="R103" s="9"/>
      <c r="S103" s="356" t="str">
        <f>+IF(FEBRERO!S103=0,"",FEBRERO!S103)</f>
        <v/>
      </c>
      <c r="T103" s="678" t="str">
        <f>+IF(FEBRERO!T103=0,"",FEBRERO!T103)</f>
        <v/>
      </c>
      <c r="U103" s="357"/>
      <c r="V103" s="161"/>
      <c r="W103" s="161"/>
      <c r="X103" s="161"/>
      <c r="Y103" s="357"/>
      <c r="Z103" s="161"/>
      <c r="AA103" s="166"/>
      <c r="AB103" s="357"/>
      <c r="AC103" s="161"/>
      <c r="AD103" s="166"/>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+IF(FEBRERO!A104=0,"",FEBRERO!A104)</f>
        <v>11304</v>
      </c>
      <c r="B104" s="601" t="str">
        <f>+IF(FEBRERO!B104=0,"",FEBRERO!B104)</f>
        <v>Otros ingresos corrientes</v>
      </c>
      <c r="C104" s="600">
        <f>SUM(C105:C111)</f>
        <v>98172123</v>
      </c>
      <c r="D104" s="598">
        <f t="shared" ref="D104:N104" si="107">SUM(D105:D111)</f>
        <v>0</v>
      </c>
      <c r="E104" s="598">
        <f t="shared" si="107"/>
        <v>0</v>
      </c>
      <c r="F104" s="598">
        <f t="shared" si="107"/>
        <v>98172123</v>
      </c>
      <c r="G104" s="598">
        <f t="shared" si="107"/>
        <v>22448082</v>
      </c>
      <c r="H104" s="598">
        <f t="shared" si="107"/>
        <v>9392463</v>
      </c>
      <c r="I104" s="598">
        <f t="shared" si="107"/>
        <v>31840545</v>
      </c>
      <c r="J104" s="598">
        <f t="shared" si="107"/>
        <v>7885380</v>
      </c>
      <c r="K104" s="598">
        <f t="shared" si="107"/>
        <v>2111112</v>
      </c>
      <c r="L104" s="598">
        <f t="shared" si="107"/>
        <v>9996492</v>
      </c>
      <c r="M104" s="598">
        <f t="shared" si="107"/>
        <v>66331578</v>
      </c>
      <c r="N104" s="599">
        <f t="shared" si="107"/>
        <v>88175631</v>
      </c>
      <c r="P104" s="43">
        <f>SUM(P105:P111)</f>
        <v>0</v>
      </c>
      <c r="Q104" s="45">
        <f>SUM(Q105:Q111)</f>
        <v>0</v>
      </c>
      <c r="R104" s="9"/>
      <c r="S104" s="687">
        <f>+IF(FEBRERO!S104=0,"",FEBRERO!S104)</f>
        <v>1020400</v>
      </c>
      <c r="T104" s="703" t="str">
        <f>+IF(FEBRERO!T104=0,"",FEBRERO!T104)</f>
        <v>Contribuciones Inherentes nómina del Sector Publico</v>
      </c>
      <c r="U104" s="128">
        <f t="shared" ref="U104:AJ104" si="108">U105+U108</f>
        <v>421542354</v>
      </c>
      <c r="V104" s="122">
        <f t="shared" si="108"/>
        <v>0</v>
      </c>
      <c r="W104" s="122">
        <f t="shared" si="108"/>
        <v>0</v>
      </c>
      <c r="X104" s="129">
        <f t="shared" si="108"/>
        <v>421542354</v>
      </c>
      <c r="Y104" s="128">
        <f t="shared" si="108"/>
        <v>17144650</v>
      </c>
      <c r="Z104" s="122">
        <f t="shared" si="108"/>
        <v>8651150</v>
      </c>
      <c r="AA104" s="130">
        <f t="shared" si="108"/>
        <v>25795800</v>
      </c>
      <c r="AB104" s="128">
        <f t="shared" si="108"/>
        <v>17144650</v>
      </c>
      <c r="AC104" s="122">
        <f t="shared" si="108"/>
        <v>8651150</v>
      </c>
      <c r="AD104" s="130">
        <f t="shared" si="108"/>
        <v>25795800</v>
      </c>
      <c r="AE104" s="128">
        <f t="shared" si="108"/>
        <v>8250450</v>
      </c>
      <c r="AF104" s="122">
        <f t="shared" si="108"/>
        <v>8894200</v>
      </c>
      <c r="AG104" s="130">
        <f t="shared" si="108"/>
        <v>17144650</v>
      </c>
      <c r="AH104" s="128">
        <f t="shared" si="108"/>
        <v>395746554</v>
      </c>
      <c r="AI104" s="122">
        <f t="shared" si="108"/>
        <v>395746554</v>
      </c>
      <c r="AJ104" s="130">
        <f t="shared" si="108"/>
        <v>404397704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+IF(FEBRERO!A105=0,"",FEBRERO!A105)</f>
        <v>11304-1</v>
      </c>
      <c r="B105" s="602" t="str">
        <f>+IF(FEBRERO!B105=0,"",FEBRERO!B105)</f>
        <v>ARRENDAMIENTO Y ALQUILER DE BIENES MUEBLES E INMUEBLES</v>
      </c>
      <c r="C105" s="654">
        <f>+ENERO!C105</f>
        <v>35952047</v>
      </c>
      <c r="D105" s="363">
        <f>FEBRERO!D105+MARZO!P105</f>
        <v>0</v>
      </c>
      <c r="E105" s="363">
        <f>FEBRERO!E105+MARZO!Q105</f>
        <v>0</v>
      </c>
      <c r="F105" s="363">
        <f t="shared" ref="F105:F111" si="109">SUM(C105:E105)</f>
        <v>35952047</v>
      </c>
      <c r="G105" s="363">
        <f>FEBRERO!I105</f>
        <v>17718586</v>
      </c>
      <c r="H105" s="364">
        <v>8859293</v>
      </c>
      <c r="I105" s="363">
        <f t="shared" ref="I105:I111" si="110">SUM(G105:H105)</f>
        <v>26577879</v>
      </c>
      <c r="J105" s="363">
        <f>FEBRERO!L105</f>
        <v>3155884</v>
      </c>
      <c r="K105" s="364">
        <v>1577942</v>
      </c>
      <c r="L105" s="363">
        <f t="shared" ref="L105:L111" si="111">SUM(J105:K105)</f>
        <v>4733826</v>
      </c>
      <c r="M105" s="363">
        <f t="shared" ref="M105:M111" si="112">F105-I105</f>
        <v>9374168</v>
      </c>
      <c r="N105" s="143">
        <f t="shared" ref="N105:N111" si="113">F105-L105</f>
        <v>31218221</v>
      </c>
      <c r="P105" s="362">
        <v>0</v>
      </c>
      <c r="Q105" s="365">
        <v>0</v>
      </c>
      <c r="R105" s="9"/>
      <c r="S105" s="688">
        <f>+IF(FEBRERO!S105=0,"",FEBRERO!S105)</f>
        <v>1020402</v>
      </c>
      <c r="T105" s="704" t="str">
        <f>+IF(FEBRERO!T105=0,"",FEBRERO!T105)</f>
        <v>Contribuciones - Otros</v>
      </c>
      <c r="U105" s="29">
        <f t="shared" ref="U105:AJ105" si="114">SUM(U106:U107)</f>
        <v>421542354</v>
      </c>
      <c r="V105" s="15">
        <f t="shared" si="114"/>
        <v>0</v>
      </c>
      <c r="W105" s="15">
        <f t="shared" si="114"/>
        <v>0</v>
      </c>
      <c r="X105" s="18">
        <f t="shared" si="114"/>
        <v>421542354</v>
      </c>
      <c r="Y105" s="19">
        <f t="shared" si="114"/>
        <v>17144650</v>
      </c>
      <c r="Z105" s="142">
        <f t="shared" si="114"/>
        <v>8651150</v>
      </c>
      <c r="AA105" s="16">
        <f t="shared" si="114"/>
        <v>25795800</v>
      </c>
      <c r="AB105" s="19">
        <f t="shared" si="114"/>
        <v>17144650</v>
      </c>
      <c r="AC105" s="142">
        <f t="shared" si="114"/>
        <v>8651150</v>
      </c>
      <c r="AD105" s="16">
        <f t="shared" si="114"/>
        <v>25795800</v>
      </c>
      <c r="AE105" s="19">
        <f t="shared" si="114"/>
        <v>8250450</v>
      </c>
      <c r="AF105" s="142">
        <f t="shared" si="114"/>
        <v>8894200</v>
      </c>
      <c r="AG105" s="16">
        <f t="shared" si="114"/>
        <v>17144650</v>
      </c>
      <c r="AH105" s="19">
        <f t="shared" si="114"/>
        <v>395746554</v>
      </c>
      <c r="AI105" s="15">
        <f t="shared" si="114"/>
        <v>395746554</v>
      </c>
      <c r="AJ105" s="16">
        <f t="shared" si="114"/>
        <v>404397704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+IF(FEBRERO!A106=0,"",FEBRERO!A106)</f>
        <v>11304-2</v>
      </c>
      <c r="B106" s="603" t="str">
        <f>+IF(FEBRERO!B106=0,"",FEBRERO!B106)</f>
        <v>COMERCIALIZACIÓN DE MERCANCÍAS</v>
      </c>
      <c r="C106" s="654">
        <f>+ENERO!C106</f>
        <v>0</v>
      </c>
      <c r="D106" s="363">
        <f>FEBRERO!D106+MARZO!P106</f>
        <v>0</v>
      </c>
      <c r="E106" s="363">
        <f>FEBRERO!E106+MARZO!Q106</f>
        <v>0</v>
      </c>
      <c r="F106" s="363">
        <f t="shared" si="109"/>
        <v>0</v>
      </c>
      <c r="G106" s="363">
        <f>FEBRERO!I106</f>
        <v>0</v>
      </c>
      <c r="H106" s="364">
        <v>0</v>
      </c>
      <c r="I106" s="363">
        <f t="shared" si="110"/>
        <v>0</v>
      </c>
      <c r="J106" s="363">
        <f>FEBRERO!L106</f>
        <v>0</v>
      </c>
      <c r="K106" s="364">
        <v>0</v>
      </c>
      <c r="L106" s="363">
        <f t="shared" si="111"/>
        <v>0</v>
      </c>
      <c r="M106" s="363">
        <f t="shared" si="112"/>
        <v>0</v>
      </c>
      <c r="N106" s="143">
        <f t="shared" si="113"/>
        <v>0</v>
      </c>
      <c r="P106" s="362">
        <v>0</v>
      </c>
      <c r="Q106" s="365">
        <v>0</v>
      </c>
      <c r="R106" s="9"/>
      <c r="S106" s="689" t="str">
        <f>+IF(FEBRERO!S106=0,"",FEBRERO!S106)</f>
        <v>1020402-1</v>
      </c>
      <c r="T106" s="704" t="str">
        <f>+IF(FEBRERO!T106=0,"",FEBRERO!T106)</f>
        <v>S.E.N.A.</v>
      </c>
      <c r="U106" s="29">
        <f>+ENERO!U106</f>
        <v>168616942</v>
      </c>
      <c r="V106" s="15">
        <f>FEBRERO!V106+MARZO!AL106</f>
        <v>0</v>
      </c>
      <c r="W106" s="15">
        <f>FEBRERO!W106+MARZO!AM106</f>
        <v>0</v>
      </c>
      <c r="X106" s="18">
        <f>SUM(U106:W106)</f>
        <v>168616942</v>
      </c>
      <c r="Y106" s="19">
        <f>FEBRERO!AA106</f>
        <v>6857860</v>
      </c>
      <c r="Z106" s="364">
        <v>3460460</v>
      </c>
      <c r="AA106" s="16">
        <f>SUM(Y106:Z106)</f>
        <v>10318320</v>
      </c>
      <c r="AB106" s="19">
        <f>FEBRERO!AD106</f>
        <v>6857860</v>
      </c>
      <c r="AC106" s="364">
        <v>3460460</v>
      </c>
      <c r="AD106" s="16">
        <f>SUM(AB106:AC106)</f>
        <v>10318320</v>
      </c>
      <c r="AE106" s="19">
        <f>FEBRERO!AG106</f>
        <v>3300180</v>
      </c>
      <c r="AF106" s="364">
        <v>3557680</v>
      </c>
      <c r="AG106" s="16">
        <f>SUM(AE106:AF106)</f>
        <v>6857860</v>
      </c>
      <c r="AH106" s="19">
        <f>X106-AA106</f>
        <v>158298622</v>
      </c>
      <c r="AI106" s="15">
        <f>X106-AD106</f>
        <v>158298622</v>
      </c>
      <c r="AJ106" s="16">
        <f>X106-AG106</f>
        <v>161759082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+IF(FEBRERO!A107=0,"",FEBRERO!A107)</f>
        <v>11304-3</v>
      </c>
      <c r="B107" s="602" t="str">
        <f>+IF(FEBRERO!B107=0,"",FEBRERO!B107)</f>
        <v>Bienestar Social</v>
      </c>
      <c r="C107" s="654">
        <f>+ENERO!C107</f>
        <v>0</v>
      </c>
      <c r="D107" s="363">
        <f>FEBRERO!D107+MARZO!P107</f>
        <v>0</v>
      </c>
      <c r="E107" s="363">
        <f>FEBRERO!E107+MARZO!Q107</f>
        <v>0</v>
      </c>
      <c r="F107" s="363">
        <f t="shared" si="109"/>
        <v>0</v>
      </c>
      <c r="G107" s="363">
        <f>FEBRERO!I107</f>
        <v>0</v>
      </c>
      <c r="H107" s="364">
        <v>0</v>
      </c>
      <c r="I107" s="363">
        <f t="shared" si="110"/>
        <v>0</v>
      </c>
      <c r="J107" s="363">
        <f>FEBRERO!L107</f>
        <v>0</v>
      </c>
      <c r="K107" s="364">
        <v>0</v>
      </c>
      <c r="L107" s="363">
        <f t="shared" si="111"/>
        <v>0</v>
      </c>
      <c r="M107" s="363">
        <f t="shared" si="112"/>
        <v>0</v>
      </c>
      <c r="N107" s="143">
        <f t="shared" si="113"/>
        <v>0</v>
      </c>
      <c r="P107" s="362">
        <v>0</v>
      </c>
      <c r="Q107" s="365">
        <v>0</v>
      </c>
      <c r="R107" s="9"/>
      <c r="S107" s="689" t="str">
        <f>+IF(FEBRERO!S107=0,"",FEBRERO!S107)</f>
        <v>1020402-2</v>
      </c>
      <c r="T107" s="704" t="str">
        <f>+IF(FEBRERO!T107=0,"",FEBRERO!T107)</f>
        <v>I.C.B.F.</v>
      </c>
      <c r="U107" s="29">
        <f>+ENERO!U107</f>
        <v>252925412</v>
      </c>
      <c r="V107" s="15">
        <f>FEBRERO!V107+MARZO!AL107</f>
        <v>0</v>
      </c>
      <c r="W107" s="15">
        <f>FEBRERO!W107+MARZO!AM107</f>
        <v>0</v>
      </c>
      <c r="X107" s="18">
        <f>SUM(U107:W107)</f>
        <v>252925412</v>
      </c>
      <c r="Y107" s="19">
        <f>FEBRERO!AA107</f>
        <v>10286790</v>
      </c>
      <c r="Z107" s="364">
        <v>5190690</v>
      </c>
      <c r="AA107" s="16">
        <f>SUM(Y107:Z107)</f>
        <v>15477480</v>
      </c>
      <c r="AB107" s="19">
        <f>FEBRERO!AD107</f>
        <v>10286790</v>
      </c>
      <c r="AC107" s="364">
        <v>5190690</v>
      </c>
      <c r="AD107" s="16">
        <f>SUM(AB107:AC107)</f>
        <v>15477480</v>
      </c>
      <c r="AE107" s="19">
        <f>FEBRERO!AG107</f>
        <v>4950270</v>
      </c>
      <c r="AF107" s="364">
        <v>5336520</v>
      </c>
      <c r="AG107" s="16">
        <f>SUM(AE107:AF107)</f>
        <v>10286790</v>
      </c>
      <c r="AH107" s="19">
        <f>X107-AA107</f>
        <v>237447932</v>
      </c>
      <c r="AI107" s="15">
        <f>X107-AD107</f>
        <v>237447932</v>
      </c>
      <c r="AJ107" s="16">
        <f>X107-AG107</f>
        <v>242638622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+IF(FEBRERO!A108=0,"",FEBRERO!A108)</f>
        <v>11304-4</v>
      </c>
      <c r="B108" s="602" t="str">
        <f>+IF(FEBRERO!B108=0,"",FEBRERO!B108)</f>
        <v>Fondo de la Vivienda</v>
      </c>
      <c r="C108" s="654">
        <f>+ENERO!C108</f>
        <v>0</v>
      </c>
      <c r="D108" s="363">
        <f>FEBRERO!D108+MARZO!P108</f>
        <v>0</v>
      </c>
      <c r="E108" s="363">
        <f>FEBRERO!E108+MARZO!Q108</f>
        <v>0</v>
      </c>
      <c r="F108" s="363">
        <f t="shared" si="109"/>
        <v>0</v>
      </c>
      <c r="G108" s="363">
        <f>FEBRERO!I108</f>
        <v>0</v>
      </c>
      <c r="H108" s="364">
        <v>0</v>
      </c>
      <c r="I108" s="363">
        <f t="shared" si="110"/>
        <v>0</v>
      </c>
      <c r="J108" s="363">
        <f>FEBRERO!L108</f>
        <v>0</v>
      </c>
      <c r="K108" s="364">
        <v>0</v>
      </c>
      <c r="L108" s="363">
        <f t="shared" si="111"/>
        <v>0</v>
      </c>
      <c r="M108" s="363">
        <f t="shared" si="112"/>
        <v>0</v>
      </c>
      <c r="N108" s="143">
        <f t="shared" si="113"/>
        <v>0</v>
      </c>
      <c r="P108" s="362">
        <v>0</v>
      </c>
      <c r="Q108" s="365">
        <v>0</v>
      </c>
      <c r="R108" s="9"/>
      <c r="S108" s="688">
        <f>+IF(FEBRERO!S108=0,"",FEBRERO!S108)</f>
        <v>1020499</v>
      </c>
      <c r="T108" s="704" t="str">
        <f>+IF(FEBRERO!T108=0,"",FEBRERO!T108)</f>
        <v>Vigencias Anteriores</v>
      </c>
      <c r="U108" s="29">
        <f>+ENERO!U108</f>
        <v>0</v>
      </c>
      <c r="V108" s="15">
        <f>FEBRERO!V108+MARZO!AL108</f>
        <v>0</v>
      </c>
      <c r="W108" s="15">
        <f>FEBRERO!W108+MARZO!AM108</f>
        <v>0</v>
      </c>
      <c r="X108" s="18">
        <f>SUM(U108:W108)</f>
        <v>0</v>
      </c>
      <c r="Y108" s="19">
        <f>FEBRERO!AA108</f>
        <v>0</v>
      </c>
      <c r="Z108" s="364">
        <v>0</v>
      </c>
      <c r="AA108" s="16">
        <f>SUM(Y108:Z108)</f>
        <v>0</v>
      </c>
      <c r="AB108" s="19">
        <f>FEBRERO!AD108</f>
        <v>0</v>
      </c>
      <c r="AC108" s="364">
        <v>0</v>
      </c>
      <c r="AD108" s="16">
        <f>SUM(AB108:AC108)</f>
        <v>0</v>
      </c>
      <c r="AE108" s="19">
        <f>FEBRERO!AG108</f>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+IF(FEBRERO!A109=0,"",FEBRERO!A109)</f>
        <v>11304-5</v>
      </c>
      <c r="B109" s="602" t="str">
        <f>+IF(FEBRERO!B109=0,"",FEBRERO!B109)</f>
        <v xml:space="preserve">Aprovechamientos </v>
      </c>
      <c r="C109" s="654">
        <f>+ENERO!C109</f>
        <v>62220076</v>
      </c>
      <c r="D109" s="363">
        <f>FEBRERO!D109+MARZO!P109</f>
        <v>0</v>
      </c>
      <c r="E109" s="363">
        <f>FEBRERO!E109+MARZO!Q109</f>
        <v>0</v>
      </c>
      <c r="F109" s="363">
        <f t="shared" si="109"/>
        <v>62220076</v>
      </c>
      <c r="G109" s="363">
        <f>FEBRERO!I109</f>
        <v>4729496</v>
      </c>
      <c r="H109" s="364">
        <v>533170</v>
      </c>
      <c r="I109" s="363">
        <f t="shared" si="110"/>
        <v>5262666</v>
      </c>
      <c r="J109" s="363">
        <f>FEBRERO!L109</f>
        <v>4729496</v>
      </c>
      <c r="K109" s="364">
        <v>533170</v>
      </c>
      <c r="L109" s="363">
        <f t="shared" si="111"/>
        <v>5262666</v>
      </c>
      <c r="M109" s="363">
        <f t="shared" si="112"/>
        <v>56957410</v>
      </c>
      <c r="N109" s="143">
        <f t="shared" si="113"/>
        <v>56957410</v>
      </c>
      <c r="P109" s="362">
        <v>0</v>
      </c>
      <c r="Q109" s="365">
        <v>0</v>
      </c>
      <c r="R109" s="9"/>
      <c r="S109" s="356" t="str">
        <f>+IF(FEBRERO!S109=0,"",FEBRERO!S109)</f>
        <v/>
      </c>
      <c r="T109" s="678" t="str">
        <f>+IF(FEBRERO!T109=0,"",FEBRERO!T109)</f>
        <v/>
      </c>
      <c r="U109" s="357"/>
      <c r="V109" s="161"/>
      <c r="W109" s="161"/>
      <c r="X109" s="161"/>
      <c r="Y109" s="357"/>
      <c r="Z109" s="161"/>
      <c r="AA109" s="166"/>
      <c r="AB109" s="357"/>
      <c r="AC109" s="161"/>
      <c r="AD109" s="166"/>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+IF(FEBRERO!A110=0,"",FEBRERO!A110)</f>
        <v>11304-6</v>
      </c>
      <c r="B110" s="602" t="str">
        <f>+IF(FEBRERO!B110=0,"",FEBRERO!B110)</f>
        <v>Otros</v>
      </c>
      <c r="C110" s="654">
        <f>+ENERO!C110</f>
        <v>0</v>
      </c>
      <c r="D110" s="363">
        <f>FEBRERO!D110+MARZO!P110</f>
        <v>0</v>
      </c>
      <c r="E110" s="363">
        <f>FEBRERO!E110+MARZO!Q110</f>
        <v>0</v>
      </c>
      <c r="F110" s="363">
        <f t="shared" si="109"/>
        <v>0</v>
      </c>
      <c r="G110" s="363">
        <f>FEBRERO!I110</f>
        <v>0</v>
      </c>
      <c r="H110" s="364">
        <v>0</v>
      </c>
      <c r="I110" s="363">
        <f t="shared" si="110"/>
        <v>0</v>
      </c>
      <c r="J110" s="363">
        <f>FEBRERO!L110</f>
        <v>0</v>
      </c>
      <c r="K110" s="364">
        <v>0</v>
      </c>
      <c r="L110" s="363">
        <f t="shared" si="111"/>
        <v>0</v>
      </c>
      <c r="M110" s="363">
        <f t="shared" si="112"/>
        <v>0</v>
      </c>
      <c r="N110" s="143">
        <f t="shared" si="113"/>
        <v>0</v>
      </c>
      <c r="P110" s="362">
        <v>0</v>
      </c>
      <c r="Q110" s="365">
        <v>0</v>
      </c>
      <c r="R110" s="9"/>
      <c r="S110" s="686">
        <f>+IF(FEBRERO!S110=0,"",FEBRERO!S110)</f>
        <v>2000000</v>
      </c>
      <c r="T110" s="706" t="str">
        <f>+IF(FEBRERO!T110=0,"",FEBRERO!T110)</f>
        <v>GASTOS GENERALES</v>
      </c>
      <c r="U110" s="369">
        <f t="shared" ref="U110:AJ110" si="115">U112+U145</f>
        <v>11975719527</v>
      </c>
      <c r="V110" s="461">
        <f t="shared" si="115"/>
        <v>-320000000</v>
      </c>
      <c r="W110" s="461">
        <f t="shared" si="115"/>
        <v>1950000000</v>
      </c>
      <c r="X110" s="462">
        <f t="shared" si="115"/>
        <v>13605719527</v>
      </c>
      <c r="Y110" s="369">
        <f t="shared" si="115"/>
        <v>6244075490</v>
      </c>
      <c r="Z110" s="461">
        <f t="shared" si="115"/>
        <v>1483655847</v>
      </c>
      <c r="AA110" s="370">
        <f t="shared" si="115"/>
        <v>7727731337</v>
      </c>
      <c r="AB110" s="369">
        <f t="shared" si="115"/>
        <v>2323971136</v>
      </c>
      <c r="AC110" s="461">
        <f t="shared" si="115"/>
        <v>1179588175</v>
      </c>
      <c r="AD110" s="370">
        <f t="shared" si="115"/>
        <v>3503559311</v>
      </c>
      <c r="AE110" s="369">
        <f t="shared" si="115"/>
        <v>1326028338</v>
      </c>
      <c r="AF110" s="461">
        <f t="shared" si="115"/>
        <v>852255591</v>
      </c>
      <c r="AG110" s="370">
        <f t="shared" si="115"/>
        <v>2178283929</v>
      </c>
      <c r="AH110" s="369">
        <f t="shared" si="115"/>
        <v>5877988190</v>
      </c>
      <c r="AI110" s="461">
        <f t="shared" si="115"/>
        <v>10102160216</v>
      </c>
      <c r="AJ110" s="370">
        <f t="shared" si="115"/>
        <v>11427435598</v>
      </c>
      <c r="AK110" s="10"/>
      <c r="AL110" s="128">
        <f>AL112+AL145</f>
        <v>-310000000</v>
      </c>
      <c r="AM110" s="130">
        <f>AM112+AM145</f>
        <v>1000000000</v>
      </c>
      <c r="AN110" s="9"/>
      <c r="AO110" s="284"/>
      <c r="AP110" s="284"/>
      <c r="AQ110" s="284"/>
      <c r="AR110" s="284"/>
      <c r="AS110" s="284"/>
      <c r="AT110" s="284"/>
      <c r="AU110" s="284"/>
      <c r="AV110" s="284"/>
      <c r="AW110" s="284"/>
      <c r="AX110" s="284"/>
      <c r="AY110" s="284"/>
      <c r="AZ110" s="284"/>
    </row>
    <row r="111" spans="1:70" s="372" customFormat="1" ht="24.95" customHeight="1" thickBot="1">
      <c r="A111" s="721" t="str">
        <f>+IF(FEBRERO!A111=0,"",FEBRERO!A111)</f>
        <v>11304-7</v>
      </c>
      <c r="B111" s="637" t="str">
        <f>+IF(FEBRERO!B111=0,"",FEBRERO!B111)</f>
        <v>Vigencia Anterior</v>
      </c>
      <c r="C111" s="760">
        <f>+ENERO!C111</f>
        <v>0</v>
      </c>
      <c r="D111" s="375">
        <f>FEBRERO!D111+MARZO!P111</f>
        <v>0</v>
      </c>
      <c r="E111" s="375">
        <f>FEBRERO!E111+MARZO!Q111</f>
        <v>0</v>
      </c>
      <c r="F111" s="375">
        <f t="shared" si="109"/>
        <v>0</v>
      </c>
      <c r="G111" s="375">
        <f>FEBRERO!I111</f>
        <v>0</v>
      </c>
      <c r="H111" s="378">
        <v>0</v>
      </c>
      <c r="I111" s="375">
        <f t="shared" si="110"/>
        <v>0</v>
      </c>
      <c r="J111" s="375">
        <f>FEBRERO!L111</f>
        <v>0</v>
      </c>
      <c r="K111" s="378">
        <v>0</v>
      </c>
      <c r="L111" s="375">
        <f t="shared" si="111"/>
        <v>0</v>
      </c>
      <c r="M111" s="375">
        <f t="shared" si="112"/>
        <v>0</v>
      </c>
      <c r="N111" s="376">
        <f t="shared" si="113"/>
        <v>0</v>
      </c>
      <c r="P111" s="362">
        <v>0</v>
      </c>
      <c r="Q111" s="365">
        <v>0</v>
      </c>
      <c r="R111" s="9"/>
      <c r="S111" s="356" t="str">
        <f>+IF(FEBRERO!S111=0,"",FEBRERO!S111)</f>
        <v/>
      </c>
      <c r="T111" s="678" t="str">
        <f>+IF(FEBRERO!T111=0,"",FEBRERO!T111)</f>
        <v/>
      </c>
      <c r="U111" s="357"/>
      <c r="V111" s="161"/>
      <c r="W111" s="161"/>
      <c r="X111" s="161"/>
      <c r="Y111" s="357"/>
      <c r="Z111" s="161"/>
      <c r="AA111" s="166"/>
      <c r="AB111" s="357"/>
      <c r="AC111" s="161"/>
      <c r="AD111" s="166"/>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+IF(FEBRERO!A112=0,"",FEBRERO!A112)</f>
        <v/>
      </c>
      <c r="B112" s="636" t="str">
        <f>+IF(FEBRERO!B112=0,"",FEBRERO!B112)</f>
        <v/>
      </c>
      <c r="C112" s="470"/>
      <c r="D112" s="470"/>
      <c r="E112" s="470"/>
      <c r="F112" s="470"/>
      <c r="G112" s="470"/>
      <c r="H112" s="470"/>
      <c r="I112" s="470"/>
      <c r="J112" s="470"/>
      <c r="K112" s="470"/>
      <c r="L112" s="470"/>
      <c r="M112" s="470"/>
      <c r="N112" s="471"/>
      <c r="P112" s="472"/>
      <c r="Q112" s="471"/>
      <c r="R112" s="9"/>
      <c r="S112" s="686">
        <f>+IF(FEBRERO!S112=0,"",FEBRERO!S112)</f>
        <v>2010000</v>
      </c>
      <c r="T112" s="702" t="str">
        <f>+IF(FEBRERO!T112=0,"",FEBRERO!T112)</f>
        <v>Gastos de Administración</v>
      </c>
      <c r="U112" s="128">
        <f t="shared" ref="U112:AJ112" si="116">U114+U123+U141</f>
        <v>6052082264</v>
      </c>
      <c r="V112" s="122">
        <f t="shared" si="116"/>
        <v>-620000000</v>
      </c>
      <c r="W112" s="122">
        <f t="shared" si="116"/>
        <v>650000000</v>
      </c>
      <c r="X112" s="129">
        <f t="shared" si="116"/>
        <v>6082082264</v>
      </c>
      <c r="Y112" s="128">
        <f t="shared" si="116"/>
        <v>2097535333</v>
      </c>
      <c r="Z112" s="122">
        <f t="shared" si="116"/>
        <v>675902694</v>
      </c>
      <c r="AA112" s="130">
        <f t="shared" si="116"/>
        <v>2773438027</v>
      </c>
      <c r="AB112" s="128">
        <f t="shared" si="116"/>
        <v>1041014933</v>
      </c>
      <c r="AC112" s="122">
        <f t="shared" si="116"/>
        <v>458000182</v>
      </c>
      <c r="AD112" s="130">
        <f t="shared" si="116"/>
        <v>1499015115</v>
      </c>
      <c r="AE112" s="128">
        <f t="shared" si="116"/>
        <v>733514154</v>
      </c>
      <c r="AF112" s="122">
        <f t="shared" si="116"/>
        <v>450794453</v>
      </c>
      <c r="AG112" s="130">
        <f t="shared" si="116"/>
        <v>1184308607</v>
      </c>
      <c r="AH112" s="128">
        <f t="shared" si="116"/>
        <v>3308644237</v>
      </c>
      <c r="AI112" s="122">
        <f t="shared" si="116"/>
        <v>4583067149</v>
      </c>
      <c r="AJ112" s="130">
        <f t="shared" si="116"/>
        <v>4897773657</v>
      </c>
      <c r="AK112" s="9"/>
      <c r="AL112" s="128">
        <f>AL114+AL123+AL141</f>
        <v>-610000000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+IF(FEBRERO!A113=0,"",FEBRERO!A113)</f>
        <v>2000</v>
      </c>
      <c r="B113" s="623" t="str">
        <f>+IF(FEBRERO!B113=0,"",FEBRERO!B113)</f>
        <v>INGRESOS DE CAPITAL</v>
      </c>
      <c r="C113" s="606">
        <f>SUM(C115:C124)</f>
        <v>200295319</v>
      </c>
      <c r="D113" s="607">
        <f>SUM(D115:D124)</f>
        <v>0</v>
      </c>
      <c r="E113" s="607">
        <f t="shared" ref="E113:N113" si="117">SUM(E115:E124)</f>
        <v>2997987</v>
      </c>
      <c r="F113" s="607">
        <f t="shared" si="117"/>
        <v>203293306</v>
      </c>
      <c r="G113" s="607">
        <f t="shared" si="117"/>
        <v>11780274</v>
      </c>
      <c r="H113" s="607">
        <f t="shared" si="117"/>
        <v>58544229</v>
      </c>
      <c r="I113" s="607">
        <f t="shared" si="117"/>
        <v>70324503</v>
      </c>
      <c r="J113" s="607">
        <f t="shared" si="117"/>
        <v>11780274</v>
      </c>
      <c r="K113" s="607">
        <f t="shared" si="117"/>
        <v>58544229</v>
      </c>
      <c r="L113" s="607">
        <f t="shared" si="117"/>
        <v>70324503</v>
      </c>
      <c r="M113" s="607">
        <f t="shared" si="117"/>
        <v>132968803</v>
      </c>
      <c r="N113" s="608">
        <f t="shared" si="117"/>
        <v>132968803</v>
      </c>
      <c r="O113" s="451"/>
      <c r="P113" s="174">
        <f>SUM(P115:P124)</f>
        <v>0</v>
      </c>
      <c r="Q113" s="175">
        <f>SUM(Q115:Q124)</f>
        <v>0</v>
      </c>
      <c r="R113" s="9"/>
      <c r="S113" s="356" t="str">
        <f>+IF(FEBRERO!S113=0,"",FEBRERO!S113)</f>
        <v/>
      </c>
      <c r="T113" s="678" t="str">
        <f>+IF(FEBRERO!T113=0,"",FEBRERO!T113)</f>
        <v/>
      </c>
      <c r="U113" s="357"/>
      <c r="V113" s="161"/>
      <c r="W113" s="161"/>
      <c r="X113" s="161"/>
      <c r="Y113" s="357"/>
      <c r="Z113" s="161"/>
      <c r="AA113" s="166"/>
      <c r="AB113" s="357"/>
      <c r="AC113" s="161"/>
      <c r="AD113" s="166"/>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+IF(FEBRERO!A114=0,"",FEBRERO!A114)</f>
        <v/>
      </c>
      <c r="B114" s="636" t="str">
        <f>+IF(FEBRERO!B114=0,"",FEBRERO!B114)</f>
        <v/>
      </c>
      <c r="C114" s="470"/>
      <c r="D114" s="470"/>
      <c r="E114" s="470"/>
      <c r="F114" s="470"/>
      <c r="G114" s="470"/>
      <c r="H114" s="470"/>
      <c r="I114" s="470"/>
      <c r="J114" s="470"/>
      <c r="K114" s="470"/>
      <c r="L114" s="470"/>
      <c r="M114" s="470"/>
      <c r="N114" s="471"/>
      <c r="P114" s="472"/>
      <c r="Q114" s="471"/>
      <c r="R114" s="9"/>
      <c r="S114" s="687">
        <f>+IF(FEBRERO!S114=0,"",FEBRERO!S114)</f>
        <v>2010100</v>
      </c>
      <c r="T114" s="703" t="str">
        <f>+IF(FEBRERO!T114=0,"",FEBRERO!T114)</f>
        <v>Adquisición de bienes</v>
      </c>
      <c r="U114" s="128">
        <f t="shared" ref="U114:AJ114" si="118">SUM(U115:U121)</f>
        <v>2750000000</v>
      </c>
      <c r="V114" s="122">
        <f t="shared" si="118"/>
        <v>-620000000</v>
      </c>
      <c r="W114" s="122">
        <f t="shared" si="118"/>
        <v>400000000</v>
      </c>
      <c r="X114" s="129">
        <f t="shared" si="118"/>
        <v>2530000000</v>
      </c>
      <c r="Y114" s="128">
        <f t="shared" si="118"/>
        <v>493194398</v>
      </c>
      <c r="Z114" s="122">
        <f t="shared" si="118"/>
        <v>352348378</v>
      </c>
      <c r="AA114" s="130">
        <f t="shared" si="118"/>
        <v>845542776</v>
      </c>
      <c r="AB114" s="128">
        <f t="shared" si="118"/>
        <v>451216778</v>
      </c>
      <c r="AC114" s="122">
        <f t="shared" si="118"/>
        <v>70490253</v>
      </c>
      <c r="AD114" s="130">
        <f t="shared" si="118"/>
        <v>521707031</v>
      </c>
      <c r="AE114" s="128">
        <f t="shared" si="118"/>
        <v>414996614</v>
      </c>
      <c r="AF114" s="122">
        <f t="shared" si="118"/>
        <v>29766956</v>
      </c>
      <c r="AG114" s="130">
        <f t="shared" si="118"/>
        <v>444763570</v>
      </c>
      <c r="AH114" s="128">
        <f t="shared" si="118"/>
        <v>1684457224</v>
      </c>
      <c r="AI114" s="122">
        <f t="shared" si="118"/>
        <v>2008292969</v>
      </c>
      <c r="AJ114" s="130">
        <f t="shared" si="118"/>
        <v>2085236430</v>
      </c>
      <c r="AK114" s="9"/>
      <c r="AL114" s="128">
        <f>SUM(AL115:AL121)</f>
        <v>-610000000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+IF(FEBRERO!A115=0,"",FEBRERO!A115)</f>
        <v>2100</v>
      </c>
      <c r="B115" s="609" t="str">
        <f>+IF(FEBRERO!B115=0,"",FEBRERO!B115)</f>
        <v>CREDITO INTERNO</v>
      </c>
      <c r="C115" s="655">
        <f>+ENERO!C115</f>
        <v>0</v>
      </c>
      <c r="D115" s="454">
        <f>FEBRERO!D115+MARZO!P115</f>
        <v>0</v>
      </c>
      <c r="E115" s="454">
        <f>FEBRERO!E115+MARZO!Q115</f>
        <v>0</v>
      </c>
      <c r="F115" s="458">
        <f t="shared" ref="F115:F124" si="119">SUM(C115:E115)</f>
        <v>0</v>
      </c>
      <c r="G115" s="456">
        <f>FEBRERO!I115</f>
        <v>0</v>
      </c>
      <c r="H115" s="364">
        <v>0</v>
      </c>
      <c r="I115" s="458">
        <f t="shared" ref="I115:I124" si="120">SUM(G115:H115)</f>
        <v>0</v>
      </c>
      <c r="J115" s="456">
        <f>FEBRERO!L115</f>
        <v>0</v>
      </c>
      <c r="K115" s="364">
        <v>0</v>
      </c>
      <c r="L115" s="455">
        <f t="shared" ref="L115:L124" si="121">SUM(J115:K115)</f>
        <v>0</v>
      </c>
      <c r="M115" s="459">
        <f t="shared" ref="M115:M124" si="122">F115-I115</f>
        <v>0</v>
      </c>
      <c r="N115" s="455">
        <f t="shared" ref="N115:N124" si="123">F115-L115</f>
        <v>0</v>
      </c>
      <c r="O115" s="451"/>
      <c r="P115" s="362">
        <v>0</v>
      </c>
      <c r="Q115" s="365">
        <v>0</v>
      </c>
      <c r="R115" s="9"/>
      <c r="S115" s="688" t="str">
        <f>+IF(FEBRERO!S115=0,"",FEBRERO!S115)</f>
        <v>2010100-1</v>
      </c>
      <c r="T115" s="704" t="str">
        <f>+IF(FEBRERO!T115=0,"",FEBRERO!T115)</f>
        <v>Compra de Equipos</v>
      </c>
      <c r="U115" s="29">
        <f>+ENERO!U115</f>
        <v>2350000000</v>
      </c>
      <c r="V115" s="15">
        <f>FEBRERO!V115+MARZO!AL115</f>
        <v>-690000000</v>
      </c>
      <c r="W115" s="15">
        <f>FEBRERO!W115+MARZO!AM115</f>
        <v>0</v>
      </c>
      <c r="X115" s="18">
        <f t="shared" ref="X115:X121" si="124">SUM(U115:W115)</f>
        <v>1660000000</v>
      </c>
      <c r="Y115" s="19">
        <f>FEBRERO!AA115</f>
        <v>32199540</v>
      </c>
      <c r="Z115" s="364">
        <v>246463921</v>
      </c>
      <c r="AA115" s="16">
        <f t="shared" ref="AA115:AA121" si="125">SUM(Y115:Z115)</f>
        <v>278663461</v>
      </c>
      <c r="AB115" s="19">
        <f>FEBRERO!AD115</f>
        <v>6488400</v>
      </c>
      <c r="AC115" s="364">
        <v>27830801</v>
      </c>
      <c r="AD115" s="16">
        <f t="shared" ref="AD115:AD121" si="126">SUM(AB115:AC115)</f>
        <v>34319201</v>
      </c>
      <c r="AE115" s="19">
        <f>FEBRERO!AG115</f>
        <v>5236000</v>
      </c>
      <c r="AF115" s="364">
        <v>2787500</v>
      </c>
      <c r="AG115" s="16">
        <f t="shared" ref="AG115:AG121" si="127">SUM(AE115:AF115)</f>
        <v>8023500</v>
      </c>
      <c r="AH115" s="19">
        <f t="shared" ref="AH115:AH121" si="128">X115-AA115</f>
        <v>1381336539</v>
      </c>
      <c r="AI115" s="15">
        <f t="shared" ref="AI115:AI121" si="129">X115-AD115</f>
        <v>1625680799</v>
      </c>
      <c r="AJ115" s="16">
        <f t="shared" ref="AJ115:AJ121" si="130">X115-AG115</f>
        <v>1651976500</v>
      </c>
      <c r="AK115" s="9"/>
      <c r="AL115" s="362">
        <f>-80000000-600000000</f>
        <v>-680000000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+IF(FEBRERO!A116=0,"",FEBRERO!A116)</f>
        <v>2100-1</v>
      </c>
      <c r="B116" s="610" t="str">
        <f>+IF(FEBRERO!B116=0,"",FEBRERO!B116)</f>
        <v>Vigencia Anterior</v>
      </c>
      <c r="C116" s="655">
        <f>+ENERO!C116</f>
        <v>0</v>
      </c>
      <c r="D116" s="454">
        <f>FEBRERO!D116+MARZO!P116</f>
        <v>0</v>
      </c>
      <c r="E116" s="454">
        <f>FEBRERO!E116+MARZO!Q116</f>
        <v>0</v>
      </c>
      <c r="F116" s="458">
        <f t="shared" si="119"/>
        <v>0</v>
      </c>
      <c r="G116" s="456">
        <f>FEBRERO!I116</f>
        <v>0</v>
      </c>
      <c r="H116" s="364">
        <v>0</v>
      </c>
      <c r="I116" s="458">
        <f t="shared" si="120"/>
        <v>0</v>
      </c>
      <c r="J116" s="456">
        <f>FEBRERO!L116</f>
        <v>0</v>
      </c>
      <c r="K116" s="364">
        <v>0</v>
      </c>
      <c r="L116" s="455">
        <f t="shared" si="121"/>
        <v>0</v>
      </c>
      <c r="M116" s="459">
        <f t="shared" si="122"/>
        <v>0</v>
      </c>
      <c r="N116" s="455">
        <f t="shared" si="123"/>
        <v>0</v>
      </c>
      <c r="O116" s="451"/>
      <c r="P116" s="362">
        <v>0</v>
      </c>
      <c r="Q116" s="365">
        <v>0</v>
      </c>
      <c r="R116" s="9"/>
      <c r="S116" s="688" t="str">
        <f>+IF(FEBRERO!S116=0,"",FEBRERO!S116)</f>
        <v>2010100-2</v>
      </c>
      <c r="T116" s="704" t="str">
        <f>+IF(FEBRERO!T116=0,"",FEBRERO!T116)</f>
        <v>Materiales</v>
      </c>
      <c r="U116" s="29">
        <f>+ENERO!U116</f>
        <v>300000000</v>
      </c>
      <c r="V116" s="15">
        <f>FEBRERO!V116+MARZO!AL116</f>
        <v>0</v>
      </c>
      <c r="W116" s="15">
        <f>FEBRERO!W116+MARZO!AM116</f>
        <v>0</v>
      </c>
      <c r="X116" s="18">
        <f t="shared" si="124"/>
        <v>300000000</v>
      </c>
      <c r="Y116" s="19">
        <f>FEBRERO!AA116</f>
        <v>70702671</v>
      </c>
      <c r="Z116" s="364">
        <v>40780927</v>
      </c>
      <c r="AA116" s="16">
        <f t="shared" si="125"/>
        <v>111483598</v>
      </c>
      <c r="AB116" s="19">
        <f>FEBRERO!AD116</f>
        <v>54436191</v>
      </c>
      <c r="AC116" s="364">
        <v>42555922</v>
      </c>
      <c r="AD116" s="16">
        <f t="shared" si="126"/>
        <v>96992113</v>
      </c>
      <c r="AE116" s="19">
        <f>FEBRERO!AG116</f>
        <v>19468427</v>
      </c>
      <c r="AF116" s="364">
        <v>26875926</v>
      </c>
      <c r="AG116" s="16">
        <f t="shared" si="127"/>
        <v>46344353</v>
      </c>
      <c r="AH116" s="19">
        <f t="shared" si="128"/>
        <v>188516402</v>
      </c>
      <c r="AI116" s="15">
        <f t="shared" si="129"/>
        <v>203007887</v>
      </c>
      <c r="AJ116" s="16">
        <f t="shared" si="130"/>
        <v>253655647</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+IF(FEBRERO!A117=0,"",FEBRERO!A117)</f>
        <v>2200</v>
      </c>
      <c r="B117" s="609" t="str">
        <f>+IF(FEBRERO!B117=0,"",FEBRERO!B117)</f>
        <v>CREDITO EXTERNO</v>
      </c>
      <c r="C117" s="655">
        <f>+ENERO!C117</f>
        <v>0</v>
      </c>
      <c r="D117" s="454">
        <f>FEBRERO!D117+MARZO!P117</f>
        <v>0</v>
      </c>
      <c r="E117" s="454">
        <f>FEBRERO!E117+MARZO!Q117</f>
        <v>0</v>
      </c>
      <c r="F117" s="458">
        <f t="shared" si="119"/>
        <v>0</v>
      </c>
      <c r="G117" s="456">
        <f>FEBRERO!I117</f>
        <v>0</v>
      </c>
      <c r="H117" s="364">
        <v>0</v>
      </c>
      <c r="I117" s="458">
        <f t="shared" si="120"/>
        <v>0</v>
      </c>
      <c r="J117" s="456">
        <f>FEBRERO!L117</f>
        <v>0</v>
      </c>
      <c r="K117" s="364">
        <v>0</v>
      </c>
      <c r="L117" s="455">
        <f t="shared" si="121"/>
        <v>0</v>
      </c>
      <c r="M117" s="459">
        <f t="shared" si="122"/>
        <v>0</v>
      </c>
      <c r="N117" s="455">
        <f t="shared" si="123"/>
        <v>0</v>
      </c>
      <c r="O117" s="451"/>
      <c r="P117" s="362">
        <v>0</v>
      </c>
      <c r="Q117" s="365">
        <v>0</v>
      </c>
      <c r="R117" s="9"/>
      <c r="S117" s="688" t="str">
        <f>+IF(FEBRERO!S117=0,"",FEBRERO!S117)</f>
        <v>2010100-3</v>
      </c>
      <c r="T117" s="704" t="str">
        <f>+IF(FEBRERO!T117=0,"",FEBRERO!T117)</f>
        <v>Salud Ocupacional</v>
      </c>
      <c r="U117" s="29">
        <f>+ENERO!U117</f>
        <v>0</v>
      </c>
      <c r="V117" s="15">
        <f>FEBRERO!V117+MARZO!AL117</f>
        <v>0</v>
      </c>
      <c r="W117" s="15">
        <f>FEBRERO!W117+MARZO!AM117</f>
        <v>0</v>
      </c>
      <c r="X117" s="18">
        <f t="shared" si="124"/>
        <v>0</v>
      </c>
      <c r="Y117" s="19">
        <f>FEBRERO!AA117</f>
        <v>0</v>
      </c>
      <c r="Z117" s="364">
        <v>0</v>
      </c>
      <c r="AA117" s="16">
        <f t="shared" si="125"/>
        <v>0</v>
      </c>
      <c r="AB117" s="19">
        <f>FEBRERO!AD117</f>
        <v>0</v>
      </c>
      <c r="AC117" s="364">
        <v>0</v>
      </c>
      <c r="AD117" s="16">
        <f t="shared" si="126"/>
        <v>0</v>
      </c>
      <c r="AE117" s="19">
        <f>FEBRERO!AG117</f>
        <v>0</v>
      </c>
      <c r="AF117" s="364">
        <v>0</v>
      </c>
      <c r="AG117" s="16">
        <f t="shared" si="127"/>
        <v>0</v>
      </c>
      <c r="AH117" s="19">
        <f t="shared" si="128"/>
        <v>0</v>
      </c>
      <c r="AI117" s="15">
        <f t="shared" si="129"/>
        <v>0</v>
      </c>
      <c r="AJ117" s="16">
        <f t="shared" si="130"/>
        <v>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+IF(FEBRERO!A118=0,"",FEBRERO!A118)</f>
        <v>2200-1</v>
      </c>
      <c r="B118" s="610" t="str">
        <f>+IF(FEBRERO!B118=0,"",FEBRERO!B118)</f>
        <v>Vigencia Anterior</v>
      </c>
      <c r="C118" s="655">
        <f>+ENERO!C118</f>
        <v>0</v>
      </c>
      <c r="D118" s="454">
        <f>FEBRERO!D118+MARZO!P118</f>
        <v>0</v>
      </c>
      <c r="E118" s="454">
        <f>FEBRERO!E118+MARZO!Q118</f>
        <v>0</v>
      </c>
      <c r="F118" s="458">
        <f t="shared" si="119"/>
        <v>0</v>
      </c>
      <c r="G118" s="456">
        <f>FEBRERO!I118</f>
        <v>0</v>
      </c>
      <c r="H118" s="364">
        <v>0</v>
      </c>
      <c r="I118" s="458">
        <f t="shared" si="120"/>
        <v>0</v>
      </c>
      <c r="J118" s="456">
        <f>FEBRERO!L118</f>
        <v>0</v>
      </c>
      <c r="K118" s="364">
        <v>0</v>
      </c>
      <c r="L118" s="455">
        <f t="shared" si="121"/>
        <v>0</v>
      </c>
      <c r="M118" s="459">
        <f t="shared" si="122"/>
        <v>0</v>
      </c>
      <c r="N118" s="455">
        <f t="shared" si="123"/>
        <v>0</v>
      </c>
      <c r="O118" s="451"/>
      <c r="P118" s="362">
        <v>0</v>
      </c>
      <c r="Q118" s="365">
        <v>0</v>
      </c>
      <c r="R118" s="9"/>
      <c r="S118" s="688" t="str">
        <f>+IF(FEBRERO!S118=0,"",FEBRERO!S118)</f>
        <v>2010100-4</v>
      </c>
      <c r="T118" s="704" t="str">
        <f>+IF(FEBRERO!T118=0,"",FEBRERO!T118)</f>
        <v/>
      </c>
      <c r="U118" s="29">
        <f>+ENERO!U118</f>
        <v>0</v>
      </c>
      <c r="V118" s="15">
        <f>FEBRERO!V118+MARZO!AL118</f>
        <v>70000000</v>
      </c>
      <c r="W118" s="15">
        <f>FEBRERO!W118+MARZO!AM118</f>
        <v>0</v>
      </c>
      <c r="X118" s="18">
        <f t="shared" si="124"/>
        <v>70000000</v>
      </c>
      <c r="Y118" s="19">
        <f>FEBRERO!AA118</f>
        <v>0</v>
      </c>
      <c r="Z118" s="364">
        <v>65000000</v>
      </c>
      <c r="AA118" s="16">
        <f t="shared" si="125"/>
        <v>65000000</v>
      </c>
      <c r="AB118" s="19">
        <f>FEBRERO!AD118</f>
        <v>0</v>
      </c>
      <c r="AC118" s="364">
        <v>0</v>
      </c>
      <c r="AD118" s="16">
        <f t="shared" si="126"/>
        <v>0</v>
      </c>
      <c r="AE118" s="19">
        <f>FEBRERO!AG118</f>
        <v>0</v>
      </c>
      <c r="AF118" s="364">
        <v>0</v>
      </c>
      <c r="AG118" s="16">
        <f t="shared" si="127"/>
        <v>0</v>
      </c>
      <c r="AH118" s="19">
        <f t="shared" si="128"/>
        <v>5000000</v>
      </c>
      <c r="AI118" s="15">
        <f t="shared" si="129"/>
        <v>70000000</v>
      </c>
      <c r="AJ118" s="16">
        <f t="shared" si="130"/>
        <v>70000000</v>
      </c>
      <c r="AK118" s="9"/>
      <c r="AL118" s="362">
        <v>70000000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+IF(FEBRERO!A119=0,"",FEBRERO!A119)</f>
        <v>2300</v>
      </c>
      <c r="B119" s="609" t="str">
        <f>+IF(FEBRERO!B119=0,"",FEBRERO!B119)</f>
        <v>RENDIMIENTOS FINANCIEROS</v>
      </c>
      <c r="C119" s="655">
        <f>+ENERO!C119</f>
        <v>200295319</v>
      </c>
      <c r="D119" s="454">
        <f>FEBRERO!D119+MARZO!P119</f>
        <v>0</v>
      </c>
      <c r="E119" s="454">
        <f>FEBRERO!E119+MARZO!Q119</f>
        <v>0</v>
      </c>
      <c r="F119" s="458">
        <f t="shared" si="119"/>
        <v>200295319</v>
      </c>
      <c r="G119" s="216">
        <f>FEBRERO!I119</f>
        <v>7262</v>
      </c>
      <c r="H119" s="364">
        <v>0</v>
      </c>
      <c r="I119" s="463">
        <f t="shared" si="120"/>
        <v>7262</v>
      </c>
      <c r="J119" s="216">
        <f>FEBRERO!L119</f>
        <v>7262</v>
      </c>
      <c r="K119" s="364">
        <v>0</v>
      </c>
      <c r="L119" s="143">
        <f t="shared" si="121"/>
        <v>7262</v>
      </c>
      <c r="M119" s="428">
        <f t="shared" si="122"/>
        <v>200288057</v>
      </c>
      <c r="N119" s="143">
        <f t="shared" si="123"/>
        <v>200288057</v>
      </c>
      <c r="O119" s="451"/>
      <c r="P119" s="362">
        <v>0</v>
      </c>
      <c r="Q119" s="365">
        <v>0</v>
      </c>
      <c r="R119" s="9"/>
      <c r="S119" s="688" t="str">
        <f>+IF(FEBRERO!S119=0,"",FEBRERO!S119)</f>
        <v>2010100-5</v>
      </c>
      <c r="T119" s="704" t="str">
        <f>+IF(FEBRERO!T119=0,"",FEBRERO!T119)</f>
        <v/>
      </c>
      <c r="U119" s="29">
        <f>+ENERO!U119</f>
        <v>0</v>
      </c>
      <c r="V119" s="15">
        <f>FEBRERO!V119+MARZO!AL119</f>
        <v>0</v>
      </c>
      <c r="W119" s="15">
        <f>FEBRERO!W119+MARZO!AM119</f>
        <v>0</v>
      </c>
      <c r="X119" s="18">
        <f t="shared" si="124"/>
        <v>0</v>
      </c>
      <c r="Y119" s="19">
        <f>FEBRERO!AA119</f>
        <v>0</v>
      </c>
      <c r="Z119" s="364">
        <v>0</v>
      </c>
      <c r="AA119" s="16">
        <f t="shared" si="125"/>
        <v>0</v>
      </c>
      <c r="AB119" s="19">
        <f>FEBRERO!AD119</f>
        <v>0</v>
      </c>
      <c r="AC119" s="364">
        <v>0</v>
      </c>
      <c r="AD119" s="16">
        <f t="shared" si="126"/>
        <v>0</v>
      </c>
      <c r="AE119" s="19">
        <f>FEBRERO!AG119</f>
        <v>0</v>
      </c>
      <c r="AF119" s="364">
        <v>0</v>
      </c>
      <c r="AG119" s="16">
        <f t="shared" si="127"/>
        <v>0</v>
      </c>
      <c r="AH119" s="19">
        <f t="shared" si="128"/>
        <v>0</v>
      </c>
      <c r="AI119" s="15">
        <f t="shared" si="129"/>
        <v>0</v>
      </c>
      <c r="AJ119" s="16">
        <f t="shared" si="130"/>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+IF(FEBRERO!A120=0,"",FEBRERO!A120)</f>
        <v>2400</v>
      </c>
      <c r="B120" s="610" t="str">
        <f>+IF(FEBRERO!B120=0,"",FEBRERO!B120)</f>
        <v>VENTA DE ACTIVOS</v>
      </c>
      <c r="C120" s="655">
        <f>+ENERO!C120</f>
        <v>0</v>
      </c>
      <c r="D120" s="454">
        <f>FEBRERO!D120+MARZO!P120</f>
        <v>0</v>
      </c>
      <c r="E120" s="454">
        <f>FEBRERO!E120+MARZO!Q120</f>
        <v>0</v>
      </c>
      <c r="F120" s="458">
        <f t="shared" si="119"/>
        <v>0</v>
      </c>
      <c r="G120" s="216">
        <f>FEBRERO!I120</f>
        <v>0</v>
      </c>
      <c r="H120" s="364">
        <v>0</v>
      </c>
      <c r="I120" s="463">
        <f t="shared" si="120"/>
        <v>0</v>
      </c>
      <c r="J120" s="216">
        <f>FEBRERO!L120</f>
        <v>0</v>
      </c>
      <c r="K120" s="364">
        <v>0</v>
      </c>
      <c r="L120" s="143">
        <f t="shared" si="121"/>
        <v>0</v>
      </c>
      <c r="M120" s="428">
        <f t="shared" si="122"/>
        <v>0</v>
      </c>
      <c r="N120" s="143">
        <f t="shared" si="123"/>
        <v>0</v>
      </c>
      <c r="P120" s="362">
        <v>0</v>
      </c>
      <c r="Q120" s="365">
        <v>0</v>
      </c>
      <c r="R120" s="9"/>
      <c r="S120" s="688" t="str">
        <f>+IF(FEBRERO!S120=0,"",FEBRERO!S120)</f>
        <v>2010100-6</v>
      </c>
      <c r="T120" s="704" t="str">
        <f>+IF(FEBRERO!T120=0,"",FEBRERO!T120)</f>
        <v/>
      </c>
      <c r="U120" s="29">
        <f>+ENERO!U120</f>
        <v>0</v>
      </c>
      <c r="V120" s="15">
        <f>FEBRERO!V120+MARZO!AL120</f>
        <v>0</v>
      </c>
      <c r="W120" s="15">
        <f>FEBRERO!W120+MARZO!AM120</f>
        <v>0</v>
      </c>
      <c r="X120" s="18">
        <f t="shared" si="124"/>
        <v>0</v>
      </c>
      <c r="Y120" s="19">
        <f>FEBRERO!AA120</f>
        <v>0</v>
      </c>
      <c r="Z120" s="364">
        <v>0</v>
      </c>
      <c r="AA120" s="16">
        <f t="shared" si="125"/>
        <v>0</v>
      </c>
      <c r="AB120" s="19">
        <f>FEBRERO!AD120</f>
        <v>0</v>
      </c>
      <c r="AC120" s="364">
        <v>0</v>
      </c>
      <c r="AD120" s="16">
        <f t="shared" si="126"/>
        <v>0</v>
      </c>
      <c r="AE120" s="19">
        <f>FEBRERO!AG120</f>
        <v>0</v>
      </c>
      <c r="AF120" s="364">
        <v>0</v>
      </c>
      <c r="AG120" s="16">
        <f t="shared" si="127"/>
        <v>0</v>
      </c>
      <c r="AH120" s="19">
        <f t="shared" si="128"/>
        <v>0</v>
      </c>
      <c r="AI120" s="15">
        <f t="shared" si="129"/>
        <v>0</v>
      </c>
      <c r="AJ120" s="16">
        <f t="shared" si="130"/>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+IF(FEBRERO!A121=0,"",FEBRERO!A121)</f>
        <v>2500</v>
      </c>
      <c r="B121" s="610" t="str">
        <f>+IF(FEBRERO!B121=0,"",FEBRERO!B121)</f>
        <v>DONACIONES</v>
      </c>
      <c r="C121" s="655">
        <f>+ENERO!C121</f>
        <v>0</v>
      </c>
      <c r="D121" s="454">
        <f>FEBRERO!D121+MARZO!P121</f>
        <v>0</v>
      </c>
      <c r="E121" s="454">
        <f>FEBRERO!E121+MARZO!Q121</f>
        <v>0</v>
      </c>
      <c r="F121" s="458">
        <f t="shared" si="119"/>
        <v>0</v>
      </c>
      <c r="G121" s="216">
        <f>FEBRERO!I121</f>
        <v>1500000</v>
      </c>
      <c r="H121" s="364">
        <v>0</v>
      </c>
      <c r="I121" s="463">
        <f t="shared" si="120"/>
        <v>1500000</v>
      </c>
      <c r="J121" s="216">
        <f>FEBRERO!L121</f>
        <v>1500000</v>
      </c>
      <c r="K121" s="364">
        <v>0</v>
      </c>
      <c r="L121" s="143">
        <f t="shared" si="121"/>
        <v>1500000</v>
      </c>
      <c r="M121" s="428">
        <f t="shared" si="122"/>
        <v>-1500000</v>
      </c>
      <c r="N121" s="143">
        <f t="shared" si="123"/>
        <v>-1500000</v>
      </c>
      <c r="P121" s="362">
        <v>0</v>
      </c>
      <c r="Q121" s="365">
        <v>0</v>
      </c>
      <c r="R121" s="9"/>
      <c r="S121" s="688">
        <f>+IF(FEBRERO!S121=0,"",FEBRERO!S121)</f>
        <v>2010199</v>
      </c>
      <c r="T121" s="704" t="str">
        <f>+IF(FEBRERO!T121=0,"",FEBRERO!T121)</f>
        <v>Vigencias Anteriores</v>
      </c>
      <c r="U121" s="29">
        <f>+ENERO!U121</f>
        <v>100000000</v>
      </c>
      <c r="V121" s="15">
        <f>FEBRERO!V121+MARZO!AL121</f>
        <v>0</v>
      </c>
      <c r="W121" s="15">
        <f>FEBRERO!W121+MARZO!AM121</f>
        <v>400000000</v>
      </c>
      <c r="X121" s="18">
        <f t="shared" si="124"/>
        <v>500000000</v>
      </c>
      <c r="Y121" s="19">
        <f>FEBRERO!AA121</f>
        <v>390292187</v>
      </c>
      <c r="Z121" s="364">
        <v>103530</v>
      </c>
      <c r="AA121" s="16">
        <f t="shared" si="125"/>
        <v>390395717</v>
      </c>
      <c r="AB121" s="19">
        <f>FEBRERO!AD121</f>
        <v>390292187</v>
      </c>
      <c r="AC121" s="364">
        <v>103530</v>
      </c>
      <c r="AD121" s="16">
        <f t="shared" si="126"/>
        <v>390395717</v>
      </c>
      <c r="AE121" s="19">
        <f>FEBRERO!AG121</f>
        <v>390292187</v>
      </c>
      <c r="AF121" s="364">
        <v>103530</v>
      </c>
      <c r="AG121" s="16">
        <f t="shared" si="127"/>
        <v>390395717</v>
      </c>
      <c r="AH121" s="19">
        <f t="shared" si="128"/>
        <v>109604283</v>
      </c>
      <c r="AI121" s="15">
        <f t="shared" si="129"/>
        <v>109604283</v>
      </c>
      <c r="AJ121" s="16">
        <f t="shared" si="130"/>
        <v>109604283</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+IF(FEBRERO!A122=0,"",FEBRERO!A122)</f>
        <v>2600</v>
      </c>
      <c r="B122" s="610" t="str">
        <f>+IF(FEBRERO!B122=0,"",FEBRERO!B122)</f>
        <v>RECUPERACIÓN DE CARTERA (AÑO 2017 Y ANTERIORES)</v>
      </c>
      <c r="C122" s="655">
        <f>+ENERO!C122</f>
        <v>0</v>
      </c>
      <c r="D122" s="454">
        <f>FEBRERO!D122+MARZO!P122</f>
        <v>0</v>
      </c>
      <c r="E122" s="454">
        <f>FEBRERO!E122+MARZO!Q122</f>
        <v>0</v>
      </c>
      <c r="F122" s="458">
        <f t="shared" si="119"/>
        <v>0</v>
      </c>
      <c r="G122" s="216">
        <f>FEBRERO!I122</f>
        <v>0</v>
      </c>
      <c r="H122" s="364">
        <v>0</v>
      </c>
      <c r="I122" s="463">
        <f t="shared" si="120"/>
        <v>0</v>
      </c>
      <c r="J122" s="216">
        <f>FEBRERO!L122</f>
        <v>0</v>
      </c>
      <c r="K122" s="364">
        <v>0</v>
      </c>
      <c r="L122" s="143">
        <f t="shared" si="121"/>
        <v>0</v>
      </c>
      <c r="M122" s="428">
        <f t="shared" si="122"/>
        <v>0</v>
      </c>
      <c r="N122" s="143">
        <f t="shared" si="123"/>
        <v>0</v>
      </c>
      <c r="P122" s="362">
        <v>0</v>
      </c>
      <c r="Q122" s="365">
        <v>0</v>
      </c>
      <c r="R122" s="9"/>
      <c r="S122" s="356" t="str">
        <f>+IF(FEBRERO!S122=0,"",FEBRERO!S122)</f>
        <v/>
      </c>
      <c r="T122" s="678" t="str">
        <f>+IF(FEBRERO!T122=0,"",FEBRERO!T122)</f>
        <v/>
      </c>
      <c r="U122" s="357"/>
      <c r="V122" s="161"/>
      <c r="W122" s="161"/>
      <c r="X122" s="161"/>
      <c r="Y122" s="357"/>
      <c r="Z122" s="161"/>
      <c r="AA122" s="166"/>
      <c r="AB122" s="357"/>
      <c r="AC122" s="161"/>
      <c r="AD122" s="166"/>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+IF(FEBRERO!A123=0,"",FEBRERO!A123)</f>
        <v>2700</v>
      </c>
      <c r="B123" s="610" t="str">
        <f>+IF(FEBRERO!B123=0,"",FEBRERO!B123)</f>
        <v>OTROS INGRESOS DE CAPITAL</v>
      </c>
      <c r="C123" s="655">
        <f>+ENERO!C123</f>
        <v>0</v>
      </c>
      <c r="D123" s="454">
        <f>FEBRERO!D123+MARZO!P123</f>
        <v>0</v>
      </c>
      <c r="E123" s="454">
        <f>FEBRERO!E123+MARZO!Q123</f>
        <v>2997987</v>
      </c>
      <c r="F123" s="458">
        <f t="shared" si="119"/>
        <v>2997987</v>
      </c>
      <c r="G123" s="216">
        <f>FEBRERO!I123</f>
        <v>10273012</v>
      </c>
      <c r="H123" s="364">
        <v>58544229</v>
      </c>
      <c r="I123" s="463">
        <f t="shared" si="120"/>
        <v>68817241</v>
      </c>
      <c r="J123" s="216">
        <f>FEBRERO!L123</f>
        <v>10273012</v>
      </c>
      <c r="K123" s="364">
        <v>58544229</v>
      </c>
      <c r="L123" s="143">
        <f t="shared" si="121"/>
        <v>68817241</v>
      </c>
      <c r="M123" s="428">
        <f t="shared" si="122"/>
        <v>-65819254</v>
      </c>
      <c r="N123" s="143">
        <f t="shared" si="123"/>
        <v>-65819254</v>
      </c>
      <c r="P123" s="362">
        <v>0</v>
      </c>
      <c r="Q123" s="365">
        <v>0</v>
      </c>
      <c r="R123" s="9"/>
      <c r="S123" s="687">
        <f>+IF(FEBRERO!S123=0,"",FEBRERO!S123)</f>
        <v>2010200</v>
      </c>
      <c r="T123" s="703" t="str">
        <f>+IF(FEBRERO!T123=0,"",FEBRERO!T123)</f>
        <v>Adquisición de Servicios</v>
      </c>
      <c r="U123" s="128">
        <f t="shared" ref="U123:AJ123" si="131">SUM(U124:U139)</f>
        <v>2775000000</v>
      </c>
      <c r="V123" s="122">
        <f t="shared" si="131"/>
        <v>0</v>
      </c>
      <c r="W123" s="122">
        <f t="shared" si="131"/>
        <v>250000000</v>
      </c>
      <c r="X123" s="129">
        <f t="shared" si="131"/>
        <v>3025000000</v>
      </c>
      <c r="Y123" s="128">
        <f t="shared" si="131"/>
        <v>1510513390</v>
      </c>
      <c r="Z123" s="122">
        <f t="shared" si="131"/>
        <v>305552549</v>
      </c>
      <c r="AA123" s="130">
        <f t="shared" si="131"/>
        <v>1816065939</v>
      </c>
      <c r="AB123" s="128">
        <f t="shared" si="131"/>
        <v>495970610</v>
      </c>
      <c r="AC123" s="122">
        <f t="shared" si="131"/>
        <v>369508162</v>
      </c>
      <c r="AD123" s="130">
        <f t="shared" si="131"/>
        <v>865478772</v>
      </c>
      <c r="AE123" s="128">
        <f t="shared" si="131"/>
        <v>247767537</v>
      </c>
      <c r="AF123" s="122">
        <f t="shared" si="131"/>
        <v>392418511</v>
      </c>
      <c r="AG123" s="130">
        <f t="shared" si="131"/>
        <v>640186048</v>
      </c>
      <c r="AH123" s="128">
        <f t="shared" si="131"/>
        <v>1208934061</v>
      </c>
      <c r="AI123" s="122">
        <f t="shared" si="131"/>
        <v>2159521228</v>
      </c>
      <c r="AJ123" s="130">
        <f t="shared" si="131"/>
        <v>2384813952</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+IF(FEBRERO!A124=0,"",FEBRERO!A124)</f>
        <v>2800</v>
      </c>
      <c r="B124" s="638" t="str">
        <f>+IF(FEBRERO!B124=0,"",FEBRERO!B124)</f>
        <v/>
      </c>
      <c r="C124" s="759">
        <f>+ENERO!C124</f>
        <v>0</v>
      </c>
      <c r="D124" s="452">
        <f>FEBRERO!D124+MARZO!P124</f>
        <v>0</v>
      </c>
      <c r="E124" s="452">
        <f>FEBRERO!E124+MARZO!Q124</f>
        <v>0</v>
      </c>
      <c r="F124" s="464">
        <f t="shared" si="119"/>
        <v>0</v>
      </c>
      <c r="G124" s="377">
        <f>FEBRERO!I124</f>
        <v>0</v>
      </c>
      <c r="H124" s="378">
        <v>0</v>
      </c>
      <c r="I124" s="465">
        <f t="shared" si="120"/>
        <v>0</v>
      </c>
      <c r="J124" s="377">
        <f>FEBRERO!L124</f>
        <v>0</v>
      </c>
      <c r="K124" s="378">
        <v>0</v>
      </c>
      <c r="L124" s="376">
        <f t="shared" si="121"/>
        <v>0</v>
      </c>
      <c r="M124" s="466">
        <f t="shared" si="122"/>
        <v>0</v>
      </c>
      <c r="N124" s="376">
        <f t="shared" si="123"/>
        <v>0</v>
      </c>
      <c r="P124" s="374">
        <v>0</v>
      </c>
      <c r="Q124" s="379">
        <v>0</v>
      </c>
      <c r="R124" s="9"/>
      <c r="S124" s="688" t="str">
        <f>+IF(FEBRERO!S124=0,"",FEBRERO!S124)</f>
        <v>2010200-1</v>
      </c>
      <c r="T124" s="704" t="str">
        <f>+IF(FEBRERO!T124=0,"",FEBRERO!T124)</f>
        <v>Seguros</v>
      </c>
      <c r="U124" s="29">
        <f>+ENERO!U124</f>
        <v>3000000</v>
      </c>
      <c r="V124" s="15">
        <f>FEBRERO!V124+MARZO!AL124</f>
        <v>0</v>
      </c>
      <c r="W124" s="15">
        <f>FEBRERO!W124+MARZO!AM124</f>
        <v>0</v>
      </c>
      <c r="X124" s="18">
        <f t="shared" ref="X124:X139" si="132">SUM(U124:W124)</f>
        <v>3000000</v>
      </c>
      <c r="Y124" s="19">
        <f>FEBRERO!AA124</f>
        <v>673000</v>
      </c>
      <c r="Z124" s="364">
        <v>0</v>
      </c>
      <c r="AA124" s="16">
        <f t="shared" ref="AA124:AA139" si="133">SUM(Y124:Z124)</f>
        <v>673000</v>
      </c>
      <c r="AB124" s="19">
        <f>FEBRERO!AD124</f>
        <v>673000</v>
      </c>
      <c r="AC124" s="364">
        <v>0</v>
      </c>
      <c r="AD124" s="16">
        <f t="shared" ref="AD124:AD139" si="134">SUM(AB124:AC124)</f>
        <v>673000</v>
      </c>
      <c r="AE124" s="19">
        <f>FEBRERO!AG124</f>
        <v>0</v>
      </c>
      <c r="AF124" s="364">
        <v>673000</v>
      </c>
      <c r="AG124" s="16">
        <f t="shared" ref="AG124:AG139" si="135">SUM(AE124:AF124)</f>
        <v>673000</v>
      </c>
      <c r="AH124" s="19">
        <f t="shared" ref="AH124:AH139" si="136">X124-AA124</f>
        <v>2327000</v>
      </c>
      <c r="AI124" s="15">
        <f t="shared" ref="AI124:AI139" si="137">X124-AD124</f>
        <v>2327000</v>
      </c>
      <c r="AJ124" s="16">
        <f t="shared" ref="AJ124:AJ139" si="138">X124-AG124</f>
        <v>2327000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+IF(FEBRERO!S125=0,"",FEBRERO!S125)</f>
        <v>2010200-2</v>
      </c>
      <c r="T125" s="704" t="str">
        <f>+IF(FEBRERO!T125=0,"",FEBRERO!T125)</f>
        <v>Impresos y Publicaciones</v>
      </c>
      <c r="U125" s="29">
        <f>+ENERO!U125</f>
        <v>25000000</v>
      </c>
      <c r="V125" s="15">
        <f>FEBRERO!V125+MARZO!AL125</f>
        <v>0</v>
      </c>
      <c r="W125" s="15">
        <f>FEBRERO!W125+MARZO!AM125</f>
        <v>0</v>
      </c>
      <c r="X125" s="18">
        <f t="shared" si="132"/>
        <v>25000000</v>
      </c>
      <c r="Y125" s="19">
        <f>FEBRERO!AA125</f>
        <v>280000</v>
      </c>
      <c r="Z125" s="364">
        <v>0</v>
      </c>
      <c r="AA125" s="16">
        <f t="shared" si="133"/>
        <v>280000</v>
      </c>
      <c r="AB125" s="19">
        <f>FEBRERO!AD125</f>
        <v>280000</v>
      </c>
      <c r="AC125" s="364">
        <v>0</v>
      </c>
      <c r="AD125" s="16">
        <f t="shared" si="134"/>
        <v>280000</v>
      </c>
      <c r="AE125" s="19">
        <f>FEBRERO!AG125</f>
        <v>280000</v>
      </c>
      <c r="AF125" s="364">
        <v>0</v>
      </c>
      <c r="AG125" s="16">
        <f t="shared" si="135"/>
        <v>280000</v>
      </c>
      <c r="AH125" s="19">
        <f t="shared" si="136"/>
        <v>24720000</v>
      </c>
      <c r="AI125" s="15">
        <f t="shared" si="137"/>
        <v>24720000</v>
      </c>
      <c r="AJ125" s="16">
        <f t="shared" si="138"/>
        <v>24720000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39">C8-C128</f>
        <v>66420360605</v>
      </c>
      <c r="D126" s="467">
        <f t="shared" si="139"/>
        <v>0</v>
      </c>
      <c r="E126" s="467">
        <f t="shared" si="139"/>
        <v>17535681475</v>
      </c>
      <c r="F126" s="467">
        <f t="shared" si="139"/>
        <v>83956042080</v>
      </c>
      <c r="G126" s="467">
        <f t="shared" si="139"/>
        <v>21041041895</v>
      </c>
      <c r="H126" s="467">
        <f t="shared" si="139"/>
        <v>7701092080</v>
      </c>
      <c r="I126" s="467">
        <f t="shared" si="139"/>
        <v>28742133975</v>
      </c>
      <c r="J126" s="467">
        <f t="shared" si="139"/>
        <v>11048331498</v>
      </c>
      <c r="K126" s="467">
        <f t="shared" si="139"/>
        <v>2319088514</v>
      </c>
      <c r="L126" s="467">
        <f t="shared" si="139"/>
        <v>13367420012</v>
      </c>
      <c r="M126" s="467">
        <f t="shared" si="139"/>
        <v>55213908105</v>
      </c>
      <c r="N126" s="596">
        <f t="shared" si="139"/>
        <v>70588622068</v>
      </c>
      <c r="P126" s="468">
        <f>P8-P128</f>
        <v>0</v>
      </c>
      <c r="Q126" s="469">
        <f>Q8-Q128</f>
        <v>9371382074</v>
      </c>
      <c r="R126" s="9"/>
      <c r="S126" s="688" t="str">
        <f>+IF(FEBRERO!S126=0,"",FEBRERO!S126)</f>
        <v>2010200-3</v>
      </c>
      <c r="T126" s="704" t="str">
        <f>+IF(FEBRERO!T126=0,"",FEBRERO!T126)</f>
        <v xml:space="preserve">Servicios Públicos </v>
      </c>
      <c r="U126" s="29">
        <f>+ENERO!U126</f>
        <v>740000000</v>
      </c>
      <c r="V126" s="15">
        <f>FEBRERO!V126+MARZO!AL126</f>
        <v>0</v>
      </c>
      <c r="W126" s="15">
        <f>FEBRERO!W126+MARZO!AM126</f>
        <v>0</v>
      </c>
      <c r="X126" s="18">
        <f t="shared" si="132"/>
        <v>740000000</v>
      </c>
      <c r="Y126" s="19">
        <f>FEBRERO!AA126</f>
        <v>162111790</v>
      </c>
      <c r="Z126" s="364">
        <v>49927901</v>
      </c>
      <c r="AA126" s="16">
        <f t="shared" si="133"/>
        <v>212039691</v>
      </c>
      <c r="AB126" s="19">
        <f>FEBRERO!AD126</f>
        <v>162111790</v>
      </c>
      <c r="AC126" s="364">
        <v>49927901</v>
      </c>
      <c r="AD126" s="16">
        <f t="shared" si="134"/>
        <v>212039691</v>
      </c>
      <c r="AE126" s="19">
        <f>FEBRERO!AG126</f>
        <v>105717145</v>
      </c>
      <c r="AF126" s="364">
        <v>57599779</v>
      </c>
      <c r="AG126" s="16">
        <f t="shared" si="135"/>
        <v>163316924</v>
      </c>
      <c r="AH126" s="19">
        <f t="shared" si="136"/>
        <v>527960309</v>
      </c>
      <c r="AI126" s="15">
        <f t="shared" si="137"/>
        <v>527960309</v>
      </c>
      <c r="AJ126" s="16">
        <f t="shared" si="138"/>
        <v>576683076</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+IF(FEBRERO!S127=0,"",FEBRERO!S127)</f>
        <v>2010200-4</v>
      </c>
      <c r="T127" s="704" t="str">
        <f>+IF(FEBRERO!T127=0,"",FEBRERO!T127)</f>
        <v>Comunicaciones y Transportes</v>
      </c>
      <c r="U127" s="29">
        <f>+ENERO!U127</f>
        <v>118000000</v>
      </c>
      <c r="V127" s="15">
        <f>FEBRERO!V127+MARZO!AL127</f>
        <v>0</v>
      </c>
      <c r="W127" s="15">
        <f>FEBRERO!W127+MARZO!AM127</f>
        <v>0</v>
      </c>
      <c r="X127" s="18">
        <f t="shared" si="132"/>
        <v>118000000</v>
      </c>
      <c r="Y127" s="19">
        <f>FEBRERO!AA127</f>
        <v>46452530</v>
      </c>
      <c r="Z127" s="364">
        <v>39676100</v>
      </c>
      <c r="AA127" s="16">
        <f t="shared" si="133"/>
        <v>86128630</v>
      </c>
      <c r="AB127" s="19">
        <f>FEBRERO!AD127</f>
        <v>10452530</v>
      </c>
      <c r="AC127" s="364">
        <v>7896100</v>
      </c>
      <c r="AD127" s="16">
        <f t="shared" si="134"/>
        <v>18348630</v>
      </c>
      <c r="AE127" s="19">
        <f>FEBRERO!AG127</f>
        <v>10452530</v>
      </c>
      <c r="AF127" s="364">
        <v>4522200</v>
      </c>
      <c r="AG127" s="16">
        <f t="shared" si="135"/>
        <v>14974730</v>
      </c>
      <c r="AH127" s="19">
        <f t="shared" si="136"/>
        <v>31871370</v>
      </c>
      <c r="AI127" s="15">
        <f t="shared" si="137"/>
        <v>99651370</v>
      </c>
      <c r="AJ127" s="16">
        <f t="shared" si="138"/>
        <v>103025270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10903031070</v>
      </c>
      <c r="F128" s="473">
        <f>SUMIF($B8:$B$122,$B$24,F8:F122)+F122</f>
        <v>10903031070</v>
      </c>
      <c r="G128" s="473">
        <f>SUMIF($B8:$B$122,$B$24,G8:G122)+G122</f>
        <v>7225900231</v>
      </c>
      <c r="H128" s="473">
        <f>SUMIF($B8:$B$122,$B$24,H8:H122)+H122</f>
        <v>4281615363</v>
      </c>
      <c r="I128" s="473">
        <f>SUMIF($B8:$B$122,$B$24,I8:I122)+I122</f>
        <v>11507515594</v>
      </c>
      <c r="J128" s="473">
        <f>SUMIF($B8:$B$122,$B$24,J8:J122)+J1212</f>
        <v>7225900231</v>
      </c>
      <c r="K128" s="473">
        <f>SUMIF($B8:$B$122,$B$24,K8:K122)+K122</f>
        <v>4281615363</v>
      </c>
      <c r="L128" s="473">
        <f>SUMIF($B8:$B$122,$B$24,L8:L122)+L122</f>
        <v>11507515594</v>
      </c>
      <c r="M128" s="473">
        <f>SUMIF($B8:$B$122,$B$24,M8:M122)+M12</f>
        <v>-604484524</v>
      </c>
      <c r="N128" s="597">
        <f>SUMIF($B8:$B$122,$B$24,N8:N122)+N122</f>
        <v>-604484524</v>
      </c>
      <c r="O128" s="451"/>
      <c r="P128" s="473">
        <f>SUMIF($B8:$B$122,$B$24,P8:P122)+P122</f>
        <v>0</v>
      </c>
      <c r="Q128" s="474">
        <f>SUMIF($B8:$B$122,$B$24,Q8:Q122)+Q122</f>
        <v>4210340276</v>
      </c>
      <c r="R128" s="9"/>
      <c r="S128" s="688" t="str">
        <f>+IF(FEBRERO!S128=0,"",FEBRERO!S128)</f>
        <v>2010200-5</v>
      </c>
      <c r="T128" s="704" t="str">
        <f>+IF(FEBRERO!T128=0,"",FEBRERO!T128)</f>
        <v>Viáticos y Gastos de Viaje</v>
      </c>
      <c r="U128" s="29">
        <f>+ENERO!U128</f>
        <v>22000000</v>
      </c>
      <c r="V128" s="15">
        <f>FEBRERO!V128+MARZO!AL128</f>
        <v>0</v>
      </c>
      <c r="W128" s="15">
        <f>FEBRERO!W128+MARZO!AM128</f>
        <v>0</v>
      </c>
      <c r="X128" s="18">
        <f t="shared" si="132"/>
        <v>22000000</v>
      </c>
      <c r="Y128" s="19">
        <f>FEBRERO!AA128</f>
        <v>1232500</v>
      </c>
      <c r="Z128" s="364">
        <v>1405500</v>
      </c>
      <c r="AA128" s="16">
        <f t="shared" si="133"/>
        <v>2638000</v>
      </c>
      <c r="AB128" s="19">
        <f>FEBRERO!AD128</f>
        <v>1232500</v>
      </c>
      <c r="AC128" s="364">
        <v>885000</v>
      </c>
      <c r="AD128" s="16">
        <f t="shared" si="134"/>
        <v>2117500</v>
      </c>
      <c r="AE128" s="19">
        <f>FEBRERO!AG128</f>
        <v>712500</v>
      </c>
      <c r="AF128" s="364">
        <v>1232500</v>
      </c>
      <c r="AG128" s="16">
        <f t="shared" si="135"/>
        <v>1945000</v>
      </c>
      <c r="AH128" s="19">
        <f t="shared" si="136"/>
        <v>19362000</v>
      </c>
      <c r="AI128" s="15">
        <f t="shared" si="137"/>
        <v>19882500</v>
      </c>
      <c r="AJ128" s="16">
        <f t="shared" si="138"/>
        <v>20055000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+IF(FEBRERO!S129=0,"",FEBRERO!S129)</f>
        <v>2010200-6</v>
      </c>
      <c r="T129" s="704" t="str">
        <f>+IF(FEBRERO!T129=0,"",FEBRERO!T129)</f>
        <v>Arrendamientos</v>
      </c>
      <c r="U129" s="29">
        <f>+ENERO!U129</f>
        <v>165000000</v>
      </c>
      <c r="V129" s="15">
        <f>FEBRERO!V129+MARZO!AL129</f>
        <v>0</v>
      </c>
      <c r="W129" s="15">
        <f>FEBRERO!W129+MARZO!AM129</f>
        <v>0</v>
      </c>
      <c r="X129" s="18">
        <f t="shared" si="132"/>
        <v>165000000</v>
      </c>
      <c r="Y129" s="19">
        <f>FEBRERO!AA129</f>
        <v>110000000</v>
      </c>
      <c r="Z129" s="364">
        <v>0</v>
      </c>
      <c r="AA129" s="16">
        <f t="shared" si="133"/>
        <v>110000000</v>
      </c>
      <c r="AB129" s="19">
        <f>FEBRERO!AD129</f>
        <v>21087024</v>
      </c>
      <c r="AC129" s="364">
        <v>-21087024</v>
      </c>
      <c r="AD129" s="16">
        <f t="shared" si="134"/>
        <v>0</v>
      </c>
      <c r="AE129" s="19">
        <f>FEBRERO!AG129</f>
        <v>0</v>
      </c>
      <c r="AF129" s="364">
        <v>0</v>
      </c>
      <c r="AG129" s="16">
        <f t="shared" si="135"/>
        <v>0</v>
      </c>
      <c r="AH129" s="19">
        <f t="shared" si="136"/>
        <v>55000000</v>
      </c>
      <c r="AI129" s="15">
        <f t="shared" si="137"/>
        <v>165000000</v>
      </c>
      <c r="AJ129" s="16">
        <f t="shared" si="138"/>
        <v>165000000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0">C128+C126</f>
        <v>66420360605</v>
      </c>
      <c r="D130" s="476">
        <f t="shared" si="140"/>
        <v>0</v>
      </c>
      <c r="E130" s="476">
        <f t="shared" si="140"/>
        <v>28438712545</v>
      </c>
      <c r="F130" s="477">
        <f t="shared" si="140"/>
        <v>94859073150</v>
      </c>
      <c r="G130" s="475">
        <f t="shared" si="140"/>
        <v>28266942126</v>
      </c>
      <c r="H130" s="476">
        <f t="shared" si="140"/>
        <v>11982707443</v>
      </c>
      <c r="I130" s="477">
        <f t="shared" si="140"/>
        <v>40249649569</v>
      </c>
      <c r="J130" s="475">
        <f t="shared" si="140"/>
        <v>18274231729</v>
      </c>
      <c r="K130" s="476">
        <f t="shared" si="140"/>
        <v>6600703877</v>
      </c>
      <c r="L130" s="477">
        <f t="shared" si="140"/>
        <v>24874935606</v>
      </c>
      <c r="M130" s="475">
        <f t="shared" si="140"/>
        <v>54609423581</v>
      </c>
      <c r="N130" s="477">
        <f t="shared" si="140"/>
        <v>69984137544</v>
      </c>
      <c r="P130" s="468">
        <f>P128+P126</f>
        <v>0</v>
      </c>
      <c r="Q130" s="469">
        <f>Q128+Q126</f>
        <v>13581722350</v>
      </c>
      <c r="R130" s="9"/>
      <c r="S130" s="688" t="str">
        <f>+IF(FEBRERO!S130=0,"",FEBRERO!S130)</f>
        <v>2010200-7</v>
      </c>
      <c r="T130" s="704" t="str">
        <f>+IF(FEBRERO!T130=0,"",FEBRERO!T130)</f>
        <v>Vigilancia y Aseo</v>
      </c>
      <c r="U130" s="29">
        <f>+ENERO!U130</f>
        <v>1086000000</v>
      </c>
      <c r="V130" s="15">
        <f>FEBRERO!V130+MARZO!AL130</f>
        <v>0</v>
      </c>
      <c r="W130" s="15">
        <f>FEBRERO!W130+MARZO!AM130</f>
        <v>0</v>
      </c>
      <c r="X130" s="18">
        <f t="shared" si="132"/>
        <v>1086000000</v>
      </c>
      <c r="Y130" s="19">
        <f>FEBRERO!AA130</f>
        <v>1027184608</v>
      </c>
      <c r="Z130" s="364">
        <v>0</v>
      </c>
      <c r="AA130" s="16">
        <f t="shared" si="133"/>
        <v>1027184608</v>
      </c>
      <c r="AB130" s="19">
        <f>FEBRERO!AD130</f>
        <v>137554804</v>
      </c>
      <c r="AC130" s="364">
        <v>117343137</v>
      </c>
      <c r="AD130" s="16">
        <f t="shared" si="134"/>
        <v>254897941</v>
      </c>
      <c r="AE130" s="19">
        <f>FEBRERO!AG130</f>
        <v>100000</v>
      </c>
      <c r="AF130" s="364">
        <v>81774384</v>
      </c>
      <c r="AG130" s="16">
        <f t="shared" si="135"/>
        <v>81874384</v>
      </c>
      <c r="AH130" s="19">
        <f t="shared" si="136"/>
        <v>58815392</v>
      </c>
      <c r="AI130" s="15">
        <f t="shared" si="137"/>
        <v>831102059</v>
      </c>
      <c r="AJ130" s="16">
        <f t="shared" si="138"/>
        <v>1004125616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+IF(FEBRERO!S131=0,"",FEBRERO!S131)</f>
        <v>2010200-8</v>
      </c>
      <c r="T131" s="704" t="str">
        <f>+IF(FEBRERO!T131=0,"",FEBRERO!T131)</f>
        <v>Bienestar Social</v>
      </c>
      <c r="U131" s="29">
        <f>+ENERO!U131</f>
        <v>100000000</v>
      </c>
      <c r="V131" s="15">
        <f>FEBRERO!V131+MARZO!AL131</f>
        <v>0</v>
      </c>
      <c r="W131" s="15">
        <f>FEBRERO!W131+MARZO!AM131</f>
        <v>0</v>
      </c>
      <c r="X131" s="18">
        <f t="shared" si="132"/>
        <v>100000000</v>
      </c>
      <c r="Y131" s="19">
        <f>FEBRERO!AA131</f>
        <v>0</v>
      </c>
      <c r="Z131" s="364">
        <v>0</v>
      </c>
      <c r="AA131" s="16">
        <f t="shared" si="133"/>
        <v>0</v>
      </c>
      <c r="AB131" s="19">
        <f>FEBRERO!AD131</f>
        <v>0</v>
      </c>
      <c r="AC131" s="364">
        <v>0</v>
      </c>
      <c r="AD131" s="16">
        <f t="shared" si="134"/>
        <v>0</v>
      </c>
      <c r="AE131" s="19">
        <f>FEBRERO!AG131</f>
        <v>0</v>
      </c>
      <c r="AF131" s="364">
        <v>0</v>
      </c>
      <c r="AG131" s="16">
        <f t="shared" si="135"/>
        <v>0</v>
      </c>
      <c r="AH131" s="19">
        <f t="shared" si="136"/>
        <v>100000000</v>
      </c>
      <c r="AI131" s="15">
        <f t="shared" si="137"/>
        <v>100000000</v>
      </c>
      <c r="AJ131" s="16">
        <f t="shared" si="138"/>
        <v>100000000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+IF(FEBRERO!S132=0,"",FEBRERO!S132)</f>
        <v>2010200-9</v>
      </c>
      <c r="T132" s="704" t="str">
        <f>+IF(FEBRERO!T132=0,"",FEBRERO!T132)</f>
        <v>Capacitación, estimulos, incentivos, programa de calidad</v>
      </c>
      <c r="U132" s="29">
        <f>+ENERO!U132</f>
        <v>50000000</v>
      </c>
      <c r="V132" s="15">
        <f>FEBRERO!V132+MARZO!AL132</f>
        <v>0</v>
      </c>
      <c r="W132" s="15">
        <f>FEBRERO!W132+MARZO!AM132</f>
        <v>0</v>
      </c>
      <c r="X132" s="18">
        <f t="shared" si="132"/>
        <v>50000000</v>
      </c>
      <c r="Y132" s="19">
        <f>FEBRERO!AA132</f>
        <v>0</v>
      </c>
      <c r="Z132" s="364">
        <v>0</v>
      </c>
      <c r="AA132" s="16">
        <f t="shared" si="133"/>
        <v>0</v>
      </c>
      <c r="AB132" s="19">
        <f>FEBRERO!AD132</f>
        <v>0</v>
      </c>
      <c r="AC132" s="364">
        <v>0</v>
      </c>
      <c r="AD132" s="16">
        <f t="shared" si="134"/>
        <v>0</v>
      </c>
      <c r="AE132" s="19">
        <f>FEBRERO!AG132</f>
        <v>0</v>
      </c>
      <c r="AF132" s="364">
        <v>0</v>
      </c>
      <c r="AG132" s="16">
        <f t="shared" si="135"/>
        <v>0</v>
      </c>
      <c r="AH132" s="19">
        <f t="shared" si="136"/>
        <v>50000000</v>
      </c>
      <c r="AI132" s="15">
        <f t="shared" si="137"/>
        <v>50000000</v>
      </c>
      <c r="AJ132" s="16">
        <f t="shared" si="138"/>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+IF(FEBRERO!S133=0,"",FEBRERO!S133)</f>
        <v>2010200-10</v>
      </c>
      <c r="T133" s="704" t="str">
        <f>+IF(FEBRERO!T133=0,"",FEBRERO!T133)</f>
        <v>Pagos otras IPS</v>
      </c>
      <c r="U133" s="29">
        <f>+ENERO!U133</f>
        <v>0</v>
      </c>
      <c r="V133" s="15">
        <f>FEBRERO!V133+MARZO!AL133</f>
        <v>0</v>
      </c>
      <c r="W133" s="15">
        <f>FEBRERO!W133+MARZO!AM133</f>
        <v>0</v>
      </c>
      <c r="X133" s="18">
        <f t="shared" si="132"/>
        <v>0</v>
      </c>
      <c r="Y133" s="19">
        <f>FEBRERO!AA133</f>
        <v>0</v>
      </c>
      <c r="Z133" s="364">
        <v>0</v>
      </c>
      <c r="AA133" s="16">
        <f t="shared" si="133"/>
        <v>0</v>
      </c>
      <c r="AB133" s="19">
        <f>FEBRERO!AD133</f>
        <v>0</v>
      </c>
      <c r="AC133" s="364">
        <v>0</v>
      </c>
      <c r="AD133" s="16">
        <f t="shared" si="134"/>
        <v>0</v>
      </c>
      <c r="AE133" s="19">
        <f>FEBRERO!AG133</f>
        <v>0</v>
      </c>
      <c r="AF133" s="364">
        <v>0</v>
      </c>
      <c r="AG133" s="16">
        <f t="shared" si="135"/>
        <v>0</v>
      </c>
      <c r="AH133" s="19">
        <f t="shared" si="136"/>
        <v>0</v>
      </c>
      <c r="AI133" s="15">
        <f t="shared" si="137"/>
        <v>0</v>
      </c>
      <c r="AJ133" s="16">
        <f t="shared" si="138"/>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+IF(FEBRERO!S134=0,"",FEBRERO!S134)</f>
        <v>2010200-11</v>
      </c>
      <c r="T134" s="704" t="str">
        <f>+IF(FEBRERO!T134=0,"",FEBRERO!T134)</f>
        <v>Gastos financieros</v>
      </c>
      <c r="U134" s="29">
        <f>+ENERO!U134</f>
        <v>16000000</v>
      </c>
      <c r="V134" s="15">
        <f>FEBRERO!V134+MARZO!AL134</f>
        <v>0</v>
      </c>
      <c r="W134" s="15">
        <f>FEBRERO!W134+MARZO!AM134</f>
        <v>0</v>
      </c>
      <c r="X134" s="18">
        <f t="shared" si="132"/>
        <v>16000000</v>
      </c>
      <c r="Y134" s="19">
        <f>FEBRERO!AA134</f>
        <v>3034147</v>
      </c>
      <c r="Z134" s="364">
        <v>2296310</v>
      </c>
      <c r="AA134" s="16">
        <f t="shared" si="133"/>
        <v>5330457</v>
      </c>
      <c r="AB134" s="19">
        <f>FEBRERO!AD134</f>
        <v>3034147</v>
      </c>
      <c r="AC134" s="364">
        <v>2296310</v>
      </c>
      <c r="AD134" s="16">
        <f t="shared" si="134"/>
        <v>5330457</v>
      </c>
      <c r="AE134" s="19">
        <f>FEBRERO!AG134</f>
        <v>3034147</v>
      </c>
      <c r="AF134" s="364">
        <v>2296310</v>
      </c>
      <c r="AG134" s="16">
        <f t="shared" si="135"/>
        <v>5330457</v>
      </c>
      <c r="AH134" s="19">
        <f t="shared" si="136"/>
        <v>10669543</v>
      </c>
      <c r="AI134" s="15">
        <f t="shared" si="137"/>
        <v>10669543</v>
      </c>
      <c r="AJ134" s="16">
        <f t="shared" si="138"/>
        <v>10669543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+IF(FEBRERO!S135=0,"",FEBRERO!S135)</f>
        <v>2010200-12</v>
      </c>
      <c r="T135" s="704" t="str">
        <f>+IF(FEBRERO!T135=0,"",FEBRERO!T135)</f>
        <v>Mantenimiento de software</v>
      </c>
      <c r="U135" s="29">
        <f>+ENERO!U135</f>
        <v>350000000</v>
      </c>
      <c r="V135" s="15">
        <f>FEBRERO!V135+MARZO!AL135</f>
        <v>0</v>
      </c>
      <c r="W135" s="15">
        <f>FEBRERO!W135+MARZO!AM135</f>
        <v>0</v>
      </c>
      <c r="X135" s="18">
        <f t="shared" si="132"/>
        <v>350000000</v>
      </c>
      <c r="Y135" s="19">
        <f>FEBRERO!AA135</f>
        <v>32073600</v>
      </c>
      <c r="Z135" s="364">
        <v>0</v>
      </c>
      <c r="AA135" s="16">
        <f t="shared" si="133"/>
        <v>32073600</v>
      </c>
      <c r="AB135" s="19">
        <f>FEBRERO!AD135</f>
        <v>32073600</v>
      </c>
      <c r="AC135" s="364">
        <v>0</v>
      </c>
      <c r="AD135" s="16">
        <f t="shared" si="134"/>
        <v>32073600</v>
      </c>
      <c r="AE135" s="19">
        <f>FEBRERO!AG135</f>
        <v>0</v>
      </c>
      <c r="AF135" s="364">
        <v>32073600</v>
      </c>
      <c r="AG135" s="16">
        <f t="shared" si="135"/>
        <v>32073600</v>
      </c>
      <c r="AH135" s="19">
        <f t="shared" si="136"/>
        <v>317926400</v>
      </c>
      <c r="AI135" s="15">
        <f t="shared" si="137"/>
        <v>317926400</v>
      </c>
      <c r="AJ135" s="16">
        <f t="shared" si="138"/>
        <v>317926400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+IF(FEBRERO!S136=0,"",FEBRERO!S136)</f>
        <v>2010200-13</v>
      </c>
      <c r="T136" s="704" t="str">
        <f>+IF(FEBRERO!T136=0,"",FEBRERO!T136)</f>
        <v/>
      </c>
      <c r="U136" s="29">
        <f>+ENERO!U136</f>
        <v>0</v>
      </c>
      <c r="V136" s="15">
        <f>FEBRERO!V136+MARZO!AL136</f>
        <v>0</v>
      </c>
      <c r="W136" s="15">
        <f>FEBRERO!W136+MARZO!AM136</f>
        <v>0</v>
      </c>
      <c r="X136" s="18">
        <f t="shared" si="132"/>
        <v>0</v>
      </c>
      <c r="Y136" s="19">
        <f>FEBRERO!AA136</f>
        <v>0</v>
      </c>
      <c r="Z136" s="364">
        <v>0</v>
      </c>
      <c r="AA136" s="16">
        <f t="shared" si="133"/>
        <v>0</v>
      </c>
      <c r="AB136" s="19">
        <f>FEBRERO!AD136</f>
        <v>0</v>
      </c>
      <c r="AC136" s="364">
        <v>0</v>
      </c>
      <c r="AD136" s="16">
        <f t="shared" si="134"/>
        <v>0</v>
      </c>
      <c r="AE136" s="19">
        <f>FEBRERO!AG136</f>
        <v>0</v>
      </c>
      <c r="AF136" s="364">
        <v>0</v>
      </c>
      <c r="AG136" s="16">
        <f t="shared" si="135"/>
        <v>0</v>
      </c>
      <c r="AH136" s="19">
        <f t="shared" si="136"/>
        <v>0</v>
      </c>
      <c r="AI136" s="15">
        <f t="shared" si="137"/>
        <v>0</v>
      </c>
      <c r="AJ136" s="16">
        <f t="shared" si="138"/>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+IF(FEBRERO!S137=0,"",FEBRERO!S137)</f>
        <v>2010020-14</v>
      </c>
      <c r="T137" s="704" t="str">
        <f>+IF(FEBRERO!T137=0,"",FEBRERO!T137)</f>
        <v/>
      </c>
      <c r="U137" s="29">
        <f>+ENERO!U137</f>
        <v>0</v>
      </c>
      <c r="V137" s="15">
        <f>FEBRERO!V137+MARZO!AL137</f>
        <v>0</v>
      </c>
      <c r="W137" s="15">
        <f>FEBRERO!W137+MARZO!AM137</f>
        <v>0</v>
      </c>
      <c r="X137" s="18">
        <f t="shared" si="132"/>
        <v>0</v>
      </c>
      <c r="Y137" s="19">
        <f>FEBRERO!AA137</f>
        <v>0</v>
      </c>
      <c r="Z137" s="364">
        <v>0</v>
      </c>
      <c r="AA137" s="16">
        <f t="shared" si="133"/>
        <v>0</v>
      </c>
      <c r="AB137" s="19">
        <f>FEBRERO!AD137</f>
        <v>0</v>
      </c>
      <c r="AC137" s="364">
        <v>0</v>
      </c>
      <c r="AD137" s="16">
        <f t="shared" si="134"/>
        <v>0</v>
      </c>
      <c r="AE137" s="19">
        <f>FEBRERO!AG137</f>
        <v>0</v>
      </c>
      <c r="AF137" s="364">
        <v>0</v>
      </c>
      <c r="AG137" s="16">
        <f t="shared" si="135"/>
        <v>0</v>
      </c>
      <c r="AH137" s="19">
        <f t="shared" si="136"/>
        <v>0</v>
      </c>
      <c r="AI137" s="15">
        <f t="shared" si="137"/>
        <v>0</v>
      </c>
      <c r="AJ137" s="16">
        <f t="shared" si="138"/>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+IF(FEBRERO!S138=0,"",FEBRERO!S138)</f>
        <v>2010200-15</v>
      </c>
      <c r="T138" s="704" t="str">
        <f>+IF(FEBRERO!T138=0,"",FEBRERO!T138)</f>
        <v/>
      </c>
      <c r="U138" s="29">
        <f>+ENERO!U138</f>
        <v>0</v>
      </c>
      <c r="V138" s="15">
        <f>FEBRERO!V138+MARZO!AL138</f>
        <v>0</v>
      </c>
      <c r="W138" s="15">
        <f>FEBRERO!W138+MARZO!AM138</f>
        <v>0</v>
      </c>
      <c r="X138" s="18">
        <f t="shared" si="132"/>
        <v>0</v>
      </c>
      <c r="Y138" s="19">
        <f>FEBRERO!AA138</f>
        <v>0</v>
      </c>
      <c r="Z138" s="364">
        <v>0</v>
      </c>
      <c r="AA138" s="16">
        <f t="shared" si="133"/>
        <v>0</v>
      </c>
      <c r="AB138" s="19">
        <f>FEBRERO!AD138</f>
        <v>0</v>
      </c>
      <c r="AC138" s="364">
        <v>0</v>
      </c>
      <c r="AD138" s="16">
        <f t="shared" si="134"/>
        <v>0</v>
      </c>
      <c r="AE138" s="19">
        <f>FEBRERO!AG138</f>
        <v>0</v>
      </c>
      <c r="AF138" s="364">
        <v>0</v>
      </c>
      <c r="AG138" s="16">
        <f t="shared" si="135"/>
        <v>0</v>
      </c>
      <c r="AH138" s="19">
        <f t="shared" si="136"/>
        <v>0</v>
      </c>
      <c r="AI138" s="15">
        <f t="shared" si="137"/>
        <v>0</v>
      </c>
      <c r="AJ138" s="16">
        <f t="shared" si="138"/>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+IF(FEBRERO!S139=0,"",FEBRERO!S139)</f>
        <v>2010299</v>
      </c>
      <c r="T139" s="704" t="str">
        <f>+IF(FEBRERO!T139=0,"",FEBRERO!T139)</f>
        <v>Vigencias Anteriores</v>
      </c>
      <c r="U139" s="29">
        <f>+ENERO!U139</f>
        <v>100000000</v>
      </c>
      <c r="V139" s="15">
        <f>FEBRERO!V139+MARZO!AL139</f>
        <v>0</v>
      </c>
      <c r="W139" s="15">
        <f>FEBRERO!W139+MARZO!AM139</f>
        <v>250000000</v>
      </c>
      <c r="X139" s="18">
        <f t="shared" si="132"/>
        <v>350000000</v>
      </c>
      <c r="Y139" s="19">
        <f>FEBRERO!AA139</f>
        <v>127471215</v>
      </c>
      <c r="Z139" s="364">
        <v>212246738</v>
      </c>
      <c r="AA139" s="16">
        <f t="shared" si="133"/>
        <v>339717953</v>
      </c>
      <c r="AB139" s="19">
        <f>FEBRERO!AD139</f>
        <v>127471215</v>
      </c>
      <c r="AC139" s="364">
        <v>212246738</v>
      </c>
      <c r="AD139" s="16">
        <f t="shared" si="134"/>
        <v>339717953</v>
      </c>
      <c r="AE139" s="19">
        <f>FEBRERO!AG139</f>
        <v>127471215</v>
      </c>
      <c r="AF139" s="364">
        <v>212246738</v>
      </c>
      <c r="AG139" s="16">
        <f t="shared" si="135"/>
        <v>339717953</v>
      </c>
      <c r="AH139" s="19">
        <f t="shared" si="136"/>
        <v>10282047</v>
      </c>
      <c r="AI139" s="15">
        <f t="shared" si="137"/>
        <v>10282047</v>
      </c>
      <c r="AJ139" s="16">
        <f t="shared" si="138"/>
        <v>10282047</v>
      </c>
      <c r="AK139" s="9"/>
      <c r="AL139" s="362">
        <v>0</v>
      </c>
      <c r="AM139" s="365">
        <v>0</v>
      </c>
      <c r="AN139" s="9"/>
      <c r="AO139" s="284"/>
      <c r="AP139" s="284"/>
      <c r="AQ139" s="284"/>
    </row>
    <row r="140" spans="1:52" s="372" customFormat="1" ht="24.95" customHeight="1">
      <c r="A140" s="734"/>
      <c r="B140" s="643"/>
      <c r="N140" s="9"/>
      <c r="R140" s="9"/>
      <c r="S140" s="356" t="str">
        <f>+IF(FEBRERO!S140=0,"",FEBRERO!S140)</f>
        <v/>
      </c>
      <c r="T140" s="678" t="str">
        <f>+IF(FEBRERO!T140=0,"",FEBRERO!T140)</f>
        <v/>
      </c>
      <c r="U140" s="357"/>
      <c r="V140" s="161"/>
      <c r="W140" s="161"/>
      <c r="X140" s="161"/>
      <c r="Y140" s="357"/>
      <c r="Z140" s="161"/>
      <c r="AA140" s="166"/>
      <c r="AB140" s="357"/>
      <c r="AC140" s="161"/>
      <c r="AD140" s="166"/>
      <c r="AE140" s="357"/>
      <c r="AF140" s="161"/>
      <c r="AG140" s="166"/>
      <c r="AH140" s="357"/>
      <c r="AI140" s="161"/>
      <c r="AJ140" s="166"/>
      <c r="AK140" s="10"/>
      <c r="AL140" s="172"/>
      <c r="AM140" s="173"/>
      <c r="AN140" s="9"/>
    </row>
    <row r="141" spans="1:52" s="372" customFormat="1" ht="24.95" customHeight="1">
      <c r="A141" s="734"/>
      <c r="B141" s="643"/>
      <c r="N141" s="9"/>
      <c r="R141" s="9"/>
      <c r="S141" s="687">
        <f>+IF(FEBRERO!S141=0,"",FEBRERO!S141)</f>
        <v>2010300</v>
      </c>
      <c r="T141" s="703" t="str">
        <f>+IF(FEBRERO!T141=0,"",FEBRERO!T141)</f>
        <v>Impuestos y Multas</v>
      </c>
      <c r="U141" s="128">
        <f t="shared" ref="U141:AJ141" si="141">U142+U143</f>
        <v>527082264</v>
      </c>
      <c r="V141" s="122">
        <f t="shared" si="141"/>
        <v>0</v>
      </c>
      <c r="W141" s="122">
        <f t="shared" si="141"/>
        <v>0</v>
      </c>
      <c r="X141" s="129">
        <f t="shared" si="141"/>
        <v>527082264</v>
      </c>
      <c r="Y141" s="128">
        <f t="shared" si="141"/>
        <v>93827545</v>
      </c>
      <c r="Z141" s="122">
        <f t="shared" si="141"/>
        <v>18001767</v>
      </c>
      <c r="AA141" s="130">
        <f t="shared" si="141"/>
        <v>111829312</v>
      </c>
      <c r="AB141" s="128">
        <f t="shared" si="141"/>
        <v>93827545</v>
      </c>
      <c r="AC141" s="122">
        <f t="shared" si="141"/>
        <v>18001767</v>
      </c>
      <c r="AD141" s="130">
        <f t="shared" si="141"/>
        <v>111829312</v>
      </c>
      <c r="AE141" s="128">
        <f t="shared" si="141"/>
        <v>70750003</v>
      </c>
      <c r="AF141" s="122">
        <f t="shared" si="141"/>
        <v>28608986</v>
      </c>
      <c r="AG141" s="130">
        <f t="shared" si="141"/>
        <v>99358989</v>
      </c>
      <c r="AH141" s="128">
        <f t="shared" si="141"/>
        <v>415252952</v>
      </c>
      <c r="AI141" s="122">
        <f t="shared" si="141"/>
        <v>415252952</v>
      </c>
      <c r="AJ141" s="130">
        <f t="shared" si="141"/>
        <v>427723275</v>
      </c>
      <c r="AK141" s="10"/>
      <c r="AL141" s="128">
        <f>AL142+AL143</f>
        <v>0</v>
      </c>
      <c r="AM141" s="130">
        <f>AM142+AM143</f>
        <v>0</v>
      </c>
      <c r="AN141" s="9"/>
    </row>
    <row r="142" spans="1:52" s="372" customFormat="1" ht="24.95" customHeight="1">
      <c r="A142" s="734"/>
      <c r="B142" s="643"/>
      <c r="N142" s="9"/>
      <c r="R142" s="9"/>
      <c r="S142" s="688" t="str">
        <f>+IF(FEBRERO!S142=0,"",FEBRERO!S142)</f>
        <v>2010300-1</v>
      </c>
      <c r="T142" s="704" t="str">
        <f>+IF(FEBRERO!T142=0,"",FEBRERO!T142)</f>
        <v>Impuestos (Predial, Vehiculos, Otros)</v>
      </c>
      <c r="U142" s="29">
        <f>+ENERO!U142</f>
        <v>527082264</v>
      </c>
      <c r="V142" s="15">
        <f>FEBRERO!V142+MARZO!AL142</f>
        <v>0</v>
      </c>
      <c r="W142" s="15">
        <f>FEBRERO!W142+MARZO!AM142</f>
        <v>0</v>
      </c>
      <c r="X142" s="18">
        <f>SUM(U142:W142)</f>
        <v>527082264</v>
      </c>
      <c r="Y142" s="19">
        <f>FEBRERO!AA142</f>
        <v>93827545</v>
      </c>
      <c r="Z142" s="364">
        <v>18001767</v>
      </c>
      <c r="AA142" s="16">
        <f>SUM(Y142:Z142)</f>
        <v>111829312</v>
      </c>
      <c r="AB142" s="19">
        <f>FEBRERO!AD142</f>
        <v>93827545</v>
      </c>
      <c r="AC142" s="364">
        <v>18001767</v>
      </c>
      <c r="AD142" s="16">
        <f>SUM(AB142:AC142)</f>
        <v>111829312</v>
      </c>
      <c r="AE142" s="19">
        <f>FEBRERO!AG142</f>
        <v>70750003</v>
      </c>
      <c r="AF142" s="364">
        <v>28608986</v>
      </c>
      <c r="AG142" s="16">
        <f>SUM(AE142:AF142)</f>
        <v>99358989</v>
      </c>
      <c r="AH142" s="19">
        <f>X142-AA142</f>
        <v>415252952</v>
      </c>
      <c r="AI142" s="15">
        <f>X142-AD142</f>
        <v>415252952</v>
      </c>
      <c r="AJ142" s="16">
        <f>X142-AG142</f>
        <v>427723275</v>
      </c>
      <c r="AK142" s="9"/>
      <c r="AL142" s="362">
        <v>0</v>
      </c>
      <c r="AM142" s="365">
        <v>0</v>
      </c>
      <c r="AN142" s="9"/>
    </row>
    <row r="143" spans="1:52" s="372" customFormat="1" ht="24.95" customHeight="1">
      <c r="A143" s="734"/>
      <c r="B143" s="643"/>
      <c r="N143" s="9"/>
      <c r="R143" s="9"/>
      <c r="S143" s="688">
        <f>+IF(FEBRERO!S143=0,"",FEBRERO!S143)</f>
        <v>2010399</v>
      </c>
      <c r="T143" s="704" t="str">
        <f>+IF(FEBRERO!T143=0,"",FEBRERO!T143)</f>
        <v>Vigencias Anteriores</v>
      </c>
      <c r="U143" s="29">
        <f>+ENERO!U143</f>
        <v>0</v>
      </c>
      <c r="V143" s="15">
        <f>FEBRERO!V143+MARZO!AL143</f>
        <v>0</v>
      </c>
      <c r="W143" s="15">
        <f>FEBRERO!W143+MARZO!AM143</f>
        <v>0</v>
      </c>
      <c r="X143" s="18">
        <f>SUM(U143:W143)</f>
        <v>0</v>
      </c>
      <c r="Y143" s="19">
        <f>FEBRERO!AA143</f>
        <v>0</v>
      </c>
      <c r="Z143" s="364">
        <v>0</v>
      </c>
      <c r="AA143" s="16">
        <f>SUM(Y143:Z143)</f>
        <v>0</v>
      </c>
      <c r="AB143" s="19">
        <f>FEBRERO!AD143</f>
        <v>0</v>
      </c>
      <c r="AC143" s="364">
        <v>0</v>
      </c>
      <c r="AD143" s="16">
        <f>SUM(AB143:AC143)</f>
        <v>0</v>
      </c>
      <c r="AE143" s="19">
        <f>FEBRERO!AG143</f>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+IF(FEBRERO!S144=0,"",FEBRERO!S144)</f>
        <v/>
      </c>
      <c r="T144" s="678" t="str">
        <f>+IF(FEBRERO!T144=0,"",FEBRERO!T144)</f>
        <v/>
      </c>
      <c r="U144" s="357"/>
      <c r="V144" s="161"/>
      <c r="W144" s="161"/>
      <c r="X144" s="161"/>
      <c r="Y144" s="357"/>
      <c r="Z144" s="161"/>
      <c r="AA144" s="166"/>
      <c r="AB144" s="357"/>
      <c r="AC144" s="161"/>
      <c r="AD144" s="166"/>
      <c r="AE144" s="357"/>
      <c r="AF144" s="161"/>
      <c r="AG144" s="166"/>
      <c r="AH144" s="357"/>
      <c r="AI144" s="161"/>
      <c r="AJ144" s="166"/>
      <c r="AK144" s="9"/>
      <c r="AL144" s="172"/>
      <c r="AM144" s="173"/>
      <c r="AN144" s="9"/>
    </row>
    <row r="145" spans="1:40" s="372" customFormat="1" ht="24.95" customHeight="1">
      <c r="A145" s="734"/>
      <c r="B145" s="643"/>
      <c r="N145" s="9"/>
      <c r="R145" s="9"/>
      <c r="S145" s="686">
        <f>+IF(FEBRERO!S145=0,"",FEBRERO!S145)</f>
        <v>2020010</v>
      </c>
      <c r="T145" s="702" t="str">
        <f>+IF(FEBRERO!T145=0,"",FEBRERO!T145)</f>
        <v>Gastos de Operación</v>
      </c>
      <c r="U145" s="128">
        <f t="shared" ref="U145:AJ145" si="142">U147+U155</f>
        <v>5923637263</v>
      </c>
      <c r="V145" s="122">
        <f t="shared" si="142"/>
        <v>300000000</v>
      </c>
      <c r="W145" s="122">
        <f t="shared" si="142"/>
        <v>1300000000</v>
      </c>
      <c r="X145" s="129">
        <f t="shared" si="142"/>
        <v>7523637263</v>
      </c>
      <c r="Y145" s="128">
        <f t="shared" si="142"/>
        <v>4146540157</v>
      </c>
      <c r="Z145" s="122">
        <f t="shared" si="142"/>
        <v>807753153</v>
      </c>
      <c r="AA145" s="130">
        <f t="shared" si="142"/>
        <v>4954293310</v>
      </c>
      <c r="AB145" s="128">
        <f t="shared" si="142"/>
        <v>1282956203</v>
      </c>
      <c r="AC145" s="122">
        <f t="shared" si="142"/>
        <v>721587993</v>
      </c>
      <c r="AD145" s="130">
        <f t="shared" si="142"/>
        <v>2004544196</v>
      </c>
      <c r="AE145" s="128">
        <f t="shared" si="142"/>
        <v>592514184</v>
      </c>
      <c r="AF145" s="122">
        <f t="shared" si="142"/>
        <v>401461138</v>
      </c>
      <c r="AG145" s="130">
        <f t="shared" si="142"/>
        <v>993975322</v>
      </c>
      <c r="AH145" s="128">
        <f t="shared" si="142"/>
        <v>2569343953</v>
      </c>
      <c r="AI145" s="122">
        <f t="shared" si="142"/>
        <v>5519093067</v>
      </c>
      <c r="AJ145" s="130">
        <f t="shared" si="142"/>
        <v>6529661941</v>
      </c>
      <c r="AK145" s="10"/>
      <c r="AL145" s="128">
        <f>AL147+AL155</f>
        <v>300000000</v>
      </c>
      <c r="AM145" s="130">
        <f>AM147+AM155</f>
        <v>1000000000</v>
      </c>
      <c r="AN145" s="9"/>
    </row>
    <row r="146" spans="1:40" s="372" customFormat="1" ht="24.95" customHeight="1">
      <c r="A146" s="734"/>
      <c r="B146" s="643"/>
      <c r="N146" s="9"/>
      <c r="R146" s="9"/>
      <c r="S146" s="689" t="str">
        <f>+IF(FEBRERO!S146=0,"",FEBRERO!S146)</f>
        <v/>
      </c>
      <c r="T146" s="705" t="str">
        <f>+IF(FEBRERO!T146=0,"",FEBRERO!T146)</f>
        <v/>
      </c>
      <c r="U146" s="19"/>
      <c r="V146" s="15"/>
      <c r="W146" s="15"/>
      <c r="X146" s="18"/>
      <c r="Y146" s="19"/>
      <c r="Z146" s="15"/>
      <c r="AA146" s="16"/>
      <c r="AB146" s="19"/>
      <c r="AC146" s="15"/>
      <c r="AD146" s="16"/>
      <c r="AE146" s="19"/>
      <c r="AF146" s="15"/>
      <c r="AG146" s="16"/>
      <c r="AH146" s="19"/>
      <c r="AI146" s="15"/>
      <c r="AJ146" s="16"/>
      <c r="AK146" s="9"/>
      <c r="AL146" s="172"/>
      <c r="AM146" s="173"/>
      <c r="AN146" s="9"/>
    </row>
    <row r="147" spans="1:40" s="372" customFormat="1" ht="24.95" customHeight="1">
      <c r="A147" s="734"/>
      <c r="B147" s="643"/>
      <c r="N147" s="9"/>
      <c r="R147" s="9"/>
      <c r="S147" s="687">
        <f>+IF(FEBRERO!S147=0,"",FEBRERO!S147)</f>
        <v>2020100</v>
      </c>
      <c r="T147" s="703" t="str">
        <f>+IF(FEBRERO!T147=0,"",FEBRERO!T147)</f>
        <v>Adquisición de bienes</v>
      </c>
      <c r="U147" s="128">
        <f t="shared" ref="U147:AJ147" si="143">SUM(U148:U149)+U153</f>
        <v>1211000000</v>
      </c>
      <c r="V147" s="122">
        <f t="shared" si="143"/>
        <v>0</v>
      </c>
      <c r="W147" s="122">
        <f t="shared" si="143"/>
        <v>100000000</v>
      </c>
      <c r="X147" s="129">
        <f t="shared" si="143"/>
        <v>1311000000</v>
      </c>
      <c r="Y147" s="128">
        <f t="shared" si="143"/>
        <v>192890760</v>
      </c>
      <c r="Z147" s="122">
        <f t="shared" si="143"/>
        <v>44598468</v>
      </c>
      <c r="AA147" s="130">
        <f t="shared" si="143"/>
        <v>237489228</v>
      </c>
      <c r="AB147" s="128">
        <f t="shared" si="143"/>
        <v>142490827</v>
      </c>
      <c r="AC147" s="122">
        <f t="shared" si="143"/>
        <v>77855160</v>
      </c>
      <c r="AD147" s="130">
        <f t="shared" si="143"/>
        <v>220345987</v>
      </c>
      <c r="AE147" s="128">
        <f t="shared" si="143"/>
        <v>124845977</v>
      </c>
      <c r="AF147" s="122">
        <f t="shared" si="143"/>
        <v>49061569</v>
      </c>
      <c r="AG147" s="130">
        <f t="shared" si="143"/>
        <v>173907546</v>
      </c>
      <c r="AH147" s="128">
        <f t="shared" si="143"/>
        <v>1073510772</v>
      </c>
      <c r="AI147" s="122">
        <f t="shared" si="143"/>
        <v>1090654013</v>
      </c>
      <c r="AJ147" s="130">
        <f t="shared" si="143"/>
        <v>1137092454</v>
      </c>
      <c r="AK147" s="9"/>
      <c r="AL147" s="128">
        <f>SUM(AL148:AL149)+AL153</f>
        <v>0</v>
      </c>
      <c r="AM147" s="130">
        <f>SUM(AM148:AM149)+AM153</f>
        <v>0</v>
      </c>
      <c r="AN147" s="9"/>
    </row>
    <row r="148" spans="1:40" s="372" customFormat="1" ht="24.95" customHeight="1">
      <c r="A148" s="734"/>
      <c r="B148" s="643"/>
      <c r="N148" s="9"/>
      <c r="R148" s="9"/>
      <c r="S148" s="688">
        <f>+IF(FEBRERO!S148=0,"",FEBRERO!S148)</f>
        <v>2020101</v>
      </c>
      <c r="T148" s="704" t="str">
        <f>+IF(FEBRERO!T148=0,"",FEBRERO!T148)</f>
        <v>Mantenimiento Hospitalario</v>
      </c>
      <c r="U148" s="29">
        <f>+ENERO!U148</f>
        <v>1000000000</v>
      </c>
      <c r="V148" s="15">
        <f>FEBRERO!V148+MARZO!AL148</f>
        <v>0</v>
      </c>
      <c r="W148" s="15">
        <f>FEBRERO!W148+MARZO!AM148</f>
        <v>0</v>
      </c>
      <c r="X148" s="18">
        <f>SUM(U148:W148)</f>
        <v>1000000000</v>
      </c>
      <c r="Y148" s="19">
        <f>FEBRERO!AA148</f>
        <v>43357342</v>
      </c>
      <c r="Z148" s="364">
        <v>13896468</v>
      </c>
      <c r="AA148" s="16">
        <f>SUM(Y148:Z148)</f>
        <v>57253810</v>
      </c>
      <c r="AB148" s="19">
        <f>FEBRERO!AD148</f>
        <v>22840451</v>
      </c>
      <c r="AC148" s="364">
        <v>17270118</v>
      </c>
      <c r="AD148" s="16">
        <f>SUM(AB148:AC148)</f>
        <v>40110569</v>
      </c>
      <c r="AE148" s="19">
        <f>FEBRERO!AG148</f>
        <v>16515000</v>
      </c>
      <c r="AF148" s="364">
        <v>18359569</v>
      </c>
      <c r="AG148" s="16">
        <f>SUM(AE148:AF148)</f>
        <v>34874569</v>
      </c>
      <c r="AH148" s="19">
        <f>X148-AA148</f>
        <v>942746190</v>
      </c>
      <c r="AI148" s="15">
        <f>X148-AD148</f>
        <v>959889431</v>
      </c>
      <c r="AJ148" s="16">
        <f>X148-AG148</f>
        <v>965125431</v>
      </c>
      <c r="AK148" s="9"/>
      <c r="AL148" s="362">
        <v>0</v>
      </c>
      <c r="AM148" s="365">
        <v>0</v>
      </c>
      <c r="AN148" s="9"/>
    </row>
    <row r="149" spans="1:40" s="372" customFormat="1" ht="24.95" customHeight="1">
      <c r="A149" s="734"/>
      <c r="B149" s="643"/>
      <c r="N149" s="9"/>
      <c r="R149" s="9"/>
      <c r="S149" s="688">
        <f>+IF(FEBRERO!S149=0,"",FEBRERO!S149)</f>
        <v>2020102</v>
      </c>
      <c r="T149" s="704" t="str">
        <f>+IF(FEBRERO!T149=0,"",FEBRERO!T149)</f>
        <v>Otros</v>
      </c>
      <c r="U149" s="29">
        <f t="shared" ref="U149:AJ149" si="144">SUM(U150:U152)</f>
        <v>150000000</v>
      </c>
      <c r="V149" s="15">
        <f t="shared" si="144"/>
        <v>0</v>
      </c>
      <c r="W149" s="15">
        <f t="shared" si="144"/>
        <v>0</v>
      </c>
      <c r="X149" s="18">
        <f t="shared" si="144"/>
        <v>150000000</v>
      </c>
      <c r="Y149" s="19">
        <f t="shared" si="144"/>
        <v>41202441</v>
      </c>
      <c r="Z149" s="142">
        <f t="shared" si="144"/>
        <v>0</v>
      </c>
      <c r="AA149" s="16">
        <f t="shared" si="144"/>
        <v>41202441</v>
      </c>
      <c r="AB149" s="19">
        <f t="shared" si="144"/>
        <v>11319399</v>
      </c>
      <c r="AC149" s="142">
        <f t="shared" si="144"/>
        <v>29883042</v>
      </c>
      <c r="AD149" s="16">
        <f t="shared" si="144"/>
        <v>41202441</v>
      </c>
      <c r="AE149" s="19">
        <f t="shared" si="144"/>
        <v>0</v>
      </c>
      <c r="AF149" s="142">
        <f t="shared" si="144"/>
        <v>0</v>
      </c>
      <c r="AG149" s="16">
        <f t="shared" si="144"/>
        <v>0</v>
      </c>
      <c r="AH149" s="19">
        <f t="shared" si="144"/>
        <v>108797559</v>
      </c>
      <c r="AI149" s="15">
        <f t="shared" si="144"/>
        <v>108797559</v>
      </c>
      <c r="AJ149" s="16">
        <f t="shared" si="144"/>
        <v>150000000</v>
      </c>
      <c r="AK149" s="9"/>
      <c r="AL149" s="29">
        <f>SUM(AL150:AL152)</f>
        <v>0</v>
      </c>
      <c r="AM149" s="26">
        <f>SUM(AM150:AM152)</f>
        <v>0</v>
      </c>
      <c r="AN149" s="9"/>
    </row>
    <row r="150" spans="1:40" s="372" customFormat="1" ht="24.95" customHeight="1">
      <c r="A150" s="734"/>
      <c r="B150" s="643"/>
      <c r="N150" s="9"/>
      <c r="R150" s="9"/>
      <c r="S150" s="689" t="str">
        <f>+IF(FEBRERO!S150=0,"",FEBRERO!S150)</f>
        <v>2020102-1</v>
      </c>
      <c r="T150" s="704" t="str">
        <f>+IF(FEBRERO!T150=0,"",FEBRERO!T150)</f>
        <v>Compra de Equipo e Instr. Mco. y Laborat.</v>
      </c>
      <c r="U150" s="29">
        <f>+ENERO!U150</f>
        <v>150000000</v>
      </c>
      <c r="V150" s="15">
        <f>FEBRERO!V150+MARZO!AL150</f>
        <v>0</v>
      </c>
      <c r="W150" s="15">
        <f>FEBRERO!W150+MARZO!AM150</f>
        <v>0</v>
      </c>
      <c r="X150" s="18">
        <f>SUM(U150:W150)</f>
        <v>150000000</v>
      </c>
      <c r="Y150" s="19">
        <f>FEBRERO!AA150</f>
        <v>41202441</v>
      </c>
      <c r="Z150" s="364">
        <v>0</v>
      </c>
      <c r="AA150" s="16">
        <f>SUM(Y150:Z150)</f>
        <v>41202441</v>
      </c>
      <c r="AB150" s="19">
        <f>FEBRERO!AD150</f>
        <v>11319399</v>
      </c>
      <c r="AC150" s="364">
        <v>29883042</v>
      </c>
      <c r="AD150" s="16">
        <f>SUM(AB150:AC150)</f>
        <v>41202441</v>
      </c>
      <c r="AE150" s="19">
        <f>FEBRERO!AG150</f>
        <v>0</v>
      </c>
      <c r="AF150" s="364">
        <v>0</v>
      </c>
      <c r="AG150" s="16">
        <f>SUM(AE150:AF150)</f>
        <v>0</v>
      </c>
      <c r="AH150" s="19">
        <f>X150-AA150</f>
        <v>108797559</v>
      </c>
      <c r="AI150" s="15">
        <f>X150-AD150</f>
        <v>108797559</v>
      </c>
      <c r="AJ150" s="16">
        <f>X150-AG150</f>
        <v>150000000</v>
      </c>
      <c r="AK150" s="9"/>
      <c r="AL150" s="362">
        <v>0</v>
      </c>
      <c r="AM150" s="365">
        <v>0</v>
      </c>
      <c r="AN150" s="9"/>
    </row>
    <row r="151" spans="1:40" s="372" customFormat="1" ht="24.95" customHeight="1">
      <c r="A151" s="734"/>
      <c r="B151" s="643"/>
      <c r="N151" s="9"/>
      <c r="R151" s="9"/>
      <c r="S151" s="689" t="str">
        <f>+IF(FEBRERO!S151=0,"",FEBRERO!S151)</f>
        <v>2020102-2</v>
      </c>
      <c r="T151" s="704" t="str">
        <f>+IF(FEBRERO!T151=0,"",FEBRERO!T151)</f>
        <v>Materiales</v>
      </c>
      <c r="U151" s="29">
        <f>+ENERO!U151</f>
        <v>0</v>
      </c>
      <c r="V151" s="15">
        <f>FEBRERO!V151+MARZO!AL151</f>
        <v>0</v>
      </c>
      <c r="W151" s="15">
        <f>FEBRERO!W151+MARZO!AM151</f>
        <v>0</v>
      </c>
      <c r="X151" s="18">
        <f>SUM(U151:W151)</f>
        <v>0</v>
      </c>
      <c r="Y151" s="19">
        <f>FEBRERO!AA151</f>
        <v>0</v>
      </c>
      <c r="Z151" s="364">
        <v>0</v>
      </c>
      <c r="AA151" s="16">
        <f>SUM(Y151:Z151)</f>
        <v>0</v>
      </c>
      <c r="AB151" s="19">
        <f>FEBRERO!AD151</f>
        <v>0</v>
      </c>
      <c r="AC151" s="364">
        <v>0</v>
      </c>
      <c r="AD151" s="771">
        <f>SUM(AB151:AC151)</f>
        <v>0</v>
      </c>
      <c r="AE151" s="19">
        <f>FEBRERO!AG151</f>
        <v>0</v>
      </c>
      <c r="AF151" s="364">
        <v>0</v>
      </c>
      <c r="AG151" s="16">
        <f>SUM(AE151:AF151)</f>
        <v>0</v>
      </c>
      <c r="AH151" s="19">
        <f>X151-AA151</f>
        <v>0</v>
      </c>
      <c r="AI151" s="822">
        <f>X151-AD151</f>
        <v>0</v>
      </c>
      <c r="AJ151" s="16">
        <f>X151-AG151</f>
        <v>0</v>
      </c>
      <c r="AK151" s="9"/>
      <c r="AL151" s="362">
        <v>0</v>
      </c>
      <c r="AM151" s="365">
        <v>0</v>
      </c>
      <c r="AN151" s="9"/>
    </row>
    <row r="152" spans="1:40" s="372" customFormat="1" ht="24.95" customHeight="1">
      <c r="A152" s="734"/>
      <c r="B152" s="643"/>
      <c r="N152" s="9"/>
      <c r="R152" s="9"/>
      <c r="S152" s="689" t="str">
        <f>+IF(FEBRERO!S152=0,"",FEBRERO!S152)</f>
        <v>2020102-3</v>
      </c>
      <c r="T152" s="704" t="str">
        <f>+IF(FEBRERO!T152=0,"",FEBRERO!T152)</f>
        <v/>
      </c>
      <c r="U152" s="29">
        <f>+ENERO!U152</f>
        <v>0</v>
      </c>
      <c r="V152" s="15">
        <f>FEBRERO!V152+MARZO!AL152</f>
        <v>0</v>
      </c>
      <c r="W152" s="15">
        <f>FEBRERO!W152+MARZO!AM152</f>
        <v>0</v>
      </c>
      <c r="X152" s="18">
        <f>SUM(U152:W152)</f>
        <v>0</v>
      </c>
      <c r="Y152" s="19">
        <f>FEBRERO!AA152</f>
        <v>0</v>
      </c>
      <c r="Z152" s="364">
        <v>0</v>
      </c>
      <c r="AA152" s="16">
        <f>SUM(Y152:Z152)</f>
        <v>0</v>
      </c>
      <c r="AB152" s="19">
        <f>FEBRERO!AD152</f>
        <v>0</v>
      </c>
      <c r="AC152" s="364">
        <v>0</v>
      </c>
      <c r="AD152" s="16">
        <f>SUM(AB152:AC152)</f>
        <v>0</v>
      </c>
      <c r="AE152" s="19">
        <f>FEBRERO!AG152</f>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+IF(FEBRERO!S153=0,"",FEBRERO!S153)</f>
        <v>2020199</v>
      </c>
      <c r="T153" s="704" t="str">
        <f>+IF(FEBRERO!T153=0,"",FEBRERO!T153)</f>
        <v>Vigencias Anteriores</v>
      </c>
      <c r="U153" s="29">
        <f>+ENERO!U153</f>
        <v>61000000</v>
      </c>
      <c r="V153" s="15">
        <f>FEBRERO!V153+MARZO!AL153</f>
        <v>0</v>
      </c>
      <c r="W153" s="15">
        <f>FEBRERO!W153+MARZO!AM153</f>
        <v>100000000</v>
      </c>
      <c r="X153" s="18">
        <f>SUM(U153:W153)</f>
        <v>161000000</v>
      </c>
      <c r="Y153" s="19">
        <f>FEBRERO!AA153</f>
        <v>108330977</v>
      </c>
      <c r="Z153" s="364">
        <v>30702000</v>
      </c>
      <c r="AA153" s="16">
        <f>SUM(Y153:Z153)</f>
        <v>139032977</v>
      </c>
      <c r="AB153" s="19">
        <f>FEBRERO!AD153</f>
        <v>108330977</v>
      </c>
      <c r="AC153" s="364">
        <v>30702000</v>
      </c>
      <c r="AD153" s="16">
        <f>SUM(AB153:AC153)</f>
        <v>139032977</v>
      </c>
      <c r="AE153" s="19">
        <f>FEBRERO!AG153</f>
        <v>108330977</v>
      </c>
      <c r="AF153" s="364">
        <v>30702000</v>
      </c>
      <c r="AG153" s="16">
        <f>SUM(AE153:AF153)</f>
        <v>139032977</v>
      </c>
      <c r="AH153" s="19">
        <f>X153-AA153</f>
        <v>21967023</v>
      </c>
      <c r="AI153" s="15">
        <f>X153-AD153</f>
        <v>21967023</v>
      </c>
      <c r="AJ153" s="16">
        <f>X153-AG153</f>
        <v>21967023</v>
      </c>
      <c r="AK153" s="9"/>
      <c r="AL153" s="362">
        <v>0</v>
      </c>
      <c r="AM153" s="365">
        <v>0</v>
      </c>
      <c r="AN153" s="9"/>
    </row>
    <row r="154" spans="1:40" s="372" customFormat="1" ht="24.95" customHeight="1">
      <c r="A154" s="734"/>
      <c r="B154" s="643"/>
      <c r="N154" s="9"/>
      <c r="R154" s="9"/>
      <c r="S154" s="356" t="str">
        <f>+IF(FEBRERO!S154=0,"",FEBRERO!S154)</f>
        <v/>
      </c>
      <c r="T154" s="678" t="str">
        <f>+IF(FEBRERO!T154=0,"",FEBRERO!T154)</f>
        <v/>
      </c>
      <c r="U154" s="357"/>
      <c r="V154" s="161"/>
      <c r="W154" s="161"/>
      <c r="X154" s="161"/>
      <c r="Y154" s="357"/>
      <c r="Z154" s="161"/>
      <c r="AA154" s="166"/>
      <c r="AB154" s="357"/>
      <c r="AC154" s="161"/>
      <c r="AD154" s="166"/>
      <c r="AE154" s="357"/>
      <c r="AF154" s="161"/>
      <c r="AG154" s="166"/>
      <c r="AH154" s="357"/>
      <c r="AI154" s="161"/>
      <c r="AJ154" s="166"/>
      <c r="AK154" s="9"/>
      <c r="AL154" s="172"/>
      <c r="AM154" s="173"/>
      <c r="AN154" s="9"/>
    </row>
    <row r="155" spans="1:40" s="372" customFormat="1" ht="24.95" customHeight="1">
      <c r="A155" s="734"/>
      <c r="B155" s="643"/>
      <c r="N155" s="9"/>
      <c r="R155" s="9"/>
      <c r="S155" s="687">
        <f>+IF(FEBRERO!S155=0,"",FEBRERO!S155)</f>
        <v>2020200</v>
      </c>
      <c r="T155" s="703" t="str">
        <f>+IF(FEBRERO!T155=0,"",FEBRERO!T155)</f>
        <v>Adquisición de Servicios</v>
      </c>
      <c r="U155" s="128">
        <f t="shared" ref="U155:AJ155" si="145">SUM(U156:U157)+U168</f>
        <v>4712637263</v>
      </c>
      <c r="V155" s="122">
        <f t="shared" si="145"/>
        <v>300000000</v>
      </c>
      <c r="W155" s="122">
        <f t="shared" si="145"/>
        <v>1200000000</v>
      </c>
      <c r="X155" s="129">
        <f t="shared" si="145"/>
        <v>6212637263</v>
      </c>
      <c r="Y155" s="128">
        <f t="shared" si="145"/>
        <v>3953649397</v>
      </c>
      <c r="Z155" s="122">
        <f t="shared" si="145"/>
        <v>763154685</v>
      </c>
      <c r="AA155" s="130">
        <f t="shared" si="145"/>
        <v>4716804082</v>
      </c>
      <c r="AB155" s="128">
        <f t="shared" si="145"/>
        <v>1140465376</v>
      </c>
      <c r="AC155" s="122">
        <f t="shared" si="145"/>
        <v>643732833</v>
      </c>
      <c r="AD155" s="130">
        <f t="shared" si="145"/>
        <v>1784198209</v>
      </c>
      <c r="AE155" s="128">
        <f t="shared" si="145"/>
        <v>467668207</v>
      </c>
      <c r="AF155" s="122">
        <f t="shared" si="145"/>
        <v>352399569</v>
      </c>
      <c r="AG155" s="130">
        <f t="shared" si="145"/>
        <v>820067776</v>
      </c>
      <c r="AH155" s="128">
        <f t="shared" si="145"/>
        <v>1495833181</v>
      </c>
      <c r="AI155" s="122">
        <f t="shared" si="145"/>
        <v>4428439054</v>
      </c>
      <c r="AJ155" s="130">
        <f t="shared" si="145"/>
        <v>5392569487</v>
      </c>
      <c r="AK155" s="9"/>
      <c r="AL155" s="128">
        <f>SUM(AL156:AL157)+AL168</f>
        <v>300000000</v>
      </c>
      <c r="AM155" s="130">
        <f>SUM(AM156:AM157)+AM168</f>
        <v>1000000000</v>
      </c>
      <c r="AN155" s="9"/>
    </row>
    <row r="156" spans="1:40" s="372" customFormat="1" ht="24.95" customHeight="1">
      <c r="A156" s="734"/>
      <c r="B156" s="643"/>
      <c r="N156" s="9"/>
      <c r="P156" s="9"/>
      <c r="Q156" s="9"/>
      <c r="R156" s="9"/>
      <c r="S156" s="688">
        <f>+IF(FEBRERO!S156=0,"",FEBRERO!S156)</f>
        <v>2020201</v>
      </c>
      <c r="T156" s="704" t="str">
        <f>+IF(FEBRERO!T156=0,"",FEBRERO!T156)</f>
        <v>Mantenimiento Hospitalario</v>
      </c>
      <c r="U156" s="29">
        <f>+ENERO!U156</f>
        <v>2002025000</v>
      </c>
      <c r="V156" s="15">
        <f>FEBRERO!V156+MARZO!AL156</f>
        <v>200000000</v>
      </c>
      <c r="W156" s="15">
        <f>FEBRERO!W156+MARZO!AM156</f>
        <v>0</v>
      </c>
      <c r="X156" s="18">
        <f>SUM(U156:W156)</f>
        <v>2202025000</v>
      </c>
      <c r="Y156" s="19">
        <f>FEBRERO!AA156</f>
        <v>1839603447</v>
      </c>
      <c r="Z156" s="364">
        <v>100100470</v>
      </c>
      <c r="AA156" s="16">
        <f>SUM(Y156:Z156)</f>
        <v>1939703917</v>
      </c>
      <c r="AB156" s="19">
        <f>FEBRERO!AD156</f>
        <v>321513720</v>
      </c>
      <c r="AC156" s="364">
        <v>275735884</v>
      </c>
      <c r="AD156" s="16">
        <f>SUM(AB156:AC156)</f>
        <v>597249604</v>
      </c>
      <c r="AE156" s="19">
        <f>FEBRERO!AG156</f>
        <v>115002650</v>
      </c>
      <c r="AF156" s="364">
        <v>170344158</v>
      </c>
      <c r="AG156" s="16">
        <f>SUM(AE156:AF156)</f>
        <v>285346808</v>
      </c>
      <c r="AH156" s="19">
        <f>X156-AA156</f>
        <v>262321083</v>
      </c>
      <c r="AI156" s="15">
        <f>X156-AD156</f>
        <v>1604775396</v>
      </c>
      <c r="AJ156" s="16">
        <f>X156-AG156</f>
        <v>1916678192</v>
      </c>
      <c r="AK156" s="9"/>
      <c r="AL156" s="362">
        <v>200000000</v>
      </c>
      <c r="AM156" s="365">
        <v>0</v>
      </c>
      <c r="AN156" s="9"/>
    </row>
    <row r="157" spans="1:40" s="372" customFormat="1" ht="24.95" customHeight="1">
      <c r="A157" s="734"/>
      <c r="B157" s="643"/>
      <c r="N157" s="9"/>
      <c r="P157" s="9"/>
      <c r="Q157" s="9"/>
      <c r="R157" s="9"/>
      <c r="S157" s="688">
        <f>+IF(FEBRERO!S157=0,"",FEBRERO!S157)</f>
        <v>2020202</v>
      </c>
      <c r="T157" s="704" t="str">
        <f>+IF(FEBRERO!T157=0,"",FEBRERO!T157)</f>
        <v>Otros</v>
      </c>
      <c r="U157" s="29">
        <f t="shared" ref="U157:AJ157" si="146">SUM(U158:U167)</f>
        <v>2609712263</v>
      </c>
      <c r="V157" s="27">
        <f t="shared" si="146"/>
        <v>0</v>
      </c>
      <c r="W157" s="27">
        <f t="shared" si="146"/>
        <v>500000000</v>
      </c>
      <c r="X157" s="188">
        <f t="shared" si="146"/>
        <v>3109712263</v>
      </c>
      <c r="Y157" s="29">
        <f t="shared" si="146"/>
        <v>1824534689</v>
      </c>
      <c r="Z157" s="27">
        <f t="shared" si="146"/>
        <v>571419360</v>
      </c>
      <c r="AA157" s="171">
        <f t="shared" si="146"/>
        <v>2395954049</v>
      </c>
      <c r="AB157" s="29">
        <f t="shared" si="146"/>
        <v>529440395</v>
      </c>
      <c r="AC157" s="27">
        <f t="shared" si="146"/>
        <v>276362094</v>
      </c>
      <c r="AD157" s="171">
        <f t="shared" si="146"/>
        <v>805802489</v>
      </c>
      <c r="AE157" s="29">
        <f t="shared" si="146"/>
        <v>63154296</v>
      </c>
      <c r="AF157" s="27">
        <f t="shared" si="146"/>
        <v>90420556</v>
      </c>
      <c r="AG157" s="171">
        <f t="shared" si="146"/>
        <v>153574852</v>
      </c>
      <c r="AH157" s="29">
        <f t="shared" si="146"/>
        <v>713758214</v>
      </c>
      <c r="AI157" s="27">
        <f t="shared" si="146"/>
        <v>2303909774</v>
      </c>
      <c r="AJ157" s="171">
        <f t="shared" si="146"/>
        <v>2956137411</v>
      </c>
      <c r="AK157" s="10"/>
      <c r="AL157" s="29">
        <f>SUM(AL158:AL167)</f>
        <v>0</v>
      </c>
      <c r="AM157" s="26">
        <f>SUM(AM158:AM167)</f>
        <v>500000000</v>
      </c>
      <c r="AN157" s="9"/>
    </row>
    <row r="158" spans="1:40" s="372" customFormat="1" ht="24.95" customHeight="1">
      <c r="A158" s="734"/>
      <c r="B158" s="643"/>
      <c r="N158" s="9"/>
      <c r="P158" s="9"/>
      <c r="Q158" s="9"/>
      <c r="R158" s="9"/>
      <c r="S158" s="689" t="str">
        <f>+IF(FEBRERO!S158=0,"",FEBRERO!S158)</f>
        <v>2020202-1</v>
      </c>
      <c r="T158" s="705" t="str">
        <f>+IF(FEBRERO!T158=0,"",FEBRERO!T158)</f>
        <v>Seguros</v>
      </c>
      <c r="U158" s="29">
        <f>+ENERO!U158</f>
        <v>200000000</v>
      </c>
      <c r="V158" s="15">
        <f>FEBRERO!V158+MARZO!AL158</f>
        <v>0</v>
      </c>
      <c r="W158" s="15">
        <f>FEBRERO!W158+MARZO!AM158</f>
        <v>0</v>
      </c>
      <c r="X158" s="18">
        <f t="shared" ref="X158:X168" si="147">SUM(U158:W158)</f>
        <v>200000000</v>
      </c>
      <c r="Y158" s="19">
        <f>FEBRERO!AA158</f>
        <v>21558821</v>
      </c>
      <c r="Z158" s="364">
        <v>0</v>
      </c>
      <c r="AA158" s="16">
        <f t="shared" ref="AA158:AA168" si="148">SUM(Y158:Z158)</f>
        <v>21558821</v>
      </c>
      <c r="AB158" s="19">
        <f>FEBRERO!AD158</f>
        <v>21558821</v>
      </c>
      <c r="AC158" s="364">
        <v>0</v>
      </c>
      <c r="AD158" s="16">
        <f t="shared" ref="AD158:AD168" si="149">SUM(AB158:AC158)</f>
        <v>21558821</v>
      </c>
      <c r="AE158" s="19">
        <f>FEBRERO!AG158</f>
        <v>21558821</v>
      </c>
      <c r="AF158" s="364">
        <v>0</v>
      </c>
      <c r="AG158" s="16">
        <f t="shared" ref="AG158:AG168" si="150">SUM(AE158:AF158)</f>
        <v>21558821</v>
      </c>
      <c r="AH158" s="19">
        <f t="shared" ref="AH158:AH168" si="151">X158-AA158</f>
        <v>178441179</v>
      </c>
      <c r="AI158" s="15">
        <f t="shared" ref="AI158:AI168" si="152">X158-AD158</f>
        <v>178441179</v>
      </c>
      <c r="AJ158" s="16">
        <f t="shared" ref="AJ158:AJ168" si="153">X158-AG158</f>
        <v>178441179</v>
      </c>
      <c r="AK158" s="9"/>
      <c r="AL158" s="362">
        <v>0</v>
      </c>
      <c r="AM158" s="365">
        <v>0</v>
      </c>
      <c r="AN158" s="9"/>
    </row>
    <row r="159" spans="1:40" s="372" customFormat="1" ht="24.95" customHeight="1">
      <c r="A159" s="734"/>
      <c r="B159" s="643"/>
      <c r="N159" s="9"/>
      <c r="P159" s="9"/>
      <c r="Q159" s="9"/>
      <c r="R159" s="9"/>
      <c r="S159" s="689" t="str">
        <f>+IF(FEBRERO!S159=0,"",FEBRERO!S159)</f>
        <v>2020202-2</v>
      </c>
      <c r="T159" s="705" t="str">
        <f>+IF(FEBRERO!T159=0,"",FEBRERO!T159)</f>
        <v>Impresos y Publicaciones</v>
      </c>
      <c r="U159" s="29">
        <f>+ENERO!U159</f>
        <v>40000000</v>
      </c>
      <c r="V159" s="15">
        <f>FEBRERO!V159+MARZO!AL159</f>
        <v>0</v>
      </c>
      <c r="W159" s="15">
        <f>FEBRERO!W159+MARZO!AM159</f>
        <v>0</v>
      </c>
      <c r="X159" s="18">
        <f t="shared" si="147"/>
        <v>40000000</v>
      </c>
      <c r="Y159" s="19">
        <f>FEBRERO!AA159</f>
        <v>5926048</v>
      </c>
      <c r="Z159" s="364">
        <v>669970</v>
      </c>
      <c r="AA159" s="16">
        <f t="shared" si="148"/>
        <v>6596018</v>
      </c>
      <c r="AB159" s="19">
        <f>FEBRERO!AD159</f>
        <v>5926048</v>
      </c>
      <c r="AC159" s="364">
        <v>669970</v>
      </c>
      <c r="AD159" s="16">
        <f t="shared" si="149"/>
        <v>6596018</v>
      </c>
      <c r="AE159" s="19">
        <f>FEBRERO!AG159</f>
        <v>0</v>
      </c>
      <c r="AF159" s="364">
        <v>5659488</v>
      </c>
      <c r="AG159" s="16">
        <f t="shared" si="150"/>
        <v>5659488</v>
      </c>
      <c r="AH159" s="19">
        <f t="shared" si="151"/>
        <v>33403982</v>
      </c>
      <c r="AI159" s="15">
        <f t="shared" si="152"/>
        <v>33403982</v>
      </c>
      <c r="AJ159" s="16">
        <f t="shared" si="153"/>
        <v>34340512</v>
      </c>
      <c r="AK159" s="9"/>
      <c r="AL159" s="362">
        <v>0</v>
      </c>
      <c r="AM159" s="365">
        <v>0</v>
      </c>
      <c r="AN159" s="9"/>
    </row>
    <row r="160" spans="1:40" s="372" customFormat="1" ht="24.95" customHeight="1">
      <c r="A160" s="734"/>
      <c r="B160" s="643"/>
      <c r="N160" s="9"/>
      <c r="P160" s="9"/>
      <c r="Q160" s="9"/>
      <c r="R160" s="9"/>
      <c r="S160" s="689" t="str">
        <f>+IF(FEBRERO!S160=0,"",FEBRERO!S160)</f>
        <v>2020202-3</v>
      </c>
      <c r="T160" s="705" t="str">
        <f>+IF(FEBRERO!T160=0,"",FEBRERO!T160)</f>
        <v>Pago a otras IPS</v>
      </c>
      <c r="U160" s="29">
        <f>+ENERO!U160</f>
        <v>0</v>
      </c>
      <c r="V160" s="15">
        <f>FEBRERO!V160+MARZO!AL160</f>
        <v>0</v>
      </c>
      <c r="W160" s="15">
        <f>FEBRERO!W160+MARZO!AM160</f>
        <v>0</v>
      </c>
      <c r="X160" s="18">
        <f t="shared" si="147"/>
        <v>0</v>
      </c>
      <c r="Y160" s="19">
        <f>FEBRERO!AA160</f>
        <v>0</v>
      </c>
      <c r="Z160" s="364">
        <v>0</v>
      </c>
      <c r="AA160" s="16">
        <f t="shared" si="148"/>
        <v>0</v>
      </c>
      <c r="AB160" s="19">
        <f>FEBRERO!AD160</f>
        <v>0</v>
      </c>
      <c r="AC160" s="364">
        <v>0</v>
      </c>
      <c r="AD160" s="16">
        <f t="shared" si="149"/>
        <v>0</v>
      </c>
      <c r="AE160" s="19">
        <f>FEBRERO!AG160</f>
        <v>0</v>
      </c>
      <c r="AF160" s="364">
        <v>0</v>
      </c>
      <c r="AG160" s="16">
        <f t="shared" si="150"/>
        <v>0</v>
      </c>
      <c r="AH160" s="19">
        <f t="shared" si="151"/>
        <v>0</v>
      </c>
      <c r="AI160" s="15">
        <f t="shared" si="152"/>
        <v>0</v>
      </c>
      <c r="AJ160" s="16">
        <f t="shared" si="153"/>
        <v>0</v>
      </c>
      <c r="AK160" s="9"/>
      <c r="AL160" s="362">
        <v>0</v>
      </c>
      <c r="AM160" s="365">
        <v>0</v>
      </c>
      <c r="AN160" s="9"/>
    </row>
    <row r="161" spans="1:40" s="372" customFormat="1" ht="24.95" customHeight="1">
      <c r="A161" s="734"/>
      <c r="B161" s="643"/>
      <c r="N161" s="9"/>
      <c r="P161" s="9"/>
      <c r="Q161" s="9"/>
      <c r="R161" s="9"/>
      <c r="S161" s="689" t="str">
        <f>+IF(FEBRERO!S161=0,"",FEBRERO!S161)</f>
        <v>2020202-4</v>
      </c>
      <c r="T161" s="705" t="str">
        <f>+IF(FEBRERO!T161=0,"",FEBRERO!T161)</f>
        <v>Comunicaciones y Transportes</v>
      </c>
      <c r="U161" s="29">
        <f>+ENERO!U161</f>
        <v>5000000</v>
      </c>
      <c r="V161" s="15">
        <f>FEBRERO!V161+MARZO!AL161</f>
        <v>0</v>
      </c>
      <c r="W161" s="15">
        <f>FEBRERO!W161+MARZO!AM161</f>
        <v>0</v>
      </c>
      <c r="X161" s="18">
        <f t="shared" si="147"/>
        <v>5000000</v>
      </c>
      <c r="Y161" s="19">
        <f>FEBRERO!AA161</f>
        <v>0</v>
      </c>
      <c r="Z161" s="364">
        <v>0</v>
      </c>
      <c r="AA161" s="16">
        <f t="shared" si="148"/>
        <v>0</v>
      </c>
      <c r="AB161" s="19">
        <f>FEBRERO!AD161</f>
        <v>0</v>
      </c>
      <c r="AC161" s="364">
        <v>0</v>
      </c>
      <c r="AD161" s="16">
        <f t="shared" si="149"/>
        <v>0</v>
      </c>
      <c r="AE161" s="19">
        <f>FEBRERO!AG161</f>
        <v>0</v>
      </c>
      <c r="AF161" s="364">
        <v>0</v>
      </c>
      <c r="AG161" s="16">
        <f t="shared" si="150"/>
        <v>0</v>
      </c>
      <c r="AH161" s="19">
        <f t="shared" si="151"/>
        <v>5000000</v>
      </c>
      <c r="AI161" s="15">
        <f t="shared" si="152"/>
        <v>5000000</v>
      </c>
      <c r="AJ161" s="16">
        <f t="shared" si="153"/>
        <v>5000000</v>
      </c>
      <c r="AK161" s="9"/>
      <c r="AL161" s="362">
        <v>0</v>
      </c>
      <c r="AM161" s="365">
        <v>0</v>
      </c>
      <c r="AN161" s="9"/>
    </row>
    <row r="162" spans="1:40" s="372" customFormat="1" ht="24.95" customHeight="1">
      <c r="A162" s="734"/>
      <c r="B162" s="643"/>
      <c r="N162" s="9"/>
      <c r="P162" s="9"/>
      <c r="Q162" s="9"/>
      <c r="R162" s="9"/>
      <c r="S162" s="689" t="str">
        <f>+IF(FEBRERO!S162=0,"",FEBRERO!S162)</f>
        <v>2020202-5</v>
      </c>
      <c r="T162" s="705" t="str">
        <f>+IF(FEBRERO!T162=0,"",FEBRERO!T162)</f>
        <v>Viáticos y Gastos de Viaje</v>
      </c>
      <c r="U162" s="29">
        <f>+ENERO!U162</f>
        <v>5000000</v>
      </c>
      <c r="V162" s="15">
        <f>FEBRERO!V162+MARZO!AL162</f>
        <v>0</v>
      </c>
      <c r="W162" s="15">
        <f>FEBRERO!W162+MARZO!AM162</f>
        <v>0</v>
      </c>
      <c r="X162" s="18">
        <f t="shared" si="147"/>
        <v>5000000</v>
      </c>
      <c r="Y162" s="19">
        <f>FEBRERO!AA162</f>
        <v>712500</v>
      </c>
      <c r="Z162" s="364">
        <v>0</v>
      </c>
      <c r="AA162" s="16">
        <f t="shared" si="148"/>
        <v>712500</v>
      </c>
      <c r="AB162" s="19">
        <f>FEBRERO!AD162</f>
        <v>712500</v>
      </c>
      <c r="AC162" s="364">
        <v>0</v>
      </c>
      <c r="AD162" s="16">
        <f t="shared" si="149"/>
        <v>712500</v>
      </c>
      <c r="AE162" s="19">
        <f>FEBRERO!AG162</f>
        <v>712500</v>
      </c>
      <c r="AF162" s="364">
        <v>0</v>
      </c>
      <c r="AG162" s="16">
        <f t="shared" si="150"/>
        <v>712500</v>
      </c>
      <c r="AH162" s="19">
        <f t="shared" si="151"/>
        <v>4287500</v>
      </c>
      <c r="AI162" s="15">
        <f t="shared" si="152"/>
        <v>4287500</v>
      </c>
      <c r="AJ162" s="16">
        <f t="shared" si="153"/>
        <v>4287500</v>
      </c>
      <c r="AK162" s="9"/>
      <c r="AL162" s="362">
        <v>0</v>
      </c>
      <c r="AM162" s="365">
        <v>0</v>
      </c>
      <c r="AN162" s="9"/>
    </row>
    <row r="163" spans="1:40" s="372" customFormat="1" ht="24.95" customHeight="1">
      <c r="A163" s="734"/>
      <c r="B163" s="643"/>
      <c r="N163" s="9"/>
      <c r="P163" s="9"/>
      <c r="Q163" s="9"/>
      <c r="R163" s="9"/>
      <c r="S163" s="689" t="str">
        <f>+IF(FEBRERO!S163=0,"",FEBRERO!S163)</f>
        <v>2020202-6</v>
      </c>
      <c r="T163" s="705" t="str">
        <f>+IF(FEBRERO!T163=0,"",FEBRERO!T163)</f>
        <v>Plan Integral de Manejo de Residuos Sólidos Hospitalarios</v>
      </c>
      <c r="U163" s="29">
        <f>+ENERO!U163</f>
        <v>300000000</v>
      </c>
      <c r="V163" s="15">
        <f>FEBRERO!V163+MARZO!AL163</f>
        <v>0</v>
      </c>
      <c r="W163" s="15">
        <f>FEBRERO!W163+MARZO!AM163</f>
        <v>0</v>
      </c>
      <c r="X163" s="18">
        <f t="shared" si="147"/>
        <v>300000000</v>
      </c>
      <c r="Y163" s="19">
        <f>FEBRERO!AA163</f>
        <v>142420057</v>
      </c>
      <c r="Z163" s="364">
        <v>4499390</v>
      </c>
      <c r="AA163" s="16">
        <f t="shared" si="148"/>
        <v>146919447</v>
      </c>
      <c r="AB163" s="19">
        <f>FEBRERO!AD163</f>
        <v>44958936</v>
      </c>
      <c r="AC163" s="364">
        <v>4499390</v>
      </c>
      <c r="AD163" s="16">
        <f t="shared" si="149"/>
        <v>49458326</v>
      </c>
      <c r="AE163" s="19">
        <f>FEBRERO!AG163</f>
        <v>2763775</v>
      </c>
      <c r="AF163" s="364">
        <v>3524304</v>
      </c>
      <c r="AG163" s="16">
        <f t="shared" si="150"/>
        <v>6288079</v>
      </c>
      <c r="AH163" s="19">
        <f t="shared" si="151"/>
        <v>153080553</v>
      </c>
      <c r="AI163" s="15">
        <f t="shared" si="152"/>
        <v>250541674</v>
      </c>
      <c r="AJ163" s="16">
        <f t="shared" si="153"/>
        <v>293711921</v>
      </c>
      <c r="AK163" s="9"/>
      <c r="AL163" s="362">
        <v>0</v>
      </c>
      <c r="AM163" s="365">
        <v>0</v>
      </c>
      <c r="AN163" s="9"/>
    </row>
    <row r="164" spans="1:40" s="372" customFormat="1" ht="24.95" customHeight="1">
      <c r="A164" s="734"/>
      <c r="B164" s="643"/>
      <c r="N164" s="9"/>
      <c r="P164" s="9"/>
      <c r="Q164" s="9"/>
      <c r="R164" s="9"/>
      <c r="S164" s="689" t="str">
        <f>+IF(FEBRERO!S164=0,"",FEBRERO!S164)</f>
        <v>2020202-7</v>
      </c>
      <c r="T164" s="705" t="str">
        <f>+IF(FEBRERO!T164=0,"",FEBRERO!T164)</f>
        <v>Servicios de Laboratorio contratados con terceros</v>
      </c>
      <c r="U164" s="29">
        <f>+ENERO!U164</f>
        <v>778712263</v>
      </c>
      <c r="V164" s="15">
        <f>FEBRERO!V164+MARZO!AL164</f>
        <v>0</v>
      </c>
      <c r="W164" s="15">
        <f>FEBRERO!W164+MARZO!AM164</f>
        <v>0</v>
      </c>
      <c r="X164" s="18">
        <f t="shared" si="147"/>
        <v>778712263</v>
      </c>
      <c r="Y164" s="19">
        <f>FEBRERO!AA164</f>
        <v>558917263</v>
      </c>
      <c r="Z164" s="364">
        <v>116250000</v>
      </c>
      <c r="AA164" s="16">
        <f t="shared" si="148"/>
        <v>675167263</v>
      </c>
      <c r="AB164" s="19">
        <f>FEBRERO!AD164</f>
        <v>304344587</v>
      </c>
      <c r="AC164" s="364">
        <v>115507431</v>
      </c>
      <c r="AD164" s="16">
        <f t="shared" si="149"/>
        <v>419852018</v>
      </c>
      <c r="AE164" s="19">
        <f>FEBRERO!AG164</f>
        <v>38119200</v>
      </c>
      <c r="AF164" s="364">
        <v>0</v>
      </c>
      <c r="AG164" s="16">
        <f t="shared" si="150"/>
        <v>38119200</v>
      </c>
      <c r="AH164" s="19">
        <f t="shared" si="151"/>
        <v>103545000</v>
      </c>
      <c r="AI164" s="15">
        <f t="shared" si="152"/>
        <v>358860245</v>
      </c>
      <c r="AJ164" s="16">
        <f t="shared" si="153"/>
        <v>740593063</v>
      </c>
      <c r="AK164" s="9"/>
      <c r="AL164" s="362">
        <v>0</v>
      </c>
      <c r="AM164" s="365">
        <v>0</v>
      </c>
      <c r="AN164" s="9"/>
    </row>
    <row r="165" spans="1:40" s="372" customFormat="1" ht="24.95" customHeight="1">
      <c r="A165" s="734"/>
      <c r="B165" s="643"/>
      <c r="N165" s="9"/>
      <c r="P165" s="9"/>
      <c r="Q165" s="9"/>
      <c r="R165" s="9"/>
      <c r="S165" s="689" t="str">
        <f>+IF(FEBRERO!S165=0,"",FEBRERO!S165)</f>
        <v>2020202-8</v>
      </c>
      <c r="T165" s="705" t="str">
        <f>+IF(FEBRERO!T165=0,"",FEBRERO!T165)</f>
        <v>Servicios de Rayos X e Imaginología contratado con terceros</v>
      </c>
      <c r="U165" s="29">
        <f>+ENERO!U165</f>
        <v>1116000000</v>
      </c>
      <c r="V165" s="15">
        <f>FEBRERO!V165+MARZO!AL165</f>
        <v>0</v>
      </c>
      <c r="W165" s="15">
        <f>FEBRERO!W165+MARZO!AM165</f>
        <v>500000000</v>
      </c>
      <c r="X165" s="18">
        <f t="shared" si="147"/>
        <v>1616000000</v>
      </c>
      <c r="Y165" s="19">
        <f>FEBRERO!AA165</f>
        <v>1095000000</v>
      </c>
      <c r="Z165" s="364">
        <v>450000000</v>
      </c>
      <c r="AA165" s="16">
        <f t="shared" si="148"/>
        <v>1545000000</v>
      </c>
      <c r="AB165" s="19">
        <f>FEBRERO!AD165</f>
        <v>151939503</v>
      </c>
      <c r="AC165" s="364">
        <v>155685303</v>
      </c>
      <c r="AD165" s="16">
        <f t="shared" si="149"/>
        <v>307624806</v>
      </c>
      <c r="AE165" s="19">
        <f>FEBRERO!AG165</f>
        <v>0</v>
      </c>
      <c r="AF165" s="364">
        <v>81236764</v>
      </c>
      <c r="AG165" s="16">
        <f t="shared" si="150"/>
        <v>81236764</v>
      </c>
      <c r="AH165" s="19">
        <f t="shared" si="151"/>
        <v>71000000</v>
      </c>
      <c r="AI165" s="15">
        <f t="shared" si="152"/>
        <v>1308375194</v>
      </c>
      <c r="AJ165" s="16">
        <f t="shared" si="153"/>
        <v>1534763236</v>
      </c>
      <c r="AK165" s="9"/>
      <c r="AL165" s="362">
        <v>0</v>
      </c>
      <c r="AM165" s="365">
        <v>500000000</v>
      </c>
      <c r="AN165" s="9"/>
    </row>
    <row r="166" spans="1:40" s="372" customFormat="1" ht="24.95" customHeight="1">
      <c r="A166" s="734"/>
      <c r="B166" s="643"/>
      <c r="N166" s="9"/>
      <c r="P166" s="9"/>
      <c r="Q166" s="9"/>
      <c r="R166" s="9"/>
      <c r="S166" s="689" t="str">
        <f>+IF(FEBRERO!S166=0,"",FEBRERO!S166)</f>
        <v>2020202-9</v>
      </c>
      <c r="T166" s="705" t="str">
        <f>+IF(FEBRERO!T166=0,"",FEBRERO!T166)</f>
        <v>Arrendamientos</v>
      </c>
      <c r="U166" s="29">
        <f>+ENERO!U166</f>
        <v>165000000</v>
      </c>
      <c r="V166" s="15">
        <f>FEBRERO!V166+MARZO!AL166</f>
        <v>0</v>
      </c>
      <c r="W166" s="15">
        <f>FEBRERO!W166+MARZO!AM166</f>
        <v>0</v>
      </c>
      <c r="X166" s="18">
        <f t="shared" si="147"/>
        <v>165000000</v>
      </c>
      <c r="Y166" s="19">
        <f>FEBRERO!AA166</f>
        <v>0</v>
      </c>
      <c r="Z166" s="364">
        <v>0</v>
      </c>
      <c r="AA166" s="16">
        <f t="shared" si="148"/>
        <v>0</v>
      </c>
      <c r="AB166" s="19">
        <f>FEBRERO!AD166</f>
        <v>0</v>
      </c>
      <c r="AC166" s="364">
        <v>0</v>
      </c>
      <c r="AD166" s="16">
        <f t="shared" si="149"/>
        <v>0</v>
      </c>
      <c r="AE166" s="19">
        <f>FEBRERO!AG166</f>
        <v>0</v>
      </c>
      <c r="AF166" s="364">
        <v>0</v>
      </c>
      <c r="AG166" s="16">
        <f t="shared" si="150"/>
        <v>0</v>
      </c>
      <c r="AH166" s="19">
        <f t="shared" si="151"/>
        <v>165000000</v>
      </c>
      <c r="AI166" s="15">
        <f t="shared" si="152"/>
        <v>165000000</v>
      </c>
      <c r="AJ166" s="16">
        <f t="shared" si="153"/>
        <v>165000000</v>
      </c>
      <c r="AK166" s="9"/>
      <c r="AL166" s="362">
        <v>0</v>
      </c>
      <c r="AM166" s="365">
        <v>0</v>
      </c>
      <c r="AN166" s="9"/>
    </row>
    <row r="167" spans="1:40" s="372" customFormat="1" ht="24.95" customHeight="1">
      <c r="A167" s="734"/>
      <c r="B167" s="643"/>
      <c r="N167" s="9"/>
      <c r="P167" s="9"/>
      <c r="Q167" s="9"/>
      <c r="R167" s="9"/>
      <c r="S167" s="689" t="str">
        <f>+IF(FEBRERO!S167=0,"",FEBRERO!S167)</f>
        <v>2020202-10</v>
      </c>
      <c r="T167" s="705" t="str">
        <f>+IF(FEBRERO!T167=0,"",FEBRERO!T167)</f>
        <v>Servicios Públicos</v>
      </c>
      <c r="U167" s="29">
        <f>+ENERO!U167</f>
        <v>0</v>
      </c>
      <c r="V167" s="15">
        <f>FEBRERO!V167+MARZO!AL167</f>
        <v>0</v>
      </c>
      <c r="W167" s="15">
        <f>FEBRERO!W167+MARZO!AM167</f>
        <v>0</v>
      </c>
      <c r="X167" s="18">
        <f>SUM(U167:W167)</f>
        <v>0</v>
      </c>
      <c r="Y167" s="19">
        <f>FEBRERO!AA167</f>
        <v>0</v>
      </c>
      <c r="Z167" s="364">
        <v>0</v>
      </c>
      <c r="AA167" s="16">
        <f t="shared" si="148"/>
        <v>0</v>
      </c>
      <c r="AB167" s="19">
        <f>FEBRERO!AD167</f>
        <v>0</v>
      </c>
      <c r="AC167" s="364">
        <v>0</v>
      </c>
      <c r="AD167" s="16">
        <f>SUM(AB167:AC167)</f>
        <v>0</v>
      </c>
      <c r="AE167" s="19">
        <f>FEBRERO!AG167</f>
        <v>0</v>
      </c>
      <c r="AF167" s="364">
        <v>0</v>
      </c>
      <c r="AG167" s="16">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+IF(FEBRERO!S168=0,"",FEBRERO!S168)</f>
        <v>2020299</v>
      </c>
      <c r="T168" s="704" t="str">
        <f>+IF(FEBRERO!T168=0,"",FEBRERO!T168)</f>
        <v>Vigencias Anteriores</v>
      </c>
      <c r="U168" s="29">
        <f>+ENERO!U168</f>
        <v>100900000</v>
      </c>
      <c r="V168" s="15">
        <f>FEBRERO!V168+MARZO!AL168</f>
        <v>100000000</v>
      </c>
      <c r="W168" s="15">
        <f>FEBRERO!W168+MARZO!AM168</f>
        <v>700000000</v>
      </c>
      <c r="X168" s="18">
        <f t="shared" si="147"/>
        <v>900900000</v>
      </c>
      <c r="Y168" s="19">
        <f>FEBRERO!AA168</f>
        <v>289511261</v>
      </c>
      <c r="Z168" s="364">
        <v>91634855</v>
      </c>
      <c r="AA168" s="16">
        <f t="shared" si="148"/>
        <v>381146116</v>
      </c>
      <c r="AB168" s="19">
        <f>FEBRERO!AD168</f>
        <v>289511261</v>
      </c>
      <c r="AC168" s="364">
        <v>91634855</v>
      </c>
      <c r="AD168" s="16">
        <f t="shared" si="149"/>
        <v>381146116</v>
      </c>
      <c r="AE168" s="19">
        <f>FEBRERO!AG168</f>
        <v>289511261</v>
      </c>
      <c r="AF168" s="364">
        <v>91634855</v>
      </c>
      <c r="AG168" s="16">
        <f t="shared" si="150"/>
        <v>381146116</v>
      </c>
      <c r="AH168" s="19">
        <f t="shared" si="151"/>
        <v>519753884</v>
      </c>
      <c r="AI168" s="15">
        <f t="shared" si="152"/>
        <v>519753884</v>
      </c>
      <c r="AJ168" s="16">
        <f t="shared" si="153"/>
        <v>519753884</v>
      </c>
      <c r="AK168" s="9"/>
      <c r="AL168" s="362">
        <v>100000000</v>
      </c>
      <c r="AM168" s="365">
        <v>500000000</v>
      </c>
      <c r="AN168" s="9"/>
    </row>
    <row r="169" spans="1:40" s="372" customFormat="1" ht="24.95" customHeight="1">
      <c r="A169" s="734"/>
      <c r="B169" s="643"/>
      <c r="N169" s="9"/>
      <c r="P169" s="9"/>
      <c r="Q169" s="9"/>
      <c r="R169" s="9"/>
      <c r="S169" s="356" t="str">
        <f>+IF(FEBRERO!S169=0,"",FEBRERO!S169)</f>
        <v/>
      </c>
      <c r="T169" s="678" t="str">
        <f>+IF(FEBRERO!T169=0,"",FEBRERO!T169)</f>
        <v/>
      </c>
      <c r="U169" s="357"/>
      <c r="V169" s="161"/>
      <c r="W169" s="161"/>
      <c r="X169" s="161"/>
      <c r="Y169" s="357"/>
      <c r="Z169" s="161"/>
      <c r="AA169" s="166"/>
      <c r="AB169" s="357"/>
      <c r="AC169" s="161"/>
      <c r="AD169" s="166"/>
      <c r="AE169" s="357"/>
      <c r="AF169" s="161">
        <v>0</v>
      </c>
      <c r="AG169" s="166"/>
      <c r="AH169" s="357"/>
      <c r="AI169" s="161"/>
      <c r="AJ169" s="166"/>
      <c r="AK169" s="9"/>
      <c r="AL169" s="172"/>
      <c r="AM169" s="173"/>
      <c r="AN169" s="9"/>
    </row>
    <row r="170" spans="1:40" s="372" customFormat="1" ht="24.95" customHeight="1">
      <c r="A170" s="734"/>
      <c r="B170" s="643"/>
      <c r="N170" s="9"/>
      <c r="P170" s="9"/>
      <c r="Q170" s="9"/>
      <c r="R170" s="9"/>
      <c r="S170" s="686">
        <f>+IF(FEBRERO!S170=0,"",FEBRERO!S170)</f>
        <v>3000000</v>
      </c>
      <c r="T170" s="706" t="str">
        <f>+IF(FEBRERO!T170=0,"",FEBRERO!T170)</f>
        <v>TRANSFERENCIAS CORRIENTES</v>
      </c>
      <c r="U170" s="369">
        <f t="shared" ref="U170:AJ170" si="154">U172+U176+U185</f>
        <v>1240354144</v>
      </c>
      <c r="V170" s="461">
        <f t="shared" si="154"/>
        <v>20000000</v>
      </c>
      <c r="W170" s="461">
        <f t="shared" si="154"/>
        <v>0</v>
      </c>
      <c r="X170" s="462">
        <f t="shared" si="154"/>
        <v>1260354144</v>
      </c>
      <c r="Y170" s="369">
        <f t="shared" si="154"/>
        <v>224286151</v>
      </c>
      <c r="Z170" s="461">
        <f t="shared" si="154"/>
        <v>70663100</v>
      </c>
      <c r="AA170" s="370">
        <f t="shared" si="154"/>
        <v>294949251</v>
      </c>
      <c r="AB170" s="369">
        <f t="shared" si="154"/>
        <v>218207049</v>
      </c>
      <c r="AC170" s="461">
        <f t="shared" si="154"/>
        <v>70663100</v>
      </c>
      <c r="AD170" s="370">
        <f t="shared" si="154"/>
        <v>288870149</v>
      </c>
      <c r="AE170" s="369">
        <f t="shared" si="154"/>
        <v>173436029</v>
      </c>
      <c r="AF170" s="461">
        <f t="shared" si="154"/>
        <v>115434120</v>
      </c>
      <c r="AG170" s="370">
        <f t="shared" si="154"/>
        <v>288870149</v>
      </c>
      <c r="AH170" s="369">
        <f t="shared" si="154"/>
        <v>965404893</v>
      </c>
      <c r="AI170" s="461">
        <f t="shared" si="154"/>
        <v>971483995</v>
      </c>
      <c r="AJ170" s="370">
        <f t="shared" si="154"/>
        <v>971483995</v>
      </c>
      <c r="AK170" s="9"/>
      <c r="AL170" s="128">
        <f>AL172+AL176+AL185</f>
        <v>10000000</v>
      </c>
      <c r="AM170" s="130">
        <f>AM172+AM176+AM185</f>
        <v>0</v>
      </c>
      <c r="AN170" s="9"/>
    </row>
    <row r="171" spans="1:40" s="372" customFormat="1" ht="24.95" customHeight="1">
      <c r="A171" s="734"/>
      <c r="B171" s="643"/>
      <c r="N171" s="9"/>
      <c r="P171" s="9"/>
      <c r="Q171" s="9"/>
      <c r="R171" s="9"/>
      <c r="S171" s="356" t="str">
        <f>+IF(FEBRERO!S171=0,"",FEBRERO!S171)</f>
        <v/>
      </c>
      <c r="T171" s="678" t="str">
        <f>+IF(FEBRERO!T171=0,"",FEBRERO!T171)</f>
        <v/>
      </c>
      <c r="U171" s="357"/>
      <c r="V171" s="161"/>
      <c r="W171" s="161"/>
      <c r="X171" s="161"/>
      <c r="Y171" s="357"/>
      <c r="Z171" s="161"/>
      <c r="AA171" s="166"/>
      <c r="AB171" s="357"/>
      <c r="AC171" s="161"/>
      <c r="AD171" s="166"/>
      <c r="AE171" s="357"/>
      <c r="AF171" s="161"/>
      <c r="AG171" s="166"/>
      <c r="AH171" s="357"/>
      <c r="AI171" s="161"/>
      <c r="AJ171" s="166"/>
      <c r="AK171" s="9"/>
      <c r="AL171" s="172"/>
      <c r="AM171" s="173"/>
      <c r="AN171" s="9"/>
    </row>
    <row r="172" spans="1:40" s="372" customFormat="1" ht="24.95" customHeight="1">
      <c r="A172" s="734"/>
      <c r="B172" s="643"/>
      <c r="N172" s="9"/>
      <c r="P172" s="9"/>
      <c r="Q172" s="9"/>
      <c r="R172" s="9"/>
      <c r="S172" s="687">
        <f>+IF(FEBRERO!S172=0,"",FEBRERO!S172)</f>
        <v>3100000</v>
      </c>
      <c r="T172" s="703" t="str">
        <f>+IF(FEBRERO!T172=0,"",FEBRERO!T172)</f>
        <v>Transferencias al Sector Público</v>
      </c>
      <c r="U172" s="128">
        <f t="shared" ref="U172:AJ172" si="155">SUM(U173:U174)</f>
        <v>50000000</v>
      </c>
      <c r="V172" s="122">
        <f t="shared" si="155"/>
        <v>20000000</v>
      </c>
      <c r="W172" s="122">
        <f t="shared" si="155"/>
        <v>0</v>
      </c>
      <c r="X172" s="129">
        <f t="shared" si="155"/>
        <v>70000000</v>
      </c>
      <c r="Y172" s="128">
        <f t="shared" si="155"/>
        <v>58674162</v>
      </c>
      <c r="Z172" s="122">
        <f t="shared" si="155"/>
        <v>9427068</v>
      </c>
      <c r="AA172" s="130">
        <f t="shared" si="155"/>
        <v>68101230</v>
      </c>
      <c r="AB172" s="128">
        <f t="shared" si="155"/>
        <v>58674162</v>
      </c>
      <c r="AC172" s="122">
        <f t="shared" si="155"/>
        <v>9427068</v>
      </c>
      <c r="AD172" s="130">
        <f t="shared" si="155"/>
        <v>68101230</v>
      </c>
      <c r="AE172" s="128">
        <f t="shared" si="155"/>
        <v>13903142</v>
      </c>
      <c r="AF172" s="122">
        <f t="shared" si="155"/>
        <v>54198088</v>
      </c>
      <c r="AG172" s="130">
        <f t="shared" si="155"/>
        <v>68101230</v>
      </c>
      <c r="AH172" s="128">
        <f t="shared" si="155"/>
        <v>1898770</v>
      </c>
      <c r="AI172" s="122">
        <f t="shared" si="155"/>
        <v>1898770</v>
      </c>
      <c r="AJ172" s="130">
        <f t="shared" si="155"/>
        <v>1898770</v>
      </c>
      <c r="AK172" s="9"/>
      <c r="AL172" s="128">
        <f>SUM(AL173:AL174)</f>
        <v>10000000</v>
      </c>
      <c r="AM172" s="130">
        <f>SUM(AM173:AM174)</f>
        <v>0</v>
      </c>
      <c r="AN172" s="9"/>
    </row>
    <row r="173" spans="1:40" s="372" customFormat="1" ht="24.95" customHeight="1">
      <c r="A173" s="734"/>
      <c r="B173" s="643"/>
      <c r="N173" s="9"/>
      <c r="P173" s="9"/>
      <c r="Q173" s="9"/>
      <c r="R173" s="9"/>
      <c r="S173" s="688">
        <f>+IF(FEBRERO!S173=0,"",FEBRERO!S173)</f>
        <v>3100003</v>
      </c>
      <c r="T173" s="704" t="str">
        <f>+IF(FEBRERO!T173=0,"",FEBRERO!T173)</f>
        <v>Entidades Públicas (Contraloria, Supersalud,…)</v>
      </c>
      <c r="U173" s="29">
        <f>+ENERO!U173</f>
        <v>50000000</v>
      </c>
      <c r="V173" s="15">
        <f>FEBRERO!V173+MARZO!AL173</f>
        <v>20000000</v>
      </c>
      <c r="W173" s="15">
        <f>FEBRERO!W173+MARZO!AM173</f>
        <v>0</v>
      </c>
      <c r="X173" s="18">
        <f>SUM(U173:W173)</f>
        <v>70000000</v>
      </c>
      <c r="Y173" s="19">
        <f>FEBRERO!AA173</f>
        <v>58674162</v>
      </c>
      <c r="Z173" s="364">
        <v>9427068</v>
      </c>
      <c r="AA173" s="16">
        <f>SUM(Y173:Z173)</f>
        <v>68101230</v>
      </c>
      <c r="AB173" s="19">
        <f>FEBRERO!AD173</f>
        <v>58674162</v>
      </c>
      <c r="AC173" s="364">
        <v>9427068</v>
      </c>
      <c r="AD173" s="16">
        <f>SUM(AB173:AC173)</f>
        <v>68101230</v>
      </c>
      <c r="AE173" s="19">
        <f>FEBRERO!AG173</f>
        <v>13903142</v>
      </c>
      <c r="AF173" s="364">
        <v>54198088</v>
      </c>
      <c r="AG173" s="16">
        <f>SUM(AE173:AF173)</f>
        <v>68101230</v>
      </c>
      <c r="AH173" s="19">
        <f>X173-AA173</f>
        <v>1898770</v>
      </c>
      <c r="AI173" s="15">
        <f>X173-AD173</f>
        <v>1898770</v>
      </c>
      <c r="AJ173" s="16">
        <f>X173-AG173</f>
        <v>1898770</v>
      </c>
      <c r="AK173" s="9"/>
      <c r="AL173" s="362">
        <v>10000000</v>
      </c>
      <c r="AM173" s="365">
        <v>0</v>
      </c>
      <c r="AN173" s="9"/>
    </row>
    <row r="174" spans="1:40" s="372" customFormat="1" ht="24.95" customHeight="1">
      <c r="A174" s="734"/>
      <c r="B174" s="643"/>
      <c r="N174" s="9"/>
      <c r="P174" s="9"/>
      <c r="Q174" s="9"/>
      <c r="R174" s="9"/>
      <c r="S174" s="688">
        <f>+IF(FEBRERO!S174=0,"",FEBRERO!S174)</f>
        <v>3199999</v>
      </c>
      <c r="T174" s="704" t="str">
        <f>+IF(FEBRERO!T174=0,"",FEBRERO!T174)</f>
        <v>Vigencias Anteriores</v>
      </c>
      <c r="U174" s="29">
        <f>+ENERO!U174</f>
        <v>0</v>
      </c>
      <c r="V174" s="15">
        <f>FEBRERO!V174+MARZO!AL174</f>
        <v>0</v>
      </c>
      <c r="W174" s="15">
        <f>FEBRERO!W174+MARZO!AM174</f>
        <v>0</v>
      </c>
      <c r="X174" s="18">
        <f>SUM(U174:W174)</f>
        <v>0</v>
      </c>
      <c r="Y174" s="19">
        <f>FEBRERO!AA174</f>
        <v>0</v>
      </c>
      <c r="Z174" s="364">
        <v>0</v>
      </c>
      <c r="AA174" s="16">
        <f>SUM(Y174:Z174)</f>
        <v>0</v>
      </c>
      <c r="AB174" s="19">
        <f>FEBRERO!AD174</f>
        <v>0</v>
      </c>
      <c r="AC174" s="364">
        <v>0</v>
      </c>
      <c r="AD174" s="16">
        <f>SUM(AB174:AC174)</f>
        <v>0</v>
      </c>
      <c r="AE174" s="19">
        <f>FEBRERO!AG174</f>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+IF(FEBRERO!S175=0,"",FEBRERO!S175)</f>
        <v/>
      </c>
      <c r="T175" s="678" t="str">
        <f>+IF(FEBRERO!T175=0,"",FEBRERO!T175)</f>
        <v/>
      </c>
      <c r="U175" s="357"/>
      <c r="V175" s="161"/>
      <c r="W175" s="161"/>
      <c r="X175" s="161"/>
      <c r="Y175" s="357"/>
      <c r="Z175" s="161"/>
      <c r="AA175" s="166"/>
      <c r="AB175" s="357"/>
      <c r="AC175" s="161"/>
      <c r="AD175" s="166"/>
      <c r="AE175" s="357"/>
      <c r="AF175" s="161"/>
      <c r="AG175" s="166"/>
      <c r="AH175" s="357"/>
      <c r="AI175" s="161"/>
      <c r="AJ175" s="166"/>
      <c r="AK175" s="10"/>
      <c r="AL175" s="172"/>
      <c r="AM175" s="173"/>
      <c r="AN175" s="9"/>
    </row>
    <row r="176" spans="1:40" s="372" customFormat="1" ht="24.95" customHeight="1">
      <c r="A176" s="734"/>
      <c r="B176" s="643"/>
      <c r="N176" s="9"/>
      <c r="P176" s="9"/>
      <c r="Q176" s="9"/>
      <c r="R176" s="9"/>
      <c r="S176" s="687">
        <f>+IF(FEBRERO!S176=0,"",FEBRERO!S176)</f>
        <v>320000</v>
      </c>
      <c r="T176" s="703" t="str">
        <f>+IF(FEBRERO!T176=0,"",FEBRERO!T176)</f>
        <v>Transf. Previsión y Seguridad Social</v>
      </c>
      <c r="U176" s="128">
        <f t="shared" ref="U176:AJ176" si="156">SUM(U177:U183)</f>
        <v>1110354144</v>
      </c>
      <c r="V176" s="122">
        <f t="shared" si="156"/>
        <v>0</v>
      </c>
      <c r="W176" s="122">
        <f t="shared" si="156"/>
        <v>0</v>
      </c>
      <c r="X176" s="129">
        <f t="shared" si="156"/>
        <v>1110354144</v>
      </c>
      <c r="Y176" s="128">
        <f t="shared" si="156"/>
        <v>165165989</v>
      </c>
      <c r="Z176" s="122">
        <f t="shared" si="156"/>
        <v>61013032</v>
      </c>
      <c r="AA176" s="130">
        <f t="shared" si="156"/>
        <v>226179021</v>
      </c>
      <c r="AB176" s="128">
        <f t="shared" si="156"/>
        <v>159086887</v>
      </c>
      <c r="AC176" s="122">
        <f t="shared" si="156"/>
        <v>61013032</v>
      </c>
      <c r="AD176" s="130">
        <f t="shared" si="156"/>
        <v>220099919</v>
      </c>
      <c r="AE176" s="128">
        <f t="shared" si="156"/>
        <v>159086887</v>
      </c>
      <c r="AF176" s="122">
        <f t="shared" si="156"/>
        <v>61013032</v>
      </c>
      <c r="AG176" s="130">
        <f t="shared" si="156"/>
        <v>220099919</v>
      </c>
      <c r="AH176" s="128">
        <f t="shared" si="156"/>
        <v>884175123</v>
      </c>
      <c r="AI176" s="122">
        <f t="shared" si="156"/>
        <v>890254225</v>
      </c>
      <c r="AJ176" s="130">
        <f t="shared" si="156"/>
        <v>890254225</v>
      </c>
      <c r="AK176" s="9"/>
      <c r="AL176" s="128">
        <f>SUM(AL177:AL183)</f>
        <v>0</v>
      </c>
      <c r="AM176" s="130">
        <f>SUM(AM177:AM183)</f>
        <v>0</v>
      </c>
      <c r="AN176" s="9"/>
    </row>
    <row r="177" spans="1:40" s="372" customFormat="1" ht="24.95" customHeight="1">
      <c r="A177" s="734"/>
      <c r="B177" s="643"/>
      <c r="N177" s="9"/>
      <c r="P177" s="9"/>
      <c r="Q177" s="9"/>
      <c r="R177" s="9"/>
      <c r="S177" s="688">
        <f>+IF(FEBRERO!S177=0,"",FEBRERO!S177)</f>
        <v>3200100</v>
      </c>
      <c r="T177" s="704" t="str">
        <f>+IF(FEBRERO!T177=0,"",FEBRERO!T177)</f>
        <v>Pensiones y Jubilaciones (Pago Directo)</v>
      </c>
      <c r="U177" s="29">
        <f>+ENERO!U177</f>
        <v>965336472</v>
      </c>
      <c r="V177" s="15">
        <f>FEBRERO!V177+MARZO!AL177</f>
        <v>0</v>
      </c>
      <c r="W177" s="15">
        <f>FEBRERO!W177+MARZO!AM177</f>
        <v>0</v>
      </c>
      <c r="X177" s="18">
        <f t="shared" ref="X177:X183" si="157">SUM(U177:W177)</f>
        <v>965336472</v>
      </c>
      <c r="Y177" s="19">
        <f>FEBRERO!AA177</f>
        <v>123466155</v>
      </c>
      <c r="Z177" s="364">
        <v>61013032</v>
      </c>
      <c r="AA177" s="16">
        <f t="shared" ref="AA177:AA183" si="158">SUM(Y177:Z177)</f>
        <v>184479187</v>
      </c>
      <c r="AB177" s="19">
        <f>FEBRERO!AD177</f>
        <v>123466155</v>
      </c>
      <c r="AC177" s="364">
        <v>61013032</v>
      </c>
      <c r="AD177" s="16">
        <f t="shared" ref="AD177:AD183" si="159">SUM(AB177:AC177)</f>
        <v>184479187</v>
      </c>
      <c r="AE177" s="19">
        <f>FEBRERO!AG177</f>
        <v>123466155</v>
      </c>
      <c r="AF177" s="364">
        <v>61013032</v>
      </c>
      <c r="AG177" s="16">
        <f t="shared" ref="AG177:AG183" si="160">SUM(AE177:AF177)</f>
        <v>184479187</v>
      </c>
      <c r="AH177" s="19">
        <f t="shared" ref="AH177:AH183" si="161">X177-AA177</f>
        <v>780857285</v>
      </c>
      <c r="AI177" s="15">
        <f t="shared" ref="AI177:AI183" si="162">X177-AD177</f>
        <v>780857285</v>
      </c>
      <c r="AJ177" s="16">
        <f t="shared" ref="AJ177:AJ183" si="163">X177-AG177</f>
        <v>780857285</v>
      </c>
      <c r="AK177" s="9"/>
      <c r="AL177" s="362">
        <v>0</v>
      </c>
      <c r="AM177" s="365">
        <v>0</v>
      </c>
      <c r="AN177" s="9"/>
    </row>
    <row r="178" spans="1:40" s="372" customFormat="1" ht="24.95" customHeight="1">
      <c r="A178" s="734"/>
      <c r="B178" s="643"/>
      <c r="N178" s="9"/>
      <c r="P178" s="9"/>
      <c r="Q178" s="9"/>
      <c r="R178" s="9"/>
      <c r="S178" s="688">
        <f>+IF(FEBRERO!S178=0,"",FEBRERO!S178)</f>
        <v>3200200</v>
      </c>
      <c r="T178" s="704" t="str">
        <f>+IF(FEBRERO!T178=0,"",FEBRERO!T178)</f>
        <v>Cesantías Pago Directo (Pago Directo)</v>
      </c>
      <c r="U178" s="29">
        <f>+ENERO!U178</f>
        <v>20000000</v>
      </c>
      <c r="V178" s="15">
        <f>FEBRERO!V178+MARZO!AL178</f>
        <v>0</v>
      </c>
      <c r="W178" s="15">
        <f>FEBRERO!W178+MARZO!AM178</f>
        <v>0</v>
      </c>
      <c r="X178" s="18">
        <f t="shared" si="157"/>
        <v>20000000</v>
      </c>
      <c r="Y178" s="19">
        <f>FEBRERO!AA178</f>
        <v>6079102</v>
      </c>
      <c r="Z178" s="364">
        <v>0</v>
      </c>
      <c r="AA178" s="16">
        <f t="shared" si="158"/>
        <v>6079102</v>
      </c>
      <c r="AB178" s="19">
        <f>FEBRERO!AD178</f>
        <v>0</v>
      </c>
      <c r="AC178" s="364">
        <v>0</v>
      </c>
      <c r="AD178" s="16">
        <f t="shared" si="159"/>
        <v>0</v>
      </c>
      <c r="AE178" s="19">
        <f>FEBRERO!AG178</f>
        <v>0</v>
      </c>
      <c r="AF178" s="364">
        <v>0</v>
      </c>
      <c r="AG178" s="16">
        <f t="shared" si="160"/>
        <v>0</v>
      </c>
      <c r="AH178" s="19">
        <f t="shared" si="161"/>
        <v>13920898</v>
      </c>
      <c r="AI178" s="15">
        <f t="shared" si="162"/>
        <v>20000000</v>
      </c>
      <c r="AJ178" s="16">
        <f t="shared" si="163"/>
        <v>20000000</v>
      </c>
      <c r="AK178" s="9"/>
      <c r="AL178" s="362">
        <v>0</v>
      </c>
      <c r="AM178" s="365">
        <v>0</v>
      </c>
      <c r="AN178" s="9"/>
    </row>
    <row r="179" spans="1:40" s="372" customFormat="1" ht="24.95" customHeight="1">
      <c r="A179" s="734"/>
      <c r="B179" s="643"/>
      <c r="N179" s="9"/>
      <c r="P179" s="9"/>
      <c r="Q179" s="9"/>
      <c r="R179" s="9"/>
      <c r="S179" s="688">
        <f>+IF(FEBRERO!S179=0,"",FEBRERO!S179)</f>
        <v>3200300</v>
      </c>
      <c r="T179" s="704" t="str">
        <f>+IF(FEBRERO!T179=0,"",FEBRERO!T179)</f>
        <v>Bonos, Cuotas de Bonos y cuotas partes jubilatorias</v>
      </c>
      <c r="U179" s="29">
        <f>+ENERO!U179</f>
        <v>20000000</v>
      </c>
      <c r="V179" s="15">
        <f>FEBRERO!V179+MARZO!AL179</f>
        <v>0</v>
      </c>
      <c r="W179" s="15">
        <f>FEBRERO!W179+MARZO!AM179</f>
        <v>0</v>
      </c>
      <c r="X179" s="18">
        <f t="shared" si="157"/>
        <v>20000000</v>
      </c>
      <c r="Y179" s="19">
        <f>FEBRERO!AA179</f>
        <v>0</v>
      </c>
      <c r="Z179" s="364">
        <v>0</v>
      </c>
      <c r="AA179" s="16">
        <f t="shared" si="158"/>
        <v>0</v>
      </c>
      <c r="AB179" s="19">
        <f>FEBRERO!AD179</f>
        <v>0</v>
      </c>
      <c r="AC179" s="364">
        <v>0</v>
      </c>
      <c r="AD179" s="16">
        <f t="shared" si="159"/>
        <v>0</v>
      </c>
      <c r="AE179" s="19">
        <f>FEBRERO!AG179</f>
        <v>0</v>
      </c>
      <c r="AF179" s="364">
        <v>0</v>
      </c>
      <c r="AG179" s="16">
        <f t="shared" si="160"/>
        <v>0</v>
      </c>
      <c r="AH179" s="19">
        <f t="shared" si="161"/>
        <v>20000000</v>
      </c>
      <c r="AI179" s="15">
        <f t="shared" si="162"/>
        <v>20000000</v>
      </c>
      <c r="AJ179" s="16">
        <f t="shared" si="163"/>
        <v>20000000</v>
      </c>
      <c r="AK179" s="9"/>
      <c r="AL179" s="362">
        <v>0</v>
      </c>
      <c r="AM179" s="365">
        <v>0</v>
      </c>
      <c r="AN179" s="9"/>
    </row>
    <row r="180" spans="1:40" s="372" customFormat="1" ht="24.95" customHeight="1">
      <c r="A180" s="734"/>
      <c r="B180" s="643"/>
      <c r="N180" s="9"/>
      <c r="P180" s="9"/>
      <c r="Q180" s="9"/>
      <c r="R180" s="9"/>
      <c r="S180" s="688">
        <f>+IF(FEBRERO!S180=0,"",FEBRERO!S180)</f>
        <v>3200400</v>
      </c>
      <c r="T180" s="704" t="str">
        <f>+IF(FEBRERO!T180=0,"",FEBRERO!T180)</f>
        <v>Intereses a las cesantias</v>
      </c>
      <c r="U180" s="29">
        <f>+ENERO!U180</f>
        <v>105017672</v>
      </c>
      <c r="V180" s="15">
        <f>FEBRERO!V180+MARZO!AL180</f>
        <v>0</v>
      </c>
      <c r="W180" s="15">
        <f>FEBRERO!W180+MARZO!AM180</f>
        <v>0</v>
      </c>
      <c r="X180" s="18">
        <f t="shared" si="157"/>
        <v>105017672</v>
      </c>
      <c r="Y180" s="19">
        <f>FEBRERO!AA180</f>
        <v>35620732</v>
      </c>
      <c r="Z180" s="364">
        <v>0</v>
      </c>
      <c r="AA180" s="16">
        <f t="shared" si="158"/>
        <v>35620732</v>
      </c>
      <c r="AB180" s="19">
        <f>FEBRERO!AD180</f>
        <v>35620732</v>
      </c>
      <c r="AC180" s="364">
        <v>0</v>
      </c>
      <c r="AD180" s="16">
        <f t="shared" si="159"/>
        <v>35620732</v>
      </c>
      <c r="AE180" s="19">
        <f>FEBRERO!AG180</f>
        <v>35620732</v>
      </c>
      <c r="AF180" s="364">
        <v>0</v>
      </c>
      <c r="AG180" s="16">
        <f t="shared" si="160"/>
        <v>35620732</v>
      </c>
      <c r="AH180" s="19">
        <f t="shared" si="161"/>
        <v>69396940</v>
      </c>
      <c r="AI180" s="15">
        <f t="shared" si="162"/>
        <v>69396940</v>
      </c>
      <c r="AJ180" s="16">
        <f t="shared" si="163"/>
        <v>69396940</v>
      </c>
      <c r="AK180" s="9"/>
      <c r="AL180" s="362">
        <v>0</v>
      </c>
      <c r="AM180" s="365">
        <v>0</v>
      </c>
      <c r="AN180" s="9"/>
    </row>
    <row r="181" spans="1:40" s="372" customFormat="1" ht="24.95" customHeight="1">
      <c r="A181" s="734"/>
      <c r="B181" s="643"/>
      <c r="N181" s="9"/>
      <c r="P181" s="9"/>
      <c r="Q181" s="9"/>
      <c r="R181" s="9"/>
      <c r="S181" s="688">
        <f>+IF(FEBRERO!S181=0,"",FEBRERO!S181)</f>
        <v>3200500</v>
      </c>
      <c r="T181" s="704" t="str">
        <f>+IF(FEBRERO!T181=0,"",FEBRERO!T181)</f>
        <v/>
      </c>
      <c r="U181" s="29">
        <f>+ENERO!U181</f>
        <v>0</v>
      </c>
      <c r="V181" s="15">
        <f>FEBRERO!V181+MARZO!AL181</f>
        <v>0</v>
      </c>
      <c r="W181" s="15">
        <f>FEBRERO!W181+MARZO!AM181</f>
        <v>0</v>
      </c>
      <c r="X181" s="18">
        <f t="shared" si="157"/>
        <v>0</v>
      </c>
      <c r="Y181" s="19">
        <f>FEBRERO!AA181</f>
        <v>0</v>
      </c>
      <c r="Z181" s="364">
        <v>0</v>
      </c>
      <c r="AA181" s="16">
        <f t="shared" si="158"/>
        <v>0</v>
      </c>
      <c r="AB181" s="19">
        <f>FEBRERO!AD181</f>
        <v>0</v>
      </c>
      <c r="AC181" s="364">
        <v>0</v>
      </c>
      <c r="AD181" s="16">
        <f t="shared" si="159"/>
        <v>0</v>
      </c>
      <c r="AE181" s="19">
        <f>FEBRERO!AG181</f>
        <v>0</v>
      </c>
      <c r="AF181" s="364">
        <v>0</v>
      </c>
      <c r="AG181" s="16">
        <f t="shared" si="160"/>
        <v>0</v>
      </c>
      <c r="AH181" s="19">
        <f t="shared" si="161"/>
        <v>0</v>
      </c>
      <c r="AI181" s="15">
        <f t="shared" si="162"/>
        <v>0</v>
      </c>
      <c r="AJ181" s="16">
        <f t="shared" si="163"/>
        <v>0</v>
      </c>
      <c r="AK181" s="9"/>
      <c r="AL181" s="362">
        <v>0</v>
      </c>
      <c r="AM181" s="365">
        <v>0</v>
      </c>
      <c r="AN181" s="9"/>
    </row>
    <row r="182" spans="1:40" s="372" customFormat="1" ht="24.95" customHeight="1">
      <c r="A182" s="734"/>
      <c r="B182" s="643"/>
      <c r="N182" s="9"/>
      <c r="P182" s="9"/>
      <c r="Q182" s="9"/>
      <c r="R182" s="9"/>
      <c r="S182" s="688">
        <f>+IF(FEBRERO!S182=0,"",FEBRERO!S182)</f>
        <v>3200600</v>
      </c>
      <c r="T182" s="704" t="str">
        <f>+IF(FEBRERO!T182=0,"",FEBRERO!T182)</f>
        <v/>
      </c>
      <c r="U182" s="29">
        <f>+ENERO!U182</f>
        <v>0</v>
      </c>
      <c r="V182" s="15">
        <f>FEBRERO!V182+MARZO!AL182</f>
        <v>0</v>
      </c>
      <c r="W182" s="15">
        <f>FEBRERO!W182+MARZO!AM182</f>
        <v>0</v>
      </c>
      <c r="X182" s="18">
        <f t="shared" si="157"/>
        <v>0</v>
      </c>
      <c r="Y182" s="19">
        <f>FEBRERO!AA182</f>
        <v>0</v>
      </c>
      <c r="Z182" s="364">
        <v>0</v>
      </c>
      <c r="AA182" s="16">
        <f t="shared" si="158"/>
        <v>0</v>
      </c>
      <c r="AB182" s="19">
        <f>FEBRERO!AD182</f>
        <v>0</v>
      </c>
      <c r="AC182" s="364">
        <v>0</v>
      </c>
      <c r="AD182" s="16">
        <f t="shared" si="159"/>
        <v>0</v>
      </c>
      <c r="AE182" s="19">
        <f>FEBRERO!AG182</f>
        <v>0</v>
      </c>
      <c r="AF182" s="364">
        <v>0</v>
      </c>
      <c r="AG182" s="16">
        <f t="shared" si="160"/>
        <v>0</v>
      </c>
      <c r="AH182" s="19">
        <f t="shared" si="161"/>
        <v>0</v>
      </c>
      <c r="AI182" s="15">
        <f t="shared" si="162"/>
        <v>0</v>
      </c>
      <c r="AJ182" s="16">
        <f t="shared" si="163"/>
        <v>0</v>
      </c>
      <c r="AK182" s="9"/>
      <c r="AL182" s="362">
        <v>0</v>
      </c>
      <c r="AM182" s="365">
        <v>0</v>
      </c>
      <c r="AN182" s="9"/>
    </row>
    <row r="183" spans="1:40" s="372" customFormat="1" ht="24.95" customHeight="1">
      <c r="A183" s="734"/>
      <c r="B183" s="643"/>
      <c r="N183" s="9"/>
      <c r="P183" s="9"/>
      <c r="Q183" s="9"/>
      <c r="R183" s="9"/>
      <c r="S183" s="688">
        <f>+IF(FEBRERO!S183=0,"",FEBRERO!S183)</f>
        <v>3299999</v>
      </c>
      <c r="T183" s="704" t="str">
        <f>+IF(FEBRERO!T183=0,"",FEBRERO!T183)</f>
        <v>Vigencias Anteriores</v>
      </c>
      <c r="U183" s="29">
        <f>+ENERO!U183</f>
        <v>0</v>
      </c>
      <c r="V183" s="15">
        <f>FEBRERO!V183+MARZO!AL183</f>
        <v>0</v>
      </c>
      <c r="W183" s="15">
        <f>FEBRERO!W183+MARZO!AM183</f>
        <v>0</v>
      </c>
      <c r="X183" s="18">
        <f t="shared" si="157"/>
        <v>0</v>
      </c>
      <c r="Y183" s="19">
        <f>FEBRERO!AA183</f>
        <v>0</v>
      </c>
      <c r="Z183" s="364">
        <v>0</v>
      </c>
      <c r="AA183" s="16">
        <f t="shared" si="158"/>
        <v>0</v>
      </c>
      <c r="AB183" s="19">
        <f>FEBRERO!AD183</f>
        <v>0</v>
      </c>
      <c r="AC183" s="364">
        <v>0</v>
      </c>
      <c r="AD183" s="16">
        <f t="shared" si="159"/>
        <v>0</v>
      </c>
      <c r="AE183" s="19">
        <f>FEBRERO!AG183</f>
        <v>0</v>
      </c>
      <c r="AF183" s="364">
        <v>0</v>
      </c>
      <c r="AG183" s="16">
        <f t="shared" si="160"/>
        <v>0</v>
      </c>
      <c r="AH183" s="19">
        <f t="shared" si="161"/>
        <v>0</v>
      </c>
      <c r="AI183" s="15">
        <f t="shared" si="162"/>
        <v>0</v>
      </c>
      <c r="AJ183" s="16">
        <f t="shared" si="163"/>
        <v>0</v>
      </c>
      <c r="AK183" s="9"/>
      <c r="AL183" s="362">
        <v>0</v>
      </c>
      <c r="AM183" s="365">
        <v>0</v>
      </c>
      <c r="AN183" s="9"/>
    </row>
    <row r="184" spans="1:40" s="372" customFormat="1" ht="24.95" customHeight="1">
      <c r="A184" s="734"/>
      <c r="B184" s="643"/>
      <c r="N184" s="9"/>
      <c r="P184" s="9"/>
      <c r="Q184" s="9"/>
      <c r="R184" s="9"/>
      <c r="S184" s="356" t="str">
        <f>+IF(FEBRERO!S184=0,"",FEBRERO!S184)</f>
        <v/>
      </c>
      <c r="T184" s="678" t="str">
        <f>+IF(FEBRERO!T184=0,"",FEBRERO!T184)</f>
        <v/>
      </c>
      <c r="U184" s="357"/>
      <c r="V184" s="161"/>
      <c r="W184" s="161"/>
      <c r="X184" s="161"/>
      <c r="Y184" s="357"/>
      <c r="Z184" s="161"/>
      <c r="AA184" s="166"/>
      <c r="AB184" s="357"/>
      <c r="AC184" s="161"/>
      <c r="AD184" s="166"/>
      <c r="AE184" s="357"/>
      <c r="AF184" s="161"/>
      <c r="AG184" s="166"/>
      <c r="AH184" s="357"/>
      <c r="AI184" s="161"/>
      <c r="AJ184" s="166"/>
      <c r="AK184" s="9"/>
      <c r="AL184" s="172"/>
      <c r="AM184" s="173"/>
      <c r="AN184" s="9"/>
    </row>
    <row r="185" spans="1:40" s="372" customFormat="1" ht="24.95" customHeight="1">
      <c r="A185" s="734"/>
      <c r="B185" s="643"/>
      <c r="N185" s="9"/>
      <c r="P185" s="9"/>
      <c r="Q185" s="9"/>
      <c r="R185" s="9"/>
      <c r="S185" s="687">
        <f>+IF(FEBRERO!S185=0,"",FEBRERO!S185)</f>
        <v>3300000</v>
      </c>
      <c r="T185" s="703" t="str">
        <f>+IF(FEBRERO!T185=0,"",FEBRERO!T185)</f>
        <v>Otras Transferencias</v>
      </c>
      <c r="U185" s="128">
        <f t="shared" ref="U185:AJ185" si="164">U186+U187+U191</f>
        <v>80000000</v>
      </c>
      <c r="V185" s="122">
        <f t="shared" si="164"/>
        <v>0</v>
      </c>
      <c r="W185" s="122">
        <f t="shared" si="164"/>
        <v>0</v>
      </c>
      <c r="X185" s="129">
        <f t="shared" si="164"/>
        <v>80000000</v>
      </c>
      <c r="Y185" s="128">
        <f t="shared" si="164"/>
        <v>446000</v>
      </c>
      <c r="Z185" s="122">
        <f t="shared" si="164"/>
        <v>223000</v>
      </c>
      <c r="AA185" s="130">
        <f t="shared" si="164"/>
        <v>669000</v>
      </c>
      <c r="AB185" s="128">
        <f t="shared" si="164"/>
        <v>446000</v>
      </c>
      <c r="AC185" s="122">
        <f t="shared" si="164"/>
        <v>223000</v>
      </c>
      <c r="AD185" s="130">
        <f t="shared" si="164"/>
        <v>669000</v>
      </c>
      <c r="AE185" s="128">
        <f t="shared" si="164"/>
        <v>446000</v>
      </c>
      <c r="AF185" s="122">
        <f t="shared" si="164"/>
        <v>223000</v>
      </c>
      <c r="AG185" s="130">
        <f t="shared" si="164"/>
        <v>669000</v>
      </c>
      <c r="AH185" s="128">
        <f t="shared" si="164"/>
        <v>79331000</v>
      </c>
      <c r="AI185" s="122">
        <f t="shared" si="164"/>
        <v>79331000</v>
      </c>
      <c r="AJ185" s="130">
        <f t="shared" si="164"/>
        <v>79331000</v>
      </c>
      <c r="AK185" s="9"/>
      <c r="AL185" s="128">
        <f>AL186+AL187+AL191</f>
        <v>0</v>
      </c>
      <c r="AM185" s="130">
        <f>AM186+AM187+AM191</f>
        <v>0</v>
      </c>
      <c r="AN185" s="9"/>
    </row>
    <row r="186" spans="1:40" s="372" customFormat="1" ht="24.95" customHeight="1">
      <c r="A186" s="734"/>
      <c r="B186" s="643"/>
      <c r="N186" s="9"/>
      <c r="P186" s="9"/>
      <c r="Q186" s="9"/>
      <c r="R186" s="9"/>
      <c r="S186" s="688">
        <f>+IF(FEBRERO!S186=0,"",FEBRERO!S186)</f>
        <v>3300100</v>
      </c>
      <c r="T186" s="704" t="str">
        <f>+IF(FEBRERO!T186=0,"",FEBRERO!T186)</f>
        <v>Sentencias y Conciliaciones</v>
      </c>
      <c r="U186" s="29">
        <f>+ENERO!U186</f>
        <v>60000000</v>
      </c>
      <c r="V186" s="15">
        <f>FEBRERO!V186+MARZO!AL186</f>
        <v>0</v>
      </c>
      <c r="W186" s="15">
        <f>FEBRERO!W186+MARZO!AM186</f>
        <v>0</v>
      </c>
      <c r="X186" s="18">
        <f>SUM(U186:W186)</f>
        <v>60000000</v>
      </c>
      <c r="Y186" s="19">
        <f>FEBRERO!AA186</f>
        <v>0</v>
      </c>
      <c r="Z186" s="364">
        <v>0</v>
      </c>
      <c r="AA186" s="16">
        <f>SUM(Y186:Z186)</f>
        <v>0</v>
      </c>
      <c r="AB186" s="19">
        <f>FEBRERO!AD186</f>
        <v>0</v>
      </c>
      <c r="AC186" s="364">
        <v>0</v>
      </c>
      <c r="AD186" s="16">
        <f>SUM(AB186:AC186)</f>
        <v>0</v>
      </c>
      <c r="AE186" s="19">
        <f>FEBRERO!AG186</f>
        <v>0</v>
      </c>
      <c r="AF186" s="364">
        <v>0</v>
      </c>
      <c r="AG186" s="16">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N187" s="9"/>
      <c r="P187" s="9"/>
      <c r="Q187" s="9"/>
      <c r="R187" s="9"/>
      <c r="S187" s="688">
        <f>+IF(FEBRERO!S187=0,"",FEBRERO!S187)</f>
        <v>3300200</v>
      </c>
      <c r="T187" s="704" t="str">
        <f>+IF(FEBRERO!T187=0,"",FEBRERO!T187)</f>
        <v>Destinatarios de otras transferencias</v>
      </c>
      <c r="U187" s="29">
        <f t="shared" ref="U187:AM187" si="165">SUM(U188:U190)</f>
        <v>20000000</v>
      </c>
      <c r="V187" s="15">
        <f t="shared" si="165"/>
        <v>0</v>
      </c>
      <c r="W187" s="15">
        <f t="shared" si="165"/>
        <v>0</v>
      </c>
      <c r="X187" s="18">
        <f t="shared" si="165"/>
        <v>20000000</v>
      </c>
      <c r="Y187" s="19">
        <f t="shared" si="165"/>
        <v>446000</v>
      </c>
      <c r="Z187" s="142">
        <f t="shared" si="165"/>
        <v>223000</v>
      </c>
      <c r="AA187" s="16">
        <f t="shared" si="165"/>
        <v>669000</v>
      </c>
      <c r="AB187" s="19">
        <f t="shared" si="165"/>
        <v>446000</v>
      </c>
      <c r="AC187" s="142">
        <f t="shared" si="165"/>
        <v>223000</v>
      </c>
      <c r="AD187" s="16">
        <f t="shared" si="165"/>
        <v>669000</v>
      </c>
      <c r="AE187" s="19">
        <f t="shared" si="165"/>
        <v>446000</v>
      </c>
      <c r="AF187" s="142">
        <f t="shared" si="165"/>
        <v>223000</v>
      </c>
      <c r="AG187" s="16">
        <f t="shared" si="165"/>
        <v>669000</v>
      </c>
      <c r="AH187" s="19">
        <f t="shared" si="165"/>
        <v>19331000</v>
      </c>
      <c r="AI187" s="15">
        <f t="shared" si="165"/>
        <v>19331000</v>
      </c>
      <c r="AJ187" s="16">
        <f t="shared" si="165"/>
        <v>19331000</v>
      </c>
      <c r="AK187" s="9"/>
      <c r="AL187" s="29">
        <f t="shared" si="165"/>
        <v>0</v>
      </c>
      <c r="AM187" s="26">
        <f t="shared" si="165"/>
        <v>0</v>
      </c>
      <c r="AN187" s="9"/>
    </row>
    <row r="188" spans="1:40" s="372" customFormat="1" ht="24.95" customHeight="1">
      <c r="A188" s="734"/>
      <c r="B188" s="644"/>
      <c r="N188" s="9"/>
      <c r="P188" s="9"/>
      <c r="Q188" s="9"/>
      <c r="R188" s="9"/>
      <c r="S188" s="689" t="str">
        <f>+IF(FEBRERO!S188=0,"",FEBRERO!S188)</f>
        <v>3300200-1</v>
      </c>
      <c r="T188" s="704" t="str">
        <f>+IF(FEBRERO!T188=0,"",FEBRERO!T188)</f>
        <v>COHAN</v>
      </c>
      <c r="U188" s="29">
        <f>+ENERO!U188</f>
        <v>10000000</v>
      </c>
      <c r="V188" s="15">
        <f>FEBRERO!V188+MARZO!AL188</f>
        <v>0</v>
      </c>
      <c r="W188" s="15">
        <f>FEBRERO!W188+MARZO!AM188</f>
        <v>0</v>
      </c>
      <c r="X188" s="18">
        <f>SUM(U188:W188)</f>
        <v>10000000</v>
      </c>
      <c r="Y188" s="19">
        <f>FEBRERO!AA188</f>
        <v>0</v>
      </c>
      <c r="Z188" s="364">
        <v>0</v>
      </c>
      <c r="AA188" s="16">
        <f>SUM(Y188:Z188)</f>
        <v>0</v>
      </c>
      <c r="AB188" s="19">
        <f>FEBRERO!AD188</f>
        <v>0</v>
      </c>
      <c r="AC188" s="364">
        <v>0</v>
      </c>
      <c r="AD188" s="16">
        <f>SUM(AB188:AC188)</f>
        <v>0</v>
      </c>
      <c r="AE188" s="19">
        <f>FEBRERO!AG188</f>
        <v>0</v>
      </c>
      <c r="AF188" s="364">
        <v>0</v>
      </c>
      <c r="AG188" s="16">
        <f>SUM(AE188:AF188)</f>
        <v>0</v>
      </c>
      <c r="AH188" s="19">
        <f>X188-AA188</f>
        <v>10000000</v>
      </c>
      <c r="AI188" s="15">
        <f>X188-AD188</f>
        <v>10000000</v>
      </c>
      <c r="AJ188" s="16">
        <f>X188-AG188</f>
        <v>10000000</v>
      </c>
      <c r="AK188" s="9"/>
      <c r="AL188" s="362">
        <v>0</v>
      </c>
      <c r="AM188" s="365">
        <v>0</v>
      </c>
      <c r="AN188" s="9"/>
    </row>
    <row r="189" spans="1:40" s="372" customFormat="1" ht="24.95" customHeight="1">
      <c r="A189" s="734"/>
      <c r="B189" s="644"/>
      <c r="N189" s="9"/>
      <c r="P189" s="9"/>
      <c r="Q189" s="9"/>
      <c r="R189" s="9"/>
      <c r="S189" s="689" t="str">
        <f>+IF(FEBRERO!S189=0,"",FEBRERO!S189)</f>
        <v>3300200-2</v>
      </c>
      <c r="T189" s="704" t="str">
        <f>+IF(FEBRERO!T189=0,"",FEBRERO!T189)</f>
        <v>AESA</v>
      </c>
      <c r="U189" s="29">
        <f>+ENERO!U189</f>
        <v>5000000</v>
      </c>
      <c r="V189" s="15">
        <f>FEBRERO!V189+MARZO!AL189</f>
        <v>0</v>
      </c>
      <c r="W189" s="15">
        <f>FEBRERO!W189+MARZO!AM189</f>
        <v>0</v>
      </c>
      <c r="X189" s="18">
        <f>SUM(U189:W189)</f>
        <v>5000000</v>
      </c>
      <c r="Y189" s="19">
        <f>FEBRERO!AA189</f>
        <v>0</v>
      </c>
      <c r="Z189" s="364">
        <v>0</v>
      </c>
      <c r="AA189" s="16">
        <f>SUM(Y189:Z189)</f>
        <v>0</v>
      </c>
      <c r="AB189" s="19">
        <f>FEBRERO!AD189</f>
        <v>0</v>
      </c>
      <c r="AC189" s="364">
        <v>0</v>
      </c>
      <c r="AD189" s="16">
        <f>SUM(AB189:AC189)</f>
        <v>0</v>
      </c>
      <c r="AE189" s="19">
        <f>FEBRERO!AG189</f>
        <v>0</v>
      </c>
      <c r="AF189" s="364">
        <v>0</v>
      </c>
      <c r="AG189" s="16">
        <f>SUM(AE189:AF189)</f>
        <v>0</v>
      </c>
      <c r="AH189" s="19">
        <f>X189-AA189</f>
        <v>5000000</v>
      </c>
      <c r="AI189" s="15">
        <f>X189-AD189</f>
        <v>5000000</v>
      </c>
      <c r="AJ189" s="16">
        <f>X189-AG189</f>
        <v>5000000</v>
      </c>
      <c r="AK189" s="9"/>
      <c r="AL189" s="362">
        <v>0</v>
      </c>
      <c r="AM189" s="365">
        <v>0</v>
      </c>
      <c r="AN189" s="9"/>
    </row>
    <row r="190" spans="1:40" s="372" customFormat="1" ht="24.95" customHeight="1">
      <c r="A190" s="734"/>
      <c r="B190" s="644"/>
      <c r="N190" s="9"/>
      <c r="P190" s="9"/>
      <c r="Q190" s="9"/>
      <c r="R190" s="9"/>
      <c r="S190" s="689" t="str">
        <f>+IF(FEBRERO!S190=0,"",FEBRERO!S190)</f>
        <v>3300200-3</v>
      </c>
      <c r="T190" s="704" t="str">
        <f>+IF(FEBRERO!T190=0,"",FEBRERO!T190)</f>
        <v xml:space="preserve">OTRAS </v>
      </c>
      <c r="U190" s="29">
        <f>+ENERO!U190</f>
        <v>5000000</v>
      </c>
      <c r="V190" s="15">
        <f>FEBRERO!V190+MARZO!AL190</f>
        <v>0</v>
      </c>
      <c r="W190" s="15">
        <f>FEBRERO!W190+MARZO!AM190</f>
        <v>0</v>
      </c>
      <c r="X190" s="18">
        <f>SUM(U190:W190)</f>
        <v>5000000</v>
      </c>
      <c r="Y190" s="19">
        <f>FEBRERO!AA190</f>
        <v>446000</v>
      </c>
      <c r="Z190" s="364">
        <v>223000</v>
      </c>
      <c r="AA190" s="16">
        <f>SUM(Y190:Z190)</f>
        <v>669000</v>
      </c>
      <c r="AB190" s="19">
        <f>FEBRERO!AD190</f>
        <v>446000</v>
      </c>
      <c r="AC190" s="364">
        <v>223000</v>
      </c>
      <c r="AD190" s="16">
        <f>SUM(AB190:AC190)</f>
        <v>669000</v>
      </c>
      <c r="AE190" s="19">
        <f>FEBRERO!AG190</f>
        <v>446000</v>
      </c>
      <c r="AF190" s="364">
        <v>223000</v>
      </c>
      <c r="AG190" s="16">
        <f>SUM(AE190:AF190)</f>
        <v>669000</v>
      </c>
      <c r="AH190" s="19">
        <f>X190-AA190</f>
        <v>4331000</v>
      </c>
      <c r="AI190" s="15">
        <f>X190-AD190</f>
        <v>4331000</v>
      </c>
      <c r="AJ190" s="16">
        <f>X190-AG190</f>
        <v>4331000</v>
      </c>
      <c r="AK190" s="9"/>
      <c r="AL190" s="362">
        <v>0</v>
      </c>
      <c r="AM190" s="365">
        <v>0</v>
      </c>
      <c r="AN190" s="9"/>
    </row>
    <row r="191" spans="1:40" s="372" customFormat="1" ht="24.95" customHeight="1">
      <c r="A191" s="734"/>
      <c r="B191" s="644"/>
      <c r="N191" s="9"/>
      <c r="P191" s="9"/>
      <c r="Q191" s="9"/>
      <c r="R191" s="9"/>
      <c r="S191" s="688">
        <f>+IF(FEBRERO!S191=0,"",FEBRERO!S191)</f>
        <v>3399999</v>
      </c>
      <c r="T191" s="704" t="str">
        <f>+IF(FEBRERO!T191=0,"",FEBRERO!T191)</f>
        <v>Vigencias Anteriores</v>
      </c>
      <c r="U191" s="29">
        <f>+ENERO!U191</f>
        <v>0</v>
      </c>
      <c r="V191" s="15">
        <f>FEBRERO!V191+MARZO!AL191</f>
        <v>0</v>
      </c>
      <c r="W191" s="15">
        <f>FEBRERO!W191+MARZO!AM191</f>
        <v>0</v>
      </c>
      <c r="X191" s="18">
        <f>SUM(U191:W191)</f>
        <v>0</v>
      </c>
      <c r="Y191" s="19">
        <f>FEBRERO!AA191</f>
        <v>0</v>
      </c>
      <c r="Z191" s="364">
        <v>0</v>
      </c>
      <c r="AA191" s="16">
        <f>SUM(Y191:Z191)</f>
        <v>0</v>
      </c>
      <c r="AB191" s="19">
        <f>FEBRERO!AD191</f>
        <v>0</v>
      </c>
      <c r="AC191" s="364">
        <v>0</v>
      </c>
      <c r="AD191" s="16">
        <f>SUM(AB191:AC191)</f>
        <v>0</v>
      </c>
      <c r="AE191" s="19">
        <f>FEBRERO!AG191</f>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356" t="str">
        <f>+IF(FEBRERO!S194=0,"",FEBRERO!S194)</f>
        <v/>
      </c>
      <c r="T192" s="678" t="str">
        <f>+IF(FEBRERO!T194=0,"",FEBRERO!T194)</f>
        <v/>
      </c>
      <c r="U192" s="357"/>
      <c r="V192" s="161"/>
      <c r="W192" s="161"/>
      <c r="X192" s="161"/>
      <c r="Y192" s="357"/>
      <c r="Z192" s="161"/>
      <c r="AA192" s="166"/>
      <c r="AB192" s="357"/>
      <c r="AC192" s="161"/>
      <c r="AD192" s="166"/>
      <c r="AE192" s="357"/>
      <c r="AF192" s="161"/>
      <c r="AG192" s="166"/>
      <c r="AH192" s="357"/>
      <c r="AI192" s="161"/>
      <c r="AJ192" s="166"/>
      <c r="AK192" s="9"/>
      <c r="AL192" s="172"/>
      <c r="AM192" s="173"/>
      <c r="AN192" s="9"/>
    </row>
    <row r="193" spans="1:40" s="372" customFormat="1" ht="31.5" customHeight="1">
      <c r="A193" s="734"/>
      <c r="B193" s="644"/>
      <c r="N193" s="9"/>
      <c r="P193" s="9"/>
      <c r="Q193" s="9"/>
      <c r="R193" s="9"/>
      <c r="S193" s="483" t="s">
        <v>318</v>
      </c>
      <c r="T193" s="672" t="s">
        <v>561</v>
      </c>
      <c r="U193" s="460">
        <f>U195+U209</f>
        <v>10282942055</v>
      </c>
      <c r="V193" s="461">
        <f t="shared" ref="V193:AJ193" si="166">V195+V209</f>
        <v>300000000</v>
      </c>
      <c r="W193" s="461">
        <f t="shared" si="166"/>
        <v>6016007161</v>
      </c>
      <c r="X193" s="370">
        <f t="shared" si="166"/>
        <v>16598949216</v>
      </c>
      <c r="Y193" s="369">
        <f t="shared" si="166"/>
        <v>8510312988</v>
      </c>
      <c r="Z193" s="484">
        <f t="shared" si="166"/>
        <v>3072270457</v>
      </c>
      <c r="AA193" s="370">
        <f t="shared" si="166"/>
        <v>11582583445</v>
      </c>
      <c r="AB193" s="460">
        <f t="shared" si="166"/>
        <v>4854125839</v>
      </c>
      <c r="AC193" s="484">
        <f t="shared" si="166"/>
        <v>3250496511</v>
      </c>
      <c r="AD193" s="462">
        <f t="shared" si="166"/>
        <v>8104622350</v>
      </c>
      <c r="AE193" s="369">
        <f t="shared" si="166"/>
        <v>2083867664</v>
      </c>
      <c r="AF193" s="484">
        <f t="shared" si="166"/>
        <v>1773874794</v>
      </c>
      <c r="AG193" s="370">
        <f t="shared" si="166"/>
        <v>3857742458</v>
      </c>
      <c r="AH193" s="369">
        <f t="shared" si="166"/>
        <v>5016365771</v>
      </c>
      <c r="AI193" s="461">
        <f t="shared" si="166"/>
        <v>8494326866</v>
      </c>
      <c r="AJ193" s="370">
        <f t="shared" si="166"/>
        <v>12741206758</v>
      </c>
      <c r="AK193" s="9"/>
      <c r="AL193" s="369">
        <f>AL195+AL209</f>
        <v>300000000</v>
      </c>
      <c r="AM193" s="370">
        <f>AM195+AM209</f>
        <v>3190340276</v>
      </c>
      <c r="AN193" s="9"/>
    </row>
    <row r="194" spans="1:40" s="372" customFormat="1" ht="24.95" customHeight="1">
      <c r="A194" s="734"/>
      <c r="B194" s="644"/>
      <c r="N194" s="9"/>
      <c r="P194" s="9"/>
      <c r="Q194" s="9"/>
      <c r="R194" s="9"/>
      <c r="S194" s="356"/>
      <c r="T194" s="678"/>
      <c r="U194" s="357"/>
      <c r="V194" s="161"/>
      <c r="W194" s="161"/>
      <c r="X194" s="161"/>
      <c r="Y194" s="357"/>
      <c r="Z194" s="161"/>
      <c r="AA194" s="166"/>
      <c r="AB194" s="357"/>
      <c r="AC194" s="161"/>
      <c r="AD194" s="166"/>
      <c r="AE194" s="357"/>
      <c r="AF194" s="161"/>
      <c r="AG194" s="166"/>
      <c r="AH194" s="357"/>
      <c r="AI194" s="161"/>
      <c r="AJ194" s="166"/>
      <c r="AK194" s="9"/>
      <c r="AL194" s="172"/>
      <c r="AM194" s="173"/>
      <c r="AN194" s="9"/>
    </row>
    <row r="195" spans="1:40" s="372" customFormat="1" ht="24.95" customHeight="1">
      <c r="A195" s="734"/>
      <c r="B195" s="644"/>
      <c r="N195" s="9"/>
      <c r="P195" s="9"/>
      <c r="Q195" s="9"/>
      <c r="R195" s="9"/>
      <c r="S195" s="686">
        <f>+IF(FEBRERO!S195=0,"",FEBRERO!S195)</f>
        <v>4000000</v>
      </c>
      <c r="T195" s="706" t="str">
        <f>+IF(FEBRERO!T195=0,"",FEBRERO!T195)</f>
        <v>GASTOS  DE PRESTACION DE SERVICIOS</v>
      </c>
      <c r="U195" s="369">
        <f t="shared" ref="U195:AJ195" si="167">U196</f>
        <v>10282942055</v>
      </c>
      <c r="V195" s="461">
        <f t="shared" si="167"/>
        <v>300000000</v>
      </c>
      <c r="W195" s="461">
        <f t="shared" si="167"/>
        <v>6016007161</v>
      </c>
      <c r="X195" s="462">
        <f t="shared" si="167"/>
        <v>16598949216</v>
      </c>
      <c r="Y195" s="369">
        <f t="shared" si="167"/>
        <v>8510312988</v>
      </c>
      <c r="Z195" s="461">
        <f t="shared" si="167"/>
        <v>3072270457</v>
      </c>
      <c r="AA195" s="370">
        <f t="shared" si="167"/>
        <v>11582583445</v>
      </c>
      <c r="AB195" s="369">
        <f t="shared" si="167"/>
        <v>4854125839</v>
      </c>
      <c r="AC195" s="461">
        <f t="shared" si="167"/>
        <v>3250496511</v>
      </c>
      <c r="AD195" s="370">
        <f t="shared" si="167"/>
        <v>8104622350</v>
      </c>
      <c r="AE195" s="369">
        <f t="shared" si="167"/>
        <v>2083867664</v>
      </c>
      <c r="AF195" s="461">
        <f t="shared" si="167"/>
        <v>1773874794</v>
      </c>
      <c r="AG195" s="370">
        <f t="shared" si="167"/>
        <v>3857742458</v>
      </c>
      <c r="AH195" s="369">
        <f t="shared" si="167"/>
        <v>5016365771</v>
      </c>
      <c r="AI195" s="461">
        <f t="shared" si="167"/>
        <v>8494326866</v>
      </c>
      <c r="AJ195" s="370">
        <f t="shared" si="167"/>
        <v>12741206758</v>
      </c>
      <c r="AK195" s="9"/>
      <c r="AL195" s="128">
        <f>AL196</f>
        <v>300000000</v>
      </c>
      <c r="AM195" s="130">
        <f>AM196</f>
        <v>3190340276</v>
      </c>
      <c r="AN195" s="9"/>
    </row>
    <row r="196" spans="1:40" s="372" customFormat="1" ht="24.95" customHeight="1">
      <c r="A196" s="734"/>
      <c r="B196" s="644"/>
      <c r="N196" s="9"/>
      <c r="P196" s="9"/>
      <c r="Q196" s="9"/>
      <c r="R196" s="9"/>
      <c r="S196" s="687">
        <f>+IF(FEBRERO!S196=0,"",FEBRERO!S196)</f>
        <v>4100000</v>
      </c>
      <c r="T196" s="703" t="str">
        <f>+IF(FEBRERO!T196=0,"",FEBRERO!T196)</f>
        <v>Insumos y Suministros Hospitalarios</v>
      </c>
      <c r="U196" s="128">
        <f t="shared" ref="U196:AJ196" si="168">U197+U205+U207</f>
        <v>10282942055</v>
      </c>
      <c r="V196" s="122">
        <f t="shared" si="168"/>
        <v>300000000</v>
      </c>
      <c r="W196" s="122">
        <f t="shared" si="168"/>
        <v>6016007161</v>
      </c>
      <c r="X196" s="129">
        <f t="shared" si="168"/>
        <v>16598949216</v>
      </c>
      <c r="Y196" s="128">
        <f t="shared" si="168"/>
        <v>8510312988</v>
      </c>
      <c r="Z196" s="122">
        <f t="shared" si="168"/>
        <v>3072270457</v>
      </c>
      <c r="AA196" s="130">
        <f t="shared" si="168"/>
        <v>11582583445</v>
      </c>
      <c r="AB196" s="128">
        <f t="shared" si="168"/>
        <v>4854125839</v>
      </c>
      <c r="AC196" s="122">
        <f t="shared" si="168"/>
        <v>3250496511</v>
      </c>
      <c r="AD196" s="130">
        <f t="shared" si="168"/>
        <v>8104622350</v>
      </c>
      <c r="AE196" s="128">
        <f t="shared" si="168"/>
        <v>2083867664</v>
      </c>
      <c r="AF196" s="122">
        <f t="shared" si="168"/>
        <v>1773874794</v>
      </c>
      <c r="AG196" s="130">
        <f t="shared" si="168"/>
        <v>3857742458</v>
      </c>
      <c r="AH196" s="128">
        <f t="shared" si="168"/>
        <v>5016365771</v>
      </c>
      <c r="AI196" s="122">
        <f t="shared" si="168"/>
        <v>8494326866</v>
      </c>
      <c r="AJ196" s="130">
        <f t="shared" si="168"/>
        <v>12741206758</v>
      </c>
      <c r="AK196" s="10"/>
      <c r="AL196" s="128">
        <f>AL197+AL205+AL207</f>
        <v>300000000</v>
      </c>
      <c r="AM196" s="130">
        <f>AM197+AM205+AM207</f>
        <v>3190340276</v>
      </c>
      <c r="AN196" s="9"/>
    </row>
    <row r="197" spans="1:40" s="372" customFormat="1" ht="24.95" customHeight="1">
      <c r="A197" s="734"/>
      <c r="B197" s="644"/>
      <c r="N197" s="9"/>
      <c r="P197" s="9"/>
      <c r="Q197" s="9"/>
      <c r="R197" s="9"/>
      <c r="S197" s="688">
        <f>+IF(FEBRERO!S197=0,"",FEBRERO!S197)</f>
        <v>4100100</v>
      </c>
      <c r="T197" s="704" t="str">
        <f>+IF(FEBRERO!T197=0,"",FEBRERO!T197)</f>
        <v>Compra de Bienes para la Prestacion de servicios</v>
      </c>
      <c r="U197" s="29">
        <f t="shared" ref="U197:AJ197" si="169">SUM(U198:U204)</f>
        <v>8084311192</v>
      </c>
      <c r="V197" s="15">
        <f t="shared" si="169"/>
        <v>290000000</v>
      </c>
      <c r="W197" s="15">
        <f t="shared" si="169"/>
        <v>1678133167</v>
      </c>
      <c r="X197" s="18">
        <f t="shared" si="169"/>
        <v>10052444359</v>
      </c>
      <c r="Y197" s="19">
        <f t="shared" si="169"/>
        <v>5984775756</v>
      </c>
      <c r="Z197" s="142">
        <f t="shared" si="169"/>
        <v>1586060485</v>
      </c>
      <c r="AA197" s="16">
        <f t="shared" si="169"/>
        <v>7570836241</v>
      </c>
      <c r="AB197" s="19">
        <f t="shared" si="169"/>
        <v>3296289052</v>
      </c>
      <c r="AC197" s="142">
        <f t="shared" si="169"/>
        <v>1665874893</v>
      </c>
      <c r="AD197" s="16">
        <f t="shared" si="169"/>
        <v>4962163945</v>
      </c>
      <c r="AE197" s="19">
        <f t="shared" si="169"/>
        <v>708330432</v>
      </c>
      <c r="AF197" s="142">
        <f t="shared" si="169"/>
        <v>188362979</v>
      </c>
      <c r="AG197" s="16">
        <f t="shared" si="169"/>
        <v>896693411</v>
      </c>
      <c r="AH197" s="19">
        <f t="shared" si="169"/>
        <v>2481608118</v>
      </c>
      <c r="AI197" s="15">
        <f t="shared" si="169"/>
        <v>5090280414</v>
      </c>
      <c r="AJ197" s="16">
        <f t="shared" si="169"/>
        <v>9155750948</v>
      </c>
      <c r="AK197" s="9"/>
      <c r="AL197" s="29">
        <f>SUM(AL198:AL204)</f>
        <v>300000000</v>
      </c>
      <c r="AM197" s="26">
        <f>SUM(AM198:AM204)</f>
        <v>1190340276</v>
      </c>
      <c r="AN197" s="9"/>
    </row>
    <row r="198" spans="1:40" s="372" customFormat="1" ht="24.95" customHeight="1">
      <c r="A198" s="734"/>
      <c r="B198" s="644"/>
      <c r="N198" s="9"/>
      <c r="P198" s="9"/>
      <c r="Q198" s="9"/>
      <c r="R198" s="9"/>
      <c r="S198" s="689" t="str">
        <f>+IF(FEBRERO!S198=0,"",FEBRERO!S198)</f>
        <v>4100100-1</v>
      </c>
      <c r="T198" s="705" t="str">
        <f>+IF(FEBRERO!T198=0,"",FEBRERO!T198)</f>
        <v>Productos Farmaceuticos</v>
      </c>
      <c r="U198" s="29">
        <f>+ENERO!U198</f>
        <v>4000000000</v>
      </c>
      <c r="V198" s="15">
        <f>FEBRERO!V198+MARZO!AL198</f>
        <v>290000000</v>
      </c>
      <c r="W198" s="15">
        <f>FEBRERO!W198+MARZO!AM198</f>
        <v>300000000</v>
      </c>
      <c r="X198" s="18">
        <f t="shared" ref="X198:X204" si="170">SUM(U198:W198)</f>
        <v>4590000000</v>
      </c>
      <c r="Y198" s="19">
        <f>FEBRERO!AA198</f>
        <v>2913788905</v>
      </c>
      <c r="Z198" s="364">
        <v>770724141</v>
      </c>
      <c r="AA198" s="16">
        <f t="shared" ref="AA198:AA204" si="171">SUM(Y198:Z198)</f>
        <v>3684513046</v>
      </c>
      <c r="AB198" s="19">
        <f>FEBRERO!AD198</f>
        <v>1438224961</v>
      </c>
      <c r="AC198" s="364">
        <v>880659417</v>
      </c>
      <c r="AD198" s="16">
        <f t="shared" ref="AD198:AD204" si="172">SUM(AB198:AC198)</f>
        <v>2318884378</v>
      </c>
      <c r="AE198" s="19">
        <f>FEBRERO!AG198</f>
        <v>363542413</v>
      </c>
      <c r="AF198" s="364">
        <v>61810117</v>
      </c>
      <c r="AG198" s="16">
        <f t="shared" ref="AG198:AG204" si="173">SUM(AE198:AF198)</f>
        <v>425352530</v>
      </c>
      <c r="AH198" s="19">
        <f t="shared" ref="AH198:AH204" si="174">X198-AA198</f>
        <v>905486954</v>
      </c>
      <c r="AI198" s="15">
        <f t="shared" ref="AI198:AI204" si="175">X198-AD198</f>
        <v>2271115622</v>
      </c>
      <c r="AJ198" s="16">
        <f t="shared" ref="AJ198:AJ204" si="176">X198-AG198</f>
        <v>4164647470</v>
      </c>
      <c r="AK198" s="9"/>
      <c r="AL198" s="362">
        <v>300000000</v>
      </c>
      <c r="AM198" s="365">
        <v>300000000</v>
      </c>
      <c r="AN198" s="9"/>
    </row>
    <row r="199" spans="1:40" s="372" customFormat="1" ht="24.95" customHeight="1">
      <c r="A199" s="734"/>
      <c r="B199" s="644"/>
      <c r="N199" s="9"/>
      <c r="P199" s="9"/>
      <c r="Q199" s="9"/>
      <c r="R199" s="9"/>
      <c r="S199" s="689" t="str">
        <f>+IF(FEBRERO!S199=0,"",FEBRERO!S199)</f>
        <v>4100100-2</v>
      </c>
      <c r="T199" s="705" t="str">
        <f>+IF(FEBRERO!T199=0,"",FEBRERO!T199)</f>
        <v>Material Médico Quirúrgico</v>
      </c>
      <c r="U199" s="29">
        <f>+ENERO!U199</f>
        <v>3244311192</v>
      </c>
      <c r="V199" s="15">
        <f>FEBRERO!V199+MARZO!AL199</f>
        <v>0</v>
      </c>
      <c r="W199" s="15">
        <f>FEBRERO!W199+MARZO!AM199</f>
        <v>1378133167</v>
      </c>
      <c r="X199" s="18">
        <f t="shared" si="170"/>
        <v>4622444359</v>
      </c>
      <c r="Y199" s="19">
        <f>FEBRERO!AA199</f>
        <v>2990834547</v>
      </c>
      <c r="Z199" s="364">
        <v>707143910</v>
      </c>
      <c r="AA199" s="16">
        <f t="shared" si="171"/>
        <v>3697978457</v>
      </c>
      <c r="AB199" s="19">
        <f>FEBRERO!AD199</f>
        <v>1777911517</v>
      </c>
      <c r="AC199" s="364">
        <v>677023045</v>
      </c>
      <c r="AD199" s="16">
        <f t="shared" si="172"/>
        <v>2454934562</v>
      </c>
      <c r="AE199" s="19">
        <f>FEBRERO!AG199</f>
        <v>344569059</v>
      </c>
      <c r="AF199" s="364">
        <v>126552862</v>
      </c>
      <c r="AG199" s="16">
        <f t="shared" si="173"/>
        <v>471121921</v>
      </c>
      <c r="AH199" s="19">
        <f t="shared" si="174"/>
        <v>924465902</v>
      </c>
      <c r="AI199" s="15">
        <f t="shared" si="175"/>
        <v>2167509797</v>
      </c>
      <c r="AJ199" s="16">
        <f t="shared" si="176"/>
        <v>4151322438</v>
      </c>
      <c r="AK199" s="9"/>
      <c r="AL199" s="362">
        <v>0</v>
      </c>
      <c r="AM199" s="365">
        <v>890340276</v>
      </c>
      <c r="AN199" s="9"/>
    </row>
    <row r="200" spans="1:40" s="372" customFormat="1" ht="24.95" customHeight="1">
      <c r="A200" s="734"/>
      <c r="B200" s="644"/>
      <c r="N200" s="9"/>
      <c r="P200" s="9"/>
      <c r="Q200" s="9"/>
      <c r="R200" s="9"/>
      <c r="S200" s="689" t="str">
        <f>+IF(FEBRERO!S200=0,"",FEBRERO!S200)</f>
        <v>4100100-3</v>
      </c>
      <c r="T200" s="705" t="str">
        <f>+IF(FEBRERO!T200=0,"",FEBRERO!T200)</f>
        <v>Material de Laboratorio</v>
      </c>
      <c r="U200" s="29">
        <f>+ENERO!U200</f>
        <v>840000000</v>
      </c>
      <c r="V200" s="15">
        <f>FEBRERO!V200+MARZO!AL200</f>
        <v>0</v>
      </c>
      <c r="W200" s="15">
        <f>FEBRERO!W200+MARZO!AM200</f>
        <v>0</v>
      </c>
      <c r="X200" s="18">
        <f t="shared" si="170"/>
        <v>840000000</v>
      </c>
      <c r="Y200" s="19">
        <f>FEBRERO!AA200</f>
        <v>80152304</v>
      </c>
      <c r="Z200" s="364">
        <v>108192434</v>
      </c>
      <c r="AA200" s="16">
        <f t="shared" si="171"/>
        <v>188344738</v>
      </c>
      <c r="AB200" s="19">
        <f>FEBRERO!AD200</f>
        <v>80152574</v>
      </c>
      <c r="AC200" s="364">
        <v>108192431</v>
      </c>
      <c r="AD200" s="16">
        <f t="shared" si="172"/>
        <v>188345005</v>
      </c>
      <c r="AE200" s="19">
        <f>FEBRERO!AG200</f>
        <v>218960</v>
      </c>
      <c r="AF200" s="364">
        <v>0</v>
      </c>
      <c r="AG200" s="16">
        <f t="shared" si="173"/>
        <v>218960</v>
      </c>
      <c r="AH200" s="19">
        <f t="shared" si="174"/>
        <v>651655262</v>
      </c>
      <c r="AI200" s="15">
        <f t="shared" si="175"/>
        <v>651654995</v>
      </c>
      <c r="AJ200" s="16">
        <f t="shared" si="176"/>
        <v>839781040</v>
      </c>
      <c r="AK200" s="9"/>
      <c r="AL200" s="362">
        <v>0</v>
      </c>
      <c r="AM200" s="365">
        <v>0</v>
      </c>
      <c r="AN200" s="9"/>
    </row>
    <row r="201" spans="1:40" s="372" customFormat="1" ht="24.95" customHeight="1">
      <c r="A201" s="734"/>
      <c r="B201" s="644"/>
      <c r="N201" s="9"/>
      <c r="P201" s="9"/>
      <c r="Q201" s="9"/>
      <c r="R201" s="9"/>
      <c r="S201" s="689" t="str">
        <f>+IF(FEBRERO!S201=0,"",FEBRERO!S201)</f>
        <v>4100100-4</v>
      </c>
      <c r="T201" s="705" t="str">
        <f>+IF(FEBRERO!T201=0,"",FEBRERO!T201)</f>
        <v>Material para Odontologia</v>
      </c>
      <c r="U201" s="29">
        <f>+ENERO!U201</f>
        <v>0</v>
      </c>
      <c r="V201" s="15">
        <f>FEBRERO!V201+MARZO!AL201</f>
        <v>0</v>
      </c>
      <c r="W201" s="15">
        <f>FEBRERO!W201+MARZO!AM201</f>
        <v>0</v>
      </c>
      <c r="X201" s="18">
        <f t="shared" si="170"/>
        <v>0</v>
      </c>
      <c r="Y201" s="19">
        <f>FEBRERO!AA201</f>
        <v>0</v>
      </c>
      <c r="Z201" s="364">
        <v>0</v>
      </c>
      <c r="AA201" s="16">
        <f t="shared" si="171"/>
        <v>0</v>
      </c>
      <c r="AB201" s="19">
        <f>FEBRERO!AD201</f>
        <v>0</v>
      </c>
      <c r="AC201" s="364">
        <v>0</v>
      </c>
      <c r="AD201" s="16">
        <f t="shared" si="172"/>
        <v>0</v>
      </c>
      <c r="AE201" s="19">
        <f>FEBRERO!AG201</f>
        <v>0</v>
      </c>
      <c r="AF201" s="364">
        <v>0</v>
      </c>
      <c r="AG201" s="16">
        <f t="shared" si="173"/>
        <v>0</v>
      </c>
      <c r="AH201" s="19">
        <f t="shared" si="174"/>
        <v>0</v>
      </c>
      <c r="AI201" s="15">
        <f t="shared" si="175"/>
        <v>0</v>
      </c>
      <c r="AJ201" s="16">
        <f t="shared" si="176"/>
        <v>0</v>
      </c>
      <c r="AK201" s="9"/>
      <c r="AL201" s="362">
        <v>0</v>
      </c>
      <c r="AM201" s="365">
        <v>0</v>
      </c>
      <c r="AN201" s="9"/>
    </row>
    <row r="202" spans="1:40" s="372" customFormat="1" ht="24.95" customHeight="1">
      <c r="A202" s="734"/>
      <c r="B202" s="644"/>
      <c r="N202" s="9"/>
      <c r="P202" s="9"/>
      <c r="Q202" s="9"/>
      <c r="R202" s="9"/>
      <c r="S202" s="689" t="str">
        <f>+IF(FEBRERO!S202=0,"",FEBRERO!S202)</f>
        <v>4100100-5</v>
      </c>
      <c r="T202" s="705" t="str">
        <f>+IF(FEBRERO!T202=0,"",FEBRERO!T202)</f>
        <v>Material para Rayos X</v>
      </c>
      <c r="U202" s="29">
        <f>+ENERO!U202</f>
        <v>0</v>
      </c>
      <c r="V202" s="15">
        <f>FEBRERO!V202+MARZO!AL202</f>
        <v>0</v>
      </c>
      <c r="W202" s="15">
        <f>FEBRERO!W202+MARZO!AM202</f>
        <v>0</v>
      </c>
      <c r="X202" s="18">
        <f t="shared" si="170"/>
        <v>0</v>
      </c>
      <c r="Y202" s="19">
        <f>FEBRERO!AA202</f>
        <v>0</v>
      </c>
      <c r="Z202" s="364">
        <v>0</v>
      </c>
      <c r="AA202" s="16">
        <f t="shared" si="171"/>
        <v>0</v>
      </c>
      <c r="AB202" s="19">
        <f>FEBRERO!AD202</f>
        <v>0</v>
      </c>
      <c r="AC202" s="364">
        <v>0</v>
      </c>
      <c r="AD202" s="16">
        <f t="shared" si="172"/>
        <v>0</v>
      </c>
      <c r="AE202" s="19">
        <f>FEBRERO!AG202</f>
        <v>0</v>
      </c>
      <c r="AF202" s="364">
        <v>0</v>
      </c>
      <c r="AG202" s="16">
        <f t="shared" si="173"/>
        <v>0</v>
      </c>
      <c r="AH202" s="19">
        <f t="shared" si="174"/>
        <v>0</v>
      </c>
      <c r="AI202" s="15">
        <f t="shared" si="175"/>
        <v>0</v>
      </c>
      <c r="AJ202" s="16">
        <f t="shared" si="176"/>
        <v>0</v>
      </c>
      <c r="AK202" s="9"/>
      <c r="AL202" s="362">
        <v>0</v>
      </c>
      <c r="AM202" s="365">
        <v>0</v>
      </c>
      <c r="AN202" s="9"/>
    </row>
    <row r="203" spans="1:40" s="372" customFormat="1" ht="24.95" customHeight="1">
      <c r="A203" s="734"/>
      <c r="B203" s="644"/>
      <c r="N203" s="9"/>
      <c r="P203" s="9"/>
      <c r="Q203" s="9"/>
      <c r="R203" s="9"/>
      <c r="S203" s="689" t="str">
        <f>+IF(FEBRERO!S203=0,"",FEBRERO!S203)</f>
        <v>4100100-6</v>
      </c>
      <c r="T203" s="705" t="str">
        <f>+IF(FEBRERO!T203=0,"",FEBRERO!T203)</f>
        <v/>
      </c>
      <c r="U203" s="29">
        <f>+ENERO!U203</f>
        <v>0</v>
      </c>
      <c r="V203" s="15">
        <f>FEBRERO!V203+MARZO!AL203</f>
        <v>0</v>
      </c>
      <c r="W203" s="15">
        <f>FEBRERO!W203+MARZO!AM203</f>
        <v>0</v>
      </c>
      <c r="X203" s="18">
        <f t="shared" si="170"/>
        <v>0</v>
      </c>
      <c r="Y203" s="19">
        <f>FEBRERO!AA203</f>
        <v>0</v>
      </c>
      <c r="Z203" s="364">
        <v>0</v>
      </c>
      <c r="AA203" s="16">
        <f t="shared" si="171"/>
        <v>0</v>
      </c>
      <c r="AB203" s="19">
        <f>FEBRERO!AD203</f>
        <v>0</v>
      </c>
      <c r="AC203" s="364">
        <v>0</v>
      </c>
      <c r="AD203" s="16">
        <f t="shared" si="172"/>
        <v>0</v>
      </c>
      <c r="AE203" s="19">
        <f>FEBRERO!AG203</f>
        <v>0</v>
      </c>
      <c r="AF203" s="364">
        <v>0</v>
      </c>
      <c r="AG203" s="16">
        <f t="shared" si="173"/>
        <v>0</v>
      </c>
      <c r="AH203" s="19">
        <f t="shared" si="174"/>
        <v>0</v>
      </c>
      <c r="AI203" s="15">
        <f t="shared" si="175"/>
        <v>0</v>
      </c>
      <c r="AJ203" s="16">
        <f t="shared" si="176"/>
        <v>0</v>
      </c>
      <c r="AK203" s="9"/>
      <c r="AL203" s="362">
        <v>0</v>
      </c>
      <c r="AM203" s="365">
        <v>0</v>
      </c>
      <c r="AN203" s="9"/>
    </row>
    <row r="204" spans="1:40" s="372" customFormat="1" ht="24.95" customHeight="1">
      <c r="A204" s="734"/>
      <c r="B204" s="644"/>
      <c r="N204" s="9"/>
      <c r="P204" s="9"/>
      <c r="Q204" s="9"/>
      <c r="R204" s="9"/>
      <c r="S204" s="689" t="str">
        <f>+IF(FEBRERO!S204=0,"",FEBRERO!S204)</f>
        <v>4100100-7</v>
      </c>
      <c r="T204" s="705" t="str">
        <f>+IF(FEBRERO!T204=0,"",FEBRERO!T204)</f>
        <v/>
      </c>
      <c r="U204" s="29">
        <f>+ENERO!U204</f>
        <v>0</v>
      </c>
      <c r="V204" s="15">
        <f>FEBRERO!V204+MARZO!AL204</f>
        <v>0</v>
      </c>
      <c r="W204" s="15">
        <f>FEBRERO!W204+MARZO!AM204</f>
        <v>0</v>
      </c>
      <c r="X204" s="18">
        <f t="shared" si="170"/>
        <v>0</v>
      </c>
      <c r="Y204" s="19">
        <f>FEBRERO!AA204</f>
        <v>0</v>
      </c>
      <c r="Z204" s="364">
        <v>0</v>
      </c>
      <c r="AA204" s="16">
        <f t="shared" si="171"/>
        <v>0</v>
      </c>
      <c r="AB204" s="19">
        <f>FEBRERO!AD204</f>
        <v>0</v>
      </c>
      <c r="AC204" s="364">
        <v>0</v>
      </c>
      <c r="AD204" s="16">
        <f t="shared" si="172"/>
        <v>0</v>
      </c>
      <c r="AE204" s="19">
        <f>FEBRERO!AG204</f>
        <v>0</v>
      </c>
      <c r="AF204" s="364">
        <v>0</v>
      </c>
      <c r="AG204" s="16">
        <f t="shared" si="173"/>
        <v>0</v>
      </c>
      <c r="AH204" s="19">
        <f t="shared" si="174"/>
        <v>0</v>
      </c>
      <c r="AI204" s="15">
        <f t="shared" si="175"/>
        <v>0</v>
      </c>
      <c r="AJ204" s="16">
        <f t="shared" si="176"/>
        <v>0</v>
      </c>
      <c r="AK204" s="9"/>
      <c r="AL204" s="362">
        <v>0</v>
      </c>
      <c r="AM204" s="365">
        <v>0</v>
      </c>
      <c r="AN204" s="9"/>
    </row>
    <row r="205" spans="1:40" s="372" customFormat="1" ht="24.95" customHeight="1">
      <c r="A205" s="734"/>
      <c r="B205" s="644"/>
      <c r="N205" s="9"/>
      <c r="P205" s="9"/>
      <c r="Q205" s="9"/>
      <c r="R205" s="9"/>
      <c r="S205" s="688">
        <f>+IF(FEBRERO!S205=0,"",FEBRERO!S205)</f>
        <v>4100200</v>
      </c>
      <c r="T205" s="704" t="str">
        <f>+IF(FEBRERO!T205=0,"",FEBRERO!T205)</f>
        <v>Gastos Complementarios e Intermedios</v>
      </c>
      <c r="U205" s="29">
        <f t="shared" ref="U205:AJ205" si="177">U206</f>
        <v>1200000000</v>
      </c>
      <c r="V205" s="15">
        <f t="shared" si="177"/>
        <v>0</v>
      </c>
      <c r="W205" s="15">
        <f t="shared" si="177"/>
        <v>0</v>
      </c>
      <c r="X205" s="18">
        <f t="shared" si="177"/>
        <v>1200000000</v>
      </c>
      <c r="Y205" s="19">
        <f t="shared" si="177"/>
        <v>1150557400</v>
      </c>
      <c r="Z205" s="142">
        <f t="shared" si="177"/>
        <v>0</v>
      </c>
      <c r="AA205" s="16">
        <f t="shared" si="177"/>
        <v>1150557400</v>
      </c>
      <c r="AB205" s="19">
        <f t="shared" si="177"/>
        <v>182856955</v>
      </c>
      <c r="AC205" s="142">
        <f t="shared" si="177"/>
        <v>98411646</v>
      </c>
      <c r="AD205" s="16">
        <f t="shared" si="177"/>
        <v>281268601</v>
      </c>
      <c r="AE205" s="19">
        <f t="shared" si="177"/>
        <v>557400</v>
      </c>
      <c r="AF205" s="142">
        <f t="shared" si="177"/>
        <v>99301843</v>
      </c>
      <c r="AG205" s="16">
        <f t="shared" si="177"/>
        <v>99859243</v>
      </c>
      <c r="AH205" s="19">
        <f t="shared" si="177"/>
        <v>49442600</v>
      </c>
      <c r="AI205" s="15">
        <f t="shared" si="177"/>
        <v>918731399</v>
      </c>
      <c r="AJ205" s="16">
        <f t="shared" si="177"/>
        <v>1100140757</v>
      </c>
      <c r="AK205" s="9"/>
      <c r="AL205" s="29">
        <f>AL206</f>
        <v>0</v>
      </c>
      <c r="AM205" s="26">
        <f>AM206</f>
        <v>0</v>
      </c>
      <c r="AN205" s="9"/>
    </row>
    <row r="206" spans="1:40" s="372" customFormat="1" ht="24.95" customHeight="1">
      <c r="A206" s="734"/>
      <c r="B206" s="644"/>
      <c r="N206" s="9"/>
      <c r="P206" s="9"/>
      <c r="Q206" s="9"/>
      <c r="R206" s="9"/>
      <c r="S206" s="689" t="str">
        <f>+IF(FEBRERO!S206=0,"",FEBRERO!S206)</f>
        <v>4100200-1</v>
      </c>
      <c r="T206" s="705" t="str">
        <f>+IF(FEBRERO!T206=0,"",FEBRERO!T206)</f>
        <v>Alimentación</v>
      </c>
      <c r="U206" s="29">
        <f>+ENERO!U206</f>
        <v>1200000000</v>
      </c>
      <c r="V206" s="15">
        <f>FEBRERO!V206+MARZO!AL206</f>
        <v>0</v>
      </c>
      <c r="W206" s="15">
        <f>FEBRERO!W206+MARZO!AM206</f>
        <v>0</v>
      </c>
      <c r="X206" s="18">
        <f>SUM(U206:W206)</f>
        <v>1200000000</v>
      </c>
      <c r="Y206" s="19">
        <f>FEBRERO!AA206</f>
        <v>1150557400</v>
      </c>
      <c r="Z206" s="364">
        <v>0</v>
      </c>
      <c r="AA206" s="16">
        <f>SUM(Y206:Z206)</f>
        <v>1150557400</v>
      </c>
      <c r="AB206" s="19">
        <f>FEBRERO!AD206</f>
        <v>182856955</v>
      </c>
      <c r="AC206" s="364">
        <v>98411646</v>
      </c>
      <c r="AD206" s="16">
        <f>SUM(AB206:AC206)</f>
        <v>281268601</v>
      </c>
      <c r="AE206" s="19">
        <f>FEBRERO!AG206</f>
        <v>557400</v>
      </c>
      <c r="AF206" s="364">
        <v>99301843</v>
      </c>
      <c r="AG206" s="16">
        <f>SUM(AE206:AF206)</f>
        <v>99859243</v>
      </c>
      <c r="AH206" s="19">
        <f>X206-AA206</f>
        <v>49442600</v>
      </c>
      <c r="AI206" s="15">
        <f>X206-AD206</f>
        <v>918731399</v>
      </c>
      <c r="AJ206" s="16">
        <f>X206-AG206</f>
        <v>1100140757</v>
      </c>
      <c r="AK206" s="9"/>
      <c r="AL206" s="362">
        <v>0</v>
      </c>
      <c r="AM206" s="365">
        <v>0</v>
      </c>
      <c r="AN206" s="9"/>
    </row>
    <row r="207" spans="1:40" s="372" customFormat="1" ht="24.95" customHeight="1" thickBot="1">
      <c r="A207" s="734"/>
      <c r="B207" s="644"/>
      <c r="N207" s="9"/>
      <c r="P207" s="9"/>
      <c r="Q207" s="9"/>
      <c r="R207" s="9"/>
      <c r="S207" s="691">
        <f>+IF(FEBRERO!S207=0,"",FEBRERO!S207)</f>
        <v>4199999</v>
      </c>
      <c r="T207" s="707" t="str">
        <f>+IF(FEBRERO!T207=0,"",FEBRERO!T207)</f>
        <v>Vigencias Anteriores</v>
      </c>
      <c r="U207" s="191">
        <f>+ENERO!U207</f>
        <v>998630863</v>
      </c>
      <c r="V207" s="121">
        <f>FEBRERO!V207+MARZO!AL207</f>
        <v>10000000</v>
      </c>
      <c r="W207" s="121">
        <f>FEBRERO!W207+MARZO!AM207</f>
        <v>4337873994</v>
      </c>
      <c r="X207" s="126">
        <f>SUM(U207:W207)</f>
        <v>5346504857</v>
      </c>
      <c r="Y207" s="124">
        <f>FEBRERO!AA207</f>
        <v>1374979832</v>
      </c>
      <c r="Z207" s="378">
        <v>1486209972</v>
      </c>
      <c r="AA207" s="125">
        <f>SUM(Y207:Z207)</f>
        <v>2861189804</v>
      </c>
      <c r="AB207" s="124">
        <f>FEBRERO!AD207</f>
        <v>1374979832</v>
      </c>
      <c r="AC207" s="378">
        <v>1486209972</v>
      </c>
      <c r="AD207" s="125">
        <f>SUM(AB207:AC207)</f>
        <v>2861189804</v>
      </c>
      <c r="AE207" s="124">
        <f>FEBRERO!AG207</f>
        <v>1374979832</v>
      </c>
      <c r="AF207" s="378">
        <v>1486209972</v>
      </c>
      <c r="AG207" s="125">
        <f>SUM(AE207:AF207)</f>
        <v>2861189804</v>
      </c>
      <c r="AH207" s="124">
        <f>X207-AA207</f>
        <v>2485315053</v>
      </c>
      <c r="AI207" s="121">
        <f>X207-AD207</f>
        <v>2485315053</v>
      </c>
      <c r="AJ207" s="125">
        <f>X207-AG207</f>
        <v>2485315053</v>
      </c>
      <c r="AK207" s="9"/>
      <c r="AL207" s="374">
        <v>0</v>
      </c>
      <c r="AM207" s="379">
        <v>2000000000</v>
      </c>
      <c r="AN207" s="9"/>
    </row>
    <row r="208" spans="1:40" s="372" customFormat="1" ht="24.95" customHeight="1">
      <c r="A208" s="734"/>
      <c r="B208" s="644"/>
      <c r="N208" s="9"/>
      <c r="P208" s="9"/>
      <c r="Q208" s="9"/>
      <c r="R208" s="9"/>
      <c r="S208" s="479" t="str">
        <f>+IF(FEBRERO!S208=0,"",FEBRERO!S208)</f>
        <v/>
      </c>
      <c r="T208" s="671" t="str">
        <f>+IF(FEBRERO!T208=0,"",FEBRERO!T208)</f>
        <v/>
      </c>
      <c r="U208" s="167"/>
      <c r="V208" s="167"/>
      <c r="W208" s="167"/>
      <c r="X208" s="167"/>
      <c r="Y208" s="480"/>
      <c r="Z208" s="167"/>
      <c r="AA208" s="168"/>
      <c r="AB208" s="480"/>
      <c r="AC208" s="167"/>
      <c r="AD208" s="168"/>
      <c r="AE208" s="480"/>
      <c r="AF208" s="167"/>
      <c r="AG208" s="168"/>
      <c r="AH208" s="480"/>
      <c r="AI208" s="167"/>
      <c r="AJ208" s="168"/>
      <c r="AK208" s="9"/>
      <c r="AL208" s="481"/>
      <c r="AM208" s="482"/>
      <c r="AN208" s="9"/>
    </row>
    <row r="209" spans="1:40" s="372" customFormat="1" ht="24.95" customHeight="1">
      <c r="A209" s="734"/>
      <c r="B209" s="644"/>
      <c r="N209" s="9"/>
      <c r="P209" s="9"/>
      <c r="Q209" s="9"/>
      <c r="R209" s="9"/>
      <c r="S209" s="686">
        <f>+IF(FEBRERO!S209=0,"",FEBRERO!S209)</f>
        <v>5000000</v>
      </c>
      <c r="T209" s="708" t="str">
        <f>+IF(FEBRERO!T209=0,"",FEBRERO!T209)</f>
        <v>GASTOS DE COMERCIALIZACION</v>
      </c>
      <c r="U209" s="460">
        <f t="shared" ref="U209:AJ209" si="178">U210</f>
        <v>0</v>
      </c>
      <c r="V209" s="461">
        <f t="shared" si="178"/>
        <v>0</v>
      </c>
      <c r="W209" s="461">
        <f t="shared" si="178"/>
        <v>0</v>
      </c>
      <c r="X209" s="462">
        <f t="shared" si="178"/>
        <v>0</v>
      </c>
      <c r="Y209" s="369">
        <f t="shared" si="178"/>
        <v>0</v>
      </c>
      <c r="Z209" s="461">
        <f t="shared" si="178"/>
        <v>0</v>
      </c>
      <c r="AA209" s="370">
        <f t="shared" si="178"/>
        <v>0</v>
      </c>
      <c r="AB209" s="369">
        <f t="shared" si="178"/>
        <v>0</v>
      </c>
      <c r="AC209" s="461">
        <f t="shared" si="178"/>
        <v>0</v>
      </c>
      <c r="AD209" s="370">
        <f t="shared" si="178"/>
        <v>0</v>
      </c>
      <c r="AE209" s="369">
        <f t="shared" si="178"/>
        <v>0</v>
      </c>
      <c r="AF209" s="461">
        <f t="shared" si="178"/>
        <v>0</v>
      </c>
      <c r="AG209" s="370">
        <f t="shared" si="178"/>
        <v>0</v>
      </c>
      <c r="AH209" s="369">
        <f t="shared" si="178"/>
        <v>0</v>
      </c>
      <c r="AI209" s="461">
        <f t="shared" si="178"/>
        <v>0</v>
      </c>
      <c r="AJ209" s="370">
        <f t="shared" si="178"/>
        <v>0</v>
      </c>
      <c r="AK209" s="9"/>
      <c r="AL209" s="128">
        <f>AL210</f>
        <v>0</v>
      </c>
      <c r="AM209" s="130">
        <f>AM210</f>
        <v>0</v>
      </c>
      <c r="AN209" s="9"/>
    </row>
    <row r="210" spans="1:40" s="372" customFormat="1" ht="24.95" customHeight="1">
      <c r="A210" s="734"/>
      <c r="B210" s="644"/>
      <c r="N210" s="9"/>
      <c r="P210" s="9"/>
      <c r="Q210" s="9"/>
      <c r="R210" s="9"/>
      <c r="S210" s="687">
        <f>+IF(FEBRERO!S210=0,"",FEBRERO!S210)</f>
        <v>5100000</v>
      </c>
      <c r="T210" s="663" t="str">
        <f>+IF(FEBRERO!T210=0,"",FEBRERO!T210)</f>
        <v>Insumos y Suministros para Venta al Público</v>
      </c>
      <c r="U210" s="132">
        <f t="shared" ref="U210:AJ210" si="179">U211+U218</f>
        <v>0</v>
      </c>
      <c r="V210" s="122">
        <f t="shared" si="179"/>
        <v>0</v>
      </c>
      <c r="W210" s="122">
        <f t="shared" si="179"/>
        <v>0</v>
      </c>
      <c r="X210" s="129">
        <f t="shared" si="179"/>
        <v>0</v>
      </c>
      <c r="Y210" s="128">
        <f t="shared" si="179"/>
        <v>0</v>
      </c>
      <c r="Z210" s="122">
        <f t="shared" si="179"/>
        <v>0</v>
      </c>
      <c r="AA210" s="130">
        <f t="shared" si="179"/>
        <v>0</v>
      </c>
      <c r="AB210" s="128">
        <f t="shared" si="179"/>
        <v>0</v>
      </c>
      <c r="AC210" s="122">
        <f t="shared" si="179"/>
        <v>0</v>
      </c>
      <c r="AD210" s="130">
        <f t="shared" si="179"/>
        <v>0</v>
      </c>
      <c r="AE210" s="128">
        <f t="shared" si="179"/>
        <v>0</v>
      </c>
      <c r="AF210" s="122">
        <f t="shared" si="179"/>
        <v>0</v>
      </c>
      <c r="AG210" s="130">
        <f t="shared" si="179"/>
        <v>0</v>
      </c>
      <c r="AH210" s="128">
        <f t="shared" si="179"/>
        <v>0</v>
      </c>
      <c r="AI210" s="122">
        <f t="shared" si="179"/>
        <v>0</v>
      </c>
      <c r="AJ210" s="130">
        <f t="shared" si="179"/>
        <v>0</v>
      </c>
      <c r="AK210" s="9"/>
      <c r="AL210" s="128">
        <f>AL211+AL218</f>
        <v>0</v>
      </c>
      <c r="AM210" s="130">
        <f>AM211+AM218</f>
        <v>0</v>
      </c>
      <c r="AN210" s="9"/>
    </row>
    <row r="211" spans="1:40" s="372" customFormat="1" ht="24.95" customHeight="1">
      <c r="A211" s="734"/>
      <c r="B211" s="644"/>
      <c r="N211" s="9"/>
      <c r="P211" s="9"/>
      <c r="Q211" s="9"/>
      <c r="R211" s="9"/>
      <c r="S211" s="688">
        <f>+IF(FEBRERO!S211=0,"",FEBRERO!S211)</f>
        <v>5100100</v>
      </c>
      <c r="T211" s="664" t="str">
        <f>+IF(FEBRERO!T211=0,"",FEBRERO!T211)</f>
        <v>Compra de Bienes para la venta</v>
      </c>
      <c r="U211" s="27">
        <f t="shared" ref="U211:AJ211" si="180">SUM(U212:U217)</f>
        <v>0</v>
      </c>
      <c r="V211" s="15">
        <f t="shared" si="180"/>
        <v>0</v>
      </c>
      <c r="W211" s="15">
        <f t="shared" si="180"/>
        <v>0</v>
      </c>
      <c r="X211" s="18">
        <f t="shared" si="180"/>
        <v>0</v>
      </c>
      <c r="Y211" s="19">
        <f t="shared" si="180"/>
        <v>0</v>
      </c>
      <c r="Z211" s="142">
        <f t="shared" si="180"/>
        <v>0</v>
      </c>
      <c r="AA211" s="16">
        <f t="shared" si="180"/>
        <v>0</v>
      </c>
      <c r="AB211" s="19">
        <f t="shared" si="180"/>
        <v>0</v>
      </c>
      <c r="AC211" s="142">
        <f t="shared" si="180"/>
        <v>0</v>
      </c>
      <c r="AD211" s="16">
        <f t="shared" si="180"/>
        <v>0</v>
      </c>
      <c r="AE211" s="19">
        <f t="shared" si="180"/>
        <v>0</v>
      </c>
      <c r="AF211" s="142">
        <f t="shared" si="180"/>
        <v>0</v>
      </c>
      <c r="AG211" s="16">
        <f t="shared" si="180"/>
        <v>0</v>
      </c>
      <c r="AH211" s="19">
        <f t="shared" si="180"/>
        <v>0</v>
      </c>
      <c r="AI211" s="15">
        <f t="shared" si="180"/>
        <v>0</v>
      </c>
      <c r="AJ211" s="16">
        <f t="shared" si="180"/>
        <v>0</v>
      </c>
      <c r="AK211" s="10"/>
      <c r="AL211" s="29">
        <f>SUM(AL212:AL217)</f>
        <v>0</v>
      </c>
      <c r="AM211" s="26">
        <f>SUM(AM212:AM217)</f>
        <v>0</v>
      </c>
      <c r="AN211" s="9"/>
    </row>
    <row r="212" spans="1:40" s="372" customFormat="1" ht="24.95" customHeight="1">
      <c r="A212" s="734"/>
      <c r="B212" s="644"/>
      <c r="N212" s="9"/>
      <c r="P212" s="9"/>
      <c r="Q212" s="9"/>
      <c r="R212" s="9"/>
      <c r="S212" s="689" t="str">
        <f>+IF(FEBRERO!S212=0,"",FEBRERO!S212)</f>
        <v>5100100-1</v>
      </c>
      <c r="T212" s="665" t="str">
        <f>+IF(FEBRERO!T212=0,"",FEBRERO!T212)</f>
        <v>Productos Farmaceuticos</v>
      </c>
      <c r="U212" s="27">
        <f>+ENERO!U212</f>
        <v>0</v>
      </c>
      <c r="V212" s="15">
        <f>FEBRERO!V212+MARZO!AL212</f>
        <v>0</v>
      </c>
      <c r="W212" s="15">
        <f>FEBRERO!W212+MARZO!AM212</f>
        <v>0</v>
      </c>
      <c r="X212" s="18">
        <f t="shared" ref="X212:X218" si="181">SUM(U212:W212)</f>
        <v>0</v>
      </c>
      <c r="Y212" s="19">
        <f>FEBRERO!AA212</f>
        <v>0</v>
      </c>
      <c r="Z212" s="364">
        <v>0</v>
      </c>
      <c r="AA212" s="16">
        <f t="shared" ref="AA212:AA218" si="182">SUM(Y212:Z212)</f>
        <v>0</v>
      </c>
      <c r="AB212" s="19">
        <f>FEBRERO!AD212</f>
        <v>0</v>
      </c>
      <c r="AC212" s="364">
        <v>0</v>
      </c>
      <c r="AD212" s="16">
        <f t="shared" ref="AD212:AD218" si="183">SUM(AB212:AC212)</f>
        <v>0</v>
      </c>
      <c r="AE212" s="19">
        <f>FEBRERO!AG212</f>
        <v>0</v>
      </c>
      <c r="AF212" s="364">
        <v>0</v>
      </c>
      <c r="AG212" s="16">
        <f t="shared" ref="AG212:AG218" si="184">SUM(AE212:AF212)</f>
        <v>0</v>
      </c>
      <c r="AH212" s="19">
        <f t="shared" ref="AH212:AH218" si="185">X212-AA212</f>
        <v>0</v>
      </c>
      <c r="AI212" s="15">
        <f t="shared" ref="AI212:AI218" si="186">X212-AD212</f>
        <v>0</v>
      </c>
      <c r="AJ212" s="16">
        <f t="shared" ref="AJ212:AJ218" si="187">X212-AG212</f>
        <v>0</v>
      </c>
      <c r="AK212" s="9"/>
      <c r="AL212" s="362">
        <v>0</v>
      </c>
      <c r="AM212" s="365">
        <v>0</v>
      </c>
      <c r="AN212" s="9"/>
    </row>
    <row r="213" spans="1:40" s="372" customFormat="1" ht="24.95" customHeight="1">
      <c r="A213" s="734"/>
      <c r="B213" s="644"/>
      <c r="N213" s="9"/>
      <c r="P213" s="9"/>
      <c r="Q213" s="9"/>
      <c r="R213" s="9"/>
      <c r="S213" s="689" t="str">
        <f>+IF(FEBRERO!S213=0,"",FEBRERO!S213)</f>
        <v>5100100-2</v>
      </c>
      <c r="T213" s="665" t="str">
        <f>+IF(FEBRERO!T213=0,"",FEBRERO!T213)</f>
        <v>Material Médico Quirúrgico</v>
      </c>
      <c r="U213" s="27">
        <f>+ENERO!U213</f>
        <v>0</v>
      </c>
      <c r="V213" s="15">
        <f>FEBRERO!V213+MARZO!AL213</f>
        <v>0</v>
      </c>
      <c r="W213" s="15">
        <f>FEBRERO!W213+MARZO!AM213</f>
        <v>0</v>
      </c>
      <c r="X213" s="18">
        <f t="shared" si="181"/>
        <v>0</v>
      </c>
      <c r="Y213" s="19">
        <f>FEBRERO!AA213</f>
        <v>0</v>
      </c>
      <c r="Z213" s="364">
        <v>0</v>
      </c>
      <c r="AA213" s="16">
        <f t="shared" si="182"/>
        <v>0</v>
      </c>
      <c r="AB213" s="19">
        <f>FEBRERO!AD213</f>
        <v>0</v>
      </c>
      <c r="AC213" s="364">
        <v>0</v>
      </c>
      <c r="AD213" s="16">
        <f t="shared" si="183"/>
        <v>0</v>
      </c>
      <c r="AE213" s="19">
        <f>FEBRERO!AG213</f>
        <v>0</v>
      </c>
      <c r="AF213" s="364">
        <v>0</v>
      </c>
      <c r="AG213" s="16">
        <f t="shared" si="184"/>
        <v>0</v>
      </c>
      <c r="AH213" s="19">
        <f t="shared" si="185"/>
        <v>0</v>
      </c>
      <c r="AI213" s="15">
        <f t="shared" si="186"/>
        <v>0</v>
      </c>
      <c r="AJ213" s="16">
        <f t="shared" si="187"/>
        <v>0</v>
      </c>
      <c r="AK213" s="9"/>
      <c r="AL213" s="362">
        <v>0</v>
      </c>
      <c r="AM213" s="365">
        <v>0</v>
      </c>
      <c r="AN213" s="9"/>
    </row>
    <row r="214" spans="1:40" s="372" customFormat="1" ht="24.95" customHeight="1">
      <c r="A214" s="734"/>
      <c r="B214" s="644"/>
      <c r="N214" s="9"/>
      <c r="P214" s="9"/>
      <c r="Q214" s="9"/>
      <c r="R214" s="9"/>
      <c r="S214" s="689" t="str">
        <f>+IF(FEBRERO!S214=0,"",FEBRERO!S214)</f>
        <v>5100100-3</v>
      </c>
      <c r="T214" s="665" t="str">
        <f>+IF(FEBRERO!T214=0,"",FEBRERO!T214)</f>
        <v>Material de Laboratorio</v>
      </c>
      <c r="U214" s="27">
        <f>+ENERO!U214</f>
        <v>0</v>
      </c>
      <c r="V214" s="15">
        <f>FEBRERO!V214+MARZO!AL214</f>
        <v>0</v>
      </c>
      <c r="W214" s="15">
        <f>FEBRERO!W214+MARZO!AM214</f>
        <v>0</v>
      </c>
      <c r="X214" s="18">
        <f t="shared" si="181"/>
        <v>0</v>
      </c>
      <c r="Y214" s="19">
        <f>FEBRERO!AA214</f>
        <v>0</v>
      </c>
      <c r="Z214" s="364">
        <v>0</v>
      </c>
      <c r="AA214" s="16">
        <f t="shared" si="182"/>
        <v>0</v>
      </c>
      <c r="AB214" s="19">
        <f>FEBRERO!AD214</f>
        <v>0</v>
      </c>
      <c r="AC214" s="364">
        <v>0</v>
      </c>
      <c r="AD214" s="16">
        <f t="shared" si="183"/>
        <v>0</v>
      </c>
      <c r="AE214" s="19">
        <f>FEBRERO!AG214</f>
        <v>0</v>
      </c>
      <c r="AF214" s="364">
        <v>0</v>
      </c>
      <c r="AG214" s="16">
        <f t="shared" si="184"/>
        <v>0</v>
      </c>
      <c r="AH214" s="19">
        <f t="shared" si="185"/>
        <v>0</v>
      </c>
      <c r="AI214" s="15">
        <f t="shared" si="186"/>
        <v>0</v>
      </c>
      <c r="AJ214" s="16">
        <f t="shared" si="187"/>
        <v>0</v>
      </c>
      <c r="AK214" s="9"/>
      <c r="AL214" s="362">
        <v>0</v>
      </c>
      <c r="AM214" s="365">
        <v>0</v>
      </c>
      <c r="AN214" s="9"/>
    </row>
    <row r="215" spans="1:40" s="372" customFormat="1" ht="24.95" customHeight="1">
      <c r="A215" s="734"/>
      <c r="B215" s="644"/>
      <c r="N215" s="9"/>
      <c r="P215" s="9"/>
      <c r="Q215" s="9"/>
      <c r="R215" s="9"/>
      <c r="S215" s="689" t="str">
        <f>+IF(FEBRERO!S215=0,"",FEBRERO!S215)</f>
        <v>5100100-4</v>
      </c>
      <c r="T215" s="665" t="str">
        <f>+IF(FEBRERO!T215=0,"",FEBRERO!T215)</f>
        <v>Material para Odontologia</v>
      </c>
      <c r="U215" s="27">
        <f>+ENERO!U215</f>
        <v>0</v>
      </c>
      <c r="V215" s="15">
        <f>FEBRERO!V215+MARZO!AL215</f>
        <v>0</v>
      </c>
      <c r="W215" s="15">
        <f>FEBRERO!W215+MARZO!AM215</f>
        <v>0</v>
      </c>
      <c r="X215" s="18">
        <f t="shared" si="181"/>
        <v>0</v>
      </c>
      <c r="Y215" s="19">
        <f>FEBRERO!AA215</f>
        <v>0</v>
      </c>
      <c r="Z215" s="364">
        <v>0</v>
      </c>
      <c r="AA215" s="16">
        <f t="shared" si="182"/>
        <v>0</v>
      </c>
      <c r="AB215" s="19">
        <f>FEBRERO!AD215</f>
        <v>0</v>
      </c>
      <c r="AC215" s="364">
        <v>0</v>
      </c>
      <c r="AD215" s="16">
        <f t="shared" si="183"/>
        <v>0</v>
      </c>
      <c r="AE215" s="19">
        <f>FEBRERO!AG215</f>
        <v>0</v>
      </c>
      <c r="AF215" s="364">
        <v>0</v>
      </c>
      <c r="AG215" s="16">
        <f t="shared" si="184"/>
        <v>0</v>
      </c>
      <c r="AH215" s="19">
        <f t="shared" si="185"/>
        <v>0</v>
      </c>
      <c r="AI215" s="15">
        <f t="shared" si="186"/>
        <v>0</v>
      </c>
      <c r="AJ215" s="16">
        <f t="shared" si="187"/>
        <v>0</v>
      </c>
      <c r="AK215" s="9"/>
      <c r="AL215" s="362">
        <v>0</v>
      </c>
      <c r="AM215" s="365">
        <v>0</v>
      </c>
      <c r="AN215" s="9"/>
    </row>
    <row r="216" spans="1:40" s="372" customFormat="1" ht="24.95" customHeight="1">
      <c r="A216" s="734"/>
      <c r="B216" s="644"/>
      <c r="N216" s="9"/>
      <c r="P216" s="9"/>
      <c r="Q216" s="9"/>
      <c r="R216" s="9"/>
      <c r="S216" s="689" t="str">
        <f>+IF(FEBRERO!S216=0,"",FEBRERO!S216)</f>
        <v>5100100-5</v>
      </c>
      <c r="T216" s="665" t="str">
        <f>+IF(FEBRERO!T216=0,"",FEBRERO!T216)</f>
        <v>Material para Rayos X</v>
      </c>
      <c r="U216" s="27">
        <f>+ENERO!U216</f>
        <v>0</v>
      </c>
      <c r="V216" s="15">
        <f>FEBRERO!V216+MARZO!AL216</f>
        <v>0</v>
      </c>
      <c r="W216" s="15">
        <f>FEBRERO!W216+MARZO!AM216</f>
        <v>0</v>
      </c>
      <c r="X216" s="18">
        <f t="shared" si="181"/>
        <v>0</v>
      </c>
      <c r="Y216" s="19">
        <f>FEBRERO!AA216</f>
        <v>0</v>
      </c>
      <c r="Z216" s="364">
        <v>0</v>
      </c>
      <c r="AA216" s="16">
        <f t="shared" si="182"/>
        <v>0</v>
      </c>
      <c r="AB216" s="19">
        <f>FEBRERO!AD216</f>
        <v>0</v>
      </c>
      <c r="AC216" s="364">
        <v>0</v>
      </c>
      <c r="AD216" s="16">
        <f t="shared" si="183"/>
        <v>0</v>
      </c>
      <c r="AE216" s="19">
        <f>FEBRERO!AG216</f>
        <v>0</v>
      </c>
      <c r="AF216" s="364">
        <v>0</v>
      </c>
      <c r="AG216" s="16">
        <f t="shared" si="184"/>
        <v>0</v>
      </c>
      <c r="AH216" s="19">
        <f t="shared" si="185"/>
        <v>0</v>
      </c>
      <c r="AI216" s="15">
        <f t="shared" si="186"/>
        <v>0</v>
      </c>
      <c r="AJ216" s="16">
        <f t="shared" si="187"/>
        <v>0</v>
      </c>
      <c r="AK216" s="9"/>
      <c r="AL216" s="362">
        <v>0</v>
      </c>
      <c r="AM216" s="365">
        <v>0</v>
      </c>
      <c r="AN216" s="9"/>
    </row>
    <row r="217" spans="1:40" s="372" customFormat="1" ht="24.95" customHeight="1">
      <c r="A217" s="734"/>
      <c r="B217" s="644"/>
      <c r="N217" s="9"/>
      <c r="P217" s="9"/>
      <c r="Q217" s="9"/>
      <c r="R217" s="9"/>
      <c r="S217" s="689" t="str">
        <f>+IF(FEBRERO!S217=0,"",FEBRERO!S217)</f>
        <v>5100100-6</v>
      </c>
      <c r="T217" s="665" t="str">
        <f>+IF(FEBRERO!T217=0,"",FEBRERO!T217)</f>
        <v>Material aseo personal, etc.</v>
      </c>
      <c r="U217" s="27">
        <f>+ENERO!U217</f>
        <v>0</v>
      </c>
      <c r="V217" s="15">
        <f>FEBRERO!V217+MARZO!AL217</f>
        <v>0</v>
      </c>
      <c r="W217" s="15">
        <f>FEBRERO!W217+MARZO!AM217</f>
        <v>0</v>
      </c>
      <c r="X217" s="18">
        <f t="shared" si="181"/>
        <v>0</v>
      </c>
      <c r="Y217" s="19">
        <f>FEBRERO!AA217</f>
        <v>0</v>
      </c>
      <c r="Z217" s="364">
        <v>0</v>
      </c>
      <c r="AA217" s="16">
        <f t="shared" si="182"/>
        <v>0</v>
      </c>
      <c r="AB217" s="19">
        <f>FEBRERO!AD217</f>
        <v>0</v>
      </c>
      <c r="AC217" s="364">
        <v>0</v>
      </c>
      <c r="AD217" s="16">
        <f t="shared" si="183"/>
        <v>0</v>
      </c>
      <c r="AE217" s="19">
        <f>FEBRERO!AG217</f>
        <v>0</v>
      </c>
      <c r="AF217" s="364">
        <v>0</v>
      </c>
      <c r="AG217" s="16">
        <f t="shared" si="184"/>
        <v>0</v>
      </c>
      <c r="AH217" s="19">
        <f t="shared" si="185"/>
        <v>0</v>
      </c>
      <c r="AI217" s="15">
        <f t="shared" si="186"/>
        <v>0</v>
      </c>
      <c r="AJ217" s="16">
        <f t="shared" si="187"/>
        <v>0</v>
      </c>
      <c r="AK217" s="9"/>
      <c r="AL217" s="362">
        <v>0</v>
      </c>
      <c r="AM217" s="365">
        <v>0</v>
      </c>
      <c r="AN217" s="9"/>
    </row>
    <row r="218" spans="1:40" s="372" customFormat="1" ht="24.95" customHeight="1" thickBot="1">
      <c r="A218" s="734"/>
      <c r="B218" s="644"/>
      <c r="N218" s="9"/>
      <c r="P218" s="9"/>
      <c r="Q218" s="9"/>
      <c r="R218" s="9"/>
      <c r="S218" s="698">
        <f>+IF(FEBRERO!S218=0,"",FEBRERO!S218)</f>
        <v>5199999</v>
      </c>
      <c r="T218" s="680" t="str">
        <f>+IF(FEBRERO!T218=0,"",FEBRERO!T218)</f>
        <v>Vigencias Anteriores</v>
      </c>
      <c r="U218" s="133">
        <f>+ENERO!U218</f>
        <v>0</v>
      </c>
      <c r="V218" s="121">
        <f>FEBRERO!V218+MARZO!AL218</f>
        <v>0</v>
      </c>
      <c r="W218" s="121">
        <f>FEBRERO!W218+MARZO!AM218</f>
        <v>0</v>
      </c>
      <c r="X218" s="126">
        <f t="shared" si="181"/>
        <v>0</v>
      </c>
      <c r="Y218" s="124">
        <f>FEBRERO!AA218</f>
        <v>0</v>
      </c>
      <c r="Z218" s="378">
        <v>0</v>
      </c>
      <c r="AA218" s="125">
        <f t="shared" si="182"/>
        <v>0</v>
      </c>
      <c r="AB218" s="124">
        <f>FEBRERO!AD218</f>
        <v>0</v>
      </c>
      <c r="AC218" s="378">
        <v>0</v>
      </c>
      <c r="AD218" s="125">
        <f t="shared" si="183"/>
        <v>0</v>
      </c>
      <c r="AE218" s="124">
        <f>FEBRERO!AG218</f>
        <v>0</v>
      </c>
      <c r="AF218" s="378">
        <v>0</v>
      </c>
      <c r="AG218" s="125">
        <f t="shared" si="184"/>
        <v>0</v>
      </c>
      <c r="AH218" s="124">
        <f t="shared" si="185"/>
        <v>0</v>
      </c>
      <c r="AI218" s="121">
        <f t="shared" si="186"/>
        <v>0</v>
      </c>
      <c r="AJ218" s="125">
        <f t="shared" si="187"/>
        <v>0</v>
      </c>
      <c r="AK218" s="9"/>
      <c r="AL218" s="491">
        <v>0</v>
      </c>
      <c r="AM218" s="492">
        <v>0</v>
      </c>
      <c r="AN218" s="9"/>
    </row>
    <row r="219" spans="1:40" s="372" customFormat="1" ht="24.95" customHeight="1" thickBot="1">
      <c r="A219" s="734"/>
      <c r="B219" s="644"/>
      <c r="N219" s="9"/>
      <c r="P219" s="9"/>
      <c r="Q219" s="9"/>
      <c r="R219" s="9"/>
      <c r="S219" s="485" t="str">
        <f>+IF(FEBRERO!S219=0,"",FEBRERO!S219)</f>
        <v/>
      </c>
      <c r="T219" s="677" t="str">
        <f>+IF(FEBRERO!T219=0,"",FEBRERO!T219)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+IF(FEBRERO!S220=0,"",FEBRERO!S220)</f>
        <v>C</v>
      </c>
      <c r="T220" s="659" t="str">
        <f>+IF(FEBRERO!T220=0,"",FEBRERO!T220)</f>
        <v xml:space="preserve">SERVICIO DE LA DEUDA </v>
      </c>
      <c r="U220" s="348">
        <f t="shared" ref="U220:AJ220" si="188">U222+U227</f>
        <v>262344980</v>
      </c>
      <c r="V220" s="349">
        <f t="shared" si="188"/>
        <v>0</v>
      </c>
      <c r="W220" s="349">
        <f t="shared" si="188"/>
        <v>27000000</v>
      </c>
      <c r="X220" s="352">
        <f t="shared" si="188"/>
        <v>289344980</v>
      </c>
      <c r="Y220" s="351">
        <f t="shared" si="188"/>
        <v>78209675</v>
      </c>
      <c r="Z220" s="349">
        <f t="shared" si="188"/>
        <v>26020216</v>
      </c>
      <c r="AA220" s="352">
        <f t="shared" si="188"/>
        <v>104229891</v>
      </c>
      <c r="AB220" s="351">
        <f t="shared" si="188"/>
        <v>78209675</v>
      </c>
      <c r="AC220" s="349">
        <f t="shared" si="188"/>
        <v>26020216</v>
      </c>
      <c r="AD220" s="352">
        <f t="shared" si="188"/>
        <v>104229891</v>
      </c>
      <c r="AE220" s="351">
        <f t="shared" si="188"/>
        <v>52129663</v>
      </c>
      <c r="AF220" s="349">
        <f t="shared" si="188"/>
        <v>26080012</v>
      </c>
      <c r="AG220" s="352">
        <f t="shared" si="188"/>
        <v>78209675</v>
      </c>
      <c r="AH220" s="351">
        <f t="shared" si="188"/>
        <v>185115089</v>
      </c>
      <c r="AI220" s="349">
        <f t="shared" si="188"/>
        <v>185115089</v>
      </c>
      <c r="AJ220" s="350">
        <f t="shared" si="188"/>
        <v>211135305</v>
      </c>
      <c r="AK220" s="490"/>
      <c r="AL220" s="351">
        <f>AL222+AL227</f>
        <v>0</v>
      </c>
      <c r="AM220" s="350">
        <f>AM222+AM227</f>
        <v>0</v>
      </c>
      <c r="AN220" s="9"/>
    </row>
    <row r="221" spans="1:40" s="372" customFormat="1" ht="24.95" customHeight="1">
      <c r="A221" s="734"/>
      <c r="B221" s="644"/>
      <c r="N221" s="9"/>
      <c r="P221" s="9"/>
      <c r="Q221" s="9"/>
      <c r="R221" s="9"/>
      <c r="S221" s="356" t="str">
        <f>+IF(FEBRERO!S221=0,"",FEBRERO!S221)</f>
        <v/>
      </c>
      <c r="T221" s="678" t="str">
        <f>+IF(FEBRERO!T221=0,"",FEBRERO!T221)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+IF(FEBRERO!S222=0,"",FEBRERO!S222)</f>
        <v>7001000</v>
      </c>
      <c r="T222" s="663" t="str">
        <f>+IF(FEBRERO!T222=0,"",FEBRERO!T222)</f>
        <v>SERVICIO DE LA DEUDA INTERNA</v>
      </c>
      <c r="U222" s="132">
        <f t="shared" ref="U222:AJ222" si="189">SUM(U223:U225)</f>
        <v>262344980</v>
      </c>
      <c r="V222" s="122">
        <f t="shared" si="189"/>
        <v>0</v>
      </c>
      <c r="W222" s="122">
        <f t="shared" si="189"/>
        <v>27000000</v>
      </c>
      <c r="X222" s="129">
        <f t="shared" si="189"/>
        <v>289344980</v>
      </c>
      <c r="Y222" s="128">
        <f t="shared" si="189"/>
        <v>78209675</v>
      </c>
      <c r="Z222" s="122">
        <f t="shared" si="189"/>
        <v>26020216</v>
      </c>
      <c r="AA222" s="129">
        <f t="shared" si="189"/>
        <v>104229891</v>
      </c>
      <c r="AB222" s="128">
        <f t="shared" si="189"/>
        <v>78209675</v>
      </c>
      <c r="AC222" s="122">
        <f t="shared" si="189"/>
        <v>26020216</v>
      </c>
      <c r="AD222" s="129">
        <f t="shared" si="189"/>
        <v>104229891</v>
      </c>
      <c r="AE222" s="128">
        <f t="shared" si="189"/>
        <v>52129663</v>
      </c>
      <c r="AF222" s="122">
        <f t="shared" si="189"/>
        <v>26080012</v>
      </c>
      <c r="AG222" s="129">
        <f t="shared" si="189"/>
        <v>78209675</v>
      </c>
      <c r="AH222" s="128">
        <f t="shared" si="189"/>
        <v>185115089</v>
      </c>
      <c r="AI222" s="122">
        <f t="shared" si="189"/>
        <v>185115089</v>
      </c>
      <c r="AJ222" s="130">
        <f t="shared" si="189"/>
        <v>211135305</v>
      </c>
      <c r="AK222" s="9"/>
      <c r="AL222" s="128">
        <f>SUM(AL223:AL225)</f>
        <v>0</v>
      </c>
      <c r="AM222" s="130">
        <f>SUM(AM223:AM225)</f>
        <v>0</v>
      </c>
      <c r="AN222" s="9"/>
    </row>
    <row r="223" spans="1:40" s="372" customFormat="1" ht="24.95" customHeight="1">
      <c r="A223" s="734"/>
      <c r="B223" s="644"/>
      <c r="N223" s="9"/>
      <c r="P223" s="9"/>
      <c r="Q223" s="9"/>
      <c r="R223" s="9"/>
      <c r="S223" s="688">
        <f>+IF(FEBRERO!S223=0,"",FEBRERO!S223)</f>
        <v>7001100</v>
      </c>
      <c r="T223" s="664" t="str">
        <f>+IF(FEBRERO!T223=0,"",FEBRERO!T223)</f>
        <v>Amortización deuda Pública Interna</v>
      </c>
      <c r="U223" s="27">
        <f>+ENERO!U223</f>
        <v>250000000</v>
      </c>
      <c r="V223" s="15">
        <f>FEBRERO!V223+MARZO!AL223</f>
        <v>0</v>
      </c>
      <c r="W223" s="15">
        <f>FEBRERO!W223+MARZO!AM223</f>
        <v>0</v>
      </c>
      <c r="X223" s="18">
        <f>SUM(U223:W223)</f>
        <v>250000000</v>
      </c>
      <c r="Y223" s="19">
        <f>FEBRERO!AA223</f>
        <v>50000000</v>
      </c>
      <c r="Z223" s="364">
        <v>25000000</v>
      </c>
      <c r="AA223" s="18">
        <f>SUM(Y223:Z223)</f>
        <v>75000000</v>
      </c>
      <c r="AB223" s="19">
        <f>FEBRERO!AD223</f>
        <v>50000000</v>
      </c>
      <c r="AC223" s="364">
        <v>25000000</v>
      </c>
      <c r="AD223" s="18">
        <f>SUM(AB223:AC223)</f>
        <v>75000000</v>
      </c>
      <c r="AE223" s="19">
        <f>FEBRERO!AG223</f>
        <v>25000000</v>
      </c>
      <c r="AF223" s="364">
        <v>25000000</v>
      </c>
      <c r="AG223" s="18">
        <f>SUM(AE223:AF223)</f>
        <v>50000000</v>
      </c>
      <c r="AH223" s="19">
        <f>X223-AA223</f>
        <v>175000000</v>
      </c>
      <c r="AI223" s="15">
        <f>X223-AD223</f>
        <v>175000000</v>
      </c>
      <c r="AJ223" s="16">
        <f>X223-AG223</f>
        <v>200000000</v>
      </c>
      <c r="AK223" s="9"/>
      <c r="AL223" s="362">
        <v>0</v>
      </c>
      <c r="AM223" s="365">
        <v>0</v>
      </c>
      <c r="AN223" s="9"/>
    </row>
    <row r="224" spans="1:40" s="372" customFormat="1" ht="24.95" customHeight="1">
      <c r="A224" s="734"/>
      <c r="B224" s="644"/>
      <c r="N224" s="9"/>
      <c r="P224" s="9"/>
      <c r="Q224" s="9"/>
      <c r="R224" s="9"/>
      <c r="S224" s="688">
        <f>+IF(FEBRERO!S224=0,"",FEBRERO!S224)</f>
        <v>7001200</v>
      </c>
      <c r="T224" s="664" t="str">
        <f>+IF(FEBRERO!T224=0,"",FEBRERO!T224)</f>
        <v>Intereses Comisiones y gastos de la Deuda Pública</v>
      </c>
      <c r="U224" s="27">
        <f>+ENERO!U224</f>
        <v>12344980</v>
      </c>
      <c r="V224" s="15">
        <f>FEBRERO!V224+MARZO!AL224</f>
        <v>0</v>
      </c>
      <c r="W224" s="15">
        <f>FEBRERO!W224+MARZO!AM224</f>
        <v>0</v>
      </c>
      <c r="X224" s="18">
        <f>SUM(U224:W224)</f>
        <v>12344980</v>
      </c>
      <c r="Y224" s="19">
        <f>FEBRERO!AA224</f>
        <v>1937021</v>
      </c>
      <c r="Z224" s="364">
        <v>1020216</v>
      </c>
      <c r="AA224" s="18">
        <f>SUM(Y224:Z224)</f>
        <v>2957237</v>
      </c>
      <c r="AB224" s="19">
        <f>FEBRERO!AD224</f>
        <v>1937021</v>
      </c>
      <c r="AC224" s="364">
        <v>1020216</v>
      </c>
      <c r="AD224" s="18">
        <f>SUM(AB224:AC224)</f>
        <v>2957237</v>
      </c>
      <c r="AE224" s="19">
        <f>FEBRERO!AG224</f>
        <v>857009</v>
      </c>
      <c r="AF224" s="364">
        <v>1080012</v>
      </c>
      <c r="AG224" s="18">
        <f>SUM(AE224:AF224)</f>
        <v>1937021</v>
      </c>
      <c r="AH224" s="19">
        <f>X224-AA224</f>
        <v>9387743</v>
      </c>
      <c r="AI224" s="15">
        <f>X224-AD224</f>
        <v>9387743</v>
      </c>
      <c r="AJ224" s="16">
        <f>X224-AG224</f>
        <v>10407959</v>
      </c>
      <c r="AK224" s="9"/>
      <c r="AL224" s="362">
        <v>0</v>
      </c>
      <c r="AM224" s="365">
        <v>0</v>
      </c>
      <c r="AN224" s="9"/>
    </row>
    <row r="225" spans="1:40" s="372" customFormat="1" ht="24.95" customHeight="1">
      <c r="A225" s="734"/>
      <c r="B225" s="644"/>
      <c r="N225" s="9"/>
      <c r="P225" s="9"/>
      <c r="Q225" s="9"/>
      <c r="R225" s="9"/>
      <c r="S225" s="688">
        <f>+IF(FEBRERO!S225=0,"",FEBRERO!S225)</f>
        <v>7001999</v>
      </c>
      <c r="T225" s="664" t="str">
        <f>+IF(FEBRERO!T225=0,"",FEBRERO!T225)</f>
        <v>Vigencias Anteriores</v>
      </c>
      <c r="U225" s="27">
        <f>+ENERO!U225</f>
        <v>0</v>
      </c>
      <c r="V225" s="15">
        <f>FEBRERO!V225+MARZO!AL225</f>
        <v>0</v>
      </c>
      <c r="W225" s="15">
        <f>FEBRERO!W225+MARZO!AM225</f>
        <v>27000000</v>
      </c>
      <c r="X225" s="18">
        <f>SUM(U225:W225)</f>
        <v>27000000</v>
      </c>
      <c r="Y225" s="19">
        <f>FEBRERO!AA225</f>
        <v>26272654</v>
      </c>
      <c r="Z225" s="364">
        <v>0</v>
      </c>
      <c r="AA225" s="18">
        <f>SUM(Y225:Z225)</f>
        <v>26272654</v>
      </c>
      <c r="AB225" s="19">
        <f>FEBRERO!AD225</f>
        <v>26272654</v>
      </c>
      <c r="AC225" s="364">
        <v>0</v>
      </c>
      <c r="AD225" s="18">
        <f>SUM(AB225:AC225)</f>
        <v>26272654</v>
      </c>
      <c r="AE225" s="19">
        <f>FEBRERO!AG225</f>
        <v>26272654</v>
      </c>
      <c r="AF225" s="364">
        <v>0</v>
      </c>
      <c r="AG225" s="18">
        <f>SUM(AE225:AF225)</f>
        <v>26272654</v>
      </c>
      <c r="AH225" s="19">
        <f>X225-AA225</f>
        <v>727346</v>
      </c>
      <c r="AI225" s="15">
        <f>X225-AD225</f>
        <v>727346</v>
      </c>
      <c r="AJ225" s="16">
        <f>X225-AG225</f>
        <v>727346</v>
      </c>
      <c r="AK225" s="9"/>
      <c r="AL225" s="362">
        <v>0</v>
      </c>
      <c r="AM225" s="365">
        <v>0</v>
      </c>
      <c r="AN225" s="9"/>
    </row>
    <row r="226" spans="1:40" s="372" customFormat="1" ht="24.95" customHeight="1">
      <c r="A226" s="734"/>
      <c r="B226" s="644"/>
      <c r="N226" s="9"/>
      <c r="P226" s="9"/>
      <c r="Q226" s="9"/>
      <c r="R226" s="9"/>
      <c r="S226" s="356" t="str">
        <f>+IF(FEBRERO!S226=0,"",FEBRERO!S226)</f>
        <v/>
      </c>
      <c r="T226" s="678" t="str">
        <f>+IF(FEBRERO!T226=0,"",FEBRERO!T226)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c r="A227" s="734"/>
      <c r="B227" s="644"/>
      <c r="N227" s="9"/>
      <c r="P227" s="9"/>
      <c r="Q227" s="9"/>
      <c r="R227" s="9"/>
      <c r="S227" s="687">
        <f>+IF(FEBRERO!S227=0,"",FEBRERO!S227)</f>
        <v>7002001</v>
      </c>
      <c r="T227" s="663" t="str">
        <f>+IF(FEBRERO!T227=0,"",FEBRERO!T227)</f>
        <v>SERVICIO DE LA DEUDA EXTERNA</v>
      </c>
      <c r="U227" s="132">
        <f t="shared" ref="U227:AJ227" si="190">SUM(U228:U230)</f>
        <v>0</v>
      </c>
      <c r="V227" s="122">
        <f t="shared" si="190"/>
        <v>0</v>
      </c>
      <c r="W227" s="122">
        <f t="shared" si="190"/>
        <v>0</v>
      </c>
      <c r="X227" s="129">
        <f t="shared" si="190"/>
        <v>0</v>
      </c>
      <c r="Y227" s="128">
        <f t="shared" si="190"/>
        <v>0</v>
      </c>
      <c r="Z227" s="122">
        <f t="shared" si="190"/>
        <v>0</v>
      </c>
      <c r="AA227" s="129">
        <f t="shared" si="190"/>
        <v>0</v>
      </c>
      <c r="AB227" s="128">
        <f t="shared" si="190"/>
        <v>0</v>
      </c>
      <c r="AC227" s="122">
        <f t="shared" si="190"/>
        <v>0</v>
      </c>
      <c r="AD227" s="129">
        <f t="shared" si="190"/>
        <v>0</v>
      </c>
      <c r="AE227" s="128">
        <f t="shared" si="190"/>
        <v>0</v>
      </c>
      <c r="AF227" s="122">
        <f t="shared" si="190"/>
        <v>0</v>
      </c>
      <c r="AG227" s="129">
        <f t="shared" si="190"/>
        <v>0</v>
      </c>
      <c r="AH227" s="128">
        <f t="shared" si="190"/>
        <v>0</v>
      </c>
      <c r="AI227" s="122">
        <f t="shared" si="190"/>
        <v>0</v>
      </c>
      <c r="AJ227" s="130">
        <f t="shared" si="190"/>
        <v>0</v>
      </c>
      <c r="AK227" s="10"/>
      <c r="AL227" s="128">
        <f>SUM(AL228:AL230)</f>
        <v>0</v>
      </c>
      <c r="AM227" s="130">
        <f>SUM(AM228:AM230)</f>
        <v>0</v>
      </c>
      <c r="AN227" s="9"/>
    </row>
    <row r="228" spans="1:40" s="372" customFormat="1" ht="24.95" customHeight="1">
      <c r="A228" s="734"/>
      <c r="B228" s="644"/>
      <c r="N228" s="9"/>
      <c r="P228" s="9"/>
      <c r="Q228" s="9"/>
      <c r="R228" s="9"/>
      <c r="S228" s="688">
        <f>+IF(FEBRERO!S228=0,"",FEBRERO!S228)</f>
        <v>7002100</v>
      </c>
      <c r="T228" s="664" t="str">
        <f>+IF(FEBRERO!T228=0,"",FEBRERO!T228)</f>
        <v>Amortización deuda Pública Externa</v>
      </c>
      <c r="U228" s="27">
        <f>+ENERO!U228</f>
        <v>0</v>
      </c>
      <c r="V228" s="15">
        <f>FEBRERO!V228+MARZO!AL228</f>
        <v>0</v>
      </c>
      <c r="W228" s="15">
        <f>FEBRERO!W228+MARZO!AM228</f>
        <v>0</v>
      </c>
      <c r="X228" s="18">
        <f>SUM(U228:W228)</f>
        <v>0</v>
      </c>
      <c r="Y228" s="19">
        <f>FEBRERO!AA228</f>
        <v>0</v>
      </c>
      <c r="Z228" s="364">
        <v>0</v>
      </c>
      <c r="AA228" s="18">
        <f>SUM(Y228:Z228)</f>
        <v>0</v>
      </c>
      <c r="AB228" s="19">
        <f>FEBRERO!AD228</f>
        <v>0</v>
      </c>
      <c r="AC228" s="364">
        <v>0</v>
      </c>
      <c r="AD228" s="18">
        <f>SUM(AB228:AC228)</f>
        <v>0</v>
      </c>
      <c r="AE228" s="19">
        <f>FEBRERO!AG228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c r="A229" s="734"/>
      <c r="B229" s="644"/>
      <c r="N229" s="9"/>
      <c r="P229" s="9"/>
      <c r="Q229" s="9"/>
      <c r="R229" s="9"/>
      <c r="S229" s="688">
        <f>+IF(FEBRERO!S229=0,"",FEBRERO!S229)</f>
        <v>7002200</v>
      </c>
      <c r="T229" s="664" t="str">
        <f>+IF(FEBRERO!T229=0,"",FEBRERO!T229)</f>
        <v>Intereses Comisiones y gastos de la Deuda Pública</v>
      </c>
      <c r="U229" s="27">
        <f>+ENERO!U229</f>
        <v>0</v>
      </c>
      <c r="V229" s="15">
        <f>FEBRERO!V229+MARZO!AL229</f>
        <v>0</v>
      </c>
      <c r="W229" s="15">
        <f>FEBRERO!W229+MARZO!AM229</f>
        <v>0</v>
      </c>
      <c r="X229" s="18">
        <f>SUM(U229:W229)</f>
        <v>0</v>
      </c>
      <c r="Y229" s="19">
        <f>FEBRERO!AA229</f>
        <v>0</v>
      </c>
      <c r="Z229" s="364">
        <v>0</v>
      </c>
      <c r="AA229" s="18">
        <f>SUM(Y229:Z229)</f>
        <v>0</v>
      </c>
      <c r="AB229" s="19">
        <f>FEBRERO!AD229</f>
        <v>0</v>
      </c>
      <c r="AC229" s="364">
        <v>0</v>
      </c>
      <c r="AD229" s="18">
        <f>SUM(AB229:AC229)</f>
        <v>0</v>
      </c>
      <c r="AE229" s="19">
        <f>FEBRERO!AG229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c r="A230" s="734"/>
      <c r="B230" s="644"/>
      <c r="N230" s="9"/>
      <c r="P230" s="9"/>
      <c r="Q230" s="9"/>
      <c r="R230" s="9"/>
      <c r="S230" s="691">
        <f>+IF(FEBRERO!S230=0,"",FEBRERO!S230)</f>
        <v>7002999</v>
      </c>
      <c r="T230" s="670" t="str">
        <f>+IF(FEBRERO!T230=0,"",FEBRERO!T230)</f>
        <v>Vigencias Anteriores</v>
      </c>
      <c r="U230" s="133">
        <f>+ENERO!U230</f>
        <v>0</v>
      </c>
      <c r="V230" s="121">
        <f>FEBRERO!V230+MARZO!AL230</f>
        <v>0</v>
      </c>
      <c r="W230" s="121">
        <f>FEBRERO!W230+MARZO!AM230</f>
        <v>0</v>
      </c>
      <c r="X230" s="126">
        <f>SUM(U230:W230)</f>
        <v>0</v>
      </c>
      <c r="Y230" s="124">
        <f>FEBRERO!AA230</f>
        <v>0</v>
      </c>
      <c r="Z230" s="378">
        <v>0</v>
      </c>
      <c r="AA230" s="126">
        <f>SUM(Y230:Z230)</f>
        <v>0</v>
      </c>
      <c r="AB230" s="124">
        <f>FEBRERO!AD230</f>
        <v>0</v>
      </c>
      <c r="AC230" s="378">
        <v>0</v>
      </c>
      <c r="AD230" s="126">
        <f>SUM(AB230:AC230)</f>
        <v>0</v>
      </c>
      <c r="AE230" s="124">
        <f>FEBRERO!AG230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c r="A231" s="734"/>
      <c r="B231" s="644"/>
      <c r="N231" s="9"/>
      <c r="P231" s="9"/>
      <c r="Q231" s="9"/>
      <c r="R231" s="9"/>
      <c r="S231" s="479" t="str">
        <f>+IF(FEBRERO!S231=0,"",FEBRERO!S231)</f>
        <v/>
      </c>
      <c r="T231" s="671" t="str">
        <f>+IF(FEBRERO!T231=0,"",FEBRERO!T231)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c r="A232" s="734"/>
      <c r="B232" s="644"/>
      <c r="N232" s="9"/>
      <c r="P232" s="9"/>
      <c r="Q232" s="9"/>
      <c r="R232" s="9"/>
      <c r="S232" s="495" t="str">
        <f>+IF(FEBRERO!S232=0,"",FEBRERO!S232)</f>
        <v>D</v>
      </c>
      <c r="T232" s="679" t="str">
        <f>+IF(FEBRERO!T232=0,"",FEBRERO!T232)</f>
        <v>INVERSION</v>
      </c>
      <c r="U232" s="460">
        <f>U234+U243</f>
        <v>5765730053</v>
      </c>
      <c r="V232" s="461">
        <f t="shared" ref="V232:AJ232" si="191">V234+V243</f>
        <v>0</v>
      </c>
      <c r="W232" s="461">
        <f t="shared" si="191"/>
        <v>18572523310</v>
      </c>
      <c r="X232" s="462">
        <f t="shared" si="191"/>
        <v>24338253363</v>
      </c>
      <c r="Y232" s="369">
        <f t="shared" si="191"/>
        <v>6568070593</v>
      </c>
      <c r="Z232" s="461">
        <f t="shared" si="191"/>
        <v>2802123271</v>
      </c>
      <c r="AA232" s="462">
        <f t="shared" si="191"/>
        <v>9370193864</v>
      </c>
      <c r="AB232" s="369">
        <f t="shared" si="191"/>
        <v>1888409704</v>
      </c>
      <c r="AC232" s="461">
        <f t="shared" si="191"/>
        <v>1323696540</v>
      </c>
      <c r="AD232" s="462">
        <f t="shared" si="191"/>
        <v>3212106244</v>
      </c>
      <c r="AE232" s="369">
        <f t="shared" si="191"/>
        <v>1117522796</v>
      </c>
      <c r="AF232" s="461">
        <f t="shared" si="191"/>
        <v>1324087064</v>
      </c>
      <c r="AG232" s="462">
        <f t="shared" si="191"/>
        <v>2441609860</v>
      </c>
      <c r="AH232" s="369">
        <f t="shared" si="191"/>
        <v>14968059499</v>
      </c>
      <c r="AI232" s="461">
        <f t="shared" si="191"/>
        <v>21126147119</v>
      </c>
      <c r="AJ232" s="370">
        <f t="shared" si="191"/>
        <v>21896643503</v>
      </c>
      <c r="AK232" s="490"/>
      <c r="AL232" s="369">
        <f>AL234+AL243</f>
        <v>0</v>
      </c>
      <c r="AM232" s="370">
        <f>AM234+AM243</f>
        <v>9378200000</v>
      </c>
      <c r="AN232" s="9"/>
    </row>
    <row r="233" spans="1:40" s="372" customFormat="1" ht="24.95" customHeight="1">
      <c r="A233" s="734"/>
      <c r="B233" s="644"/>
      <c r="N233" s="9"/>
      <c r="P233" s="9"/>
      <c r="Q233" s="9"/>
      <c r="R233" s="9"/>
      <c r="S233" s="356" t="str">
        <f>+IF(FEBRERO!S233=0,"",FEBRERO!S233)</f>
        <v/>
      </c>
      <c r="T233" s="678" t="str">
        <f>+IF(FEBRERO!T233=0,"",FEBRERO!T233)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c r="A234" s="734"/>
      <c r="B234" s="644"/>
      <c r="N234" s="9"/>
      <c r="P234" s="9"/>
      <c r="Q234" s="9"/>
      <c r="R234" s="9"/>
      <c r="S234" s="687">
        <f>+IF(FEBRERO!S234=0,"",FEBRERO!S234)</f>
        <v>8000000</v>
      </c>
      <c r="T234" s="663" t="str">
        <f>+IF(FEBRERO!T234=0,"",FEBRERO!T234)</f>
        <v>Programas de Inversión</v>
      </c>
      <c r="U234" s="132">
        <f>U235</f>
        <v>5265730053</v>
      </c>
      <c r="V234" s="122">
        <f t="shared" ref="V234:AJ234" si="192">V235</f>
        <v>0</v>
      </c>
      <c r="W234" s="122">
        <f t="shared" si="192"/>
        <v>5752626782</v>
      </c>
      <c r="X234" s="129">
        <f t="shared" si="192"/>
        <v>11018356835</v>
      </c>
      <c r="Y234" s="128">
        <f t="shared" si="192"/>
        <v>4878959115</v>
      </c>
      <c r="Z234" s="122">
        <f t="shared" si="192"/>
        <v>1215983217</v>
      </c>
      <c r="AA234" s="129">
        <f t="shared" si="192"/>
        <v>6094942332</v>
      </c>
      <c r="AB234" s="128">
        <f t="shared" si="192"/>
        <v>540276226</v>
      </c>
      <c r="AC234" s="122">
        <f t="shared" si="192"/>
        <v>522418519</v>
      </c>
      <c r="AD234" s="129">
        <f t="shared" si="192"/>
        <v>1062694745</v>
      </c>
      <c r="AE234" s="128">
        <f t="shared" si="192"/>
        <v>487222214</v>
      </c>
      <c r="AF234" s="122">
        <f t="shared" si="192"/>
        <v>564387018</v>
      </c>
      <c r="AG234" s="129">
        <f t="shared" si="192"/>
        <v>1051609232</v>
      </c>
      <c r="AH234" s="128">
        <f t="shared" si="192"/>
        <v>4923414503</v>
      </c>
      <c r="AI234" s="122">
        <f t="shared" si="192"/>
        <v>9955662090</v>
      </c>
      <c r="AJ234" s="130">
        <f t="shared" si="192"/>
        <v>9966747603</v>
      </c>
      <c r="AK234" s="9"/>
      <c r="AL234" s="128">
        <f>AL235</f>
        <v>0</v>
      </c>
      <c r="AM234" s="130">
        <f>AM235</f>
        <v>0</v>
      </c>
      <c r="AN234" s="9"/>
    </row>
    <row r="235" spans="1:40" s="372" customFormat="1" ht="24.95" customHeight="1">
      <c r="A235" s="734"/>
      <c r="B235" s="644"/>
      <c r="N235" s="9"/>
      <c r="P235" s="9"/>
      <c r="Q235" s="9"/>
      <c r="R235" s="9"/>
      <c r="S235" s="688">
        <f>+IF(FEBRERO!S235=0,"",FEBRERO!S235)</f>
        <v>8001000</v>
      </c>
      <c r="T235" s="664" t="str">
        <f>+IF(FEBRERO!T235=0,"",FEBRERO!T235)</f>
        <v>Formación Bruta del Capital</v>
      </c>
      <c r="U235" s="27">
        <f t="shared" ref="U235:AJ235" si="193">SUM(U236:U241)</f>
        <v>5265730053</v>
      </c>
      <c r="V235" s="15">
        <f t="shared" si="193"/>
        <v>0</v>
      </c>
      <c r="W235" s="15">
        <f t="shared" si="193"/>
        <v>5752626782</v>
      </c>
      <c r="X235" s="18">
        <f t="shared" si="193"/>
        <v>11018356835</v>
      </c>
      <c r="Y235" s="19">
        <f t="shared" si="193"/>
        <v>4878959115</v>
      </c>
      <c r="Z235" s="142">
        <f t="shared" si="193"/>
        <v>1215983217</v>
      </c>
      <c r="AA235" s="18">
        <f t="shared" si="193"/>
        <v>6094942332</v>
      </c>
      <c r="AB235" s="19">
        <f t="shared" si="193"/>
        <v>540276226</v>
      </c>
      <c r="AC235" s="142">
        <f t="shared" si="193"/>
        <v>522418519</v>
      </c>
      <c r="AD235" s="18">
        <f t="shared" si="193"/>
        <v>1062694745</v>
      </c>
      <c r="AE235" s="19">
        <f t="shared" si="193"/>
        <v>487222214</v>
      </c>
      <c r="AF235" s="142">
        <f t="shared" si="193"/>
        <v>564387018</v>
      </c>
      <c r="AG235" s="18">
        <f t="shared" si="193"/>
        <v>1051609232</v>
      </c>
      <c r="AH235" s="19">
        <f t="shared" si="193"/>
        <v>4923414503</v>
      </c>
      <c r="AI235" s="15">
        <f t="shared" si="193"/>
        <v>9955662090</v>
      </c>
      <c r="AJ235" s="16">
        <f t="shared" si="193"/>
        <v>9966747603</v>
      </c>
      <c r="AK235" s="9"/>
      <c r="AL235" s="29">
        <f>SUM(AL236:AL241)</f>
        <v>0</v>
      </c>
      <c r="AM235" s="26">
        <f>SUM(AM236:AM241)</f>
        <v>0</v>
      </c>
      <c r="AN235" s="9"/>
    </row>
    <row r="236" spans="1:40" s="372" customFormat="1" ht="24.95" customHeight="1">
      <c r="A236" s="734"/>
      <c r="B236" s="644"/>
      <c r="N236" s="9"/>
      <c r="P236" s="9"/>
      <c r="Q236" s="9"/>
      <c r="R236" s="9"/>
      <c r="S236" s="689" t="str">
        <f>+IF(FEBRERO!S236=0,"",FEBRERO!S236)</f>
        <v>8001000-1</v>
      </c>
      <c r="T236" s="665" t="str">
        <f>+IF(FEBRERO!T236=0,"",FEBRERO!T236)</f>
        <v>Subprogr.Construc. Remodelac. Adecuación y Apliac.1</v>
      </c>
      <c r="U236" s="27">
        <f>+ENERO!U236</f>
        <v>4765730053</v>
      </c>
      <c r="V236" s="15">
        <f>FEBRERO!V236+MARZO!AL236</f>
        <v>0</v>
      </c>
      <c r="W236" s="15">
        <f>FEBRERO!W236+MARZO!AM236</f>
        <v>0</v>
      </c>
      <c r="X236" s="18">
        <f t="shared" ref="X236:X241" si="194">SUM(U236:W236)</f>
        <v>4765730053</v>
      </c>
      <c r="Y236" s="19">
        <f>FEBRERO!AA236</f>
        <v>4730919032</v>
      </c>
      <c r="Z236" s="364">
        <v>-3300000</v>
      </c>
      <c r="AA236" s="18">
        <f t="shared" ref="AA236:AA241" si="195">SUM(Y236:Z236)</f>
        <v>4727619032</v>
      </c>
      <c r="AB236" s="19">
        <f>FEBRERO!AD236</f>
        <v>392236143</v>
      </c>
      <c r="AC236" s="364">
        <v>522418519</v>
      </c>
      <c r="AD236" s="18">
        <f t="shared" ref="AD236:AD241" si="196">SUM(AB236:AC236)</f>
        <v>914654662</v>
      </c>
      <c r="AE236" s="19">
        <f>FEBRERO!AG236</f>
        <v>339182131</v>
      </c>
      <c r="AF236" s="364">
        <v>564387018</v>
      </c>
      <c r="AG236" s="18">
        <f t="shared" ref="AG236:AG241" si="197">SUM(AE236:AF236)</f>
        <v>903569149</v>
      </c>
      <c r="AH236" s="19">
        <f t="shared" ref="AH236:AH241" si="198">X236-AA236</f>
        <v>38111021</v>
      </c>
      <c r="AI236" s="15">
        <f t="shared" ref="AI236:AI241" si="199">X236-AD236</f>
        <v>3851075391</v>
      </c>
      <c r="AJ236" s="16">
        <f t="shared" ref="AJ236:AJ241" si="200">X236-AG236</f>
        <v>3862160904</v>
      </c>
      <c r="AK236" s="9"/>
      <c r="AL236" s="362">
        <v>0</v>
      </c>
      <c r="AM236" s="365">
        <v>0</v>
      </c>
      <c r="AN236" s="9"/>
    </row>
    <row r="237" spans="1:40" s="372" customFormat="1" ht="24.95" customHeight="1">
      <c r="A237" s="734"/>
      <c r="B237" s="644"/>
      <c r="N237" s="9"/>
      <c r="P237" s="9"/>
      <c r="Q237" s="9"/>
      <c r="R237" s="9"/>
      <c r="S237" s="689" t="str">
        <f>+IF(FEBRERO!S237=0,"",FEBRERO!S237)</f>
        <v>8001000-2</v>
      </c>
      <c r="T237" s="665" t="str">
        <f>+IF(FEBRERO!T237=0,"",FEBRERO!T237)</f>
        <v>Subprogr.Construc. Remodelac. Adecuación y Apliac.2</v>
      </c>
      <c r="U237" s="27">
        <f>+ENERO!U237</f>
        <v>500000000</v>
      </c>
      <c r="V237" s="15">
        <f>FEBRERO!V237+MARZO!AL237</f>
        <v>0</v>
      </c>
      <c r="W237" s="15">
        <f>FEBRERO!W237+MARZO!AM237</f>
        <v>719283217</v>
      </c>
      <c r="X237" s="18">
        <f t="shared" si="194"/>
        <v>1219283217</v>
      </c>
      <c r="Y237" s="19">
        <f>FEBRERO!AA237</f>
        <v>0</v>
      </c>
      <c r="Z237" s="364">
        <v>1219283217</v>
      </c>
      <c r="AA237" s="18">
        <f t="shared" si="195"/>
        <v>1219283217</v>
      </c>
      <c r="AB237" s="19">
        <f>FEBRERO!AD237</f>
        <v>0</v>
      </c>
      <c r="AC237" s="364">
        <v>0</v>
      </c>
      <c r="AD237" s="18">
        <f t="shared" si="196"/>
        <v>0</v>
      </c>
      <c r="AE237" s="19">
        <f>FEBRERO!AG237</f>
        <v>0</v>
      </c>
      <c r="AF237" s="364">
        <v>0</v>
      </c>
      <c r="AG237" s="18">
        <f t="shared" si="197"/>
        <v>0</v>
      </c>
      <c r="AH237" s="19">
        <f t="shared" si="198"/>
        <v>0</v>
      </c>
      <c r="AI237" s="15">
        <f t="shared" si="199"/>
        <v>1219283217</v>
      </c>
      <c r="AJ237" s="16">
        <f t="shared" si="200"/>
        <v>1219283217</v>
      </c>
      <c r="AK237" s="9"/>
      <c r="AL237" s="362">
        <v>0</v>
      </c>
      <c r="AM237" s="365">
        <v>0</v>
      </c>
      <c r="AN237" s="9"/>
    </row>
    <row r="238" spans="1:40" s="372" customFormat="1" ht="24.95" customHeight="1">
      <c r="A238" s="734"/>
      <c r="B238" s="644"/>
      <c r="N238" s="9"/>
      <c r="P238" s="9"/>
      <c r="Q238" s="9"/>
      <c r="R238" s="9"/>
      <c r="S238" s="689" t="str">
        <f>+IF(FEBRERO!S238=0,"",FEBRERO!S238)</f>
        <v>8001000-3</v>
      </c>
      <c r="T238" s="665" t="str">
        <f>+IF(FEBRERO!T238=0,"",FEBRERO!T238)</f>
        <v>Subprogr.Construc. Remodelac. Adecuación y Apliac.3</v>
      </c>
      <c r="U238" s="27">
        <f>+ENERO!U238</f>
        <v>0</v>
      </c>
      <c r="V238" s="15">
        <f>FEBRERO!V238+MARZO!AL238</f>
        <v>0</v>
      </c>
      <c r="W238" s="15">
        <f>FEBRERO!W238+MARZO!AM238</f>
        <v>0</v>
      </c>
      <c r="X238" s="18">
        <f t="shared" si="194"/>
        <v>0</v>
      </c>
      <c r="Y238" s="19">
        <f>FEBRERO!AA238</f>
        <v>0</v>
      </c>
      <c r="Z238" s="364">
        <v>0</v>
      </c>
      <c r="AA238" s="18">
        <f t="shared" si="195"/>
        <v>0</v>
      </c>
      <c r="AB238" s="19">
        <f>FEBRERO!AD238</f>
        <v>0</v>
      </c>
      <c r="AC238" s="364">
        <v>0</v>
      </c>
      <c r="AD238" s="18">
        <f t="shared" si="196"/>
        <v>0</v>
      </c>
      <c r="AE238" s="19">
        <f>FEBRERO!AG238</f>
        <v>0</v>
      </c>
      <c r="AF238" s="364">
        <v>0</v>
      </c>
      <c r="AG238" s="18">
        <f t="shared" si="197"/>
        <v>0</v>
      </c>
      <c r="AH238" s="19">
        <f t="shared" si="198"/>
        <v>0</v>
      </c>
      <c r="AI238" s="15">
        <f t="shared" si="199"/>
        <v>0</v>
      </c>
      <c r="AJ238" s="16">
        <f t="shared" si="200"/>
        <v>0</v>
      </c>
      <c r="AK238" s="9"/>
      <c r="AL238" s="362">
        <v>0</v>
      </c>
      <c r="AM238" s="365">
        <v>0</v>
      </c>
      <c r="AN238" s="9"/>
    </row>
    <row r="239" spans="1:40" s="372" customFormat="1" ht="24.95" customHeight="1">
      <c r="A239" s="734"/>
      <c r="B239" s="644"/>
      <c r="N239" s="9"/>
      <c r="P239" s="9"/>
      <c r="Q239" s="9"/>
      <c r="S239" s="689" t="str">
        <f>+IF(FEBRERO!S239=0,"",FEBRERO!S239)</f>
        <v>8001000-4</v>
      </c>
      <c r="T239" s="665" t="str">
        <f>+IF(FEBRERO!T239=0,"",FEBRERO!T239)</f>
        <v>Subprogr.Construc. Remodelac. Adecuación y Apliac.4</v>
      </c>
      <c r="U239" s="27">
        <f>+ENERO!U239</f>
        <v>0</v>
      </c>
      <c r="V239" s="15">
        <f>FEBRERO!V239+MARZO!AL239</f>
        <v>0</v>
      </c>
      <c r="W239" s="15">
        <f>FEBRERO!W239+MARZO!AM239</f>
        <v>0</v>
      </c>
      <c r="X239" s="18">
        <f t="shared" si="194"/>
        <v>0</v>
      </c>
      <c r="Y239" s="19">
        <f>FEBRERO!AA239</f>
        <v>0</v>
      </c>
      <c r="Z239" s="364">
        <v>0</v>
      </c>
      <c r="AA239" s="18">
        <f t="shared" si="195"/>
        <v>0</v>
      </c>
      <c r="AB239" s="19">
        <f>FEBRERO!AD239</f>
        <v>0</v>
      </c>
      <c r="AC239" s="364">
        <v>0</v>
      </c>
      <c r="AD239" s="18">
        <f t="shared" si="196"/>
        <v>0</v>
      </c>
      <c r="AE239" s="19">
        <f>FEBRERO!AG239</f>
        <v>0</v>
      </c>
      <c r="AF239" s="364">
        <v>0</v>
      </c>
      <c r="AG239" s="18">
        <f t="shared" si="197"/>
        <v>0</v>
      </c>
      <c r="AH239" s="19">
        <f t="shared" si="198"/>
        <v>0</v>
      </c>
      <c r="AI239" s="15">
        <f t="shared" si="199"/>
        <v>0</v>
      </c>
      <c r="AJ239" s="16">
        <f t="shared" si="200"/>
        <v>0</v>
      </c>
      <c r="AK239" s="9"/>
      <c r="AL239" s="362">
        <v>0</v>
      </c>
      <c r="AM239" s="365">
        <v>0</v>
      </c>
      <c r="AN239" s="9"/>
    </row>
    <row r="240" spans="1:40" s="372" customFormat="1" ht="24.95" customHeight="1">
      <c r="A240" s="734"/>
      <c r="B240" s="644"/>
      <c r="N240" s="9"/>
      <c r="P240" s="9"/>
      <c r="Q240" s="9"/>
      <c r="S240" s="689" t="str">
        <f>+IF(FEBRERO!S240=0,"",FEBRERO!S240)</f>
        <v>8001000-5</v>
      </c>
      <c r="T240" s="665" t="str">
        <f>+IF(FEBRERO!T240=0,"",FEBRERO!T240)</f>
        <v>Subprogr.Construc. Remodelac. Adecuación y Apliac.5</v>
      </c>
      <c r="U240" s="27">
        <f>+ENERO!U240</f>
        <v>0</v>
      </c>
      <c r="V240" s="15">
        <f>FEBRERO!V240+MARZO!AL240</f>
        <v>0</v>
      </c>
      <c r="W240" s="15">
        <f>FEBRERO!W240+MARZO!AM240</f>
        <v>0</v>
      </c>
      <c r="X240" s="18">
        <f t="shared" si="194"/>
        <v>0</v>
      </c>
      <c r="Y240" s="19">
        <f>FEBRERO!AA240</f>
        <v>0</v>
      </c>
      <c r="Z240" s="364">
        <v>0</v>
      </c>
      <c r="AA240" s="18">
        <f t="shared" si="195"/>
        <v>0</v>
      </c>
      <c r="AB240" s="19">
        <f>FEBRERO!AD240</f>
        <v>0</v>
      </c>
      <c r="AC240" s="364">
        <v>0</v>
      </c>
      <c r="AD240" s="18">
        <f t="shared" si="196"/>
        <v>0</v>
      </c>
      <c r="AE240" s="19">
        <f>FEBRERO!AG240</f>
        <v>0</v>
      </c>
      <c r="AF240" s="364">
        <v>0</v>
      </c>
      <c r="AG240" s="18">
        <f t="shared" si="197"/>
        <v>0</v>
      </c>
      <c r="AH240" s="19">
        <f t="shared" si="198"/>
        <v>0</v>
      </c>
      <c r="AI240" s="15">
        <f t="shared" si="199"/>
        <v>0</v>
      </c>
      <c r="AJ240" s="16">
        <f t="shared" si="200"/>
        <v>0</v>
      </c>
      <c r="AK240" s="9"/>
      <c r="AL240" s="362">
        <v>0</v>
      </c>
      <c r="AM240" s="365">
        <v>0</v>
      </c>
      <c r="AN240" s="9"/>
    </row>
    <row r="241" spans="1:70" ht="24.95" customHeight="1">
      <c r="A241" s="734"/>
      <c r="B241" s="644"/>
      <c r="C241" s="372"/>
      <c r="D241" s="372"/>
      <c r="E241" s="372"/>
      <c r="F241" s="372"/>
      <c r="G241" s="372"/>
      <c r="H241" s="372"/>
      <c r="I241" s="372"/>
      <c r="J241" s="372"/>
      <c r="K241" s="372"/>
      <c r="L241" s="372"/>
      <c r="M241" s="372"/>
      <c r="N241" s="9"/>
      <c r="O241" s="372"/>
      <c r="P241" s="9"/>
      <c r="Q241" s="9"/>
      <c r="S241" s="697">
        <f>+IF(FEBRERO!S241=0,"",FEBRERO!S241)</f>
        <v>8001999</v>
      </c>
      <c r="T241" s="665" t="str">
        <f>+IF(FEBRERO!T241=0,"",FEBRERO!T241)</f>
        <v>Vigencias Anteriores</v>
      </c>
      <c r="U241" s="27">
        <f>+ENERO!U241</f>
        <v>0</v>
      </c>
      <c r="V241" s="15">
        <f>FEBRERO!V241+MARZO!AL241</f>
        <v>0</v>
      </c>
      <c r="W241" s="15">
        <f>FEBRERO!W241+MARZO!AM241</f>
        <v>5033343565</v>
      </c>
      <c r="X241" s="18">
        <f t="shared" si="194"/>
        <v>5033343565</v>
      </c>
      <c r="Y241" s="19">
        <f>FEBRERO!AA241</f>
        <v>148040083</v>
      </c>
      <c r="Z241" s="364">
        <v>0</v>
      </c>
      <c r="AA241" s="18">
        <f t="shared" si="195"/>
        <v>148040083</v>
      </c>
      <c r="AB241" s="19">
        <f>FEBRERO!AD241</f>
        <v>148040083</v>
      </c>
      <c r="AC241" s="364">
        <v>0</v>
      </c>
      <c r="AD241" s="18">
        <f t="shared" si="196"/>
        <v>148040083</v>
      </c>
      <c r="AE241" s="19">
        <f>FEBRERO!AG241</f>
        <v>148040083</v>
      </c>
      <c r="AF241" s="364">
        <v>0</v>
      </c>
      <c r="AG241" s="18">
        <f t="shared" si="197"/>
        <v>148040083</v>
      </c>
      <c r="AH241" s="19">
        <f t="shared" si="198"/>
        <v>4885303482</v>
      </c>
      <c r="AI241" s="15">
        <f t="shared" si="199"/>
        <v>4885303482</v>
      </c>
      <c r="AJ241" s="16">
        <f t="shared" si="200"/>
        <v>4885303482</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+IF(FEBRERO!S242=0,"",FEBRERO!S242)</f>
        <v/>
      </c>
      <c r="T242" s="678" t="str">
        <f>+IF(FEBRERO!T242=0,"",FEBRERO!T242)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+IF(FEBRERO!S243=0,"",FEBRERO!S243)</f>
        <v>8002001</v>
      </c>
      <c r="T243" s="663" t="str">
        <f>+IF(FEBRERO!T243=0,"",FEBRERO!T243)</f>
        <v>Gastos Operativos de Inversion   (Programas Especiales)</v>
      </c>
      <c r="U243" s="132">
        <f t="shared" ref="U243:AJ243" si="201">SUM(U244:U256)</f>
        <v>500000000</v>
      </c>
      <c r="V243" s="122">
        <f t="shared" si="201"/>
        <v>0</v>
      </c>
      <c r="W243" s="122">
        <f t="shared" si="201"/>
        <v>12819896528</v>
      </c>
      <c r="X243" s="129">
        <f t="shared" si="201"/>
        <v>13319896528</v>
      </c>
      <c r="Y243" s="128">
        <f t="shared" si="201"/>
        <v>1689111478</v>
      </c>
      <c r="Z243" s="122">
        <f t="shared" si="201"/>
        <v>1586140054</v>
      </c>
      <c r="AA243" s="129">
        <f t="shared" si="201"/>
        <v>3275251532</v>
      </c>
      <c r="AB243" s="128">
        <f t="shared" si="201"/>
        <v>1348133478</v>
      </c>
      <c r="AC243" s="122">
        <f t="shared" si="201"/>
        <v>801278021</v>
      </c>
      <c r="AD243" s="129">
        <f t="shared" si="201"/>
        <v>2149411499</v>
      </c>
      <c r="AE243" s="128">
        <f t="shared" si="201"/>
        <v>630300582</v>
      </c>
      <c r="AF243" s="122">
        <f t="shared" si="201"/>
        <v>759700046</v>
      </c>
      <c r="AG243" s="129">
        <f t="shared" si="201"/>
        <v>1390000628</v>
      </c>
      <c r="AH243" s="128">
        <f t="shared" si="201"/>
        <v>10044644996</v>
      </c>
      <c r="AI243" s="122">
        <f t="shared" si="201"/>
        <v>11170485029</v>
      </c>
      <c r="AJ243" s="130">
        <f t="shared" si="201"/>
        <v>11929895900</v>
      </c>
      <c r="AK243" s="9"/>
      <c r="AL243" s="128">
        <f>SUM(AL244:AL256)</f>
        <v>0</v>
      </c>
      <c r="AM243" s="130">
        <f>SUM(AM244:AM256)</f>
        <v>9378200000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+IF(FEBRERO!S244=0,"",FEBRERO!S244)</f>
        <v>8002100-1</v>
      </c>
      <c r="T244" s="665" t="str">
        <f>+IF(FEBRERO!T244=0,"",FEBRERO!T244)</f>
        <v>Fondo de la Vivienda</v>
      </c>
      <c r="U244" s="27">
        <f>+ENERO!U244</f>
        <v>0</v>
      </c>
      <c r="V244" s="15">
        <f>FEBRERO!V244+MARZO!AL244</f>
        <v>0</v>
      </c>
      <c r="W244" s="15">
        <f>FEBRERO!W244+MARZO!AM244</f>
        <v>0</v>
      </c>
      <c r="X244" s="18">
        <f t="shared" ref="X244:X256" si="202">SUM(U244:W244)</f>
        <v>0</v>
      </c>
      <c r="Y244" s="19">
        <f>FEBRERO!AA244</f>
        <v>0</v>
      </c>
      <c r="Z244" s="364">
        <v>0</v>
      </c>
      <c r="AA244" s="18">
        <f t="shared" ref="AA244:AA256" si="203">SUM(Y244:Z244)</f>
        <v>0</v>
      </c>
      <c r="AB244" s="19">
        <f>FEBRERO!AD244</f>
        <v>0</v>
      </c>
      <c r="AC244" s="364">
        <v>0</v>
      </c>
      <c r="AD244" s="18">
        <f t="shared" ref="AD244:AD256" si="204">SUM(AB244:AC244)</f>
        <v>0</v>
      </c>
      <c r="AE244" s="19">
        <f>FEBRERO!AG244</f>
        <v>0</v>
      </c>
      <c r="AF244" s="364">
        <v>0</v>
      </c>
      <c r="AG244" s="18">
        <f t="shared" ref="AG244:AG256" si="205">SUM(AE244:AF244)</f>
        <v>0</v>
      </c>
      <c r="AH244" s="19">
        <f t="shared" ref="AH244:AH256" si="206">X244-AA244</f>
        <v>0</v>
      </c>
      <c r="AI244" s="15">
        <f t="shared" ref="AI244:AI256" si="207">X244-AD244</f>
        <v>0</v>
      </c>
      <c r="AJ244" s="16">
        <f t="shared" ref="AJ244:AJ256" si="20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+IF(FEBRERO!S245=0,"",FEBRERO!S245)</f>
        <v>8002100-2</v>
      </c>
      <c r="T245" s="665" t="str">
        <f>+IF(FEBRERO!T245=0,"",FEBRERO!T245)</f>
        <v>Programas Especial 01</v>
      </c>
      <c r="U245" s="27">
        <f>+ENERO!U245</f>
        <v>0</v>
      </c>
      <c r="V245" s="15">
        <f>FEBRERO!V245+MARZO!AL245</f>
        <v>0</v>
      </c>
      <c r="W245" s="15">
        <f>FEBRERO!W245+MARZO!AM245</f>
        <v>152517826</v>
      </c>
      <c r="X245" s="18">
        <f t="shared" si="202"/>
        <v>152517826</v>
      </c>
      <c r="Y245" s="19">
        <f>FEBRERO!AA245</f>
        <v>0</v>
      </c>
      <c r="Z245" s="364">
        <v>0</v>
      </c>
      <c r="AA245" s="18">
        <f t="shared" si="203"/>
        <v>0</v>
      </c>
      <c r="AB245" s="19">
        <f>FEBRERO!AD245</f>
        <v>0</v>
      </c>
      <c r="AC245" s="364">
        <v>0</v>
      </c>
      <c r="AD245" s="18">
        <f t="shared" si="204"/>
        <v>0</v>
      </c>
      <c r="AE245" s="19">
        <f>FEBRERO!AG245</f>
        <v>0</v>
      </c>
      <c r="AF245" s="364">
        <v>0</v>
      </c>
      <c r="AG245" s="18">
        <f t="shared" si="205"/>
        <v>0</v>
      </c>
      <c r="AH245" s="19">
        <f t="shared" si="206"/>
        <v>152517826</v>
      </c>
      <c r="AI245" s="15">
        <f t="shared" si="207"/>
        <v>152517826</v>
      </c>
      <c r="AJ245" s="16">
        <f t="shared" si="208"/>
        <v>152517826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+IF(FEBRERO!S246=0,"",FEBRERO!S246)</f>
        <v>8002100-3</v>
      </c>
      <c r="T246" s="665" t="str">
        <f>+IF(FEBRERO!T246=0,"",FEBRERO!T246)</f>
        <v>Programas Especial 02</v>
      </c>
      <c r="U246" s="27">
        <f>+ENERO!U246</f>
        <v>0</v>
      </c>
      <c r="V246" s="15">
        <f>FEBRERO!V246+MARZO!AL246</f>
        <v>0</v>
      </c>
      <c r="W246" s="15">
        <f>FEBRERO!W246+MARZO!AM246</f>
        <v>0</v>
      </c>
      <c r="X246" s="18">
        <f t="shared" si="202"/>
        <v>0</v>
      </c>
      <c r="Y246" s="19">
        <f>FEBRERO!AA246</f>
        <v>0</v>
      </c>
      <c r="Z246" s="364">
        <v>0</v>
      </c>
      <c r="AA246" s="18">
        <f t="shared" si="203"/>
        <v>0</v>
      </c>
      <c r="AB246" s="19">
        <f>FEBRERO!AD246</f>
        <v>0</v>
      </c>
      <c r="AC246" s="364">
        <v>0</v>
      </c>
      <c r="AD246" s="18">
        <f t="shared" si="204"/>
        <v>0</v>
      </c>
      <c r="AE246" s="19">
        <f>FEBRERO!AG246</f>
        <v>0</v>
      </c>
      <c r="AF246" s="364">
        <v>0</v>
      </c>
      <c r="AG246" s="18">
        <f t="shared" si="205"/>
        <v>0</v>
      </c>
      <c r="AH246" s="19">
        <f t="shared" si="206"/>
        <v>0</v>
      </c>
      <c r="AI246" s="15">
        <f t="shared" si="207"/>
        <v>0</v>
      </c>
      <c r="AJ246" s="16">
        <f t="shared" si="20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+IF(FEBRERO!S247=0,"",FEBRERO!S247)</f>
        <v>8002100-4</v>
      </c>
      <c r="T247" s="665" t="str">
        <f>+IF(FEBRERO!T247=0,"",FEBRERO!T247)</f>
        <v>Programas Especial 03</v>
      </c>
      <c r="U247" s="27">
        <f>+ENERO!U247</f>
        <v>0</v>
      </c>
      <c r="V247" s="15">
        <f>FEBRERO!V247+MARZO!AL247</f>
        <v>0</v>
      </c>
      <c r="W247" s="15">
        <f>FEBRERO!W247+MARZO!AM247</f>
        <v>193911300</v>
      </c>
      <c r="X247" s="18">
        <f t="shared" si="202"/>
        <v>193911300</v>
      </c>
      <c r="Y247" s="19">
        <f>FEBRERO!AA247</f>
        <v>124425000</v>
      </c>
      <c r="Z247" s="364">
        <v>1535100</v>
      </c>
      <c r="AA247" s="18">
        <f t="shared" si="203"/>
        <v>125960100</v>
      </c>
      <c r="AB247" s="19">
        <f>FEBRERO!AD247</f>
        <v>10147000</v>
      </c>
      <c r="AC247" s="364">
        <v>17036100</v>
      </c>
      <c r="AD247" s="18">
        <f t="shared" si="204"/>
        <v>27183100</v>
      </c>
      <c r="AE247" s="19">
        <f>FEBRERO!AG247</f>
        <v>0</v>
      </c>
      <c r="AF247" s="364">
        <v>27183100</v>
      </c>
      <c r="AG247" s="18">
        <f t="shared" si="205"/>
        <v>27183100</v>
      </c>
      <c r="AH247" s="19">
        <f t="shared" si="206"/>
        <v>67951200</v>
      </c>
      <c r="AI247" s="15">
        <f t="shared" si="207"/>
        <v>166728200</v>
      </c>
      <c r="AJ247" s="16">
        <f t="shared" si="208"/>
        <v>166728200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+IF(FEBRERO!S248=0,"",FEBRERO!S248)</f>
        <v>8002100-5</v>
      </c>
      <c r="T248" s="665" t="str">
        <f>+IF(FEBRERO!T248=0,"",FEBRERO!T248)</f>
        <v>Programas Especial 04</v>
      </c>
      <c r="U248" s="27">
        <f>+ENERO!U248</f>
        <v>500000000</v>
      </c>
      <c r="V248" s="15">
        <f>FEBRERO!V248+MARZO!AL248</f>
        <v>0</v>
      </c>
      <c r="W248" s="15">
        <f>FEBRERO!W248+MARZO!AM248</f>
        <v>2619976000</v>
      </c>
      <c r="X248" s="18">
        <f t="shared" si="202"/>
        <v>3119976000</v>
      </c>
      <c r="Y248" s="19">
        <f>FEBRERO!AA248</f>
        <v>1427771675</v>
      </c>
      <c r="Z248" s="364">
        <v>321376520</v>
      </c>
      <c r="AA248" s="18">
        <f t="shared" si="203"/>
        <v>1749148195</v>
      </c>
      <c r="AB248" s="19">
        <f>FEBRERO!AD248</f>
        <v>1201071675</v>
      </c>
      <c r="AC248" s="364">
        <v>459371820</v>
      </c>
      <c r="AD248" s="18">
        <f t="shared" si="204"/>
        <v>1660443495</v>
      </c>
      <c r="AE248" s="19">
        <f>FEBRERO!AG248</f>
        <v>493385779</v>
      </c>
      <c r="AF248" s="364">
        <v>407646845</v>
      </c>
      <c r="AG248" s="18">
        <f t="shared" si="205"/>
        <v>901032624</v>
      </c>
      <c r="AH248" s="19">
        <f t="shared" si="206"/>
        <v>1370827805</v>
      </c>
      <c r="AI248" s="15">
        <f t="shared" si="207"/>
        <v>1459532505</v>
      </c>
      <c r="AJ248" s="16">
        <f t="shared" si="208"/>
        <v>2218943376</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+IF(FEBRERO!S249=0,"",FEBRERO!S249)</f>
        <v>8002100-6</v>
      </c>
      <c r="T249" s="665" t="str">
        <f>+IF(FEBRERO!T249=0,"",FEBRERO!T249)</f>
        <v>Programas Especial 05</v>
      </c>
      <c r="U249" s="27">
        <f>+ENERO!U249</f>
        <v>0</v>
      </c>
      <c r="V249" s="15">
        <f>FEBRERO!V249+MARZO!AL249</f>
        <v>0</v>
      </c>
      <c r="W249" s="15">
        <f>FEBRERO!W249+MARZO!AM249</f>
        <v>20000000</v>
      </c>
      <c r="X249" s="18">
        <f t="shared" si="202"/>
        <v>20000000</v>
      </c>
      <c r="Y249" s="19">
        <f>FEBRERO!AA249</f>
        <v>0</v>
      </c>
      <c r="Z249" s="364">
        <v>0</v>
      </c>
      <c r="AA249" s="18">
        <f t="shared" si="203"/>
        <v>0</v>
      </c>
      <c r="AB249" s="19">
        <f>FEBRERO!AD249</f>
        <v>0</v>
      </c>
      <c r="AC249" s="364">
        <v>0</v>
      </c>
      <c r="AD249" s="18">
        <f t="shared" si="204"/>
        <v>0</v>
      </c>
      <c r="AE249" s="19">
        <f>FEBRERO!AG249</f>
        <v>0</v>
      </c>
      <c r="AF249" s="364">
        <v>0</v>
      </c>
      <c r="AG249" s="18">
        <f t="shared" si="205"/>
        <v>0</v>
      </c>
      <c r="AH249" s="19">
        <f t="shared" si="206"/>
        <v>20000000</v>
      </c>
      <c r="AI249" s="15">
        <f t="shared" si="207"/>
        <v>20000000</v>
      </c>
      <c r="AJ249" s="16">
        <f t="shared" si="208"/>
        <v>20000000</v>
      </c>
      <c r="AK249" s="9"/>
      <c r="AL249" s="362">
        <v>0</v>
      </c>
      <c r="AM249" s="365">
        <v>20000000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+IF(FEBRERO!S250=0,"",FEBRERO!S250)</f>
        <v>8002100-7</v>
      </c>
      <c r="T250" s="665" t="str">
        <f>+IF(FEBRERO!T250=0,"",FEBRERO!T250)</f>
        <v>Programas Especial 06</v>
      </c>
      <c r="U250" s="27">
        <f>+ENERO!U250</f>
        <v>0</v>
      </c>
      <c r="V250" s="15">
        <f>FEBRERO!V250+MARZO!AL250</f>
        <v>0</v>
      </c>
      <c r="W250" s="15">
        <f>FEBRERO!W250+MARZO!AM250</f>
        <v>9358200000</v>
      </c>
      <c r="X250" s="18">
        <f>SUM(U250:W250)</f>
        <v>9358200000</v>
      </c>
      <c r="Y250" s="19">
        <f>FEBRERO!AA250</f>
        <v>0</v>
      </c>
      <c r="Z250" s="364">
        <v>938358333</v>
      </c>
      <c r="AA250" s="18">
        <f>SUM(Y250:Z250)</f>
        <v>938358333</v>
      </c>
      <c r="AB250" s="19">
        <f>FEBRERO!AD250</f>
        <v>0</v>
      </c>
      <c r="AC250" s="364">
        <v>0</v>
      </c>
      <c r="AD250" s="18">
        <f>SUM(AB250:AC250)</f>
        <v>0</v>
      </c>
      <c r="AE250" s="19">
        <f>FEBRERO!AG250</f>
        <v>0</v>
      </c>
      <c r="AF250" s="364">
        <v>0</v>
      </c>
      <c r="AG250" s="18">
        <f>SUM(AE250:AF250)</f>
        <v>0</v>
      </c>
      <c r="AH250" s="19">
        <f>X250-AA250</f>
        <v>8419841667</v>
      </c>
      <c r="AI250" s="15">
        <f>X250-AD250</f>
        <v>9358200000</v>
      </c>
      <c r="AJ250" s="16">
        <f>X250-AG250</f>
        <v>9358200000</v>
      </c>
      <c r="AK250" s="9"/>
      <c r="AL250" s="362">
        <v>0</v>
      </c>
      <c r="AM250" s="365">
        <v>9358200000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+IF(FEBRERO!S251=0,"",FEBRERO!S251)</f>
        <v>8002100-8</v>
      </c>
      <c r="T251" s="665" t="str">
        <f>+IF(FEBRERO!T251=0,"",FEBRERO!T251)</f>
        <v>Programas Especial 07</v>
      </c>
      <c r="U251" s="27">
        <f>+ENERO!U251</f>
        <v>0</v>
      </c>
      <c r="V251" s="15">
        <f>FEBRERO!V251+MARZO!AL251</f>
        <v>0</v>
      </c>
      <c r="W251" s="15">
        <f>FEBRERO!W251+MARZO!AM251</f>
        <v>0</v>
      </c>
      <c r="X251" s="18">
        <f>SUM(U251:W251)</f>
        <v>0</v>
      </c>
      <c r="Y251" s="19">
        <f>FEBRERO!AA251</f>
        <v>0</v>
      </c>
      <c r="Z251" s="364">
        <v>0</v>
      </c>
      <c r="AA251" s="18">
        <f>SUM(Y251:Z251)</f>
        <v>0</v>
      </c>
      <c r="AB251" s="19">
        <f>FEBRERO!AD251</f>
        <v>0</v>
      </c>
      <c r="AC251" s="364">
        <v>0</v>
      </c>
      <c r="AD251" s="18">
        <f>SUM(AB251:AC251)</f>
        <v>0</v>
      </c>
      <c r="AE251" s="19">
        <f>FEBRERO!AG251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+IF(FEBRERO!S252=0,"",FEBRERO!S252)</f>
        <v>8002100-9</v>
      </c>
      <c r="T252" s="665" t="str">
        <f>+IF(FEBRERO!T252=0,"",FEBRERO!T252)</f>
        <v>Programas Especial 08</v>
      </c>
      <c r="U252" s="27">
        <f>+ENERO!U252</f>
        <v>0</v>
      </c>
      <c r="V252" s="15">
        <f>FEBRERO!V252+MARZO!AL252</f>
        <v>0</v>
      </c>
      <c r="W252" s="15">
        <f>FEBRERO!W252+MARZO!AM252</f>
        <v>0</v>
      </c>
      <c r="X252" s="18">
        <f>SUM(U252:W252)</f>
        <v>0</v>
      </c>
      <c r="Y252" s="19">
        <f>FEBRERO!AA252</f>
        <v>0</v>
      </c>
      <c r="Z252" s="364">
        <v>0</v>
      </c>
      <c r="AA252" s="18">
        <f>SUM(Y252:Z252)</f>
        <v>0</v>
      </c>
      <c r="AB252" s="19">
        <f>FEBRERO!AD252</f>
        <v>0</v>
      </c>
      <c r="AC252" s="364">
        <v>0</v>
      </c>
      <c r="AD252" s="18">
        <f>SUM(AB252:AC252)</f>
        <v>0</v>
      </c>
      <c r="AE252" s="19">
        <f>FEBRERO!AG252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+IF(FEBRERO!S253=0,"",FEBRERO!S253)</f>
        <v>8002100-10</v>
      </c>
      <c r="T253" s="665" t="str">
        <f>+IF(FEBRERO!T253=0,"",FEBRERO!T253)</f>
        <v>Programas Especial 09</v>
      </c>
      <c r="U253" s="27">
        <f>+ENERO!U253</f>
        <v>0</v>
      </c>
      <c r="V253" s="15">
        <f>FEBRERO!V253+MARZO!AL253</f>
        <v>0</v>
      </c>
      <c r="W253" s="15">
        <f>FEBRERO!W253+MARZO!AM253</f>
        <v>0</v>
      </c>
      <c r="X253" s="18">
        <f>SUM(U253:W253)</f>
        <v>0</v>
      </c>
      <c r="Y253" s="19">
        <f>FEBRERO!AA253</f>
        <v>0</v>
      </c>
      <c r="Z253" s="364">
        <v>0</v>
      </c>
      <c r="AA253" s="18">
        <f>SUM(Y253:Z253)</f>
        <v>0</v>
      </c>
      <c r="AB253" s="19">
        <f>FEBRERO!AD253</f>
        <v>0</v>
      </c>
      <c r="AC253" s="364">
        <v>0</v>
      </c>
      <c r="AD253" s="18">
        <f>SUM(AB253:AC253)</f>
        <v>0</v>
      </c>
      <c r="AE253" s="19">
        <f>FEBRERO!AG253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+IF(FEBRERO!S254=0,"",FEBRERO!S254)</f>
        <v>8002100-11</v>
      </c>
      <c r="T254" s="665" t="str">
        <f>+IF(FEBRERO!T254=0,"",FEBRERO!T254)</f>
        <v>Programas Especial 10</v>
      </c>
      <c r="U254" s="27">
        <f>+ENERO!U254</f>
        <v>0</v>
      </c>
      <c r="V254" s="15">
        <f>FEBRERO!V254+MARZO!AL254</f>
        <v>0</v>
      </c>
      <c r="W254" s="15">
        <f>FEBRERO!W254+MARZO!AM254</f>
        <v>0</v>
      </c>
      <c r="X254" s="18">
        <f>SUM(U254:W254)</f>
        <v>0</v>
      </c>
      <c r="Y254" s="19">
        <f>FEBRERO!AA254</f>
        <v>0</v>
      </c>
      <c r="Z254" s="364">
        <v>0</v>
      </c>
      <c r="AA254" s="18">
        <f>SUM(Y254:Z254)</f>
        <v>0</v>
      </c>
      <c r="AB254" s="19">
        <f>FEBRERO!AD254</f>
        <v>0</v>
      </c>
      <c r="AC254" s="364">
        <v>0</v>
      </c>
      <c r="AD254" s="18">
        <f>SUM(AB254:AC254)</f>
        <v>0</v>
      </c>
      <c r="AE254" s="19">
        <f>FEBRERO!AG254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+IF(FEBRERO!S255=0,"",FEBRERO!S255)</f>
        <v>8002100-12</v>
      </c>
      <c r="T255" s="665" t="str">
        <f>+IF(FEBRERO!T255=0,"",FEBRERO!T255)</f>
        <v>Programas Especial 11</v>
      </c>
      <c r="U255" s="27">
        <f>+ENERO!U255</f>
        <v>0</v>
      </c>
      <c r="V255" s="15">
        <f>FEBRERO!V255+MARZO!AL255</f>
        <v>0</v>
      </c>
      <c r="W255" s="15">
        <f>FEBRERO!W255+MARZO!AM255</f>
        <v>0</v>
      </c>
      <c r="X255" s="18">
        <f t="shared" si="202"/>
        <v>0</v>
      </c>
      <c r="Y255" s="19">
        <f>FEBRERO!AA255</f>
        <v>0</v>
      </c>
      <c r="Z255" s="364">
        <v>0</v>
      </c>
      <c r="AA255" s="18">
        <f t="shared" si="203"/>
        <v>0</v>
      </c>
      <c r="AB255" s="19">
        <f>FEBRERO!AD255</f>
        <v>0</v>
      </c>
      <c r="AC255" s="364">
        <v>0</v>
      </c>
      <c r="AD255" s="18">
        <f t="shared" si="204"/>
        <v>0</v>
      </c>
      <c r="AE255" s="19">
        <f>FEBRERO!AG255</f>
        <v>0</v>
      </c>
      <c r="AF255" s="364">
        <v>0</v>
      </c>
      <c r="AG255" s="18">
        <f t="shared" si="205"/>
        <v>0</v>
      </c>
      <c r="AH255" s="19">
        <f t="shared" si="206"/>
        <v>0</v>
      </c>
      <c r="AI255" s="15">
        <f t="shared" si="207"/>
        <v>0</v>
      </c>
      <c r="AJ255" s="16">
        <f t="shared" si="20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+IF(FEBRERO!S256=0,"",FEBRERO!S256)</f>
        <v>8002999</v>
      </c>
      <c r="T256" s="680" t="str">
        <f>+IF(FEBRERO!T256=0,"",FEBRERO!T256)</f>
        <v>Vigencias Anteriores</v>
      </c>
      <c r="U256" s="133">
        <f>+ENERO!U256</f>
        <v>0</v>
      </c>
      <c r="V256" s="121">
        <f>FEBRERO!V256+MARZO!AL256</f>
        <v>0</v>
      </c>
      <c r="W256" s="121">
        <f>FEBRERO!W256+MARZO!AM256</f>
        <v>475291402</v>
      </c>
      <c r="X256" s="126">
        <f t="shared" si="202"/>
        <v>475291402</v>
      </c>
      <c r="Y256" s="124">
        <f>FEBRERO!AA256</f>
        <v>136914803</v>
      </c>
      <c r="Z256" s="378">
        <v>324870101</v>
      </c>
      <c r="AA256" s="126">
        <f t="shared" si="203"/>
        <v>461784904</v>
      </c>
      <c r="AB256" s="124">
        <f>FEBRERO!AD256</f>
        <v>136914803</v>
      </c>
      <c r="AC256" s="378">
        <v>324870101</v>
      </c>
      <c r="AD256" s="126">
        <f t="shared" si="204"/>
        <v>461784904</v>
      </c>
      <c r="AE256" s="124">
        <f>FEBRERO!AG256</f>
        <v>136914803</v>
      </c>
      <c r="AF256" s="378">
        <v>324870101</v>
      </c>
      <c r="AG256" s="126">
        <f t="shared" si="205"/>
        <v>461784904</v>
      </c>
      <c r="AH256" s="124">
        <f t="shared" si="206"/>
        <v>13506498</v>
      </c>
      <c r="AI256" s="121">
        <f t="shared" si="207"/>
        <v>13506498</v>
      </c>
      <c r="AJ256" s="125">
        <f t="shared" si="208"/>
        <v>13506498</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+IF(FEBRERO!S257=0,"",FEBRERO!S257)</f>
        <v/>
      </c>
      <c r="T257" s="677" t="str">
        <f>+IF(FEBRERO!T257=0,"",FEBRERO!T257)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09">+(D10+D17+D113)-(V10+V193+V220+V232)</f>
        <v>0</v>
      </c>
      <c r="W258" s="330">
        <f t="shared" si="209"/>
        <v>0</v>
      </c>
      <c r="X258" s="330">
        <f t="shared" si="209"/>
        <v>0</v>
      </c>
      <c r="Y258" s="330">
        <f t="shared" si="209"/>
        <v>-16783056429</v>
      </c>
      <c r="Z258" s="330">
        <f t="shared" si="209"/>
        <v>2247160688</v>
      </c>
      <c r="AA258" s="330">
        <f t="shared" si="209"/>
        <v>-14535895741</v>
      </c>
      <c r="AB258" s="330">
        <f t="shared" si="209"/>
        <v>2758241164</v>
      </c>
      <c r="AC258" s="330">
        <f t="shared" si="209"/>
        <v>-3230569499</v>
      </c>
      <c r="AD258" s="330">
        <f t="shared" si="209"/>
        <v>-472328335</v>
      </c>
      <c r="AE258" s="330">
        <f t="shared" si="209"/>
        <v>47032936895</v>
      </c>
      <c r="AF258" s="330">
        <f t="shared" si="209"/>
        <v>63366071848</v>
      </c>
      <c r="AG258" s="330">
        <f t="shared" si="209"/>
        <v>-14194552382</v>
      </c>
      <c r="AH258" s="330">
        <f t="shared" si="209"/>
        <v>-40073527840</v>
      </c>
      <c r="AI258" s="330">
        <f t="shared" si="209"/>
        <v>-55930086859</v>
      </c>
      <c r="AJ258" s="768">
        <f t="shared" si="209"/>
        <v>-80664520768</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45619844700</v>
      </c>
    </row>
    <row r="260" spans="1:39" ht="24.95" customHeight="1" thickBot="1">
      <c r="S260" s="785" t="s">
        <v>562</v>
      </c>
      <c r="T260" s="786"/>
      <c r="U260" s="761">
        <f>+U8-U262</f>
        <v>62391028787</v>
      </c>
      <c r="V260" s="761">
        <f t="shared" ref="V260:AJ260" si="210">+V8-V262</f>
        <v>-110000000</v>
      </c>
      <c r="W260" s="761">
        <f t="shared" si="210"/>
        <v>15482021510</v>
      </c>
      <c r="X260" s="761">
        <f t="shared" si="210"/>
        <v>77763050297</v>
      </c>
      <c r="Y260" s="761">
        <f t="shared" si="210"/>
        <v>40523164833</v>
      </c>
      <c r="Z260" s="761">
        <f t="shared" si="210"/>
        <v>5797275606</v>
      </c>
      <c r="AA260" s="761">
        <f t="shared" si="210"/>
        <v>46320440439</v>
      </c>
      <c r="AB260" s="761">
        <f t="shared" si="210"/>
        <v>10989156843</v>
      </c>
      <c r="AC260" s="761">
        <f t="shared" si="210"/>
        <v>5893002227</v>
      </c>
      <c r="AD260" s="761">
        <f t="shared" si="210"/>
        <v>16882159070</v>
      </c>
      <c r="AE260" s="761">
        <f t="shared" si="210"/>
        <v>3049652964</v>
      </c>
      <c r="AF260" s="761">
        <f t="shared" si="210"/>
        <v>2679794547</v>
      </c>
      <c r="AG260" s="761">
        <f t="shared" si="210"/>
        <v>5729447511</v>
      </c>
      <c r="AH260" s="761">
        <f t="shared" si="210"/>
        <v>31442609858</v>
      </c>
      <c r="AI260" s="761">
        <f t="shared" si="210"/>
        <v>60880891227</v>
      </c>
      <c r="AJ260" s="762">
        <f t="shared" si="210"/>
        <v>72033602786</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563</v>
      </c>
      <c r="T262" s="788"/>
      <c r="U262" s="765">
        <f>+SUMIF($T$8:$T$256,$T$33,U8:U256)</f>
        <v>4029331818</v>
      </c>
      <c r="V262" s="765">
        <f t="shared" ref="V262:AJ262" si="211">+SUMIF($T$8:$T$256,$T$33,V8:V256)</f>
        <v>110000000</v>
      </c>
      <c r="W262" s="765">
        <f t="shared" si="211"/>
        <v>12956691035</v>
      </c>
      <c r="X262" s="765">
        <f t="shared" si="211"/>
        <v>17096022853</v>
      </c>
      <c r="Y262" s="765">
        <f t="shared" si="211"/>
        <v>4526833722</v>
      </c>
      <c r="Z262" s="765">
        <f t="shared" si="211"/>
        <v>3938271149</v>
      </c>
      <c r="AA262" s="765">
        <f t="shared" si="211"/>
        <v>8465104871</v>
      </c>
      <c r="AB262" s="765">
        <f t="shared" si="211"/>
        <v>4526833722</v>
      </c>
      <c r="AC262" s="765">
        <f t="shared" si="211"/>
        <v>3938271149</v>
      </c>
      <c r="AD262" s="765">
        <f t="shared" si="211"/>
        <v>8465104871</v>
      </c>
      <c r="AE262" s="765">
        <f t="shared" si="211"/>
        <v>4526833722</v>
      </c>
      <c r="AF262" s="765">
        <f t="shared" si="211"/>
        <v>3938271149</v>
      </c>
      <c r="AG262" s="765">
        <f t="shared" si="211"/>
        <v>8465104871</v>
      </c>
      <c r="AH262" s="765">
        <f t="shared" si="211"/>
        <v>8630917982</v>
      </c>
      <c r="AI262" s="765">
        <f t="shared" si="211"/>
        <v>8630917982</v>
      </c>
      <c r="AJ262" s="789">
        <f t="shared" si="211"/>
        <v>8630917982</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2">+V260+V262</f>
        <v>0</v>
      </c>
      <c r="W264" s="783">
        <f t="shared" si="212"/>
        <v>28438712545</v>
      </c>
      <c r="X264" s="783">
        <f t="shared" si="212"/>
        <v>94859073150</v>
      </c>
      <c r="Y264" s="783">
        <f t="shared" si="212"/>
        <v>45049998555</v>
      </c>
      <c r="Z264" s="783">
        <f t="shared" si="212"/>
        <v>9735546755</v>
      </c>
      <c r="AA264" s="783">
        <f t="shared" si="212"/>
        <v>54785545310</v>
      </c>
      <c r="AB264" s="783">
        <f t="shared" si="212"/>
        <v>15515990565</v>
      </c>
      <c r="AC264" s="783">
        <f t="shared" si="212"/>
        <v>9831273376</v>
      </c>
      <c r="AD264" s="783">
        <f t="shared" si="212"/>
        <v>25347263941</v>
      </c>
      <c r="AE264" s="783">
        <f t="shared" si="212"/>
        <v>7576486686</v>
      </c>
      <c r="AF264" s="783">
        <f t="shared" si="212"/>
        <v>6618065696</v>
      </c>
      <c r="AG264" s="783">
        <f t="shared" si="212"/>
        <v>14194552382</v>
      </c>
      <c r="AH264" s="783">
        <f t="shared" si="212"/>
        <v>40073527840</v>
      </c>
      <c r="AI264" s="783">
        <f t="shared" si="212"/>
        <v>69511809209</v>
      </c>
      <c r="AJ264" s="784">
        <f t="shared" si="212"/>
        <v>80664520768</v>
      </c>
    </row>
  </sheetData>
  <sheetProtection password="E3F6" sheet="1" objects="1" scenarios="1" formatCells="0" formatColumns="0"/>
  <mergeCells count="48">
    <mergeCell ref="S259:T259"/>
    <mergeCell ref="G5:I5"/>
    <mergeCell ref="J5:L5"/>
    <mergeCell ref="S5:S6"/>
    <mergeCell ref="P3:P5"/>
    <mergeCell ref="T3:T4"/>
    <mergeCell ref="L3:M4"/>
    <mergeCell ref="M5:N5"/>
    <mergeCell ref="N3:N4"/>
    <mergeCell ref="AL3:AL5"/>
    <mergeCell ref="D3:E4"/>
    <mergeCell ref="F3:K4"/>
    <mergeCell ref="Q3:Q5"/>
    <mergeCell ref="AH5:AJ5"/>
    <mergeCell ref="AB5:AD5"/>
    <mergeCell ref="BM3:BO3"/>
    <mergeCell ref="BH5:BK5"/>
    <mergeCell ref="BM5:BM6"/>
    <mergeCell ref="BB3:BC3"/>
    <mergeCell ref="BG3:BI3"/>
    <mergeCell ref="BL5:BL6"/>
    <mergeCell ref="BF5:BF6"/>
    <mergeCell ref="BM2:BO2"/>
    <mergeCell ref="P2:Q2"/>
    <mergeCell ref="L2:M2"/>
    <mergeCell ref="D2:E2"/>
    <mergeCell ref="AL2:AM2"/>
    <mergeCell ref="BB2:BC2"/>
    <mergeCell ref="BG2:BI2"/>
    <mergeCell ref="V2:X2"/>
    <mergeCell ref="Y2:AG2"/>
    <mergeCell ref="AH2:AI2"/>
    <mergeCell ref="AW19:AZ19"/>
    <mergeCell ref="AW4:AZ4"/>
    <mergeCell ref="A1:B1"/>
    <mergeCell ref="C1:J1"/>
    <mergeCell ref="K1:N1"/>
    <mergeCell ref="AJ3:AJ4"/>
    <mergeCell ref="T5:T6"/>
    <mergeCell ref="Y3:AG4"/>
    <mergeCell ref="V3:X4"/>
    <mergeCell ref="AH3:AI4"/>
    <mergeCell ref="AE5:AG5"/>
    <mergeCell ref="B3:B4"/>
    <mergeCell ref="AM3:AM5"/>
    <mergeCell ref="A5:A6"/>
    <mergeCell ref="B5:B6"/>
    <mergeCell ref="C5:F5"/>
  </mergeCells>
  <phoneticPr fontId="1" type="noConversion"/>
  <conditionalFormatting sqref="B5:B7">
    <cfRule type="expression" dxfId="9"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S264"/>
  <sheetViews>
    <sheetView showGridLines="0" topLeftCell="V40" zoomScale="80" zoomScaleNormal="80" workbookViewId="0">
      <selection activeCell="AL66" sqref="AL66"/>
    </sheetView>
  </sheetViews>
  <sheetFormatPr baseColWidth="10" defaultColWidth="0" defaultRowHeight="24.95" customHeight="1"/>
  <cols>
    <col min="1" max="1" width="15.42578125" style="735" customWidth="1"/>
    <col min="2" max="2" width="51" style="645" customWidth="1"/>
    <col min="3" max="3" width="17.140625" style="262" bestFit="1" customWidth="1"/>
    <col min="4" max="4" width="16.140625" style="262" customWidth="1"/>
    <col min="5" max="6" width="14.42578125" style="262" customWidth="1"/>
    <col min="7" max="7" width="16.7109375" style="262" customWidth="1"/>
    <col min="8" max="8" width="16.28515625" style="262" bestFit="1" customWidth="1"/>
    <col min="9" max="10" width="14.42578125" style="262" customWidth="1"/>
    <col min="11" max="11" width="16.28515625" style="262" bestFit="1"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85546875" style="657" bestFit="1" customWidth="1"/>
    <col min="21" max="21" width="17.7109375" style="262" bestFit="1" customWidth="1"/>
    <col min="22" max="22" width="16.28515625" style="262" bestFit="1" customWidth="1"/>
    <col min="23" max="23" width="17.140625" style="262" bestFit="1" customWidth="1"/>
    <col min="24" max="24" width="17.7109375" style="262" bestFit="1" customWidth="1"/>
    <col min="25" max="25" width="18" style="262" bestFit="1" customWidth="1"/>
    <col min="26" max="26" width="16.28515625" style="262" bestFit="1" customWidth="1"/>
    <col min="27" max="27" width="18" style="262" bestFit="1" customWidth="1"/>
    <col min="28" max="28" width="17.140625" style="262" bestFit="1" customWidth="1"/>
    <col min="29" max="29" width="17" style="262" bestFit="1" customWidth="1"/>
    <col min="30" max="30" width="17.28515625" style="262" bestFit="1" customWidth="1"/>
    <col min="31" max="31" width="17.7109375" style="262" bestFit="1" customWidth="1"/>
    <col min="32" max="32" width="17.140625" style="262" bestFit="1" customWidth="1"/>
    <col min="33" max="33" width="18.42578125" style="262" bestFit="1" customWidth="1"/>
    <col min="34" max="34" width="17.7109375" style="262" bestFit="1" customWidth="1"/>
    <col min="35" max="36" width="18.42578125" style="262" bestFit="1" customWidth="1"/>
    <col min="37" max="37" width="8.85546875" style="1" customWidth="1"/>
    <col min="38" max="39" width="23.7109375" style="262" customWidth="1"/>
    <col min="40" max="40" width="4.85546875" style="262" customWidth="1"/>
    <col min="41" max="41" width="12.28515625" style="262" customWidth="1"/>
    <col min="42" max="42" width="56.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4</v>
      </c>
      <c r="AP2" s="270" t="s">
        <v>7</v>
      </c>
      <c r="AQ2" s="271"/>
      <c r="AR2" s="3"/>
      <c r="AS2" s="3"/>
      <c r="AT2" s="3"/>
      <c r="AU2" s="3"/>
      <c r="AV2" s="3"/>
      <c r="AW2" s="3"/>
      <c r="AX2" s="3"/>
      <c r="AY2" s="3"/>
      <c r="AZ2" s="4"/>
      <c r="BB2" s="941" t="s">
        <v>588</v>
      </c>
      <c r="BC2" s="958"/>
      <c r="BD2" s="51" t="s">
        <v>380</v>
      </c>
      <c r="BE2" s="268" t="str">
        <f>+L3</f>
        <v>ABRIL</v>
      </c>
      <c r="BF2" s="263"/>
      <c r="BG2" s="941" t="s">
        <v>589</v>
      </c>
      <c r="BH2" s="958"/>
      <c r="BI2" s="958"/>
      <c r="BJ2" s="51" t="s">
        <v>380</v>
      </c>
      <c r="BK2" s="268" t="str">
        <f>+BE2</f>
        <v>ABRIL</v>
      </c>
      <c r="BM2" s="941" t="s">
        <v>589</v>
      </c>
      <c r="BN2" s="958"/>
      <c r="BO2" s="958"/>
      <c r="BP2" s="51" t="s">
        <v>380</v>
      </c>
      <c r="BQ2" s="268" t="str">
        <f>+BK2</f>
        <v>ABRIL</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360</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ABRIL</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2" customHeight="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66" t="str">
        <f>+CONCATENATE("ACUMULADO ",N3)</f>
        <v>ACUMULADO 2019</v>
      </c>
      <c r="BI5" s="967"/>
      <c r="BJ5" s="967"/>
      <c r="BK5" s="968"/>
      <c r="BM5" s="964" t="s">
        <v>32</v>
      </c>
      <c r="BN5" s="298" t="str">
        <f>+CONCATENATE("ACUMULADO ",BQ3)</f>
        <v>ACUMULADO 2019</v>
      </c>
      <c r="BO5" s="299"/>
      <c r="BP5" s="300"/>
      <c r="BQ5" s="301"/>
    </row>
    <row r="6" spans="1:69" ht="24.9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ABRIL</v>
      </c>
      <c r="AS6" s="306" t="str">
        <f>AR6</f>
        <v>ABRIL</v>
      </c>
      <c r="AT6" s="306" t="str">
        <f>AR6</f>
        <v>ABRIL</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65"/>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3507485761</v>
      </c>
      <c r="AR7" s="317">
        <f>I22</f>
        <v>1637071733</v>
      </c>
      <c r="AS7" s="317">
        <f>L22</f>
        <v>609742045</v>
      </c>
      <c r="AT7" s="13"/>
      <c r="AU7" s="318">
        <f t="shared" ref="AU7:AU17" si="0">IF(AQ7=0," ",AR7/AQ7)</f>
        <v>0.4667365299676266</v>
      </c>
      <c r="AV7" s="318">
        <f t="shared" ref="AV7:AV17" si="1">IF(AQ7=0," ",AS7/AQ7)</f>
        <v>0.17384020536298908</v>
      </c>
      <c r="AW7" s="317">
        <f>I23/AO$2*12+I24</f>
        <v>3966766863</v>
      </c>
      <c r="AX7" s="317">
        <f>L23/AO$2*12+L24</f>
        <v>884777799</v>
      </c>
      <c r="AY7" s="317">
        <f t="shared" ref="AY7:AY16" si="2">AW7-AQ7</f>
        <v>459281102</v>
      </c>
      <c r="AZ7" s="319">
        <f t="shared" ref="AZ7:AZ16" si="3">AX7-AQ7</f>
        <v>-2622707962</v>
      </c>
      <c r="BB7" s="320" t="s">
        <v>53</v>
      </c>
      <c r="BC7" s="54">
        <f>F10</f>
        <v>10176865038</v>
      </c>
      <c r="BD7" s="55">
        <f>I10</f>
        <v>10176865038</v>
      </c>
      <c r="BE7" s="56">
        <f>K10</f>
        <v>0</v>
      </c>
      <c r="BF7" s="57"/>
      <c r="BG7" s="91" t="s">
        <v>54</v>
      </c>
      <c r="BH7" s="116">
        <f>+SUM(BH8:BH11)</f>
        <v>46418642562</v>
      </c>
      <c r="BI7" s="116">
        <f>+SUM(BI8:BI11)</f>
        <v>29767904520</v>
      </c>
      <c r="BJ7" s="116">
        <f>+SUM(BJ8:BJ11)</f>
        <v>11924752471</v>
      </c>
      <c r="BK7" s="116">
        <f>+SUM(BK8:BK11)</f>
        <v>2135435337</v>
      </c>
      <c r="BM7" s="61" t="s">
        <v>54</v>
      </c>
      <c r="BN7" s="62">
        <f>BN8+BN15+BN22</f>
        <v>46418642562</v>
      </c>
      <c r="BO7" s="63">
        <f>BO8+BO15+BO22</f>
        <v>29767904520</v>
      </c>
      <c r="BP7" s="63">
        <f>BP8+BP15+BP22</f>
        <v>11924752471</v>
      </c>
      <c r="BQ7" s="64">
        <f>BQ8+BQ15+BQ22</f>
        <v>2135435337</v>
      </c>
    </row>
    <row r="8" spans="1:69" s="9" customFormat="1" ht="24.95" customHeight="1" thickBot="1">
      <c r="A8" s="711">
        <f>+IF(MARZO!A8=0,"",MARZO!A8)</f>
        <v>1</v>
      </c>
      <c r="B8" s="618" t="str">
        <f>+IF(MARZO!B8=0,"",MARZO!B8)</f>
        <v>INGRESOS</v>
      </c>
      <c r="C8" s="321">
        <f>C10+C17+C113</f>
        <v>66420360605</v>
      </c>
      <c r="D8" s="321">
        <f t="shared" ref="D8:Q8" si="4">D10+D17+D113</f>
        <v>0</v>
      </c>
      <c r="E8" s="321">
        <f t="shared" si="4"/>
        <v>28438712545</v>
      </c>
      <c r="F8" s="321">
        <f t="shared" si="4"/>
        <v>94859073150</v>
      </c>
      <c r="G8" s="321">
        <f t="shared" si="4"/>
        <v>40249649569</v>
      </c>
      <c r="H8" s="321">
        <f>H10+H17+H113</f>
        <v>7519036977</v>
      </c>
      <c r="I8" s="321">
        <f t="shared" si="4"/>
        <v>47768686546</v>
      </c>
      <c r="J8" s="321">
        <f t="shared" si="4"/>
        <v>24874935606</v>
      </c>
      <c r="K8" s="321">
        <f t="shared" si="4"/>
        <v>7625615688.1499996</v>
      </c>
      <c r="L8" s="321">
        <f t="shared" si="4"/>
        <v>32500551294.150002</v>
      </c>
      <c r="M8" s="321">
        <f t="shared" si="4"/>
        <v>47090386604</v>
      </c>
      <c r="N8" s="321">
        <f t="shared" si="4"/>
        <v>62358521855.849998</v>
      </c>
      <c r="O8" s="323"/>
      <c r="P8" s="324">
        <f t="shared" si="4"/>
        <v>0</v>
      </c>
      <c r="Q8" s="322">
        <f t="shared" si="4"/>
        <v>0</v>
      </c>
      <c r="S8" s="684" t="str">
        <f>+IF(MARZO!S8=0,"",MARZO!S8)</f>
        <v/>
      </c>
      <c r="T8" s="658" t="str">
        <f>+IF(MARZO!T8=0,"",MARZO!T8)</f>
        <v>GASTOS</v>
      </c>
      <c r="U8" s="325">
        <f>U10+U193+U220+U232</f>
        <v>66420360605</v>
      </c>
      <c r="V8" s="326">
        <f t="shared" ref="V8:AJ8" si="5">V10+V193+V220+V232</f>
        <v>0</v>
      </c>
      <c r="W8" s="326">
        <f t="shared" si="5"/>
        <v>28438712545</v>
      </c>
      <c r="X8" s="327">
        <f t="shared" si="5"/>
        <v>94859073150</v>
      </c>
      <c r="Y8" s="328">
        <f t="shared" si="5"/>
        <v>54785545310</v>
      </c>
      <c r="Z8" s="326">
        <f t="shared" si="5"/>
        <v>7332310650</v>
      </c>
      <c r="AA8" s="327">
        <f t="shared" si="5"/>
        <v>62117855960</v>
      </c>
      <c r="AB8" s="328">
        <f t="shared" si="5"/>
        <v>25347263941</v>
      </c>
      <c r="AC8" s="326">
        <f t="shared" si="5"/>
        <v>9496323440</v>
      </c>
      <c r="AD8" s="327">
        <f t="shared" si="5"/>
        <v>34843587381</v>
      </c>
      <c r="AE8" s="328">
        <f t="shared" si="5"/>
        <v>14194552382</v>
      </c>
      <c r="AF8" s="326">
        <f t="shared" si="5"/>
        <v>8131208528</v>
      </c>
      <c r="AG8" s="327">
        <f t="shared" si="5"/>
        <v>22325760910</v>
      </c>
      <c r="AH8" s="328">
        <f t="shared" si="5"/>
        <v>32741217190</v>
      </c>
      <c r="AI8" s="326">
        <f t="shared" si="5"/>
        <v>60015485769</v>
      </c>
      <c r="AJ8" s="329">
        <f t="shared" si="5"/>
        <v>72533312240</v>
      </c>
      <c r="AL8" s="330">
        <f>AL10+AL193+AL220+AL232</f>
        <v>0</v>
      </c>
      <c r="AM8" s="331">
        <f>AM10+AM193+AM220+AM232</f>
        <v>0</v>
      </c>
      <c r="AO8" s="21"/>
      <c r="AP8" s="11" t="s">
        <v>56</v>
      </c>
      <c r="AQ8" s="12">
        <f>F25</f>
        <v>39358555582</v>
      </c>
      <c r="AR8" s="12">
        <f>I25</f>
        <v>19350391533</v>
      </c>
      <c r="AS8" s="12">
        <f>L25</f>
        <v>10741182684</v>
      </c>
      <c r="AT8" s="13"/>
      <c r="AU8" s="332">
        <f t="shared" si="0"/>
        <v>0.49164384329819233</v>
      </c>
      <c r="AV8" s="332">
        <f t="shared" si="1"/>
        <v>0.27290591651976948</v>
      </c>
      <c r="AW8" s="12">
        <f>I26/AO$2*12+I27</f>
        <v>42862634573</v>
      </c>
      <c r="AX8" s="12">
        <f>L26/AO$2*12+L27</f>
        <v>17035008026</v>
      </c>
      <c r="AY8" s="12">
        <f t="shared" si="2"/>
        <v>3504078991</v>
      </c>
      <c r="AZ8" s="333">
        <f t="shared" si="3"/>
        <v>-22323547556</v>
      </c>
      <c r="BB8" s="140" t="s">
        <v>57</v>
      </c>
      <c r="BC8" s="65">
        <f>BC9+BC19</f>
        <v>73575883736</v>
      </c>
      <c r="BD8" s="66">
        <f>BD9+BD19</f>
        <v>25853237285</v>
      </c>
      <c r="BE8" s="67">
        <f>BE9+BE19</f>
        <v>7464871562.1499996</v>
      </c>
      <c r="BF8" s="57"/>
      <c r="BG8" s="68" t="s">
        <v>58</v>
      </c>
      <c r="BH8" s="69">
        <f>BN9+BN13</f>
        <v>11066915508</v>
      </c>
      <c r="BI8" s="69">
        <f>BO9+BO13</f>
        <v>1496200796</v>
      </c>
      <c r="BJ8" s="69">
        <f>BP9+BP13</f>
        <v>1496200796</v>
      </c>
      <c r="BK8" s="69">
        <f>BQ9+BQ13</f>
        <v>393635178</v>
      </c>
      <c r="BM8" s="71" t="s">
        <v>59</v>
      </c>
      <c r="BN8" s="72">
        <f>BN9+BN14+BN13</f>
        <v>33464468891</v>
      </c>
      <c r="BO8" s="69">
        <f>BO9+BO14+BO13</f>
        <v>22384791273</v>
      </c>
      <c r="BP8" s="69">
        <f>BP9+BP14+BP13</f>
        <v>8506182339</v>
      </c>
      <c r="BQ8" s="70">
        <f>BQ9+BQ14+BQ13</f>
        <v>1503679877</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10927330205</v>
      </c>
      <c r="AR9" s="12">
        <f>I28+I75</f>
        <v>5617174155</v>
      </c>
      <c r="AS9" s="12">
        <f>L28+L75</f>
        <v>2441329058</v>
      </c>
      <c r="AT9" s="13"/>
      <c r="AU9" s="340">
        <f t="shared" si="0"/>
        <v>0.51404817550308479</v>
      </c>
      <c r="AV9" s="340">
        <f t="shared" si="1"/>
        <v>0.22341496158713361</v>
      </c>
      <c r="AW9" s="341">
        <f>(I30+I33+I36+I76)/AO$2*12+I31+I34+I37+I38+I39+I40+I77</f>
        <v>12940481983</v>
      </c>
      <c r="AX9" s="341">
        <f>(L30+L33+L36+L76)/AO$2*12+L31+L34+L37+L38+L39+L40+L77</f>
        <v>3412946692</v>
      </c>
      <c r="AY9" s="341">
        <f t="shared" si="2"/>
        <v>2013151778</v>
      </c>
      <c r="AZ9" s="342">
        <f t="shared" si="3"/>
        <v>-7514383513</v>
      </c>
      <c r="BB9" s="343" t="s">
        <v>412</v>
      </c>
      <c r="BC9" s="73">
        <f>BC10+BC18</f>
        <v>73477711613</v>
      </c>
      <c r="BD9" s="74">
        <f>BD10+BD18</f>
        <v>25809589734</v>
      </c>
      <c r="BE9" s="75">
        <f>BE10+BE18</f>
        <v>7460692215.1499996</v>
      </c>
      <c r="BF9" s="76"/>
      <c r="BG9" s="77" t="s">
        <v>62</v>
      </c>
      <c r="BH9" s="78">
        <f t="shared" ref="BH9:BK10" si="6">BN14</f>
        <v>22397553383</v>
      </c>
      <c r="BI9" s="78">
        <f t="shared" si="6"/>
        <v>20888590477</v>
      </c>
      <c r="BJ9" s="78">
        <f t="shared" si="6"/>
        <v>7009981543</v>
      </c>
      <c r="BK9" s="78">
        <f t="shared" si="6"/>
        <v>1110044699</v>
      </c>
      <c r="BM9" s="137" t="s">
        <v>63</v>
      </c>
      <c r="BN9" s="80">
        <f>SUM(BN10:BN12)</f>
        <v>7152685503</v>
      </c>
      <c r="BO9" s="78">
        <f>SUM(BO10:BO12)</f>
        <v>1182229752</v>
      </c>
      <c r="BP9" s="78">
        <f>SUM(BP10:BP12)</f>
        <v>1182229752</v>
      </c>
      <c r="BQ9" s="79">
        <f>SUM(BQ10:BQ12)</f>
        <v>297894779</v>
      </c>
    </row>
    <row r="10" spans="1:69" s="9" customFormat="1" ht="24.95" customHeight="1">
      <c r="A10" s="712">
        <f>+IF(MARZO!A10=0,"",MARZO!A10)</f>
        <v>10</v>
      </c>
      <c r="B10" s="620" t="str">
        <f>+IF(MARZO!B10=0,"",MARZO!B10)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346">
        <f t="shared" si="7"/>
        <v>10176865038</v>
      </c>
      <c r="J10" s="174">
        <f t="shared" si="7"/>
        <v>10176865038</v>
      </c>
      <c r="K10" s="344">
        <f t="shared" si="7"/>
        <v>0</v>
      </c>
      <c r="L10" s="175">
        <f t="shared" si="7"/>
        <v>10176865038</v>
      </c>
      <c r="M10" s="174">
        <f t="shared" si="7"/>
        <v>0</v>
      </c>
      <c r="N10" s="175">
        <f t="shared" si="7"/>
        <v>0</v>
      </c>
      <c r="O10" s="13"/>
      <c r="P10" s="174">
        <f>SUM(P12:P15)</f>
        <v>0</v>
      </c>
      <c r="Q10" s="175">
        <f>SUM(Q12:Q15)</f>
        <v>0</v>
      </c>
      <c r="S10" s="347" t="str">
        <f>+IF(MARZO!S10=0,"",MARZO!S10)</f>
        <v>A</v>
      </c>
      <c r="T10" s="659" t="str">
        <f>+IF(MARZO!T10=0,"",MARZO!T10)</f>
        <v>GASTOS DE FUNCIONAMIENTO</v>
      </c>
      <c r="U10" s="348">
        <f>U12+U110+U170</f>
        <v>50109343517</v>
      </c>
      <c r="V10" s="349">
        <f t="shared" ref="V10:AJ10" si="8">V12+V110+V170</f>
        <v>-300000000</v>
      </c>
      <c r="W10" s="349">
        <f t="shared" si="8"/>
        <v>3823182074</v>
      </c>
      <c r="X10" s="352">
        <f t="shared" si="8"/>
        <v>53632525591</v>
      </c>
      <c r="Y10" s="351">
        <f t="shared" si="8"/>
        <v>33728538110</v>
      </c>
      <c r="Z10" s="349">
        <f t="shared" si="8"/>
        <v>2413942802</v>
      </c>
      <c r="AA10" s="352">
        <f t="shared" si="8"/>
        <v>36142480912</v>
      </c>
      <c r="AB10" s="351">
        <f t="shared" si="8"/>
        <v>13926305456</v>
      </c>
      <c r="AC10" s="349">
        <f t="shared" si="8"/>
        <v>4373023407</v>
      </c>
      <c r="AD10" s="352">
        <f t="shared" si="8"/>
        <v>18299328863</v>
      </c>
      <c r="AE10" s="351">
        <f t="shared" si="8"/>
        <v>7816990389</v>
      </c>
      <c r="AF10" s="349">
        <f t="shared" si="8"/>
        <v>3542194303</v>
      </c>
      <c r="AG10" s="352">
        <f t="shared" si="8"/>
        <v>11359184692</v>
      </c>
      <c r="AH10" s="351">
        <f t="shared" si="8"/>
        <v>17490044679</v>
      </c>
      <c r="AI10" s="349">
        <f t="shared" si="8"/>
        <v>35333196728</v>
      </c>
      <c r="AJ10" s="350">
        <f t="shared" si="8"/>
        <v>42273340899</v>
      </c>
      <c r="AL10" s="353">
        <f>AL12+AL110+AL170</f>
        <v>0</v>
      </c>
      <c r="AM10" s="354">
        <f>AM12+AM110+AM170</f>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65494812540</v>
      </c>
      <c r="BD10" s="74">
        <f>BD11+BD12+BD13+BD14+BD16+BD17+BD15</f>
        <v>22455145312</v>
      </c>
      <c r="BE10" s="75">
        <f>BE11+BE12+BE13+BE14+BE16+BE17+BE15</f>
        <v>4106247793.1500001</v>
      </c>
      <c r="BF10" s="76"/>
      <c r="BG10" s="68" t="s">
        <v>66</v>
      </c>
      <c r="BH10" s="81">
        <f t="shared" si="6"/>
        <v>11693819527</v>
      </c>
      <c r="BI10" s="81">
        <f t="shared" si="6"/>
        <v>7026927964</v>
      </c>
      <c r="BJ10" s="81">
        <f t="shared" si="6"/>
        <v>3062384849</v>
      </c>
      <c r="BK10" s="81">
        <f t="shared" si="6"/>
        <v>564440326</v>
      </c>
      <c r="BM10" s="134" t="s">
        <v>425</v>
      </c>
      <c r="BN10" s="83">
        <f>X17+X66</f>
        <v>5293004812</v>
      </c>
      <c r="BO10" s="81">
        <f>AA17+AA66</f>
        <v>1079584186</v>
      </c>
      <c r="BP10" s="81">
        <f>AD17+AD66</f>
        <v>1079584186</v>
      </c>
      <c r="BQ10" s="82">
        <f>AF17+AF66</f>
        <v>269651065</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222386275</v>
      </c>
      <c r="AR11" s="12">
        <f>I88</f>
        <v>108894791</v>
      </c>
      <c r="AS11" s="12">
        <f>L88</f>
        <v>108894791</v>
      </c>
      <c r="AT11" s="361">
        <f>AO2/12</f>
        <v>0.33333333333333331</v>
      </c>
      <c r="AU11" s="340">
        <f t="shared" si="0"/>
        <v>0.48966507038260343</v>
      </c>
      <c r="AV11" s="340">
        <f t="shared" si="1"/>
        <v>0.48966507038260343</v>
      </c>
      <c r="AW11" s="341">
        <f>I88</f>
        <v>108894791</v>
      </c>
      <c r="AX11" s="341">
        <f>L88</f>
        <v>108894791</v>
      </c>
      <c r="AY11" s="341">
        <f t="shared" si="2"/>
        <v>-113491484</v>
      </c>
      <c r="AZ11" s="342">
        <f t="shared" si="3"/>
        <v>-113491484</v>
      </c>
      <c r="BB11" s="355" t="s">
        <v>414</v>
      </c>
      <c r="BC11" s="73">
        <f>F26</f>
        <v>32167564656</v>
      </c>
      <c r="BD11" s="74">
        <f>I26</f>
        <v>11756121520</v>
      </c>
      <c r="BE11" s="75">
        <f>K26</f>
        <v>3016679918</v>
      </c>
      <c r="BF11" s="76"/>
      <c r="BG11" s="68" t="s">
        <v>67</v>
      </c>
      <c r="BH11" s="84">
        <f>BN22</f>
        <v>1260354144</v>
      </c>
      <c r="BI11" s="84">
        <f>BO22</f>
        <v>356185283</v>
      </c>
      <c r="BJ11" s="84">
        <f>BP22</f>
        <v>356185283</v>
      </c>
      <c r="BK11" s="84">
        <f>BQ22</f>
        <v>67315134</v>
      </c>
      <c r="BM11" s="135" t="s">
        <v>426</v>
      </c>
      <c r="BN11" s="86">
        <f>X18+X67</f>
        <v>336902465</v>
      </c>
      <c r="BO11" s="84">
        <f>AA18+AA67</f>
        <v>36171990</v>
      </c>
      <c r="BP11" s="84">
        <f>AD18+AD67</f>
        <v>36171990</v>
      </c>
      <c r="BQ11" s="85">
        <f>AF18+AF67</f>
        <v>12765132</v>
      </c>
    </row>
    <row r="12" spans="1:69" s="9" customFormat="1" ht="24.95" customHeight="1">
      <c r="A12" s="593">
        <f>+IF(MARZO!A12=0,"",MARZO!A12)</f>
        <v>1001</v>
      </c>
      <c r="B12" s="621" t="str">
        <f>+IF(MARZO!B12=0,"",MARZO!B12)</f>
        <v>Bienestar Social (Caja, Bancos, Inversiones Tempor.) a Dic-31-2018</v>
      </c>
      <c r="C12" s="655">
        <f>+ENERO!C12</f>
        <v>0</v>
      </c>
      <c r="D12" s="363">
        <f>MARZO!D12+ABRIL!P12</f>
        <v>0</v>
      </c>
      <c r="E12" s="363">
        <f>MARZO!E12+ABRIL!Q12</f>
        <v>0</v>
      </c>
      <c r="F12" s="143">
        <f>SUM(C12:E12)</f>
        <v>0</v>
      </c>
      <c r="G12" s="216">
        <f>MARZO!I12</f>
        <v>0</v>
      </c>
      <c r="H12" s="364">
        <v>0</v>
      </c>
      <c r="I12" s="143">
        <f>SUM(G12:H12)</f>
        <v>0</v>
      </c>
      <c r="J12" s="216">
        <f>MARZO!L12</f>
        <v>0</v>
      </c>
      <c r="K12" s="131">
        <f>+H12</f>
        <v>0</v>
      </c>
      <c r="L12" s="143">
        <f>SUM(J12:K12)</f>
        <v>0</v>
      </c>
      <c r="M12" s="216">
        <f>F12-I12</f>
        <v>0</v>
      </c>
      <c r="N12" s="143">
        <f>F12-L12</f>
        <v>0</v>
      </c>
      <c r="O12" s="284"/>
      <c r="P12" s="362">
        <v>0</v>
      </c>
      <c r="Q12" s="365">
        <v>0</v>
      </c>
      <c r="S12" s="685">
        <f>+IF(MARZO!S12=0,"",MARZO!S12)</f>
        <v>1000000</v>
      </c>
      <c r="T12" s="661" t="str">
        <f>+IF(MARZO!T12=0,"",MARZO!T12)</f>
        <v>GASTOS DE PERSONAL</v>
      </c>
      <c r="U12" s="366">
        <f t="shared" ref="U12:AJ12" si="9">U14+U63</f>
        <v>36893269846</v>
      </c>
      <c r="V12" s="367">
        <f t="shared" si="9"/>
        <v>0</v>
      </c>
      <c r="W12" s="367">
        <f t="shared" si="9"/>
        <v>1873182074</v>
      </c>
      <c r="X12" s="368">
        <f t="shared" si="9"/>
        <v>38766451920</v>
      </c>
      <c r="Y12" s="353">
        <f t="shared" si="9"/>
        <v>25705857522</v>
      </c>
      <c r="Z12" s="367">
        <f t="shared" si="9"/>
        <v>1557534439</v>
      </c>
      <c r="AA12" s="368">
        <f t="shared" si="9"/>
        <v>27263391961</v>
      </c>
      <c r="AB12" s="353">
        <f t="shared" si="9"/>
        <v>10133875996</v>
      </c>
      <c r="AC12" s="367">
        <f t="shared" si="9"/>
        <v>3250907031</v>
      </c>
      <c r="AD12" s="368">
        <f t="shared" si="9"/>
        <v>13384783027</v>
      </c>
      <c r="AE12" s="353">
        <f t="shared" si="9"/>
        <v>5349836311</v>
      </c>
      <c r="AF12" s="367">
        <f t="shared" si="9"/>
        <v>2664755902</v>
      </c>
      <c r="AG12" s="368">
        <f t="shared" si="9"/>
        <v>8014592213</v>
      </c>
      <c r="AH12" s="353">
        <f t="shared" si="9"/>
        <v>11503059959</v>
      </c>
      <c r="AI12" s="367">
        <f t="shared" si="9"/>
        <v>25381668893</v>
      </c>
      <c r="AJ12" s="354">
        <f t="shared" si="9"/>
        <v>30751859707</v>
      </c>
      <c r="AK12" s="10"/>
      <c r="AL12" s="369">
        <f>AL14+AL63</f>
        <v>0</v>
      </c>
      <c r="AM12" s="370">
        <f>AM14+AM63</f>
        <v>0</v>
      </c>
      <c r="AO12" s="360"/>
      <c r="AP12" s="517"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3087894380</v>
      </c>
      <c r="BD12" s="74">
        <f>I23</f>
        <v>1164847565</v>
      </c>
      <c r="BE12" s="75">
        <f>K23</f>
        <v>136546399</v>
      </c>
      <c r="BF12" s="76"/>
      <c r="BG12" s="371" t="s">
        <v>383</v>
      </c>
      <c r="BH12" s="84">
        <f>BN25</f>
        <v>11252444359</v>
      </c>
      <c r="BI12" s="15">
        <f>BO25</f>
        <v>10043703128</v>
      </c>
      <c r="BJ12" s="84">
        <f>BP25</f>
        <v>6763455160</v>
      </c>
      <c r="BK12" s="84">
        <f>BQ25</f>
        <v>1063327651</v>
      </c>
      <c r="BM12" s="136" t="s">
        <v>427</v>
      </c>
      <c r="BN12" s="86">
        <f>X16+X65-X81-X33-BN10-BN11</f>
        <v>1522778226</v>
      </c>
      <c r="BO12" s="84">
        <f>AA16+AA65-AA81-AA33-BO10-BO11</f>
        <v>66473576</v>
      </c>
      <c r="BP12" s="84">
        <f>AD16+AD65-AD81-AD33-BP10-BP11</f>
        <v>66473576</v>
      </c>
      <c r="BQ12" s="85">
        <f>AF16+AF65-AF81-AF33-BQ10-BQ11</f>
        <v>15478582</v>
      </c>
    </row>
    <row r="13" spans="1:69" s="9" customFormat="1" ht="24.95" customHeight="1">
      <c r="A13" s="593">
        <f>+IF(MARZO!A13=0,"",MARZO!A13)</f>
        <v>1002</v>
      </c>
      <c r="B13" s="621" t="str">
        <f>+IF(MARZO!B13=0,"",MARZO!B13)</f>
        <v>Fondo Vivienda (Caja, Bancos, Inversiones Tempor.) a Dic-31-2018</v>
      </c>
      <c r="C13" s="655">
        <f>+ENERO!C13</f>
        <v>0</v>
      </c>
      <c r="D13" s="363">
        <f>MARZO!D13+ABRIL!P13</f>
        <v>0</v>
      </c>
      <c r="E13" s="363">
        <f>MARZO!E13+ABRIL!Q13</f>
        <v>0</v>
      </c>
      <c r="F13" s="143">
        <f>SUM(C13:E13)</f>
        <v>0</v>
      </c>
      <c r="G13" s="216">
        <f>MARZO!I13</f>
        <v>0</v>
      </c>
      <c r="H13" s="364">
        <v>0</v>
      </c>
      <c r="I13" s="143">
        <f>SUM(G13:H13)</f>
        <v>0</v>
      </c>
      <c r="J13" s="216">
        <f>MARZO!L13</f>
        <v>0</v>
      </c>
      <c r="K13" s="131">
        <f>+H13</f>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v>0</v>
      </c>
      <c r="AO13" s="20"/>
      <c r="AP13" s="517"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3805776064</v>
      </c>
      <c r="BE13" s="89">
        <f>+K30+K33+K36+K38+K39+K40</f>
        <v>110453375</v>
      </c>
      <c r="BF13" s="90"/>
      <c r="BG13" s="91" t="s">
        <v>70</v>
      </c>
      <c r="BH13" s="84">
        <f t="shared" ref="BH13:BK15" si="10">BN29</f>
        <v>18829618396</v>
      </c>
      <c r="BI13" s="84">
        <f t="shared" si="10"/>
        <v>10372831356</v>
      </c>
      <c r="BJ13" s="84">
        <f t="shared" si="10"/>
        <v>4221962794</v>
      </c>
      <c r="BK13" s="84">
        <f t="shared" si="10"/>
        <v>1541904622</v>
      </c>
      <c r="BM13" s="139" t="s">
        <v>428</v>
      </c>
      <c r="BN13" s="83">
        <f>X43-X55+X57-X61+X90-X102+X104-X108</f>
        <v>3914230005</v>
      </c>
      <c r="BO13" s="81">
        <f>AA43-AA55+AA57-AA61+AA90-AA102+AA104-AA108</f>
        <v>313971044</v>
      </c>
      <c r="BP13" s="81">
        <f>AD43-AD55+AD57-AD61+AD90-AD102+AD104-AD108</f>
        <v>313971044</v>
      </c>
      <c r="BQ13" s="82">
        <f>AF43-AF55+AF57-AF61+AF90-AF102+AF104-AF108</f>
        <v>95740399</v>
      </c>
    </row>
    <row r="14" spans="1:69" s="9" customFormat="1" ht="24.95" customHeight="1">
      <c r="A14" s="593">
        <f>+IF(MARZO!A14=0,"",MARZO!A14)</f>
        <v>1003</v>
      </c>
      <c r="B14" s="621" t="str">
        <f>+IF(MARZO!B14=0,"",MARZO!B14)</f>
        <v>Fondos Comunes y Especiales (Caja, Bancos, Invers. Tempor.) a Dic-31-2018</v>
      </c>
      <c r="C14" s="655">
        <f>+ENERO!C14</f>
        <v>4565434734</v>
      </c>
      <c r="D14" s="363">
        <f>MARZO!D14+ABRIL!P14</f>
        <v>0</v>
      </c>
      <c r="E14" s="363">
        <f>MARZO!E14+ABRIL!Q14</f>
        <v>5318248230</v>
      </c>
      <c r="F14" s="143">
        <f>SUM(C14:E14)</f>
        <v>9883682964</v>
      </c>
      <c r="G14" s="216">
        <f>MARZO!I14</f>
        <v>9883682964</v>
      </c>
      <c r="H14" s="364">
        <v>0</v>
      </c>
      <c r="I14" s="143">
        <f>SUM(G14:H14)</f>
        <v>9883682964</v>
      </c>
      <c r="J14" s="216">
        <f>MARZO!L14</f>
        <v>9883682964</v>
      </c>
      <c r="K14" s="131">
        <f>+H14</f>
        <v>0</v>
      </c>
      <c r="L14" s="143">
        <f>SUM(J14:K14)</f>
        <v>9883682964</v>
      </c>
      <c r="M14" s="216">
        <f>F14-I14</f>
        <v>0</v>
      </c>
      <c r="N14" s="143">
        <f>F14-L14</f>
        <v>0</v>
      </c>
      <c r="O14" s="372"/>
      <c r="P14" s="362">
        <v>0</v>
      </c>
      <c r="Q14" s="365">
        <v>0</v>
      </c>
      <c r="S14" s="686">
        <f>+IF(MARZO!S14=0,"",MARZO!S14)</f>
        <v>1010000</v>
      </c>
      <c r="T14" s="662" t="str">
        <f>+IF(MARZO!T14=0,"",MARZO!T14)</f>
        <v>Gastos de Administración</v>
      </c>
      <c r="U14" s="132">
        <f t="shared" ref="U14:AJ14" si="11">U16+U35+U43+U57</f>
        <v>6899222078</v>
      </c>
      <c r="V14" s="122">
        <f t="shared" si="11"/>
        <v>-6501068</v>
      </c>
      <c r="W14" s="122">
        <f t="shared" si="11"/>
        <v>220000000</v>
      </c>
      <c r="X14" s="129">
        <f t="shared" si="11"/>
        <v>7112721010</v>
      </c>
      <c r="Y14" s="128">
        <f t="shared" si="11"/>
        <v>4884887247</v>
      </c>
      <c r="Z14" s="122">
        <f t="shared" si="11"/>
        <v>138478461</v>
      </c>
      <c r="AA14" s="129">
        <f t="shared" si="11"/>
        <v>5023365708</v>
      </c>
      <c r="AB14" s="128">
        <f t="shared" si="11"/>
        <v>2029024623</v>
      </c>
      <c r="AC14" s="122">
        <f t="shared" si="11"/>
        <v>499353599</v>
      </c>
      <c r="AD14" s="129">
        <f t="shared" si="11"/>
        <v>2528378222</v>
      </c>
      <c r="AE14" s="128">
        <f t="shared" si="11"/>
        <v>1293251966</v>
      </c>
      <c r="AF14" s="122">
        <f t="shared" si="11"/>
        <v>726281051</v>
      </c>
      <c r="AG14" s="129">
        <f t="shared" si="11"/>
        <v>2019533017</v>
      </c>
      <c r="AH14" s="128">
        <f t="shared" si="11"/>
        <v>2089355302</v>
      </c>
      <c r="AI14" s="122">
        <f t="shared" si="11"/>
        <v>4584342788</v>
      </c>
      <c r="AJ14" s="130">
        <f t="shared" si="11"/>
        <v>5093187993</v>
      </c>
      <c r="AK14" s="10"/>
      <c r="AL14" s="128">
        <f>AL16+AL35+AL43+AL57</f>
        <v>0</v>
      </c>
      <c r="AM14" s="130">
        <f>AM16+AM35+AM43+AM57</f>
        <v>0</v>
      </c>
      <c r="AO14" s="21"/>
      <c r="AP14" s="11" t="s">
        <v>73</v>
      </c>
      <c r="AQ14" s="12">
        <f>F19-AQ7-AQ8-AQ9-AQ10-AQ11-AQ12-AQ13</f>
        <v>22382085787</v>
      </c>
      <c r="AR14" s="12">
        <f>I19-AR7-AR8-AR9-AR10-AR11-AR12-AR13</f>
        <v>7406066587</v>
      </c>
      <c r="AS14" s="12">
        <f>L19-AS7-AS8-AS9-AS10-AS11-AS12-AS13</f>
        <v>4979786681.1500015</v>
      </c>
      <c r="AT14" s="372"/>
      <c r="AU14" s="340">
        <f t="shared" si="0"/>
        <v>0.33089260122939945</v>
      </c>
      <c r="AV14" s="340">
        <f t="shared" si="1"/>
        <v>0.22248983980046977</v>
      </c>
      <c r="AW14" s="341">
        <f>(I41+I46+I49+I52+I55+I58+I61+I64+I67+I70+I73+I78+I81+I82+I83+I85+I94+I104)/AO$2*12+I47+I50+I53+I56+I59+I62+I65+I68+I71+I74</f>
        <v>28823560679</v>
      </c>
      <c r="AX14" s="341">
        <f>(L41+L46+L49+L52+L55+L58+L61+L64+L67+L70+L73+L78+L81+L82+L83+L85+L94+L104)/AO$2*12+L47+L50+L53+L56+L59+L62+L65+L68+L71+L74</f>
        <v>21456305825.449997</v>
      </c>
      <c r="AY14" s="341">
        <f t="shared" si="2"/>
        <v>6441474892</v>
      </c>
      <c r="AZ14" s="342">
        <f t="shared" si="3"/>
        <v>-925779961.55000305</v>
      </c>
      <c r="BB14" s="373" t="s">
        <v>417</v>
      </c>
      <c r="BC14" s="92">
        <f>+F64</f>
        <v>8371510292</v>
      </c>
      <c r="BD14" s="93">
        <f>+I64</f>
        <v>2783701469</v>
      </c>
      <c r="BE14" s="94">
        <f>K64</f>
        <v>229979961.15000001</v>
      </c>
      <c r="BF14" s="95"/>
      <c r="BG14" s="91" t="s">
        <v>74</v>
      </c>
      <c r="BH14" s="81">
        <f t="shared" si="10"/>
        <v>262344980</v>
      </c>
      <c r="BI14" s="81">
        <f t="shared" si="10"/>
        <v>103791383</v>
      </c>
      <c r="BJ14" s="81">
        <f t="shared" si="10"/>
        <v>103791383</v>
      </c>
      <c r="BK14" s="81">
        <f t="shared" si="10"/>
        <v>26020216</v>
      </c>
      <c r="BM14" s="138" t="s">
        <v>424</v>
      </c>
      <c r="BN14" s="86">
        <f>X35-X41+X83-X88</f>
        <v>22397553383</v>
      </c>
      <c r="BO14" s="84">
        <f>AA35-AA41+AA83-AA88</f>
        <v>20888590477</v>
      </c>
      <c r="BP14" s="84">
        <f>AD35-AD41+AD83-AD88</f>
        <v>7009981543</v>
      </c>
      <c r="BQ14" s="85">
        <f>AF35-AF41+AF83-AF88</f>
        <v>1110044699</v>
      </c>
    </row>
    <row r="15" spans="1:69" s="9" customFormat="1" ht="24.95" customHeight="1" thickBot="1">
      <c r="A15" s="594">
        <f>+IF(MARZO!A15=0,"",MARZO!A15)</f>
        <v>1004</v>
      </c>
      <c r="B15" s="621" t="str">
        <f>+IF(MARZO!B15=0,"",MARZO!B15)</f>
        <v>Cesantias Ley 50/1990 a Dic-31-2018</v>
      </c>
      <c r="C15" s="759">
        <f>+ENERO!C15</f>
        <v>280000000</v>
      </c>
      <c r="D15" s="375">
        <f>MARZO!D15+ABRIL!P15</f>
        <v>0</v>
      </c>
      <c r="E15" s="375">
        <f>MARZO!E15+ABRIL!Q15</f>
        <v>13182074</v>
      </c>
      <c r="F15" s="376">
        <f>SUM(C15:E15)</f>
        <v>293182074</v>
      </c>
      <c r="G15" s="377">
        <f>MARZO!I15</f>
        <v>293182074</v>
      </c>
      <c r="H15" s="378">
        <v>0</v>
      </c>
      <c r="I15" s="376">
        <f>SUM(G15:H15)</f>
        <v>293182074</v>
      </c>
      <c r="J15" s="377">
        <f>MARZO!L15</f>
        <v>293182074</v>
      </c>
      <c r="K15" s="165">
        <f>+H15</f>
        <v>0</v>
      </c>
      <c r="L15" s="376">
        <f>SUM(J15:K15)</f>
        <v>293182074</v>
      </c>
      <c r="M15" s="377">
        <f>F15-I15</f>
        <v>0</v>
      </c>
      <c r="N15" s="376">
        <f>F15-L15</f>
        <v>0</v>
      </c>
      <c r="O15" s="372"/>
      <c r="P15" s="374">
        <v>0</v>
      </c>
      <c r="Q15" s="379">
        <v>0</v>
      </c>
      <c r="S15" s="356" t="str">
        <f>+IF(MARZO!S15=0,"",MARZO!S15)</f>
        <v/>
      </c>
      <c r="T15" s="678" t="str">
        <f>+IF(MARZO!T15=0,"",MARZO!T15)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203293306</v>
      </c>
      <c r="AR15" s="12">
        <f>I113</f>
        <v>74130736</v>
      </c>
      <c r="AS15" s="12">
        <f>L113</f>
        <v>74130736</v>
      </c>
      <c r="AT15" s="13"/>
      <c r="AU15" s="332">
        <f t="shared" si="0"/>
        <v>0.36464917344597664</v>
      </c>
      <c r="AV15" s="340">
        <f t="shared" si="1"/>
        <v>0.36464917344597664</v>
      </c>
      <c r="AW15" s="12">
        <f>+AR15</f>
        <v>74130736</v>
      </c>
      <c r="AX15" s="12">
        <f>+AS15</f>
        <v>74130736</v>
      </c>
      <c r="AY15" s="12">
        <f t="shared" si="2"/>
        <v>-129162570</v>
      </c>
      <c r="AZ15" s="333">
        <f t="shared" si="3"/>
        <v>-129162570</v>
      </c>
      <c r="BA15" s="372"/>
      <c r="BB15" s="373" t="s">
        <v>77</v>
      </c>
      <c r="BC15" s="92">
        <f>F46+F49</f>
        <v>130489617</v>
      </c>
      <c r="BD15" s="93">
        <f>I46+I49</f>
        <v>305665256</v>
      </c>
      <c r="BE15" s="94">
        <f>K46+K49</f>
        <v>0</v>
      </c>
      <c r="BF15" s="95"/>
      <c r="BG15" s="91" t="s">
        <v>78</v>
      </c>
      <c r="BH15" s="81">
        <f t="shared" si="10"/>
        <v>18096022853</v>
      </c>
      <c r="BI15" s="81">
        <f t="shared" si="10"/>
        <v>11829625573</v>
      </c>
      <c r="BJ15" s="81">
        <f t="shared" si="10"/>
        <v>11829625573</v>
      </c>
      <c r="BK15" s="81">
        <f t="shared" si="10"/>
        <v>3364520702</v>
      </c>
      <c r="BM15" s="71" t="s">
        <v>66</v>
      </c>
      <c r="BN15" s="83">
        <f>SUM(BN16:BN21)</f>
        <v>11693819527</v>
      </c>
      <c r="BO15" s="81">
        <f>SUM(BO16:BO21)</f>
        <v>7026927964</v>
      </c>
      <c r="BP15" s="81">
        <f>SUM(BP16:BP21)</f>
        <v>3062384849</v>
      </c>
      <c r="BQ15" s="82">
        <f>SUM(BQ16:BQ21)</f>
        <v>564440326</v>
      </c>
    </row>
    <row r="16" spans="1:69" s="9" customFormat="1" ht="24.95" customHeight="1" thickBot="1">
      <c r="A16" s="713" t="str">
        <f>+IF(MARZO!A16=0,"",MARZO!A16)</f>
        <v/>
      </c>
      <c r="B16" s="622" t="str">
        <f>+IF(MARZO!B16=0,"",MARZO!B16)</f>
        <v/>
      </c>
      <c r="C16" s="380"/>
      <c r="D16" s="380"/>
      <c r="E16" s="380"/>
      <c r="F16" s="380"/>
      <c r="G16" s="380"/>
      <c r="H16" s="380"/>
      <c r="I16" s="380"/>
      <c r="J16" s="380"/>
      <c r="K16" s="380"/>
      <c r="L16" s="380"/>
      <c r="M16" s="380"/>
      <c r="N16" s="381"/>
      <c r="O16" s="372"/>
      <c r="P16" s="382"/>
      <c r="Q16" s="383"/>
      <c r="S16" s="687">
        <f>+IF(MARZO!S16=0,"",MARZO!S16)</f>
        <v>1010100</v>
      </c>
      <c r="T16" s="663" t="str">
        <f>+IF(MARZO!T16=0,"",MARZO!T16)</f>
        <v>Servicios Personales Asociados a Nómina</v>
      </c>
      <c r="U16" s="132">
        <f t="shared" ref="U16:AJ16" si="12">SUM(U17:U20)+U33</f>
        <v>1868719642</v>
      </c>
      <c r="V16" s="122">
        <f t="shared" si="12"/>
        <v>-120000000</v>
      </c>
      <c r="W16" s="122">
        <f t="shared" si="12"/>
        <v>120000000</v>
      </c>
      <c r="X16" s="129">
        <f t="shared" si="12"/>
        <v>1868719642</v>
      </c>
      <c r="Y16" s="128">
        <f t="shared" si="12"/>
        <v>331516593</v>
      </c>
      <c r="Z16" s="122">
        <f t="shared" si="12"/>
        <v>109509783</v>
      </c>
      <c r="AA16" s="129">
        <f t="shared" si="12"/>
        <v>441026376</v>
      </c>
      <c r="AB16" s="128">
        <f t="shared" si="12"/>
        <v>331516593</v>
      </c>
      <c r="AC16" s="122">
        <f t="shared" si="12"/>
        <v>109509783</v>
      </c>
      <c r="AD16" s="129">
        <f t="shared" si="12"/>
        <v>441026376</v>
      </c>
      <c r="AE16" s="128">
        <f t="shared" si="12"/>
        <v>331516593</v>
      </c>
      <c r="AF16" s="122">
        <f t="shared" si="12"/>
        <v>109509783</v>
      </c>
      <c r="AG16" s="129">
        <f t="shared" si="12"/>
        <v>441026376</v>
      </c>
      <c r="AH16" s="128">
        <f t="shared" si="12"/>
        <v>1427693266</v>
      </c>
      <c r="AI16" s="122">
        <f t="shared" si="12"/>
        <v>1427693266</v>
      </c>
      <c r="AJ16" s="130">
        <f t="shared" si="12"/>
        <v>1427693266</v>
      </c>
      <c r="AK16" s="10"/>
      <c r="AL16" s="128">
        <f>SUM(AL17:AL20)+AL33</f>
        <v>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76"/>
      <c r="BG16" s="91" t="s">
        <v>82</v>
      </c>
      <c r="BH16" s="96">
        <f>BH7+BH12+BH13+BH14+BH15</f>
        <v>94859073150</v>
      </c>
      <c r="BI16" s="96">
        <f>BI7+BI12+BI13+BI14+BI15</f>
        <v>62117855960</v>
      </c>
      <c r="BJ16" s="96">
        <f>BJ7+BJ12+BJ13+BJ14+BJ15</f>
        <v>34843587381</v>
      </c>
      <c r="BK16" s="96">
        <f>BK7+BK12+BK13+BK14+BK15</f>
        <v>8131208528</v>
      </c>
      <c r="BM16" s="137" t="s">
        <v>83</v>
      </c>
      <c r="BN16" s="83">
        <f>X114-X121+X147-X148-X153</f>
        <v>2180000000</v>
      </c>
      <c r="BO16" s="81">
        <f>AA114-AA121+AA147-AA148-AA153</f>
        <v>533887009</v>
      </c>
      <c r="BP16" s="81">
        <f>AD114-AD121+AD147-AD148-AD153</f>
        <v>221866678</v>
      </c>
      <c r="BQ16" s="82">
        <f>AF114-AF121+AF147-AF148-AF153</f>
        <v>27552555</v>
      </c>
    </row>
    <row r="17" spans="1:70" s="372" customFormat="1" ht="24.95" customHeight="1" thickBot="1">
      <c r="A17" s="712">
        <f>+IF(MARZO!A17=0,"",MARZO!A17)</f>
        <v>11</v>
      </c>
      <c r="B17" s="623" t="str">
        <f>+IF(MARZO!B17=0,"",MARZO!B17)</f>
        <v>INGRESOS  CORRIENTES</v>
      </c>
      <c r="C17" s="324">
        <f>C19+C94+C104</f>
        <v>61374630552</v>
      </c>
      <c r="D17" s="321">
        <f t="shared" ref="D17:Q17" si="13">D19+D94+D104</f>
        <v>0</v>
      </c>
      <c r="E17" s="321">
        <f t="shared" si="13"/>
        <v>23104284254</v>
      </c>
      <c r="F17" s="321">
        <f t="shared" si="13"/>
        <v>84478914806</v>
      </c>
      <c r="G17" s="321">
        <f t="shared" si="13"/>
        <v>30002460028</v>
      </c>
      <c r="H17" s="321">
        <f t="shared" si="13"/>
        <v>7515230744</v>
      </c>
      <c r="I17" s="321">
        <f t="shared" si="13"/>
        <v>37517690772</v>
      </c>
      <c r="J17" s="321">
        <f t="shared" si="13"/>
        <v>14627746065</v>
      </c>
      <c r="K17" s="321">
        <f t="shared" si="13"/>
        <v>7621809455.1499996</v>
      </c>
      <c r="L17" s="321">
        <f t="shared" si="13"/>
        <v>22249555520.150002</v>
      </c>
      <c r="M17" s="321">
        <f t="shared" si="13"/>
        <v>46961224034</v>
      </c>
      <c r="N17" s="322">
        <f t="shared" si="13"/>
        <v>62229359285.849998</v>
      </c>
      <c r="P17" s="174">
        <f t="shared" si="13"/>
        <v>0</v>
      </c>
      <c r="Q17" s="175">
        <f t="shared" si="13"/>
        <v>0</v>
      </c>
      <c r="R17" s="9"/>
      <c r="S17" s="688">
        <f>+IF(MARZO!S17=0,"",MARZO!S17)</f>
        <v>1010101</v>
      </c>
      <c r="T17" s="664" t="str">
        <f>+IF(MARZO!T17=0,"",MARZO!T17)</f>
        <v>Sueldos del Personal de nómina</v>
      </c>
      <c r="U17" s="27">
        <f>+ENERO!U17</f>
        <v>1519896974</v>
      </c>
      <c r="V17" s="15">
        <f>MARZO!V17+ABRIL!AL17</f>
        <v>0</v>
      </c>
      <c r="W17" s="15">
        <f>MARZO!W17+ABRIL!AM17</f>
        <v>0</v>
      </c>
      <c r="X17" s="18">
        <f>SUM(U17:W17)</f>
        <v>1519896974</v>
      </c>
      <c r="Y17" s="19">
        <f>MARZO!AA17</f>
        <v>311122183</v>
      </c>
      <c r="Z17" s="364">
        <v>105309376</v>
      </c>
      <c r="AA17" s="18">
        <f>SUM(Y17:Z17)</f>
        <v>416431559</v>
      </c>
      <c r="AB17" s="19">
        <f>MARZO!AD17</f>
        <v>311122183</v>
      </c>
      <c r="AC17" s="364">
        <v>105309376</v>
      </c>
      <c r="AD17" s="18">
        <f>SUM(AB17:AC17)</f>
        <v>416431559</v>
      </c>
      <c r="AE17" s="19">
        <f>MARZO!AG17</f>
        <v>311122183</v>
      </c>
      <c r="AF17" s="364">
        <v>105309376</v>
      </c>
      <c r="AG17" s="18">
        <f>SUM(AE17:AF17)</f>
        <v>416431559</v>
      </c>
      <c r="AH17" s="19">
        <f>X17-AA17</f>
        <v>1103465415</v>
      </c>
      <c r="AI17" s="15">
        <f>X17-AD17</f>
        <v>1103465415</v>
      </c>
      <c r="AJ17" s="16">
        <f>X17-AG17</f>
        <v>1103465415</v>
      </c>
      <c r="AK17" s="9"/>
      <c r="AL17" s="362">
        <v>0</v>
      </c>
      <c r="AM17" s="365">
        <v>0</v>
      </c>
      <c r="AN17" s="9"/>
      <c r="AO17" s="339"/>
      <c r="AP17" s="389" t="s">
        <v>85</v>
      </c>
      <c r="AQ17" s="390">
        <f>SUM(AQ7:AQ16)</f>
        <v>86778001954</v>
      </c>
      <c r="AR17" s="391">
        <f>SUM(AR7:AR16)</f>
        <v>44370594573</v>
      </c>
      <c r="AS17" s="392">
        <f>SUM(AS7:AS16)</f>
        <v>29131931033.150002</v>
      </c>
      <c r="AT17" s="393"/>
      <c r="AU17" s="391">
        <f t="shared" si="0"/>
        <v>0.51131154870931839</v>
      </c>
      <c r="AV17" s="391">
        <f t="shared" si="1"/>
        <v>0.33570640458618184</v>
      </c>
      <c r="AW17" s="394">
        <f>SUM(AX7:AX16)</f>
        <v>53148928907.449997</v>
      </c>
      <c r="AX17" s="394">
        <f>SUM(AX7:AX16)</f>
        <v>53148928907.449997</v>
      </c>
      <c r="AY17" s="394">
        <f>SUM(AY7:AY16)</f>
        <v>12175332709</v>
      </c>
      <c r="AZ17" s="395">
        <f>SUM(AZ7:AZ16)</f>
        <v>-33629073046.550003</v>
      </c>
      <c r="BA17" s="9"/>
      <c r="BB17" s="355" t="s">
        <v>419</v>
      </c>
      <c r="BC17" s="73">
        <f>F41+F52+F55+F58+F61+F67+F70+F73+F76+F79+F82+F86+F87+F88+F89+F90+F91</f>
        <v>12784992455</v>
      </c>
      <c r="BD17" s="74">
        <f>I41+I52+I55+I58+I61+I67+I70+I73+I76+I79+I82+I86+I87+I88+I89+I90+I91</f>
        <v>2639033438</v>
      </c>
      <c r="BE17" s="75">
        <f>K41+K52+K55+K58+K61+K67+K70+K73+K76+K79+K82+K86+K87+K88+K89+K90+K91</f>
        <v>612588140</v>
      </c>
      <c r="BF17" s="76"/>
      <c r="BG17" s="98" t="s">
        <v>86</v>
      </c>
      <c r="BH17" s="99">
        <f>BC23-BH16</f>
        <v>-94859073150</v>
      </c>
      <c r="BI17" s="99"/>
      <c r="BJ17" s="99"/>
      <c r="BK17" s="99"/>
      <c r="BM17" s="137" t="s">
        <v>434</v>
      </c>
      <c r="BN17" s="83">
        <f>X123-X126-X139+X155-X156-X167-X168</f>
        <v>5044712263</v>
      </c>
      <c r="BO17" s="81">
        <f>AA123-AA126-AA139+AA155-AA156-AA167-AA168</f>
        <v>3990272043</v>
      </c>
      <c r="BP17" s="81">
        <f>AD123-AD126-AD139+AD155-AD156-AD167-AD168</f>
        <v>1535176775</v>
      </c>
      <c r="BQ17" s="82">
        <f>AF123-AF126-AF139+AF155-AF156-AF167-AF168</f>
        <v>113812625</v>
      </c>
      <c r="BR17" s="9"/>
    </row>
    <row r="18" spans="1:70" s="9" customFormat="1" ht="24.95" customHeight="1" thickBot="1">
      <c r="A18" s="593" t="str">
        <f>+IF(MARZO!A18=0,"",MARZO!A18)</f>
        <v/>
      </c>
      <c r="B18" s="624" t="str">
        <f>+IF(MARZO!B18=0,"",MARZO!B18)</f>
        <v/>
      </c>
      <c r="C18" s="284"/>
      <c r="D18" s="284"/>
      <c r="E18" s="284"/>
      <c r="F18" s="284"/>
      <c r="G18" s="284"/>
      <c r="H18" s="284"/>
      <c r="I18" s="284"/>
      <c r="J18" s="284"/>
      <c r="K18" s="284"/>
      <c r="L18" s="284"/>
      <c r="M18" s="284"/>
      <c r="N18" s="453"/>
      <c r="P18" s="397"/>
      <c r="Q18" s="396"/>
      <c r="S18" s="688">
        <f>+IF(MARZO!S18=0,"",MARZO!S18)</f>
        <v>1010102</v>
      </c>
      <c r="T18" s="664" t="str">
        <f>+IF(MARZO!T18=0,"",MARZO!T18)</f>
        <v>Horas Extras,Dominic.,Festivos y Rec. Nocturnos</v>
      </c>
      <c r="U18" s="27">
        <f>+ENERO!U18</f>
        <v>7017105</v>
      </c>
      <c r="V18" s="15">
        <f>MARZO!V18+ABRIL!AL18</f>
        <v>0</v>
      </c>
      <c r="W18" s="15">
        <f>MARZO!W18+ABRIL!AM18</f>
        <v>0</v>
      </c>
      <c r="X18" s="18">
        <f>SUM(U18:W18)</f>
        <v>7017105</v>
      </c>
      <c r="Y18" s="19">
        <f>MARZO!AA18</f>
        <v>1802464</v>
      </c>
      <c r="Z18" s="364">
        <v>987435</v>
      </c>
      <c r="AA18" s="18">
        <f>SUM(Y18:Z18)</f>
        <v>2789899</v>
      </c>
      <c r="AB18" s="19">
        <f>MARZO!AD18</f>
        <v>1802464</v>
      </c>
      <c r="AC18" s="364">
        <v>987435</v>
      </c>
      <c r="AD18" s="18">
        <f>SUM(AB18:AC18)</f>
        <v>2789899</v>
      </c>
      <c r="AE18" s="19">
        <f>MARZO!AG18</f>
        <v>1802464</v>
      </c>
      <c r="AF18" s="364">
        <v>987435</v>
      </c>
      <c r="AG18" s="18">
        <f>SUM(AE18:AF18)</f>
        <v>2789899</v>
      </c>
      <c r="AH18" s="19">
        <f>X18-AA18</f>
        <v>4227206</v>
      </c>
      <c r="AI18" s="15">
        <f>X18-AD18</f>
        <v>4227206</v>
      </c>
      <c r="AJ18" s="16">
        <f>X18-AG18</f>
        <v>4227206</v>
      </c>
      <c r="AL18" s="362">
        <v>0</v>
      </c>
      <c r="AM18" s="365">
        <v>0</v>
      </c>
      <c r="AO18" s="21"/>
      <c r="AP18" s="284" t="s">
        <v>51</v>
      </c>
      <c r="AQ18" s="284"/>
      <c r="AR18" s="284"/>
      <c r="AS18" s="284"/>
      <c r="AT18" s="284"/>
      <c r="AU18" s="284"/>
      <c r="AV18" s="284"/>
      <c r="AW18" s="284"/>
      <c r="AX18" s="284"/>
      <c r="AY18" s="284"/>
      <c r="AZ18" s="284"/>
      <c r="BA18" s="372"/>
      <c r="BB18" s="373" t="s">
        <v>420</v>
      </c>
      <c r="BC18" s="73">
        <f>+F95+F96+F97+F99</f>
        <v>7982899073</v>
      </c>
      <c r="BD18" s="74">
        <f>+I95+I96+I97+I99</f>
        <v>3354444422</v>
      </c>
      <c r="BE18" s="75">
        <f>+K95+K96+K97+K99</f>
        <v>3354444422</v>
      </c>
      <c r="BF18" s="95"/>
      <c r="BM18" s="137" t="s">
        <v>87</v>
      </c>
      <c r="BN18" s="83">
        <f>X148+X156</f>
        <v>3202025000</v>
      </c>
      <c r="BO18" s="81">
        <f>AA148+AA156</f>
        <v>2105152691</v>
      </c>
      <c r="BP18" s="81">
        <f>AD148+AD156</f>
        <v>907725175</v>
      </c>
      <c r="BQ18" s="82">
        <f>AF148+AF156</f>
        <v>339357448</v>
      </c>
      <c r="BR18" s="372"/>
    </row>
    <row r="19" spans="1:70" s="9" customFormat="1" ht="24.95" customHeight="1" thickBot="1">
      <c r="A19" s="714">
        <f>+IF(MARZO!A19=0,"",MARZO!A19)</f>
        <v>113</v>
      </c>
      <c r="B19" s="625" t="str">
        <f>+IF(MARZO!B19=0,"",MARZO!B19)</f>
        <v>VENTA DE SERVICIOS</v>
      </c>
      <c r="C19" s="324">
        <f t="shared" ref="C19:N19" si="14">C21+C85</f>
        <v>53293559356</v>
      </c>
      <c r="D19" s="321">
        <f t="shared" si="14"/>
        <v>0</v>
      </c>
      <c r="E19" s="321">
        <f t="shared" si="14"/>
        <v>23104284254</v>
      </c>
      <c r="F19" s="322">
        <f t="shared" si="14"/>
        <v>76397843610</v>
      </c>
      <c r="G19" s="324">
        <f t="shared" si="14"/>
        <v>29970619483</v>
      </c>
      <c r="H19" s="321">
        <f t="shared" si="14"/>
        <v>4148979316</v>
      </c>
      <c r="I19" s="322">
        <f t="shared" si="14"/>
        <v>34119598799</v>
      </c>
      <c r="J19" s="324">
        <f t="shared" si="14"/>
        <v>14617749573</v>
      </c>
      <c r="K19" s="321">
        <f t="shared" si="14"/>
        <v>4263185686.1500001</v>
      </c>
      <c r="L19" s="322">
        <f t="shared" si="14"/>
        <v>18880935259.150002</v>
      </c>
      <c r="M19" s="324">
        <f t="shared" si="14"/>
        <v>42278244811</v>
      </c>
      <c r="N19" s="322">
        <f t="shared" si="14"/>
        <v>57516908350.849998</v>
      </c>
      <c r="O19" s="372"/>
      <c r="P19" s="43">
        <f>P21+P85</f>
        <v>0</v>
      </c>
      <c r="Q19" s="45">
        <f>Q21+Q85</f>
        <v>0</v>
      </c>
      <c r="S19" s="688">
        <f>+IF(MARZO!S19=0,"",MARZO!S19)</f>
        <v>1010103</v>
      </c>
      <c r="T19" s="664" t="str">
        <f>+IF(MARZO!T19=0,"",MARZO!T19)</f>
        <v>Prima Técnica</v>
      </c>
      <c r="U19" s="27">
        <f>+ENERO!U19</f>
        <v>0</v>
      </c>
      <c r="V19" s="15">
        <f>MARZO!V19+ABRIL!AL19</f>
        <v>0</v>
      </c>
      <c r="W19" s="15">
        <f>MARZO!W19+ABRIL!AM19</f>
        <v>0</v>
      </c>
      <c r="X19" s="18">
        <f>SUM(U19:W19)</f>
        <v>0</v>
      </c>
      <c r="Y19" s="19">
        <f>MARZO!AA19</f>
        <v>0</v>
      </c>
      <c r="Z19" s="364">
        <v>0</v>
      </c>
      <c r="AA19" s="18">
        <f>SUM(Y19:Z19)</f>
        <v>0</v>
      </c>
      <c r="AB19" s="19">
        <f>MARZO!AD19</f>
        <v>0</v>
      </c>
      <c r="AC19" s="364">
        <v>0</v>
      </c>
      <c r="AD19" s="18">
        <f>SUM(AB19:AC19)</f>
        <v>0</v>
      </c>
      <c r="AE19" s="19">
        <f>MARZO!AG19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98172123</v>
      </c>
      <c r="BD19" s="93">
        <f>+I105+I106+I107+I108+I109+I110+I98+I100+I101</f>
        <v>43647551</v>
      </c>
      <c r="BE19" s="94">
        <f>+K105+K106+K107+K108+K109+K110+K98+K100+K101</f>
        <v>4179347</v>
      </c>
      <c r="BF19" s="57"/>
      <c r="BG19" s="372"/>
      <c r="BH19" s="372">
        <f>BN33</f>
        <v>0</v>
      </c>
      <c r="BI19" s="372"/>
      <c r="BJ19" s="372"/>
      <c r="BK19" s="372"/>
      <c r="BM19" s="137" t="s">
        <v>94</v>
      </c>
      <c r="BN19" s="83">
        <f>X126+X167</f>
        <v>740000000</v>
      </c>
      <c r="BO19" s="81">
        <f>AA126+AA167</f>
        <v>268044359</v>
      </c>
      <c r="BP19" s="81">
        <f>AD126+AD167</f>
        <v>268044359</v>
      </c>
      <c r="BQ19" s="82">
        <f>AF126+AF167</f>
        <v>53504825</v>
      </c>
    </row>
    <row r="20" spans="1:70" s="412" customFormat="1" ht="24.95" customHeight="1" thickBot="1">
      <c r="A20" s="593" t="str">
        <f>+IF(MARZO!A20=0,"",MARZO!A20)</f>
        <v/>
      </c>
      <c r="B20" s="626" t="str">
        <f>+IF(MARZO!B20=0,"",MARZO!B20)</f>
        <v/>
      </c>
      <c r="C20" s="284"/>
      <c r="D20" s="284"/>
      <c r="E20" s="284"/>
      <c r="F20" s="284"/>
      <c r="G20" s="284"/>
      <c r="H20" s="284"/>
      <c r="I20" s="284"/>
      <c r="J20" s="284"/>
      <c r="K20" s="284"/>
      <c r="L20" s="284"/>
      <c r="M20" s="284"/>
      <c r="N20" s="453"/>
      <c r="O20" s="9"/>
      <c r="P20" s="397"/>
      <c r="Q20" s="396"/>
      <c r="R20" s="9"/>
      <c r="S20" s="688">
        <f>+IF(MARZO!S20=0,"",MARZO!S20)</f>
        <v>1010104</v>
      </c>
      <c r="T20" s="664" t="str">
        <f>+IF(MARZO!T20=0,"",MARZO!T20)</f>
        <v>Otros</v>
      </c>
      <c r="U20" s="27">
        <f t="shared" ref="U20:AJ20" si="15">SUM(U21:U32)</f>
        <v>341805563</v>
      </c>
      <c r="V20" s="15">
        <f t="shared" si="15"/>
        <v>0</v>
      </c>
      <c r="W20" s="15">
        <f t="shared" si="15"/>
        <v>0</v>
      </c>
      <c r="X20" s="18">
        <f t="shared" si="15"/>
        <v>341805563</v>
      </c>
      <c r="Y20" s="19">
        <f t="shared" si="15"/>
        <v>18591946</v>
      </c>
      <c r="Z20" s="142">
        <f t="shared" si="15"/>
        <v>3212972</v>
      </c>
      <c r="AA20" s="18">
        <f t="shared" si="15"/>
        <v>21804918</v>
      </c>
      <c r="AB20" s="19">
        <f t="shared" si="15"/>
        <v>18591946</v>
      </c>
      <c r="AC20" s="142">
        <f t="shared" si="15"/>
        <v>3212972</v>
      </c>
      <c r="AD20" s="18">
        <f t="shared" si="15"/>
        <v>21804918</v>
      </c>
      <c r="AE20" s="19">
        <f t="shared" si="15"/>
        <v>18591946</v>
      </c>
      <c r="AF20" s="142">
        <f t="shared" si="15"/>
        <v>3212972</v>
      </c>
      <c r="AG20" s="18">
        <f t="shared" si="15"/>
        <v>21804918</v>
      </c>
      <c r="AH20" s="19">
        <f t="shared" si="15"/>
        <v>320000645</v>
      </c>
      <c r="AI20" s="15">
        <f t="shared" si="15"/>
        <v>320000645</v>
      </c>
      <c r="AJ20" s="16">
        <f t="shared" si="15"/>
        <v>320000645</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203293306</v>
      </c>
      <c r="BD20" s="66">
        <f>+I115+I117+I119+I120+I121+I123+I124</f>
        <v>74130736</v>
      </c>
      <c r="BE20" s="67">
        <f>+K115+K117+K119+K120+K121+K123+K124</f>
        <v>3806233</v>
      </c>
      <c r="BF20" s="57"/>
      <c r="BG20" s="372"/>
      <c r="BH20" s="372">
        <f>BH19-BH16</f>
        <v>-94859073150</v>
      </c>
      <c r="BI20" s="372"/>
      <c r="BJ20" s="372"/>
      <c r="BK20" s="372"/>
      <c r="BL20" s="372"/>
      <c r="BM20" s="139" t="s">
        <v>429</v>
      </c>
      <c r="BN20" s="83">
        <f>+X141-X143</f>
        <v>527082264</v>
      </c>
      <c r="BO20" s="81">
        <f>+AA141-AA143</f>
        <v>129571862</v>
      </c>
      <c r="BP20" s="81">
        <f>+AD141-AD143</f>
        <v>129571862</v>
      </c>
      <c r="BQ20" s="82">
        <f>+AF141-AF143</f>
        <v>30212873</v>
      </c>
      <c r="BR20" s="9"/>
    </row>
    <row r="21" spans="1:70" s="412" customFormat="1" ht="24.95" customHeight="1" thickBot="1">
      <c r="A21" s="715">
        <f>+IF(MARZO!A21=0,"",MARZO!A21)</f>
        <v>11301</v>
      </c>
      <c r="B21" s="627" t="str">
        <f>+IF(MARZO!B21=0,"",MARZO!B21)</f>
        <v>Venta de Servicios de Salud</v>
      </c>
      <c r="C21" s="174">
        <f t="shared" ref="C21:N21" si="16">C22+C25+C28+C41+C42+C45+C48+C51+C54+C57+C60+C63+C66+C69+C72+C75+C78+C81</f>
        <v>53293559356</v>
      </c>
      <c r="D21" s="344">
        <f t="shared" si="16"/>
        <v>0</v>
      </c>
      <c r="E21" s="344">
        <f t="shared" si="16"/>
        <v>10903721979</v>
      </c>
      <c r="F21" s="344">
        <f t="shared" si="16"/>
        <v>64197281335</v>
      </c>
      <c r="G21" s="344">
        <f t="shared" si="16"/>
        <v>28329702308</v>
      </c>
      <c r="H21" s="344">
        <f t="shared" si="16"/>
        <v>3606863760</v>
      </c>
      <c r="I21" s="344">
        <f t="shared" si="16"/>
        <v>31936566068</v>
      </c>
      <c r="J21" s="344">
        <f t="shared" si="16"/>
        <v>12976832398</v>
      </c>
      <c r="K21" s="344">
        <f t="shared" si="16"/>
        <v>3721070130.1500001</v>
      </c>
      <c r="L21" s="344">
        <f t="shared" si="16"/>
        <v>16697902528.15</v>
      </c>
      <c r="M21" s="344">
        <f t="shared" si="16"/>
        <v>32260715267</v>
      </c>
      <c r="N21" s="175">
        <f t="shared" si="16"/>
        <v>47499378806.849998</v>
      </c>
      <c r="O21" s="372"/>
      <c r="P21" s="43">
        <f>P22+P25+P28+P41+P42+P45+P48+P51+P54+P57+P60+P63+P66+P69+P72+P75+P78+P81</f>
        <v>0</v>
      </c>
      <c r="Q21" s="45">
        <f>Q22+Q25+Q28+Q41+Q42+Q45+Q48+Q51+Q54+Q57+Q60+Q63+Q66+Q69+Q72+Q75+Q78+Q81</f>
        <v>0</v>
      </c>
      <c r="R21" s="9"/>
      <c r="S21" s="689" t="str">
        <f>+IF(MARZO!S21=0,"",MARZO!S21)</f>
        <v>1010104-1</v>
      </c>
      <c r="T21" s="665" t="str">
        <f>+IF(MARZO!T21=0,"",MARZO!T21)</f>
        <v xml:space="preserve">Prima de Navidad </v>
      </c>
      <c r="U21" s="27">
        <f>+ENERO!U21</f>
        <v>142096948</v>
      </c>
      <c r="V21" s="15">
        <f>MARZO!V21+ABRIL!AL21</f>
        <v>0</v>
      </c>
      <c r="W21" s="15">
        <f>MARZO!W21+ABRIL!AM21</f>
        <v>0</v>
      </c>
      <c r="X21" s="18">
        <f t="shared" ref="X21:X33" si="17">SUM(U21:W21)</f>
        <v>142096948</v>
      </c>
      <c r="Y21" s="19">
        <f>MARZO!AA21</f>
        <v>105221</v>
      </c>
      <c r="Z21" s="364">
        <v>0</v>
      </c>
      <c r="AA21" s="18">
        <f t="shared" ref="AA21:AA33" si="18">SUM(Y21:Z21)</f>
        <v>105221</v>
      </c>
      <c r="AB21" s="19">
        <f>MARZO!AD21</f>
        <v>105221</v>
      </c>
      <c r="AC21" s="364">
        <v>0</v>
      </c>
      <c r="AD21" s="18">
        <f t="shared" ref="AD21:AD33" si="19">SUM(AB21:AC21)</f>
        <v>105221</v>
      </c>
      <c r="AE21" s="19">
        <f>MARZO!AG21</f>
        <v>105221</v>
      </c>
      <c r="AF21" s="364">
        <v>0</v>
      </c>
      <c r="AG21" s="18">
        <f t="shared" ref="AG21:AG33" si="20">SUM(AE21:AF21)</f>
        <v>105221</v>
      </c>
      <c r="AH21" s="19">
        <f t="shared" ref="AH21:AH33" si="21">X21-AA21</f>
        <v>141991727</v>
      </c>
      <c r="AI21" s="15">
        <f t="shared" ref="AI21:AI33" si="22">X21-AD21</f>
        <v>141991727</v>
      </c>
      <c r="AJ21" s="16">
        <f t="shared" ref="AJ21:AJ33" si="23">X21-AG21</f>
        <v>141991727</v>
      </c>
      <c r="AK21" s="9"/>
      <c r="AL21" s="362">
        <v>0</v>
      </c>
      <c r="AM21" s="365">
        <v>0</v>
      </c>
      <c r="AN21" s="9"/>
      <c r="AO21" s="339"/>
      <c r="AP21" s="413"/>
      <c r="AQ21" s="507"/>
      <c r="AR21" s="415" t="str">
        <f>AR6</f>
        <v>ABRIL</v>
      </c>
      <c r="AS21" s="416" t="str">
        <f>AR6</f>
        <v>ABRIL</v>
      </c>
      <c r="AT21" s="415" t="str">
        <f>AR6</f>
        <v>ABRIL</v>
      </c>
      <c r="AU21" s="415" t="s">
        <v>44</v>
      </c>
      <c r="AV21" s="415" t="s">
        <v>22</v>
      </c>
      <c r="AW21" s="507"/>
      <c r="AX21" s="507"/>
      <c r="AY21" s="415" t="s">
        <v>44</v>
      </c>
      <c r="AZ21" s="418" t="s">
        <v>22</v>
      </c>
      <c r="BA21" s="9"/>
      <c r="BB21" s="101" t="s">
        <v>422</v>
      </c>
      <c r="BC21" s="65">
        <f>SUMIF($B8:B122,$B24,F8:F122)+F122</f>
        <v>10903031070</v>
      </c>
      <c r="BD21" s="66">
        <f>SUMIF($B8:B122,$B24,I8:I122)+I122</f>
        <v>11664453487</v>
      </c>
      <c r="BE21" s="67">
        <f>SUMIF($B8:B122,$B24,K8:K122)+K122</f>
        <v>156937893</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+IF(MARZO!A22=0,"",MARZO!A22)</f>
        <v>1130101</v>
      </c>
      <c r="B22" s="628" t="str">
        <f>+IF(MARZO!B22=0,"",MARZO!B22)</f>
        <v>EPS - REGIMEN CONTRIBUTIVO</v>
      </c>
      <c r="C22" s="43">
        <f t="shared" ref="C22:N22" si="24">SUM(C23:C24)</f>
        <v>3087894380</v>
      </c>
      <c r="D22" s="44">
        <f t="shared" si="24"/>
        <v>0</v>
      </c>
      <c r="E22" s="44">
        <f t="shared" si="24"/>
        <v>419591381</v>
      </c>
      <c r="F22" s="44">
        <f t="shared" si="24"/>
        <v>3507485761</v>
      </c>
      <c r="G22" s="44">
        <f t="shared" si="24"/>
        <v>1405845804</v>
      </c>
      <c r="H22" s="44">
        <f t="shared" si="24"/>
        <v>231225929</v>
      </c>
      <c r="I22" s="44">
        <f t="shared" si="24"/>
        <v>1637071733</v>
      </c>
      <c r="J22" s="44">
        <f t="shared" si="24"/>
        <v>444710061</v>
      </c>
      <c r="K22" s="44">
        <f t="shared" si="24"/>
        <v>165031984</v>
      </c>
      <c r="L22" s="44">
        <f t="shared" si="24"/>
        <v>609742045</v>
      </c>
      <c r="M22" s="44">
        <f t="shared" si="24"/>
        <v>1870414028</v>
      </c>
      <c r="N22" s="45">
        <f t="shared" si="24"/>
        <v>2897743716</v>
      </c>
      <c r="P22" s="43">
        <f>SUM(P23:P24)</f>
        <v>0</v>
      </c>
      <c r="Q22" s="45">
        <f>SUM(Q23:Q24)</f>
        <v>0</v>
      </c>
      <c r="S22" s="689" t="str">
        <f>+IF(MARZO!S22=0,"",MARZO!S22)</f>
        <v>1010104-2</v>
      </c>
      <c r="T22" s="665" t="str">
        <f>+IF(MARZO!T22=0,"",MARZO!T22)</f>
        <v>Prima de Vacaciones</v>
      </c>
      <c r="U22" s="27">
        <f>+ENERO!U22</f>
        <v>72708845</v>
      </c>
      <c r="V22" s="15">
        <f>MARZO!V22+ABRIL!AL22</f>
        <v>0</v>
      </c>
      <c r="W22" s="15">
        <f>MARZO!W22+ABRIL!AM22</f>
        <v>0</v>
      </c>
      <c r="X22" s="18">
        <f t="shared" si="17"/>
        <v>72708845</v>
      </c>
      <c r="Y22" s="19">
        <f>MARZO!AA22</f>
        <v>4915548</v>
      </c>
      <c r="Z22" s="364">
        <v>2340489</v>
      </c>
      <c r="AA22" s="18">
        <f t="shared" si="18"/>
        <v>7256037</v>
      </c>
      <c r="AB22" s="19">
        <f>MARZO!AD22</f>
        <v>4915548</v>
      </c>
      <c r="AC22" s="364">
        <v>2340489</v>
      </c>
      <c r="AD22" s="18">
        <f t="shared" si="19"/>
        <v>7256037</v>
      </c>
      <c r="AE22" s="19">
        <f>MARZO!AG22</f>
        <v>4915548</v>
      </c>
      <c r="AF22" s="364">
        <v>2340489</v>
      </c>
      <c r="AG22" s="18">
        <f t="shared" si="20"/>
        <v>7256037</v>
      </c>
      <c r="AH22" s="19">
        <f t="shared" si="21"/>
        <v>65452808</v>
      </c>
      <c r="AI22" s="15">
        <f t="shared" si="22"/>
        <v>65452808</v>
      </c>
      <c r="AJ22" s="16">
        <f t="shared" si="23"/>
        <v>65452808</v>
      </c>
      <c r="AL22" s="362">
        <v>0</v>
      </c>
      <c r="AM22" s="365">
        <v>0</v>
      </c>
      <c r="AO22" s="21"/>
      <c r="AP22" s="419" t="s">
        <v>104</v>
      </c>
      <c r="AQ22" s="420">
        <f>X17+X66</f>
        <v>5293004812</v>
      </c>
      <c r="AR22" s="420">
        <f>AD17+AD66</f>
        <v>1079584186</v>
      </c>
      <c r="AS22" s="420">
        <f>AG17+AG66</f>
        <v>1079584186</v>
      </c>
      <c r="AT22" s="421"/>
      <c r="AU22" s="422">
        <f t="shared" ref="AU22:AU32" si="25">IF(AQ22=0," ",AR22/AQ22)</f>
        <v>0.20396433110214221</v>
      </c>
      <c r="AV22" s="422">
        <f t="shared" ref="AV22:AV32" si="26">IF(AQ22=0," ",AS22/AQ22)</f>
        <v>0.20396433110214221</v>
      </c>
      <c r="AW22" s="423">
        <f>AR22/$AO$2*12</f>
        <v>3238752558</v>
      </c>
      <c r="AX22" s="423">
        <f>AS22/$AO$2*12</f>
        <v>3238752558</v>
      </c>
      <c r="AY22" s="423">
        <f t="shared" ref="AY22:AY31" si="27">AQ22-AW22</f>
        <v>2054252254</v>
      </c>
      <c r="AZ22" s="424">
        <f t="shared" ref="AZ22:AZ31" si="28">AQ22-AX22</f>
        <v>2054252254</v>
      </c>
      <c r="BA22" s="372"/>
      <c r="BB22" s="102" t="s">
        <v>109</v>
      </c>
      <c r="BC22" s="103">
        <f>BC7+BC8+BC20+BC21</f>
        <v>94859073150</v>
      </c>
      <c r="BD22" s="104">
        <f>BD7+BD8+BD20+BD21</f>
        <v>47768686546</v>
      </c>
      <c r="BE22" s="105">
        <f>BE7+BE8+BE20+BE21</f>
        <v>7625615688.1499996</v>
      </c>
      <c r="BF22" s="57"/>
      <c r="BG22" s="372"/>
      <c r="BH22" s="372"/>
      <c r="BI22" s="372"/>
      <c r="BJ22" s="372"/>
      <c r="BK22" s="372"/>
      <c r="BM22" s="71" t="s">
        <v>67</v>
      </c>
      <c r="BN22" s="83">
        <f>BN23+BN24</f>
        <v>1260354144</v>
      </c>
      <c r="BO22" s="81">
        <f>BO23+BO24</f>
        <v>356185283</v>
      </c>
      <c r="BP22" s="81">
        <f>BP23+BP24</f>
        <v>356185283</v>
      </c>
      <c r="BQ22" s="82">
        <f>BQ23+BQ24</f>
        <v>67315134</v>
      </c>
      <c r="BR22" s="372"/>
    </row>
    <row r="23" spans="1:70" s="412" customFormat="1" ht="24.95" customHeight="1">
      <c r="A23" s="593" t="str">
        <f>+IF(MARZO!A23=0,"",MARZO!A23)</f>
        <v>1130101-1</v>
      </c>
      <c r="B23" s="629" t="str">
        <f>+CONCATENATE("Vigencia ",INSTRUCCIONES!$F$3)</f>
        <v>Vigencia 2019</v>
      </c>
      <c r="C23" s="655">
        <f>+ENERO!C23</f>
        <v>3087894380</v>
      </c>
      <c r="D23" s="363">
        <f>MARZO!D23+ABRIL!P23</f>
        <v>0</v>
      </c>
      <c r="E23" s="363">
        <f>MARZO!E23+ABRIL!Q23</f>
        <v>0</v>
      </c>
      <c r="F23" s="363">
        <f>SUM(C23:E23)</f>
        <v>3087894380</v>
      </c>
      <c r="G23" s="363">
        <f>MARZO!I23</f>
        <v>962107221</v>
      </c>
      <c r="H23" s="364">
        <v>202740344</v>
      </c>
      <c r="I23" s="363">
        <f>SUM(G23:H23)</f>
        <v>1164847565</v>
      </c>
      <c r="J23" s="363">
        <f>MARZO!L23</f>
        <v>971478</v>
      </c>
      <c r="K23" s="364">
        <v>136546399</v>
      </c>
      <c r="L23" s="363">
        <f>SUM(J23:K23)</f>
        <v>137517877</v>
      </c>
      <c r="M23" s="363">
        <f>F23-I23</f>
        <v>1923046815</v>
      </c>
      <c r="N23" s="143">
        <f>F23-L23</f>
        <v>2950376503</v>
      </c>
      <c r="O23" s="9"/>
      <c r="P23" s="362">
        <v>0</v>
      </c>
      <c r="Q23" s="365">
        <v>0</v>
      </c>
      <c r="R23" s="9"/>
      <c r="S23" s="689" t="str">
        <f>+IF(MARZO!S23=0,"",MARZO!S23)</f>
        <v>1010104-3</v>
      </c>
      <c r="T23" s="665" t="str">
        <f>+IF(MARZO!T23=0,"",MARZO!T23)</f>
        <v>Bonificación  por servicios prestados</v>
      </c>
      <c r="U23" s="27">
        <f>+ENERO!U23</f>
        <v>44330324</v>
      </c>
      <c r="V23" s="15">
        <f>MARZO!V23+ABRIL!AL23</f>
        <v>0</v>
      </c>
      <c r="W23" s="15">
        <f>MARZO!W23+ABRIL!AM23</f>
        <v>0</v>
      </c>
      <c r="X23" s="18">
        <f t="shared" si="17"/>
        <v>44330324</v>
      </c>
      <c r="Y23" s="19">
        <f>MARZO!AA23</f>
        <v>12138479</v>
      </c>
      <c r="Z23" s="364">
        <v>558134</v>
      </c>
      <c r="AA23" s="18">
        <f t="shared" si="18"/>
        <v>12696613</v>
      </c>
      <c r="AB23" s="19">
        <f>MARZO!AD23</f>
        <v>12138479</v>
      </c>
      <c r="AC23" s="364">
        <v>558134</v>
      </c>
      <c r="AD23" s="18">
        <f t="shared" si="19"/>
        <v>12696613</v>
      </c>
      <c r="AE23" s="19">
        <f>MARZO!AG23</f>
        <v>12138479</v>
      </c>
      <c r="AF23" s="364">
        <v>558134</v>
      </c>
      <c r="AG23" s="18">
        <f t="shared" si="20"/>
        <v>12696613</v>
      </c>
      <c r="AH23" s="19">
        <f t="shared" si="21"/>
        <v>31633711</v>
      </c>
      <c r="AI23" s="15">
        <f t="shared" si="22"/>
        <v>31633711</v>
      </c>
      <c r="AJ23" s="16">
        <f t="shared" si="23"/>
        <v>31633711</v>
      </c>
      <c r="AK23" s="9"/>
      <c r="AL23" s="362">
        <v>0</v>
      </c>
      <c r="AM23" s="365">
        <v>0</v>
      </c>
      <c r="AN23" s="9"/>
      <c r="AO23" s="360"/>
      <c r="AP23" s="425" t="s">
        <v>108</v>
      </c>
      <c r="AQ23" s="426">
        <f>X16+X65-AQ22</f>
        <v>1859680691</v>
      </c>
      <c r="AR23" s="426">
        <f>AD16+AD65-AR22</f>
        <v>102645566</v>
      </c>
      <c r="AS23" s="426">
        <f>AG16+AG65-AS22</f>
        <v>102645566</v>
      </c>
      <c r="AT23" s="317"/>
      <c r="AU23" s="332">
        <f t="shared" si="25"/>
        <v>5.519526362603934E-2</v>
      </c>
      <c r="AV23" s="332">
        <f t="shared" si="26"/>
        <v>5.519526362603934E-2</v>
      </c>
      <c r="AW23" s="426">
        <f>(AR23-AD21-AD22-AD23-AD25-AD30-AD33-AD70-AD71-AD72-AD74-AD78-AD81)/$AO$2*12+AX22/12*2.5+AD30+AD33+AD78+AD81</f>
        <v>802033752.25</v>
      </c>
      <c r="AX23" s="426">
        <f>(AS23-AG21-AG22-AG23-AG25-AG30-AG33-AG70-AG71-AG72-AG74-AG78-AG81)/$AO$2*12+AX22/12*2.5+AG30+AG33+AG78+AG81</f>
        <v>802033752.25</v>
      </c>
      <c r="AY23" s="426">
        <f t="shared" si="27"/>
        <v>1057646938.75</v>
      </c>
      <c r="AZ23" s="46">
        <f t="shared" si="28"/>
        <v>1057646938.75</v>
      </c>
      <c r="BA23" s="372"/>
      <c r="BF23" s="372"/>
      <c r="BG23" s="372"/>
      <c r="BH23" s="372"/>
      <c r="BI23" s="372"/>
      <c r="BJ23" s="372"/>
      <c r="BK23" s="372"/>
      <c r="BL23" s="372"/>
      <c r="BM23" s="137" t="s">
        <v>105</v>
      </c>
      <c r="BN23" s="83">
        <f>X177</f>
        <v>965336472</v>
      </c>
      <c r="BO23" s="81">
        <f>AA177</f>
        <v>245492219</v>
      </c>
      <c r="BP23" s="81">
        <f>AD177</f>
        <v>245492219</v>
      </c>
      <c r="BQ23" s="82">
        <f>AF177</f>
        <v>61013032</v>
      </c>
      <c r="BR23" s="9"/>
    </row>
    <row r="24" spans="1:70" s="412" customFormat="1" ht="24.95" customHeight="1">
      <c r="A24" s="593" t="str">
        <f>+IF(MARZO!A24=0,"",MARZO!A24)</f>
        <v>1130101-2</v>
      </c>
      <c r="B24" s="629" t="str">
        <f>+IF(MARZO!B24=0,"",MARZO!B24)</f>
        <v>Vigencia Anterior</v>
      </c>
      <c r="C24" s="655">
        <f>+ENERO!C24</f>
        <v>0</v>
      </c>
      <c r="D24" s="363">
        <f>MARZO!D24+ABRIL!P24</f>
        <v>0</v>
      </c>
      <c r="E24" s="363">
        <f>MARZO!E24+ABRIL!Q24</f>
        <v>419591381</v>
      </c>
      <c r="F24" s="363">
        <f>SUM(C24:E24)</f>
        <v>419591381</v>
      </c>
      <c r="G24" s="363">
        <f>MARZO!I24</f>
        <v>443738583</v>
      </c>
      <c r="H24" s="364">
        <v>28485585</v>
      </c>
      <c r="I24" s="363">
        <f>SUM(G24:H24)</f>
        <v>472224168</v>
      </c>
      <c r="J24" s="363">
        <f>MARZO!L24</f>
        <v>443738583</v>
      </c>
      <c r="K24" s="364">
        <v>28485585</v>
      </c>
      <c r="L24" s="363">
        <f>SUM(J24:K24)</f>
        <v>472224168</v>
      </c>
      <c r="M24" s="363">
        <f>F24-I24</f>
        <v>-52632787</v>
      </c>
      <c r="N24" s="143">
        <f>F24-L24</f>
        <v>-52632787</v>
      </c>
      <c r="O24" s="372"/>
      <c r="P24" s="362">
        <v>0</v>
      </c>
      <c r="Q24" s="365">
        <v>0</v>
      </c>
      <c r="R24" s="9"/>
      <c r="S24" s="689" t="str">
        <f>+IF(MARZO!S24=0,"",MARZO!S24)</f>
        <v>1010104-4</v>
      </c>
      <c r="T24" s="665" t="str">
        <f>+IF(MARZO!T24=0,"",MARZO!T24)</f>
        <v>Prima de Servicios</v>
      </c>
      <c r="U24" s="27">
        <f>+ENERO!U24</f>
        <v>67115850</v>
      </c>
      <c r="V24" s="15">
        <f>MARZO!V24+ABRIL!AL24</f>
        <v>0</v>
      </c>
      <c r="W24" s="15">
        <f>MARZO!W24+ABRIL!AM24</f>
        <v>0</v>
      </c>
      <c r="X24" s="18">
        <f t="shared" si="17"/>
        <v>67115850</v>
      </c>
      <c r="Y24" s="19">
        <f>MARZO!AA24</f>
        <v>507152</v>
      </c>
      <c r="Z24" s="364">
        <v>0</v>
      </c>
      <c r="AA24" s="18">
        <f t="shared" si="18"/>
        <v>507152</v>
      </c>
      <c r="AB24" s="19">
        <f>MARZO!AD24</f>
        <v>507152</v>
      </c>
      <c r="AC24" s="364">
        <v>0</v>
      </c>
      <c r="AD24" s="18">
        <f t="shared" si="19"/>
        <v>507152</v>
      </c>
      <c r="AE24" s="19">
        <f>MARZO!AG24</f>
        <v>507152</v>
      </c>
      <c r="AF24" s="364">
        <v>0</v>
      </c>
      <c r="AG24" s="18">
        <f t="shared" si="20"/>
        <v>507152</v>
      </c>
      <c r="AH24" s="19">
        <f t="shared" si="21"/>
        <v>66608698</v>
      </c>
      <c r="AI24" s="15">
        <f t="shared" si="22"/>
        <v>66608698</v>
      </c>
      <c r="AJ24" s="16">
        <f t="shared" si="23"/>
        <v>66608698</v>
      </c>
      <c r="AK24" s="9"/>
      <c r="AL24" s="362">
        <v>0</v>
      </c>
      <c r="AM24" s="365">
        <v>0</v>
      </c>
      <c r="AN24" s="9"/>
      <c r="AO24" s="360"/>
      <c r="AP24" s="405" t="s">
        <v>113</v>
      </c>
      <c r="AQ24" s="421">
        <f>X35+X83</f>
        <v>27406354338</v>
      </c>
      <c r="AR24" s="421">
        <f>AD35+AD83</f>
        <v>11595400157</v>
      </c>
      <c r="AS24" s="421">
        <f>AG35+AG83</f>
        <v>6250511133</v>
      </c>
      <c r="AT24" s="421"/>
      <c r="AU24" s="363">
        <f t="shared" si="25"/>
        <v>0.42309166750144933</v>
      </c>
      <c r="AV24" s="363">
        <f t="shared" si="26"/>
        <v>0.2280679529977987</v>
      </c>
      <c r="AW24" s="363">
        <f>(AR24-AD41-AD88)/$AO$2*12+AD41+AD88</f>
        <v>25615363243</v>
      </c>
      <c r="AX24" s="363">
        <f>(AS24-AG41-AG88)/$AO$2*12+AG41+AG88</f>
        <v>9580696171</v>
      </c>
      <c r="AY24" s="363">
        <f t="shared" si="27"/>
        <v>1790991095</v>
      </c>
      <c r="AZ24" s="143">
        <f t="shared" si="28"/>
        <v>17825658167</v>
      </c>
      <c r="BA24" s="9"/>
      <c r="BB24" s="427"/>
      <c r="BC24" s="372"/>
      <c r="BD24" s="372"/>
      <c r="BE24" s="372"/>
      <c r="BF24" s="372"/>
      <c r="BG24" s="372"/>
      <c r="BH24" s="372"/>
      <c r="BI24" s="372"/>
      <c r="BJ24" s="372"/>
      <c r="BK24" s="372"/>
      <c r="BL24" s="372"/>
      <c r="BM24" s="137" t="s">
        <v>110</v>
      </c>
      <c r="BN24" s="83">
        <f>X170-X177-X174-X183-X191</f>
        <v>295017672</v>
      </c>
      <c r="BO24" s="81">
        <f>AA170-AA177-AA174-AA183-AA191</f>
        <v>110693064</v>
      </c>
      <c r="BP24" s="81">
        <f>AD170-AD177-AD174-AD183-AD191</f>
        <v>110693064</v>
      </c>
      <c r="BQ24" s="82">
        <f>AF170-AF177-AF174-AF183-AF191</f>
        <v>6302102</v>
      </c>
      <c r="BR24" s="372"/>
    </row>
    <row r="25" spans="1:70" s="372" customFormat="1" ht="24.95" customHeight="1">
      <c r="A25" s="714">
        <f>+IF(MARZO!A25=0,"",MARZO!A25)</f>
        <v>1130102</v>
      </c>
      <c r="B25" s="628" t="str">
        <f>+IF(MARZO!B25=0,"",MARZO!B25)</f>
        <v>ARS - REGIMEN SUBSIDIADO</v>
      </c>
      <c r="C25" s="43">
        <f t="shared" ref="C25:N25" si="29">SUM(C26:C27)</f>
        <v>32167564656</v>
      </c>
      <c r="D25" s="44">
        <f t="shared" si="29"/>
        <v>0</v>
      </c>
      <c r="E25" s="44">
        <f t="shared" si="29"/>
        <v>7190990926</v>
      </c>
      <c r="F25" s="44">
        <f t="shared" si="29"/>
        <v>39358555582</v>
      </c>
      <c r="G25" s="44">
        <f t="shared" si="29"/>
        <v>17231294813</v>
      </c>
      <c r="H25" s="44">
        <f t="shared" si="29"/>
        <v>2119096720</v>
      </c>
      <c r="I25" s="44">
        <f t="shared" si="29"/>
        <v>19350391533</v>
      </c>
      <c r="J25" s="44">
        <f t="shared" si="29"/>
        <v>7721537535</v>
      </c>
      <c r="K25" s="44">
        <f t="shared" si="29"/>
        <v>3019645149</v>
      </c>
      <c r="L25" s="44">
        <f t="shared" si="29"/>
        <v>10741182684</v>
      </c>
      <c r="M25" s="44">
        <f t="shared" si="29"/>
        <v>20008164049</v>
      </c>
      <c r="N25" s="45">
        <f t="shared" si="29"/>
        <v>28617372898</v>
      </c>
      <c r="P25" s="43">
        <f>SUM(P26:P27)</f>
        <v>0</v>
      </c>
      <c r="Q25" s="45">
        <f>SUM(Q26:Q27)</f>
        <v>0</v>
      </c>
      <c r="R25" s="9"/>
      <c r="S25" s="689" t="str">
        <f>+IF(MARZO!S25=0,"",MARZO!S25)</f>
        <v>1010104-5</v>
      </c>
      <c r="T25" s="665" t="str">
        <f>+IF(MARZO!T25=0,"",MARZO!T25)</f>
        <v>Bonificación Convencional</v>
      </c>
      <c r="U25" s="27">
        <f>+ENERO!U25</f>
        <v>0</v>
      </c>
      <c r="V25" s="15">
        <f>MARZO!V25+ABRIL!AL25</f>
        <v>0</v>
      </c>
      <c r="W25" s="15">
        <f>MARZO!W25+ABRIL!AM25</f>
        <v>0</v>
      </c>
      <c r="X25" s="18">
        <f t="shared" si="17"/>
        <v>0</v>
      </c>
      <c r="Y25" s="19">
        <f>MARZO!AA25</f>
        <v>0</v>
      </c>
      <c r="Z25" s="364">
        <v>0</v>
      </c>
      <c r="AA25" s="18">
        <f t="shared" si="18"/>
        <v>0</v>
      </c>
      <c r="AB25" s="19">
        <f>MARZO!AD25</f>
        <v>0</v>
      </c>
      <c r="AC25" s="364">
        <v>0</v>
      </c>
      <c r="AD25" s="18">
        <f t="shared" si="19"/>
        <v>0</v>
      </c>
      <c r="AE25" s="19">
        <f>MARZO!AG25</f>
        <v>0</v>
      </c>
      <c r="AF25" s="364">
        <v>0</v>
      </c>
      <c r="AG25" s="18">
        <f t="shared" si="20"/>
        <v>0</v>
      </c>
      <c r="AH25" s="19">
        <f t="shared" si="21"/>
        <v>0</v>
      </c>
      <c r="AI25" s="15">
        <f t="shared" si="22"/>
        <v>0</v>
      </c>
      <c r="AJ25" s="16">
        <f t="shared" si="23"/>
        <v>0</v>
      </c>
      <c r="AK25" s="9"/>
      <c r="AL25" s="362">
        <v>0</v>
      </c>
      <c r="AM25" s="365">
        <v>0</v>
      </c>
      <c r="AN25" s="9"/>
      <c r="AO25" s="21"/>
      <c r="AP25" s="428" t="s">
        <v>116</v>
      </c>
      <c r="AQ25" s="363">
        <f>X43+X57+X90+X104</f>
        <v>4207412079</v>
      </c>
      <c r="AR25" s="363">
        <f>AD43+AD57+AD90+AD104</f>
        <v>607153118</v>
      </c>
      <c r="AS25" s="363">
        <f>AG43+AG57+AG90+AG104</f>
        <v>581851328</v>
      </c>
      <c r="AT25" s="421"/>
      <c r="AU25" s="363">
        <f t="shared" si="25"/>
        <v>0.14430559845336224</v>
      </c>
      <c r="AV25" s="363">
        <f t="shared" si="26"/>
        <v>0.13829197546494945</v>
      </c>
      <c r="AW25" s="363">
        <f>(AR25-AD55-AD61-AD102-AD108)/$AO$2*12+AD55+AD61+AD102+AD108</f>
        <v>1235095206</v>
      </c>
      <c r="AX25" s="363">
        <f>(AS25-AG55-AG61-AG102-AG108)/$AO$2*12+AG55+AG61+AG102+AG108</f>
        <v>1159189836</v>
      </c>
      <c r="AY25" s="363">
        <f t="shared" si="27"/>
        <v>2972316873</v>
      </c>
      <c r="AZ25" s="143">
        <f t="shared" si="28"/>
        <v>3048222243</v>
      </c>
      <c r="BM25" s="140" t="s">
        <v>430</v>
      </c>
      <c r="BN25" s="106">
        <f>+SUM(BN26:BN28)</f>
        <v>11252444359</v>
      </c>
      <c r="BO25" s="107">
        <f>+SUM(BO26:BO28)</f>
        <v>10043703128</v>
      </c>
      <c r="BP25" s="107">
        <f>+SUM(BP26:BP28)</f>
        <v>6763455160</v>
      </c>
      <c r="BQ25" s="108">
        <f>+SUM(BQ26:BQ28)</f>
        <v>1063327651</v>
      </c>
    </row>
    <row r="26" spans="1:70" s="9" customFormat="1" ht="24.95" customHeight="1">
      <c r="A26" s="593" t="str">
        <f>+IF(MARZO!A26=0,"",MARZO!A26)</f>
        <v>1130102-1</v>
      </c>
      <c r="B26" s="629" t="str">
        <f>+CONCATENATE("Vigencia ",INSTRUCCIONES!$F$3)</f>
        <v>Vigencia 2019</v>
      </c>
      <c r="C26" s="655">
        <f>+ENERO!C26</f>
        <v>32167564656</v>
      </c>
      <c r="D26" s="363">
        <f>MARZO!D26+ABRIL!P26</f>
        <v>0</v>
      </c>
      <c r="E26" s="363">
        <f>MARZO!E26+ABRIL!Q26</f>
        <v>0</v>
      </c>
      <c r="F26" s="363">
        <f>SUM(C26:E26)</f>
        <v>32167564656</v>
      </c>
      <c r="G26" s="363">
        <f>MARZO!I26</f>
        <v>9639990031</v>
      </c>
      <c r="H26" s="364">
        <v>2116131489</v>
      </c>
      <c r="I26" s="363">
        <f>SUM(G26:H26)</f>
        <v>11756121520</v>
      </c>
      <c r="J26" s="363">
        <f>MARZO!L26</f>
        <v>130232753</v>
      </c>
      <c r="K26" s="364">
        <v>3016679918</v>
      </c>
      <c r="L26" s="363">
        <f>SUM(J26:K26)</f>
        <v>3146912671</v>
      </c>
      <c r="M26" s="363">
        <f>F26-I26</f>
        <v>20411443136</v>
      </c>
      <c r="N26" s="143">
        <f>F26-L26</f>
        <v>29020651985</v>
      </c>
      <c r="P26" s="362">
        <v>0</v>
      </c>
      <c r="Q26" s="365">
        <v>0</v>
      </c>
      <c r="S26" s="689" t="str">
        <f>+IF(MARZO!S26=0,"",MARZO!S26)</f>
        <v>1010104-6</v>
      </c>
      <c r="T26" s="665" t="str">
        <f>+IF(MARZO!T26=0,"",MARZO!T26)</f>
        <v>Auxilio de Transporte</v>
      </c>
      <c r="U26" s="27">
        <f>+ENERO!U26</f>
        <v>7017105</v>
      </c>
      <c r="V26" s="15">
        <f>MARZO!V26+ABRIL!AL26</f>
        <v>0</v>
      </c>
      <c r="W26" s="15">
        <f>MARZO!W26+ABRIL!AM26</f>
        <v>0</v>
      </c>
      <c r="X26" s="18">
        <f t="shared" si="17"/>
        <v>7017105</v>
      </c>
      <c r="Y26" s="19">
        <f>MARZO!AA26</f>
        <v>291096</v>
      </c>
      <c r="Z26" s="364">
        <v>22641</v>
      </c>
      <c r="AA26" s="18">
        <f t="shared" si="18"/>
        <v>313737</v>
      </c>
      <c r="AB26" s="19">
        <f>MARZO!AD26</f>
        <v>291096</v>
      </c>
      <c r="AC26" s="364">
        <v>22641</v>
      </c>
      <c r="AD26" s="18">
        <f t="shared" si="19"/>
        <v>313737</v>
      </c>
      <c r="AE26" s="19">
        <f>MARZO!AG26</f>
        <v>291096</v>
      </c>
      <c r="AF26" s="364">
        <v>22641</v>
      </c>
      <c r="AG26" s="18">
        <f t="shared" si="20"/>
        <v>313737</v>
      </c>
      <c r="AH26" s="19">
        <f t="shared" si="21"/>
        <v>6703368</v>
      </c>
      <c r="AI26" s="15">
        <f t="shared" si="22"/>
        <v>6703368</v>
      </c>
      <c r="AJ26" s="16">
        <f t="shared" si="23"/>
        <v>6703368</v>
      </c>
      <c r="AL26" s="362">
        <v>0</v>
      </c>
      <c r="AM26" s="365">
        <v>0</v>
      </c>
      <c r="AO26" s="21"/>
      <c r="AP26" s="429" t="s">
        <v>120</v>
      </c>
      <c r="AQ26" s="317">
        <f>X110</f>
        <v>13605719527</v>
      </c>
      <c r="AR26" s="317">
        <f>AD110</f>
        <v>4558360553</v>
      </c>
      <c r="AS26" s="317">
        <f>AG110</f>
        <v>2988407196</v>
      </c>
      <c r="AT26" s="361">
        <f>AO2/12</f>
        <v>0.33333333333333331</v>
      </c>
      <c r="AU26" s="332">
        <f t="shared" si="25"/>
        <v>0.33503267092593803</v>
      </c>
      <c r="AV26" s="332">
        <f t="shared" si="26"/>
        <v>0.21964345142273636</v>
      </c>
      <c r="AW26" s="426">
        <f>(AR26-AD121-AD139-AD143-AD153-AD168)/$AO$2*12+AD121+AD139+AD143+AD153+AD168</f>
        <v>10683130251</v>
      </c>
      <c r="AX26" s="426">
        <f>(AS26-AG121-AG139-AG143-AG153-AG168)/$AO$2*12+AG121+AG139+AG143+AG153+AG168</f>
        <v>5973270180</v>
      </c>
      <c r="AY26" s="426">
        <f t="shared" si="27"/>
        <v>2922589276</v>
      </c>
      <c r="AZ26" s="46">
        <f t="shared" si="28"/>
        <v>7632449347</v>
      </c>
      <c r="BA26" s="372"/>
      <c r="BB26" s="372"/>
      <c r="BC26" s="372"/>
      <c r="BD26" s="372"/>
      <c r="BE26" s="372"/>
      <c r="BF26" s="372"/>
      <c r="BG26" s="372"/>
      <c r="BH26" s="372"/>
      <c r="BI26" s="372"/>
      <c r="BJ26" s="372"/>
      <c r="BK26" s="372"/>
      <c r="BM26" s="109" t="s">
        <v>431</v>
      </c>
      <c r="BN26" s="86">
        <f>+X198+X212</f>
        <v>4590000000</v>
      </c>
      <c r="BO26" s="84">
        <f>+AA198+AA212</f>
        <v>4201885283</v>
      </c>
      <c r="BP26" s="84">
        <f>+AD198+AD212</f>
        <v>2953828344</v>
      </c>
      <c r="BQ26" s="85">
        <f>+AF198+AF212</f>
        <v>389653709</v>
      </c>
      <c r="BR26" s="372"/>
    </row>
    <row r="27" spans="1:70" s="412" customFormat="1" ht="24.95" customHeight="1">
      <c r="A27" s="593" t="str">
        <f>+IF(MARZO!A27=0,"",MARZO!A27)</f>
        <v>1130102-2</v>
      </c>
      <c r="B27" s="629" t="str">
        <f>+IF(MARZO!B27=0,"",MARZO!B27)</f>
        <v>Vigencia Anterior</v>
      </c>
      <c r="C27" s="655">
        <f>+ENERO!C27</f>
        <v>0</v>
      </c>
      <c r="D27" s="363">
        <f>MARZO!D27+ABRIL!P27</f>
        <v>0</v>
      </c>
      <c r="E27" s="363">
        <f>MARZO!E27+ABRIL!Q27</f>
        <v>7190990926</v>
      </c>
      <c r="F27" s="363">
        <f>SUM(C27:E27)</f>
        <v>7190990926</v>
      </c>
      <c r="G27" s="363">
        <f>MARZO!I27</f>
        <v>7591304782</v>
      </c>
      <c r="H27" s="364">
        <v>2965231</v>
      </c>
      <c r="I27" s="363">
        <f>SUM(G27:H27)</f>
        <v>7594270013</v>
      </c>
      <c r="J27" s="363">
        <f>MARZO!L27</f>
        <v>7591304782</v>
      </c>
      <c r="K27" s="364">
        <v>2965231</v>
      </c>
      <c r="L27" s="363">
        <f>SUM(J27:K27)</f>
        <v>7594270013</v>
      </c>
      <c r="M27" s="363">
        <f>F27-I27</f>
        <v>-403279087</v>
      </c>
      <c r="N27" s="143">
        <f>F27-L27</f>
        <v>-403279087</v>
      </c>
      <c r="O27" s="372"/>
      <c r="P27" s="362">
        <v>0</v>
      </c>
      <c r="Q27" s="365">
        <v>0</v>
      </c>
      <c r="R27" s="9"/>
      <c r="S27" s="689" t="str">
        <f>+IF(MARZO!S27=0,"",MARZO!S27)</f>
        <v>1010104-7</v>
      </c>
      <c r="T27" s="665" t="str">
        <f>+IF(MARZO!T27=0,"",MARZO!T27)</f>
        <v>Auxilio de Alimentación</v>
      </c>
      <c r="U27" s="27">
        <f>+ENERO!U27</f>
        <v>92622</v>
      </c>
      <c r="V27" s="15">
        <f>MARZO!V27+ABRIL!AL27</f>
        <v>0</v>
      </c>
      <c r="W27" s="15">
        <f>MARZO!W27+ABRIL!AM27</f>
        <v>0</v>
      </c>
      <c r="X27" s="18">
        <f t="shared" si="17"/>
        <v>92622</v>
      </c>
      <c r="Y27" s="19">
        <f>MARZO!AA27</f>
        <v>0</v>
      </c>
      <c r="Z27" s="364">
        <v>0</v>
      </c>
      <c r="AA27" s="18">
        <f t="shared" si="18"/>
        <v>0</v>
      </c>
      <c r="AB27" s="19">
        <f>MARZO!AD27</f>
        <v>0</v>
      </c>
      <c r="AC27" s="364">
        <v>0</v>
      </c>
      <c r="AD27" s="18">
        <f t="shared" si="19"/>
        <v>0</v>
      </c>
      <c r="AE27" s="19">
        <f>MARZO!AG27</f>
        <v>0</v>
      </c>
      <c r="AF27" s="364">
        <v>0</v>
      </c>
      <c r="AG27" s="18">
        <f t="shared" si="20"/>
        <v>0</v>
      </c>
      <c r="AH27" s="19">
        <f t="shared" si="21"/>
        <v>92622</v>
      </c>
      <c r="AI27" s="15">
        <f t="shared" si="22"/>
        <v>92622</v>
      </c>
      <c r="AJ27" s="16">
        <f t="shared" si="23"/>
        <v>92622</v>
      </c>
      <c r="AK27" s="9"/>
      <c r="AL27" s="362">
        <v>0</v>
      </c>
      <c r="AM27" s="365">
        <v>0</v>
      </c>
      <c r="AN27" s="9"/>
      <c r="AO27" s="339"/>
      <c r="AP27" s="428" t="s">
        <v>123</v>
      </c>
      <c r="AQ27" s="363">
        <f>X170</f>
        <v>1260354144</v>
      </c>
      <c r="AR27" s="363">
        <f>AD170</f>
        <v>356185283</v>
      </c>
      <c r="AS27" s="363">
        <f>AG170</f>
        <v>356185283</v>
      </c>
      <c r="AT27" s="421"/>
      <c r="AU27" s="363">
        <f t="shared" si="25"/>
        <v>0.2826073010476014</v>
      </c>
      <c r="AV27" s="363">
        <f t="shared" si="26"/>
        <v>0.2826073010476014</v>
      </c>
      <c r="AW27" s="363">
        <f>(AR27-AD174-AD183-AD191)/$AO$2*12+AD174+AD183+AD191</f>
        <v>1068555849</v>
      </c>
      <c r="AX27" s="363">
        <f>(AS27-AG174-AG183-AG191)/$AO$2*12+AG174+AG183+AG191</f>
        <v>1068555849</v>
      </c>
      <c r="AY27" s="363">
        <f t="shared" si="27"/>
        <v>191798295</v>
      </c>
      <c r="AZ27" s="143">
        <f t="shared" si="28"/>
        <v>191798295</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+IF(MARZO!A28=0,"",MARZO!A28)</f>
        <v>1130103</v>
      </c>
      <c r="B28" s="605" t="str">
        <f>+IF(MARZO!B28=0,"",MARZO!B28)</f>
        <v>SUBSIDIO A LA OFERTA- ATENCION PERSONAS POBRES NO CUBIERTOS CON SUBSIDIO A LA DEMANDA</v>
      </c>
      <c r="C28" s="43">
        <f>C29+C32+C35+C38+C39+C40</f>
        <v>8952361140</v>
      </c>
      <c r="D28" s="44">
        <f>+D29+D32+D35+D38+D39+D40</f>
        <v>0</v>
      </c>
      <c r="E28" s="44">
        <f>+E29+E32+E35+E38+E39+E40</f>
        <v>1623319475</v>
      </c>
      <c r="F28" s="44">
        <f>+F29+F32+F35+F38+F39+F40</f>
        <v>10575680615</v>
      </c>
      <c r="G28" s="44">
        <f t="shared" ref="G28:N28" si="30">G29+G32+G35+G38+G39+G40</f>
        <v>4406889269</v>
      </c>
      <c r="H28" s="44">
        <f t="shared" si="30"/>
        <v>1022926328</v>
      </c>
      <c r="I28" s="44">
        <f t="shared" si="30"/>
        <v>5429815597</v>
      </c>
      <c r="J28" s="44">
        <f t="shared" si="30"/>
        <v>2251852790</v>
      </c>
      <c r="K28" s="44">
        <f t="shared" si="30"/>
        <v>111173433</v>
      </c>
      <c r="L28" s="44">
        <f t="shared" si="30"/>
        <v>2363026223</v>
      </c>
      <c r="M28" s="44">
        <f t="shared" si="30"/>
        <v>5145865018</v>
      </c>
      <c r="N28" s="45">
        <f t="shared" si="30"/>
        <v>8212654392</v>
      </c>
      <c r="O28" s="372"/>
      <c r="P28" s="43">
        <f>P29+P32+P35+P38+P39+P940</f>
        <v>0</v>
      </c>
      <c r="Q28" s="45">
        <f>Q29+Q32+Q35+Q38+Q39+Q40</f>
        <v>0</v>
      </c>
      <c r="R28" s="9"/>
      <c r="S28" s="689" t="str">
        <f>+IF(MARZO!S28=0,"",MARZO!S28)</f>
        <v>1010104-8</v>
      </c>
      <c r="T28" s="665" t="str">
        <f>+IF(MARZO!T28=0,"",MARZO!T28)</f>
        <v>Indemnizaciones por Vacaciones o Supresión de Cargos por Reestructuración</v>
      </c>
      <c r="U28" s="27">
        <f>+ENERO!U28</f>
        <v>0</v>
      </c>
      <c r="V28" s="15">
        <f>MARZO!V28+ABRIL!AL28</f>
        <v>0</v>
      </c>
      <c r="W28" s="15">
        <f>MARZO!W28+ABRIL!AM28</f>
        <v>0</v>
      </c>
      <c r="X28" s="18">
        <f t="shared" si="17"/>
        <v>0</v>
      </c>
      <c r="Y28" s="19">
        <f>MARZO!AA28</f>
        <v>0</v>
      </c>
      <c r="Z28" s="364">
        <v>0</v>
      </c>
      <c r="AA28" s="18">
        <f t="shared" si="18"/>
        <v>0</v>
      </c>
      <c r="AB28" s="19">
        <f>MARZO!AD28</f>
        <v>0</v>
      </c>
      <c r="AC28" s="364">
        <v>0</v>
      </c>
      <c r="AD28" s="18">
        <f t="shared" si="19"/>
        <v>0</v>
      </c>
      <c r="AE28" s="19">
        <f>MARZO!AG28</f>
        <v>0</v>
      </c>
      <c r="AF28" s="364">
        <v>0</v>
      </c>
      <c r="AG28" s="18">
        <f t="shared" si="20"/>
        <v>0</v>
      </c>
      <c r="AH28" s="19">
        <f t="shared" si="21"/>
        <v>0</v>
      </c>
      <c r="AI28" s="15">
        <f t="shared" si="22"/>
        <v>0</v>
      </c>
      <c r="AJ28" s="16">
        <f t="shared" si="23"/>
        <v>0</v>
      </c>
      <c r="AK28" s="9"/>
      <c r="AL28" s="362">
        <v>0</v>
      </c>
      <c r="AM28" s="365">
        <v>0</v>
      </c>
      <c r="AN28" s="9"/>
      <c r="AO28" s="339"/>
      <c r="AP28" s="777" t="s">
        <v>566</v>
      </c>
      <c r="AQ28" s="363">
        <f>X195</f>
        <v>16598949216</v>
      </c>
      <c r="AR28" s="363">
        <f>AD195</f>
        <v>11579544370</v>
      </c>
      <c r="AS28" s="363">
        <f>AG195</f>
        <v>6875969515</v>
      </c>
      <c r="AT28" s="421"/>
      <c r="AU28" s="363">
        <f t="shared" si="25"/>
        <v>0.69760707255121224</v>
      </c>
      <c r="AV28" s="363">
        <f t="shared" si="26"/>
        <v>0.41424125259520284</v>
      </c>
      <c r="AW28" s="363">
        <f>(AR28-AD207)/$AO$2*12+AD207</f>
        <v>25106454690</v>
      </c>
      <c r="AX28" s="363">
        <f>(AS28-AG207)/$AO$2*12+AG207</f>
        <v>10995730125</v>
      </c>
      <c r="AY28" s="363">
        <f t="shared" si="27"/>
        <v>-8507505474</v>
      </c>
      <c r="AZ28" s="143">
        <f t="shared" si="28"/>
        <v>5603219091</v>
      </c>
      <c r="BA28" s="372"/>
      <c r="BB28" s="372"/>
      <c r="BC28" s="372"/>
      <c r="BD28" s="372"/>
      <c r="BE28" s="372"/>
      <c r="BF28" s="372"/>
      <c r="BG28" s="372"/>
      <c r="BH28" s="372"/>
      <c r="BI28" s="372"/>
      <c r="BJ28" s="372"/>
      <c r="BK28" s="372"/>
      <c r="BL28" s="372"/>
      <c r="BM28" s="71" t="s">
        <v>433</v>
      </c>
      <c r="BN28" s="83">
        <f>+X196-X198-X207</f>
        <v>6662444359</v>
      </c>
      <c r="BO28" s="81">
        <f>+AA196-AA198-AA207</f>
        <v>5841817845</v>
      </c>
      <c r="BP28" s="81">
        <f>+AD196-AD198-AD207</f>
        <v>3809626816</v>
      </c>
      <c r="BQ28" s="82">
        <f>+AF196-AF198-AF207</f>
        <v>673673942</v>
      </c>
      <c r="BR28" s="9"/>
    </row>
    <row r="29" spans="1:70" s="9" customFormat="1" ht="24.95" customHeight="1">
      <c r="A29" s="593" t="str">
        <f>+IF(MARZO!A29=0,"",MARZO!A29)</f>
        <v>1130103-1</v>
      </c>
      <c r="B29" s="630" t="str">
        <f>+IF(MARZO!B29=0,"",MARZO!B29)</f>
        <v>Prestación de Servicios de salud  1er Nivel</v>
      </c>
      <c r="C29" s="19">
        <f t="shared" ref="C29:N29" si="31">SUM(C30:C31)</f>
        <v>0</v>
      </c>
      <c r="D29" s="15">
        <f t="shared" si="31"/>
        <v>0</v>
      </c>
      <c r="E29" s="15">
        <f t="shared" si="31"/>
        <v>0</v>
      </c>
      <c r="F29" s="15">
        <f t="shared" si="31"/>
        <v>0</v>
      </c>
      <c r="G29" s="15">
        <f t="shared" si="31"/>
        <v>0</v>
      </c>
      <c r="H29" s="15">
        <f t="shared" si="31"/>
        <v>0</v>
      </c>
      <c r="I29" s="15">
        <f t="shared" si="31"/>
        <v>0</v>
      </c>
      <c r="J29" s="15">
        <f t="shared" si="31"/>
        <v>0</v>
      </c>
      <c r="K29" s="15">
        <f t="shared" si="31"/>
        <v>0</v>
      </c>
      <c r="L29" s="15">
        <f t="shared" si="31"/>
        <v>0</v>
      </c>
      <c r="M29" s="15">
        <f t="shared" si="31"/>
        <v>0</v>
      </c>
      <c r="N29" s="16">
        <f t="shared" si="31"/>
        <v>0</v>
      </c>
      <c r="O29" s="372"/>
      <c r="P29" s="144">
        <f>SUM(P30:P31)</f>
        <v>0</v>
      </c>
      <c r="Q29" s="145">
        <f>SUM(Q30:Q31)</f>
        <v>0</v>
      </c>
      <c r="S29" s="689" t="str">
        <f>+IF(MARZO!S29=0,"",MARZO!S29)</f>
        <v>1010104-9</v>
      </c>
      <c r="T29" s="665" t="str">
        <f>+IF(MARZO!T29=0,"",MARZO!T29)</f>
        <v>Bonificación Especial por Recreación</v>
      </c>
      <c r="U29" s="27">
        <f>+ENERO!U29</f>
        <v>8443869</v>
      </c>
      <c r="V29" s="15">
        <f>MARZO!V29+ABRIL!AL29</f>
        <v>0</v>
      </c>
      <c r="W29" s="15">
        <f>MARZO!W29+ABRIL!AM29</f>
        <v>0</v>
      </c>
      <c r="X29" s="18">
        <f t="shared" si="17"/>
        <v>8443869</v>
      </c>
      <c r="Y29" s="19">
        <f>MARZO!AA29</f>
        <v>634450</v>
      </c>
      <c r="Z29" s="364">
        <v>291708</v>
      </c>
      <c r="AA29" s="18">
        <f t="shared" si="18"/>
        <v>926158</v>
      </c>
      <c r="AB29" s="19">
        <f>MARZO!AD29</f>
        <v>634450</v>
      </c>
      <c r="AC29" s="364">
        <v>291708</v>
      </c>
      <c r="AD29" s="18">
        <f t="shared" si="19"/>
        <v>926158</v>
      </c>
      <c r="AE29" s="19">
        <f>MARZO!AG29</f>
        <v>634450</v>
      </c>
      <c r="AF29" s="364">
        <v>291708</v>
      </c>
      <c r="AG29" s="18">
        <f t="shared" si="20"/>
        <v>926158</v>
      </c>
      <c r="AH29" s="19">
        <f t="shared" si="21"/>
        <v>7517711</v>
      </c>
      <c r="AI29" s="15">
        <f t="shared" si="22"/>
        <v>7517711</v>
      </c>
      <c r="AJ29" s="16">
        <f t="shared" si="23"/>
        <v>7517711</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18829618396</v>
      </c>
      <c r="BO29" s="107">
        <f>AA232-AA256-AA241</f>
        <v>10372831356</v>
      </c>
      <c r="BP29" s="107">
        <f>AD232-AD256-AD241</f>
        <v>4221962794</v>
      </c>
      <c r="BQ29" s="108">
        <f>AF232-AF256-AF241</f>
        <v>1541904622</v>
      </c>
      <c r="BR29" s="372"/>
    </row>
    <row r="30" spans="1:70" s="412" customFormat="1" ht="24.95" customHeight="1">
      <c r="A30" s="593" t="str">
        <f>+IF(MARZO!A30=0,"",MARZO!A30)</f>
        <v>1130103-1-1</v>
      </c>
      <c r="B30" s="629" t="str">
        <f>+CONCATENATE("Vigencia ",INSTRUCCIONES!$F$3)</f>
        <v>Vigencia 2019</v>
      </c>
      <c r="C30" s="655">
        <f>+ENERO!C30</f>
        <v>0</v>
      </c>
      <c r="D30" s="363">
        <f>MARZO!D30+ABRIL!P30</f>
        <v>0</v>
      </c>
      <c r="E30" s="363">
        <f>MARZO!E30+ABRIL!Q30</f>
        <v>0</v>
      </c>
      <c r="F30" s="363">
        <f>SUM(C30:E30)</f>
        <v>0</v>
      </c>
      <c r="G30" s="363">
        <f>MARZO!I30</f>
        <v>0</v>
      </c>
      <c r="H30" s="364">
        <v>0</v>
      </c>
      <c r="I30" s="363">
        <f>SUM(G30:H30)</f>
        <v>0</v>
      </c>
      <c r="J30" s="363">
        <f>MARZO!L30</f>
        <v>0</v>
      </c>
      <c r="K30" s="364">
        <v>0</v>
      </c>
      <c r="L30" s="363">
        <f>SUM(J30:K30)</f>
        <v>0</v>
      </c>
      <c r="M30" s="363">
        <f>F30-I30</f>
        <v>0</v>
      </c>
      <c r="N30" s="143">
        <f>F30-L30</f>
        <v>0</v>
      </c>
      <c r="O30" s="9"/>
      <c r="P30" s="362">
        <v>0</v>
      </c>
      <c r="Q30" s="365">
        <v>0</v>
      </c>
      <c r="R30" s="9"/>
      <c r="S30" s="689" t="str">
        <f>+IF(MARZO!S30=0,"",MARZO!S30)</f>
        <v>1010104-10</v>
      </c>
      <c r="T30" s="665" t="str">
        <f>+IF(MARZO!T30=0,"",MARZO!T30)</f>
        <v>Gastos de Representación</v>
      </c>
      <c r="U30" s="27">
        <f>+ENERO!U30</f>
        <v>0</v>
      </c>
      <c r="V30" s="15">
        <f>MARZO!V30+ABRIL!AL30</f>
        <v>0</v>
      </c>
      <c r="W30" s="15">
        <f>MARZO!W30+ABRIL!AM30</f>
        <v>0</v>
      </c>
      <c r="X30" s="18">
        <f t="shared" si="17"/>
        <v>0</v>
      </c>
      <c r="Y30" s="19">
        <f>MARZO!AA30</f>
        <v>0</v>
      </c>
      <c r="Z30" s="364">
        <v>0</v>
      </c>
      <c r="AA30" s="18">
        <f t="shared" si="18"/>
        <v>0</v>
      </c>
      <c r="AB30" s="19">
        <f>MARZO!AD30</f>
        <v>0</v>
      </c>
      <c r="AC30" s="364">
        <v>0</v>
      </c>
      <c r="AD30" s="18">
        <f t="shared" si="19"/>
        <v>0</v>
      </c>
      <c r="AE30" s="19">
        <f>MARZO!AG30</f>
        <v>0</v>
      </c>
      <c r="AF30" s="364">
        <v>0</v>
      </c>
      <c r="AG30" s="18">
        <f t="shared" si="20"/>
        <v>0</v>
      </c>
      <c r="AH30" s="19">
        <f t="shared" si="21"/>
        <v>0</v>
      </c>
      <c r="AI30" s="15">
        <f t="shared" si="22"/>
        <v>0</v>
      </c>
      <c r="AJ30" s="16">
        <f t="shared" si="23"/>
        <v>0</v>
      </c>
      <c r="AK30" s="9"/>
      <c r="AL30" s="362">
        <v>0</v>
      </c>
      <c r="AM30" s="365">
        <v>0</v>
      </c>
      <c r="AN30" s="9"/>
      <c r="AO30" s="360" t="s">
        <v>51</v>
      </c>
      <c r="AP30" s="428" t="s">
        <v>130</v>
      </c>
      <c r="AQ30" s="363">
        <f>X220+X232</f>
        <v>24627598343</v>
      </c>
      <c r="AR30" s="363">
        <f>AD220+AD232</f>
        <v>4964714148</v>
      </c>
      <c r="AS30" s="363">
        <f>AG220+AG232</f>
        <v>4090606703</v>
      </c>
      <c r="AT30" s="421"/>
      <c r="AU30" s="363">
        <f t="shared" si="25"/>
        <v>0.2015914860578007</v>
      </c>
      <c r="AV30" s="363">
        <f t="shared" si="26"/>
        <v>0.16609848211864675</v>
      </c>
      <c r="AW30" s="363">
        <f>(AR30-AD225-AD230-AD241-AD256)/$AO$2*12+AD225+AD230+AD241+AD256</f>
        <v>13616222502</v>
      </c>
      <c r="AX30" s="363">
        <f>(AS30-AG225-AG230-AG241-AG256)/$AO$2*12+AG225+AG230+AG241+AG256</f>
        <v>10993900167</v>
      </c>
      <c r="AY30" s="363">
        <f t="shared" si="27"/>
        <v>11011375841</v>
      </c>
      <c r="AZ30" s="143">
        <f t="shared" si="28"/>
        <v>13633698176</v>
      </c>
      <c r="BA30" s="372"/>
      <c r="BG30" s="372"/>
      <c r="BH30" s="372"/>
      <c r="BI30" s="372"/>
      <c r="BJ30" s="372"/>
      <c r="BK30" s="372"/>
      <c r="BL30" s="372"/>
      <c r="BM30" s="110" t="s">
        <v>74</v>
      </c>
      <c r="BN30" s="106">
        <f>X220-X225-X230</f>
        <v>262344980</v>
      </c>
      <c r="BO30" s="107">
        <f>AA220-AA225-AA230</f>
        <v>103791383</v>
      </c>
      <c r="BP30" s="107">
        <f>AD220-AD225-AD230</f>
        <v>103791383</v>
      </c>
      <c r="BQ30" s="108">
        <f>AF220-AF225-AF230</f>
        <v>26020216</v>
      </c>
      <c r="BR30" s="372"/>
    </row>
    <row r="31" spans="1:70" s="412" customFormat="1" ht="24.95" customHeight="1">
      <c r="A31" s="593" t="str">
        <f>+IF(MARZO!A31=0,"",MARZO!A31)</f>
        <v>1130103-1-2</v>
      </c>
      <c r="B31" s="629" t="str">
        <f>+IF(MARZO!B31=0,"",MARZO!B31)</f>
        <v>Vigencia Anterior</v>
      </c>
      <c r="C31" s="655">
        <f>+ENERO!C31</f>
        <v>0</v>
      </c>
      <c r="D31" s="363">
        <f>MARZO!D31+ABRIL!P31</f>
        <v>0</v>
      </c>
      <c r="E31" s="363">
        <f>MARZO!E31+ABRIL!Q31</f>
        <v>0</v>
      </c>
      <c r="F31" s="363">
        <f>SUM(C31:E31)</f>
        <v>0</v>
      </c>
      <c r="G31" s="363">
        <f>MARZO!I31</f>
        <v>0</v>
      </c>
      <c r="H31" s="364">
        <v>0</v>
      </c>
      <c r="I31" s="363">
        <f>SUM(G31:H31)</f>
        <v>0</v>
      </c>
      <c r="J31" s="363">
        <f>MARZO!L31</f>
        <v>0</v>
      </c>
      <c r="K31" s="364">
        <v>0</v>
      </c>
      <c r="L31" s="363">
        <f>SUM(J31:K31)</f>
        <v>0</v>
      </c>
      <c r="M31" s="363">
        <f>F31-I31</f>
        <v>0</v>
      </c>
      <c r="N31" s="143">
        <f>F31-L31</f>
        <v>0</v>
      </c>
      <c r="O31" s="372"/>
      <c r="P31" s="362">
        <v>0</v>
      </c>
      <c r="Q31" s="365">
        <v>0</v>
      </c>
      <c r="R31" s="9"/>
      <c r="S31" s="689" t="str">
        <f>+IF(MARZO!S31=0,"",MARZO!S31)</f>
        <v>1010104-11</v>
      </c>
      <c r="T31" s="665" t="str">
        <f>+IF(MARZO!T31=0,"",MARZO!T31)</f>
        <v/>
      </c>
      <c r="U31" s="27">
        <f>+ENERO!U31</f>
        <v>0</v>
      </c>
      <c r="V31" s="15">
        <f>MARZO!V31+ABRIL!AL31</f>
        <v>0</v>
      </c>
      <c r="W31" s="15">
        <f>MARZO!W31+ABRIL!AM31</f>
        <v>0</v>
      </c>
      <c r="X31" s="18">
        <f t="shared" si="17"/>
        <v>0</v>
      </c>
      <c r="Y31" s="19">
        <f>MARZO!AA31</f>
        <v>0</v>
      </c>
      <c r="Z31" s="364">
        <v>0</v>
      </c>
      <c r="AA31" s="18">
        <f t="shared" si="18"/>
        <v>0</v>
      </c>
      <c r="AB31" s="19">
        <f>MARZO!AD31</f>
        <v>0</v>
      </c>
      <c r="AC31" s="364">
        <v>0</v>
      </c>
      <c r="AD31" s="18">
        <f t="shared" si="19"/>
        <v>0</v>
      </c>
      <c r="AE31" s="19">
        <f>MARZO!AG31</f>
        <v>0</v>
      </c>
      <c r="AF31" s="364">
        <v>0</v>
      </c>
      <c r="AG31" s="18">
        <f t="shared" si="20"/>
        <v>0</v>
      </c>
      <c r="AH31" s="19">
        <f t="shared" si="21"/>
        <v>0</v>
      </c>
      <c r="AI31" s="15">
        <f t="shared" si="22"/>
        <v>0</v>
      </c>
      <c r="AJ31" s="16">
        <f t="shared" si="23"/>
        <v>0</v>
      </c>
      <c r="AK31" s="9"/>
      <c r="AL31" s="362">
        <v>0</v>
      </c>
      <c r="AM31" s="365">
        <v>0</v>
      </c>
      <c r="AN31" s="9"/>
      <c r="AO31" s="339"/>
      <c r="AP31" s="405" t="s">
        <v>133</v>
      </c>
      <c r="AQ31" s="421">
        <f>X258</f>
        <v>0</v>
      </c>
      <c r="AR31" s="421">
        <f>AD258</f>
        <v>-2343036086.8499985</v>
      </c>
      <c r="AS31" s="421">
        <f>AG258</f>
        <v>-22325760910</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18096022853</v>
      </c>
      <c r="BO31" s="107">
        <f>AA33+AA41+AA55+AA61+AA81+AA88+AA102+AA108+AA121+AA139+AA143+AA153+AA168+AA174+AA183+AA191+AA207+AA218+AA230+AA241+AA256+AA225</f>
        <v>11829625573</v>
      </c>
      <c r="BP31" s="107">
        <f>AD33+AD41+AD55+AD61+AD81+AD88+AD102+AD108+AD121+AD139+AD143+AD153+AD168+AD174+AD183+AD191+AD207+AD218+AD230+AD241+AD256+AD225</f>
        <v>11829625573</v>
      </c>
      <c r="BQ31" s="108">
        <f>AF33+AF41+AF55+AF61+AF81+AF88+AF102+AF108+AF121+AF139+AF143+AF153+AF168+AF174+AF183+AF191+AF207+AF218+AF230+AF241+AF256+AF225</f>
        <v>3364520702</v>
      </c>
      <c r="BR31" s="9"/>
    </row>
    <row r="32" spans="1:70" s="9" customFormat="1" ht="24.95" customHeight="1" thickBot="1">
      <c r="A32" s="593" t="str">
        <f>+IF(MARZO!A32=0,"",MARZO!A32)</f>
        <v>1130103-2</v>
      </c>
      <c r="B32" s="630" t="str">
        <f>+IF(MARZO!B32=0,"",MARZO!B32)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72"/>
      <c r="P32" s="144">
        <f>SUM(P33:P34)</f>
        <v>0</v>
      </c>
      <c r="Q32" s="145">
        <f>SUM(Q33:Q34)</f>
        <v>0</v>
      </c>
      <c r="S32" s="689" t="str">
        <f>+IF(MARZO!S32=0,"",MARZO!S32)</f>
        <v>1010104-12</v>
      </c>
      <c r="T32" s="665" t="str">
        <f>+IF(MARZO!T32=0,"",MARZO!T32)</f>
        <v/>
      </c>
      <c r="U32" s="27">
        <f>+ENERO!U32</f>
        <v>0</v>
      </c>
      <c r="V32" s="15">
        <f>MARZO!V32+ABRIL!AL32</f>
        <v>0</v>
      </c>
      <c r="W32" s="15">
        <f>MARZO!W32+ABRIL!AM32</f>
        <v>0</v>
      </c>
      <c r="X32" s="18">
        <f t="shared" si="17"/>
        <v>0</v>
      </c>
      <c r="Y32" s="19">
        <f>MARZO!AA32</f>
        <v>0</v>
      </c>
      <c r="Z32" s="364">
        <v>0</v>
      </c>
      <c r="AA32" s="18">
        <f t="shared" si="18"/>
        <v>0</v>
      </c>
      <c r="AB32" s="19">
        <f>MARZO!AD32</f>
        <v>0</v>
      </c>
      <c r="AC32" s="364">
        <v>0</v>
      </c>
      <c r="AD32" s="18">
        <f t="shared" si="19"/>
        <v>0</v>
      </c>
      <c r="AE32" s="19">
        <f>MARZO!AG32</f>
        <v>0</v>
      </c>
      <c r="AF32" s="364">
        <v>0</v>
      </c>
      <c r="AG32" s="18">
        <f t="shared" si="20"/>
        <v>0</v>
      </c>
      <c r="AH32" s="19">
        <f t="shared" si="21"/>
        <v>0</v>
      </c>
      <c r="AI32" s="15">
        <f t="shared" si="22"/>
        <v>0</v>
      </c>
      <c r="AJ32" s="16">
        <f t="shared" si="23"/>
        <v>0</v>
      </c>
      <c r="AL32" s="362">
        <v>0</v>
      </c>
      <c r="AM32" s="365">
        <v>0</v>
      </c>
      <c r="AO32" s="21"/>
      <c r="AP32" s="430" t="s">
        <v>138</v>
      </c>
      <c r="AQ32" s="385">
        <f>SUM(AQ22:AQ31)</f>
        <v>94859073150</v>
      </c>
      <c r="AR32" s="385">
        <f>SUM(AR22:AR31)</f>
        <v>32500551294.150002</v>
      </c>
      <c r="AS32" s="385">
        <f>SUM(AS22:AS31)</f>
        <v>0</v>
      </c>
      <c r="AT32" s="431"/>
      <c r="AU32" s="432">
        <f t="shared" si="25"/>
        <v>0.34261932164103165</v>
      </c>
      <c r="AV32" s="432">
        <f t="shared" si="26"/>
        <v>0</v>
      </c>
      <c r="AW32" s="341">
        <f>SUM(AW22:AW31)</f>
        <v>81365608051.25</v>
      </c>
      <c r="AX32" s="341">
        <f>SUM(AX22:AX31)</f>
        <v>43812128638.25</v>
      </c>
      <c r="AY32" s="341">
        <f>SUM(AY22:AY31)</f>
        <v>13493465098.75</v>
      </c>
      <c r="AZ32" s="342">
        <f>SUM(AZ22:AZ31)</f>
        <v>51046944511.75</v>
      </c>
      <c r="BA32" s="372"/>
      <c r="BB32" s="412"/>
      <c r="BC32" s="412"/>
      <c r="BD32" s="412"/>
      <c r="BE32" s="412"/>
      <c r="BF32" s="412"/>
      <c r="BG32" s="372"/>
      <c r="BH32" s="372"/>
      <c r="BI32" s="372"/>
      <c r="BJ32" s="372"/>
      <c r="BK32" s="372"/>
      <c r="BM32" s="110" t="s">
        <v>134</v>
      </c>
      <c r="BN32" s="106">
        <f>+BN7+BN25+BN29+BN30+BN31</f>
        <v>94859073150</v>
      </c>
      <c r="BO32" s="107">
        <f>+BO7+BO25+BO29+BO30+BO31</f>
        <v>62117855960</v>
      </c>
      <c r="BP32" s="107">
        <f>+BP7+BP25+BP29+BP30+BP31</f>
        <v>34843587381</v>
      </c>
      <c r="BQ32" s="108">
        <f>+BQ7+BQ25+BQ29+BQ30+BQ31</f>
        <v>8131208528</v>
      </c>
      <c r="BR32" s="372"/>
    </row>
    <row r="33" spans="1:70" s="412" customFormat="1" ht="24.95" customHeight="1" thickBot="1">
      <c r="A33" s="593" t="str">
        <f>+IF(MARZO!A33=0,"",MARZO!A33)</f>
        <v>1130103-2-1</v>
      </c>
      <c r="B33" s="629" t="str">
        <f>+CONCATENATE("Vigencia ",INSTRUCCIONES!$F$3)</f>
        <v>Vigencia 2019</v>
      </c>
      <c r="C33" s="655">
        <f>+ENERO!C33</f>
        <v>0</v>
      </c>
      <c r="D33" s="363">
        <f>MARZO!D33+ABRIL!P33</f>
        <v>0</v>
      </c>
      <c r="E33" s="363">
        <f>MARZO!E33+ABRIL!Q33</f>
        <v>0</v>
      </c>
      <c r="F33" s="363">
        <f>SUM(C33:E33)</f>
        <v>0</v>
      </c>
      <c r="G33" s="363">
        <f>MARZO!I33</f>
        <v>0</v>
      </c>
      <c r="H33" s="364">
        <v>0</v>
      </c>
      <c r="I33" s="363">
        <f>SUM(G33:H33)</f>
        <v>0</v>
      </c>
      <c r="J33" s="363">
        <f>MARZO!L33</f>
        <v>0</v>
      </c>
      <c r="K33" s="364">
        <v>0</v>
      </c>
      <c r="L33" s="363">
        <f>SUM(J33:K33)</f>
        <v>0</v>
      </c>
      <c r="M33" s="363">
        <f>F33-I33</f>
        <v>0</v>
      </c>
      <c r="N33" s="143">
        <f>F33-L33</f>
        <v>0</v>
      </c>
      <c r="O33" s="9"/>
      <c r="P33" s="362">
        <v>0</v>
      </c>
      <c r="Q33" s="365">
        <v>0</v>
      </c>
      <c r="R33" s="9"/>
      <c r="S33" s="688">
        <f>+IF(MARZO!S33=0,"",MARZO!S33)</f>
        <v>1010199</v>
      </c>
      <c r="T33" s="664" t="str">
        <f>+IF(MARZO!T33=0,"",MARZO!T33)</f>
        <v>Vigencias Anteriores</v>
      </c>
      <c r="U33" s="27">
        <f>+ENERO!U33</f>
        <v>0</v>
      </c>
      <c r="V33" s="15">
        <f>MARZO!V33+ABRIL!AL33</f>
        <v>-120000000</v>
      </c>
      <c r="W33" s="15">
        <f>MARZO!W33+ABRIL!AM33</f>
        <v>120000000</v>
      </c>
      <c r="X33" s="18">
        <f t="shared" si="17"/>
        <v>0</v>
      </c>
      <c r="Y33" s="19">
        <f>MARZO!AA33</f>
        <v>0</v>
      </c>
      <c r="Z33" s="364">
        <v>0</v>
      </c>
      <c r="AA33" s="18">
        <f t="shared" si="18"/>
        <v>0</v>
      </c>
      <c r="AB33" s="19">
        <f>MARZO!AD33</f>
        <v>0</v>
      </c>
      <c r="AC33" s="364">
        <v>0</v>
      </c>
      <c r="AD33" s="18">
        <f t="shared" si="19"/>
        <v>0</v>
      </c>
      <c r="AE33" s="19">
        <f>MARZO!AG33</f>
        <v>0</v>
      </c>
      <c r="AF33" s="364">
        <v>0</v>
      </c>
      <c r="AG33" s="1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-14349169414</v>
      </c>
      <c r="BP33" s="113">
        <f>AD258</f>
        <v>-2343036086.8499985</v>
      </c>
      <c r="BQ33" s="114">
        <f>AF258</f>
        <v>54227313327.849998</v>
      </c>
      <c r="BR33" s="372"/>
    </row>
    <row r="34" spans="1:70" s="412" customFormat="1" ht="24.95" customHeight="1" thickBot="1">
      <c r="A34" s="593" t="str">
        <f>+IF(MARZO!A34=0,"",MARZO!A34)</f>
        <v>1130103-2-2</v>
      </c>
      <c r="B34" s="629" t="str">
        <f>+IF(MARZO!B34=0,"",MARZO!B34)</f>
        <v>Vigencia Anterior</v>
      </c>
      <c r="C34" s="655">
        <f>+ENERO!C34</f>
        <v>0</v>
      </c>
      <c r="D34" s="363">
        <f>MARZO!D34+ABRIL!P34</f>
        <v>0</v>
      </c>
      <c r="E34" s="363">
        <f>MARZO!E34+ABRIL!Q34</f>
        <v>0</v>
      </c>
      <c r="F34" s="363">
        <f>SUM(C34:E34)</f>
        <v>0</v>
      </c>
      <c r="G34" s="363">
        <f>MARZO!I34</f>
        <v>0</v>
      </c>
      <c r="H34" s="364">
        <v>0</v>
      </c>
      <c r="I34" s="363">
        <f>SUM(G34:H34)</f>
        <v>0</v>
      </c>
      <c r="J34" s="363">
        <f>MARZO!L34</f>
        <v>0</v>
      </c>
      <c r="K34" s="364">
        <v>0</v>
      </c>
      <c r="L34" s="363">
        <f>SUM(J34:K34)</f>
        <v>0</v>
      </c>
      <c r="M34" s="363">
        <f>F34-I34</f>
        <v>0</v>
      </c>
      <c r="N34" s="143">
        <f>F34-L34</f>
        <v>0</v>
      </c>
      <c r="O34" s="372"/>
      <c r="P34" s="362">
        <v>0</v>
      </c>
      <c r="Q34" s="365">
        <v>0</v>
      </c>
      <c r="R34" s="9"/>
      <c r="S34" s="356" t="str">
        <f>+IF(MARZO!S34=0,"",MARZO!S34)</f>
        <v/>
      </c>
      <c r="T34" s="678" t="str">
        <f>+IF(MARZO!T34=0,"",MARZO!T34)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375"/>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+IF(MARZO!A35=0,"",MARZO!A35)</f>
        <v>1130103-3</v>
      </c>
      <c r="B35" s="630" t="str">
        <f>+IF(MARZO!B35=0,"",MARZO!B35)</f>
        <v>Prestación de Servicios de salud  3o. Nivel</v>
      </c>
      <c r="C35" s="19">
        <f t="shared" ref="C35:N35" si="33">SUM(C36:C37)</f>
        <v>7627600802</v>
      </c>
      <c r="D35" s="15">
        <f t="shared" si="33"/>
        <v>0</v>
      </c>
      <c r="E35" s="15">
        <f t="shared" si="33"/>
        <v>1623319475</v>
      </c>
      <c r="F35" s="15">
        <f t="shared" si="33"/>
        <v>9250920277</v>
      </c>
      <c r="G35" s="15">
        <f t="shared" si="33"/>
        <v>4186095879</v>
      </c>
      <c r="H35" s="15">
        <f t="shared" si="33"/>
        <v>912529633</v>
      </c>
      <c r="I35" s="15">
        <f t="shared" si="33"/>
        <v>5098625512</v>
      </c>
      <c r="J35" s="15">
        <f t="shared" si="33"/>
        <v>2031059400</v>
      </c>
      <c r="K35" s="15">
        <f t="shared" si="33"/>
        <v>776738</v>
      </c>
      <c r="L35" s="15">
        <f t="shared" si="33"/>
        <v>2031836138</v>
      </c>
      <c r="M35" s="15">
        <f t="shared" si="33"/>
        <v>4152294765</v>
      </c>
      <c r="N35" s="16">
        <f t="shared" si="33"/>
        <v>7219084139</v>
      </c>
      <c r="P35" s="144">
        <f>SUM(P36:P37)</f>
        <v>0</v>
      </c>
      <c r="Q35" s="145">
        <f>SUM(Q36:Q37)</f>
        <v>0</v>
      </c>
      <c r="R35" s="9"/>
      <c r="S35" s="687">
        <f>+IF(MARZO!S35=0,"",MARZO!S35)</f>
        <v>1010200</v>
      </c>
      <c r="T35" s="663" t="str">
        <f>+IF(MARZO!T35=0,"",MARZO!T35)</f>
        <v>Servicios Personales Indirectos</v>
      </c>
      <c r="U35" s="132">
        <f t="shared" ref="U35:AJ35" si="34">SUM(U36:U41)</f>
        <v>4253886796</v>
      </c>
      <c r="V35" s="122">
        <f t="shared" si="34"/>
        <v>120000000</v>
      </c>
      <c r="W35" s="122">
        <f t="shared" si="34"/>
        <v>100000000</v>
      </c>
      <c r="X35" s="129">
        <f t="shared" si="34"/>
        <v>4473886796</v>
      </c>
      <c r="Y35" s="128">
        <f t="shared" si="34"/>
        <v>4393915737</v>
      </c>
      <c r="Z35" s="122">
        <f t="shared" si="34"/>
        <v>5243522</v>
      </c>
      <c r="AA35" s="129">
        <f t="shared" si="34"/>
        <v>4399159259</v>
      </c>
      <c r="AB35" s="128">
        <f t="shared" si="34"/>
        <v>1538053113</v>
      </c>
      <c r="AC35" s="122">
        <f t="shared" si="34"/>
        <v>366118660</v>
      </c>
      <c r="AD35" s="129">
        <f t="shared" si="34"/>
        <v>1904171773</v>
      </c>
      <c r="AE35" s="128">
        <f t="shared" si="34"/>
        <v>811995056</v>
      </c>
      <c r="AF35" s="122">
        <f t="shared" si="34"/>
        <v>592965922</v>
      </c>
      <c r="AG35" s="129">
        <f t="shared" si="34"/>
        <v>1404960978</v>
      </c>
      <c r="AH35" s="128">
        <f t="shared" si="34"/>
        <v>74727537</v>
      </c>
      <c r="AI35" s="122">
        <f t="shared" si="34"/>
        <v>2569715023</v>
      </c>
      <c r="AJ35" s="130">
        <f t="shared" si="34"/>
        <v>3068925818</v>
      </c>
      <c r="AK35" s="9"/>
      <c r="AL35" s="128">
        <f>SUM(AL36:AL41)</f>
        <v>0</v>
      </c>
      <c r="AM35" s="130">
        <f>SUM(AM36:AM41)</f>
        <v>0</v>
      </c>
      <c r="AN35" s="9"/>
      <c r="AO35" s="339"/>
      <c r="AP35" s="440"/>
      <c r="AQ35" s="282"/>
      <c r="AR35" s="441"/>
      <c r="AS35" s="441"/>
      <c r="AT35" s="441"/>
      <c r="AU35" s="442">
        <f>AR17-AR32</f>
        <v>11870043278.849998</v>
      </c>
      <c r="AV35" s="443">
        <f>AS17-AR32</f>
        <v>-3368620261</v>
      </c>
      <c r="AW35" s="443" t="s">
        <v>151</v>
      </c>
      <c r="AX35" s="443"/>
      <c r="AY35" s="443">
        <f>AY17+AY32</f>
        <v>25668797807.75</v>
      </c>
      <c r="AZ35" s="445">
        <f>AZ17+AY32</f>
        <v>-20135607947.800003</v>
      </c>
      <c r="BB35" s="412"/>
      <c r="BC35" s="412"/>
      <c r="BD35" s="412"/>
      <c r="BE35" s="412"/>
      <c r="BF35" s="412"/>
    </row>
    <row r="36" spans="1:70" s="372" customFormat="1" ht="24.95" customHeight="1" thickBot="1">
      <c r="A36" s="593" t="str">
        <f>+IF(MARZO!A36=0,"",MARZO!A36)</f>
        <v>1130103-3-1</v>
      </c>
      <c r="B36" s="629" t="str">
        <f>+CONCATENATE("Vigencia ",INSTRUCCIONES!$F$3)</f>
        <v>Vigencia 2019</v>
      </c>
      <c r="C36" s="655">
        <f>+ENERO!C36</f>
        <v>7627600802</v>
      </c>
      <c r="D36" s="363">
        <f>MARZO!D36+ABRIL!P36</f>
        <v>0</v>
      </c>
      <c r="E36" s="363">
        <f>MARZO!E36+ABRIL!Q36</f>
        <v>0</v>
      </c>
      <c r="F36" s="363">
        <f t="shared" ref="F36:F41" si="35">SUM(C36:E36)</f>
        <v>7627600802</v>
      </c>
      <c r="G36" s="363">
        <f>MARZO!I36</f>
        <v>2562776404</v>
      </c>
      <c r="H36" s="364">
        <v>911809575</v>
      </c>
      <c r="I36" s="363">
        <f t="shared" ref="I36:I41" si="36">SUM(G36:H36)</f>
        <v>3474585979</v>
      </c>
      <c r="J36" s="363">
        <f>MARZO!L36</f>
        <v>407739925</v>
      </c>
      <c r="K36" s="364">
        <v>56680</v>
      </c>
      <c r="L36" s="363">
        <f t="shared" ref="L36:L41" si="37">SUM(J36:K36)</f>
        <v>407796605</v>
      </c>
      <c r="M36" s="363">
        <f t="shared" ref="M36:M41" si="38">F36-I36</f>
        <v>4153014823</v>
      </c>
      <c r="N36" s="143">
        <f t="shared" ref="N36:N41" si="39">F36-L36</f>
        <v>7219804197</v>
      </c>
      <c r="O36" s="9"/>
      <c r="P36" s="362">
        <v>0</v>
      </c>
      <c r="Q36" s="365">
        <v>0</v>
      </c>
      <c r="R36" s="9"/>
      <c r="S36" s="688" t="str">
        <f>+IF(MARZO!S36=0,"",MARZO!S36)</f>
        <v>1010200-1</v>
      </c>
      <c r="T36" s="664" t="str">
        <f>+IF(MARZO!T36=0,"",MARZO!T36)</f>
        <v>Remuneración y Honorarios por Servicios Técnicos y Profesionales</v>
      </c>
      <c r="U36" s="27">
        <f>+ENERO!U36</f>
        <v>1270340000</v>
      </c>
      <c r="V36" s="15">
        <f>MARZO!V36+ABRIL!AL36</f>
        <v>0</v>
      </c>
      <c r="W36" s="15">
        <f>MARZO!W36+ABRIL!AM36</f>
        <v>100000000</v>
      </c>
      <c r="X36" s="18">
        <f t="shared" ref="X36:X41" si="40">SUM(U36:W36)</f>
        <v>1370340000</v>
      </c>
      <c r="Y36" s="19">
        <f>MARZO!AA36</f>
        <v>1331280200</v>
      </c>
      <c r="Z36" s="364">
        <v>2000000</v>
      </c>
      <c r="AA36" s="18">
        <f t="shared" ref="AA36:AA41" si="41">SUM(Y36:Z36)</f>
        <v>1333280200</v>
      </c>
      <c r="AB36" s="19">
        <f>MARZO!AD36</f>
        <v>362173681</v>
      </c>
      <c r="AC36" s="364">
        <v>130255800</v>
      </c>
      <c r="AD36" s="18">
        <f t="shared" ref="AD36:AD41" si="42">SUM(AB36:AC36)</f>
        <v>492429481</v>
      </c>
      <c r="AE36" s="19">
        <f>MARZO!AG36</f>
        <v>322510000</v>
      </c>
      <c r="AF36" s="364">
        <v>126708000</v>
      </c>
      <c r="AG36" s="18">
        <f t="shared" ref="AG36:AG41" si="43">SUM(AE36:AF36)</f>
        <v>449218000</v>
      </c>
      <c r="AH36" s="19">
        <f t="shared" ref="AH36:AH41" si="44">X36-AA36</f>
        <v>37059800</v>
      </c>
      <c r="AI36" s="15">
        <f t="shared" ref="AI36:AI41" si="45">X36-AD36</f>
        <v>877910519</v>
      </c>
      <c r="AJ36" s="16">
        <f t="shared" ref="AJ36:AJ41" si="46">X36-AG36</f>
        <v>921122000</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+IF(MARZO!A37=0,"",MARZO!A37)</f>
        <v>1130103-3-2</v>
      </c>
      <c r="B37" s="629" t="str">
        <f>+IF(MARZO!B37=0,"",MARZO!B37)</f>
        <v>Vigencia Anterior</v>
      </c>
      <c r="C37" s="655">
        <f>+ENERO!C37</f>
        <v>0</v>
      </c>
      <c r="D37" s="363">
        <f>MARZO!D37+ABRIL!P37</f>
        <v>0</v>
      </c>
      <c r="E37" s="363">
        <f>MARZO!E37+ABRIL!Q37</f>
        <v>1623319475</v>
      </c>
      <c r="F37" s="363">
        <f t="shared" si="35"/>
        <v>1623319475</v>
      </c>
      <c r="G37" s="363">
        <f>MARZO!I37</f>
        <v>1623319475</v>
      </c>
      <c r="H37" s="364">
        <v>720058</v>
      </c>
      <c r="I37" s="363">
        <f t="shared" si="36"/>
        <v>1624039533</v>
      </c>
      <c r="J37" s="363">
        <f>MARZO!L37</f>
        <v>1623319475</v>
      </c>
      <c r="K37" s="364">
        <v>720058</v>
      </c>
      <c r="L37" s="363">
        <f t="shared" si="37"/>
        <v>1624039533</v>
      </c>
      <c r="M37" s="363">
        <f t="shared" si="38"/>
        <v>-720058</v>
      </c>
      <c r="N37" s="143">
        <f t="shared" si="39"/>
        <v>-720058</v>
      </c>
      <c r="P37" s="362">
        <v>0</v>
      </c>
      <c r="Q37" s="365">
        <v>0</v>
      </c>
      <c r="R37" s="9"/>
      <c r="S37" s="688" t="str">
        <f>+IF(MARZO!S37=0,"",MARZO!S37)</f>
        <v>1010200-2</v>
      </c>
      <c r="T37" s="664" t="str">
        <f>+IF(MARZO!T37=0,"",MARZO!T37)</f>
        <v>Personal Supernumerario</v>
      </c>
      <c r="U37" s="27">
        <f>+ENERO!U37</f>
        <v>0</v>
      </c>
      <c r="V37" s="15">
        <f>MARZO!V37+ABRIL!AL37</f>
        <v>0</v>
      </c>
      <c r="W37" s="15">
        <f>MARZO!W37+ABRIL!AM37</f>
        <v>0</v>
      </c>
      <c r="X37" s="18">
        <f t="shared" si="40"/>
        <v>0</v>
      </c>
      <c r="Y37" s="19">
        <f>MARZO!AA37</f>
        <v>0</v>
      </c>
      <c r="Z37" s="364">
        <v>0</v>
      </c>
      <c r="AA37" s="18">
        <f t="shared" si="41"/>
        <v>0</v>
      </c>
      <c r="AB37" s="19">
        <f>MARZO!AD37</f>
        <v>0</v>
      </c>
      <c r="AC37" s="364">
        <v>0</v>
      </c>
      <c r="AD37" s="18">
        <f t="shared" si="42"/>
        <v>0</v>
      </c>
      <c r="AE37" s="19">
        <f>MARZO!AG37</f>
        <v>0</v>
      </c>
      <c r="AF37" s="364">
        <v>0</v>
      </c>
      <c r="AG37" s="18">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+IF(MARZO!A38=0,"",MARZO!A38)</f>
        <v>1130103-4</v>
      </c>
      <c r="B38" s="631" t="str">
        <f>+IF(MARZO!B38=0,"",MARZO!B38)</f>
        <v xml:space="preserve"> Aportes Patronales  1o. Nivel</v>
      </c>
      <c r="C38" s="655">
        <f>+ENERO!C38</f>
        <v>0</v>
      </c>
      <c r="D38" s="363">
        <f>MARZO!D38+ABRIL!P38</f>
        <v>0</v>
      </c>
      <c r="E38" s="363">
        <f>MARZO!E38+ABRIL!Q38</f>
        <v>0</v>
      </c>
      <c r="F38" s="363">
        <f t="shared" si="35"/>
        <v>0</v>
      </c>
      <c r="G38" s="363">
        <f>MARZO!I38</f>
        <v>0</v>
      </c>
      <c r="H38" s="364">
        <v>0</v>
      </c>
      <c r="I38" s="363">
        <f t="shared" si="36"/>
        <v>0</v>
      </c>
      <c r="J38" s="363">
        <f>MARZO!L38</f>
        <v>0</v>
      </c>
      <c r="K38" s="364">
        <v>0</v>
      </c>
      <c r="L38" s="363">
        <f t="shared" si="37"/>
        <v>0</v>
      </c>
      <c r="M38" s="363">
        <f t="shared" si="38"/>
        <v>0</v>
      </c>
      <c r="N38" s="143">
        <f t="shared" si="39"/>
        <v>0</v>
      </c>
      <c r="O38" s="515"/>
      <c r="P38" s="362">
        <v>0</v>
      </c>
      <c r="Q38" s="365">
        <v>0</v>
      </c>
      <c r="R38" s="9"/>
      <c r="S38" s="688" t="str">
        <f>+IF(MARZO!S38=0,"",MARZO!S38)</f>
        <v>1010200-3</v>
      </c>
      <c r="T38" s="664" t="str">
        <f>+IF(MARZO!T38=0,"",MARZO!T38)</f>
        <v>Honorarios de la Junta Directiva</v>
      </c>
      <c r="U38" s="27">
        <f>+ENERO!U38</f>
        <v>5000000</v>
      </c>
      <c r="V38" s="15">
        <f>MARZO!V38+ABRIL!AL38</f>
        <v>0</v>
      </c>
      <c r="W38" s="15">
        <f>MARZO!W38+ABRIL!AM38</f>
        <v>0</v>
      </c>
      <c r="X38" s="18">
        <f t="shared" si="40"/>
        <v>5000000</v>
      </c>
      <c r="Y38" s="19">
        <f>MARZO!AA38</f>
        <v>828116</v>
      </c>
      <c r="Z38" s="364">
        <v>828116</v>
      </c>
      <c r="AA38" s="18">
        <f t="shared" si="41"/>
        <v>1656232</v>
      </c>
      <c r="AB38" s="19">
        <f>MARZO!AD38</f>
        <v>828116</v>
      </c>
      <c r="AC38" s="364">
        <v>828116</v>
      </c>
      <c r="AD38" s="18">
        <f t="shared" si="42"/>
        <v>1656232</v>
      </c>
      <c r="AE38" s="19">
        <f>MARZO!AG38</f>
        <v>828116</v>
      </c>
      <c r="AF38" s="364">
        <v>828116</v>
      </c>
      <c r="AG38" s="18">
        <f t="shared" si="43"/>
        <v>1656232</v>
      </c>
      <c r="AH38" s="19">
        <f t="shared" si="44"/>
        <v>3343768</v>
      </c>
      <c r="AI38" s="15">
        <f t="shared" si="45"/>
        <v>3343768</v>
      </c>
      <c r="AJ38" s="16">
        <f t="shared" si="46"/>
        <v>3343768</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+IF(MARZO!A39=0,"",MARZO!A39)</f>
        <v>1130103-5</v>
      </c>
      <c r="B39" s="631" t="str">
        <f>+IF(MARZO!B39=0,"",MARZO!B39)</f>
        <v xml:space="preserve"> Aportes Patronales  2o. Nivel</v>
      </c>
      <c r="C39" s="655">
        <f>+ENERO!C39</f>
        <v>0</v>
      </c>
      <c r="D39" s="363">
        <f>MARZO!D39+ABRIL!P39</f>
        <v>0</v>
      </c>
      <c r="E39" s="363">
        <f>MARZO!E39+ABRIL!Q39</f>
        <v>0</v>
      </c>
      <c r="F39" s="363">
        <f t="shared" si="35"/>
        <v>0</v>
      </c>
      <c r="G39" s="363">
        <f>MARZO!I39</f>
        <v>0</v>
      </c>
      <c r="H39" s="364">
        <v>0</v>
      </c>
      <c r="I39" s="363">
        <f t="shared" si="36"/>
        <v>0</v>
      </c>
      <c r="J39" s="363">
        <f>MARZO!L39</f>
        <v>0</v>
      </c>
      <c r="K39" s="364">
        <v>0</v>
      </c>
      <c r="L39" s="363">
        <f t="shared" si="37"/>
        <v>0</v>
      </c>
      <c r="M39" s="363">
        <f t="shared" si="38"/>
        <v>0</v>
      </c>
      <c r="N39" s="143">
        <f t="shared" si="39"/>
        <v>0</v>
      </c>
      <c r="O39" s="515"/>
      <c r="P39" s="362">
        <v>0</v>
      </c>
      <c r="Q39" s="365">
        <v>0</v>
      </c>
      <c r="R39" s="9"/>
      <c r="S39" s="688" t="str">
        <f>+IF(MARZO!S39=0,"",MARZO!S39)</f>
        <v>1010200-4</v>
      </c>
      <c r="T39" s="664" t="str">
        <f>+IF(MARZO!T39=0,"",MARZO!T39)</f>
        <v>Otros Honorarios</v>
      </c>
      <c r="U39" s="27">
        <f>+ENERO!U39</f>
        <v>2589745841</v>
      </c>
      <c r="V39" s="15">
        <f>MARZO!V39+ABRIL!AL39</f>
        <v>0</v>
      </c>
      <c r="W39" s="15">
        <f>MARZO!W39+ABRIL!AM39</f>
        <v>0</v>
      </c>
      <c r="X39" s="18">
        <f t="shared" si="40"/>
        <v>2589745841</v>
      </c>
      <c r="Y39" s="19">
        <f>MARZO!AA39</f>
        <v>2589745626</v>
      </c>
      <c r="Z39" s="364">
        <v>0</v>
      </c>
      <c r="AA39" s="18">
        <f t="shared" si="41"/>
        <v>2589745626</v>
      </c>
      <c r="AB39" s="19">
        <f>MARZO!AD39</f>
        <v>702989521</v>
      </c>
      <c r="AC39" s="364">
        <v>232619338</v>
      </c>
      <c r="AD39" s="18">
        <f t="shared" si="42"/>
        <v>935608859</v>
      </c>
      <c r="AE39" s="19">
        <f>MARZO!AG39</f>
        <v>16595145</v>
      </c>
      <c r="AF39" s="364">
        <v>463014400</v>
      </c>
      <c r="AG39" s="18">
        <f t="shared" si="43"/>
        <v>479609545</v>
      </c>
      <c r="AH39" s="19">
        <f t="shared" si="44"/>
        <v>215</v>
      </c>
      <c r="AI39" s="15">
        <f t="shared" si="45"/>
        <v>1654136982</v>
      </c>
      <c r="AJ39" s="16">
        <f t="shared" si="46"/>
        <v>2110136296</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+IF(MARZO!A40=0,"",MARZO!A40)</f>
        <v>1130103-6</v>
      </c>
      <c r="B40" s="631" t="str">
        <f>+IF(MARZO!B40=0,"",MARZO!B40)</f>
        <v xml:space="preserve"> Aportes Patronales  3er. Nivel</v>
      </c>
      <c r="C40" s="655">
        <f>+ENERO!C40</f>
        <v>1324760338</v>
      </c>
      <c r="D40" s="363">
        <f>MARZO!D40+ABRIL!P40</f>
        <v>0</v>
      </c>
      <c r="E40" s="363">
        <f>MARZO!E40+ABRIL!Q40</f>
        <v>0</v>
      </c>
      <c r="F40" s="363">
        <f t="shared" si="35"/>
        <v>1324760338</v>
      </c>
      <c r="G40" s="363">
        <f>MARZO!I40</f>
        <v>220793390</v>
      </c>
      <c r="H40" s="364">
        <v>110396695</v>
      </c>
      <c r="I40" s="363">
        <f t="shared" si="36"/>
        <v>331190085</v>
      </c>
      <c r="J40" s="363">
        <f>MARZO!L40</f>
        <v>220793390</v>
      </c>
      <c r="K40" s="364">
        <v>110396695</v>
      </c>
      <c r="L40" s="363">
        <f t="shared" si="37"/>
        <v>331190085</v>
      </c>
      <c r="M40" s="363">
        <f t="shared" si="38"/>
        <v>993570253</v>
      </c>
      <c r="N40" s="143">
        <f t="shared" si="39"/>
        <v>993570253</v>
      </c>
      <c r="O40" s="515"/>
      <c r="P40" s="362">
        <v>0</v>
      </c>
      <c r="Q40" s="365">
        <v>0</v>
      </c>
      <c r="R40" s="9"/>
      <c r="S40" s="688" t="str">
        <f>+IF(MARZO!S40=0,"",MARZO!S40)</f>
        <v>1010200-5</v>
      </c>
      <c r="T40" s="664" t="str">
        <f>+IF(MARZO!T40=0,"",MARZO!T40)</f>
        <v>Certificación, Habilitación y Acreditación</v>
      </c>
      <c r="U40" s="27">
        <f>+ENERO!U40</f>
        <v>0</v>
      </c>
      <c r="V40" s="15">
        <f>MARZO!V40+ABRIL!AL40</f>
        <v>0</v>
      </c>
      <c r="W40" s="15">
        <f>MARZO!W40+ABRIL!AM40</f>
        <v>0</v>
      </c>
      <c r="X40" s="18">
        <f t="shared" si="40"/>
        <v>0</v>
      </c>
      <c r="Y40" s="19">
        <f>MARZO!AA40</f>
        <v>0</v>
      </c>
      <c r="Z40" s="364">
        <v>0</v>
      </c>
      <c r="AA40" s="18">
        <f t="shared" si="41"/>
        <v>0</v>
      </c>
      <c r="AB40" s="19">
        <f>MARZO!AD40</f>
        <v>0</v>
      </c>
      <c r="AC40" s="364">
        <v>0</v>
      </c>
      <c r="AD40" s="18">
        <f t="shared" si="42"/>
        <v>0</v>
      </c>
      <c r="AE40" s="19">
        <f>MARZO!AG40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+IF(MARZO!A41=0,"",MARZO!A41)</f>
        <v>1130104</v>
      </c>
      <c r="B41" s="628" t="str">
        <f>+IF(MARZO!B41=0,"",MARZO!B41)</f>
        <v>SUBSIDIO A LA OFERTA- ACTIVIDADES NO POS-S</v>
      </c>
      <c r="C41" s="655">
        <f>+ENERO!C41</f>
        <v>0</v>
      </c>
      <c r="D41" s="122">
        <f>MARZO!D41+ABRIL!P41</f>
        <v>0</v>
      </c>
      <c r="E41" s="122">
        <f>MARZO!E41+ABRIL!Q41</f>
        <v>0</v>
      </c>
      <c r="F41" s="122">
        <f t="shared" si="35"/>
        <v>0</v>
      </c>
      <c r="G41" s="122">
        <f>MARZO!I41</f>
        <v>0</v>
      </c>
      <c r="H41" s="364">
        <v>0</v>
      </c>
      <c r="I41" s="122">
        <f t="shared" si="36"/>
        <v>0</v>
      </c>
      <c r="J41" s="122">
        <f>MARZO!L41</f>
        <v>0</v>
      </c>
      <c r="K41" s="364">
        <v>0</v>
      </c>
      <c r="L41" s="122">
        <f t="shared" si="37"/>
        <v>0</v>
      </c>
      <c r="M41" s="122">
        <f t="shared" si="38"/>
        <v>0</v>
      </c>
      <c r="N41" s="130">
        <f t="shared" si="39"/>
        <v>0</v>
      </c>
      <c r="O41" s="372"/>
      <c r="P41" s="364">
        <v>0</v>
      </c>
      <c r="Q41" s="365">
        <v>0</v>
      </c>
      <c r="R41" s="9"/>
      <c r="S41" s="688">
        <f>+IF(MARZO!S41=0,"",MARZO!S41)</f>
        <v>1010299</v>
      </c>
      <c r="T41" s="664" t="str">
        <f>+IF(MARZO!T41=0,"",MARZO!T41)</f>
        <v>Vigencias Anteriores</v>
      </c>
      <c r="U41" s="27">
        <f>+ENERO!U41</f>
        <v>388800955</v>
      </c>
      <c r="V41" s="15">
        <f>MARZO!V41+ABRIL!AL41</f>
        <v>120000000</v>
      </c>
      <c r="W41" s="15">
        <f>MARZO!W41+ABRIL!AM41</f>
        <v>0</v>
      </c>
      <c r="X41" s="18">
        <f t="shared" si="40"/>
        <v>508800955</v>
      </c>
      <c r="Y41" s="19">
        <f>MARZO!AA41</f>
        <v>472061795</v>
      </c>
      <c r="Z41" s="364">
        <v>2415406</v>
      </c>
      <c r="AA41" s="18">
        <f t="shared" si="41"/>
        <v>474477201</v>
      </c>
      <c r="AB41" s="19">
        <f>MARZO!AD41</f>
        <v>472061795</v>
      </c>
      <c r="AC41" s="364">
        <v>2415406</v>
      </c>
      <c r="AD41" s="18">
        <f t="shared" si="42"/>
        <v>474477201</v>
      </c>
      <c r="AE41" s="19">
        <f>MARZO!AG41</f>
        <v>472061795</v>
      </c>
      <c r="AF41" s="364">
        <v>2415406</v>
      </c>
      <c r="AG41" s="1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+IF(MARZO!A42=0,"",MARZO!A42)</f>
        <v>1130106</v>
      </c>
      <c r="B42" s="628" t="str">
        <f>+IF(MARZO!B42=0,"",MARZO!B42)</f>
        <v>SALUD PUBLICA - PLAN DE INTERVENCIONES COLECTIVAS</v>
      </c>
      <c r="C42" s="43">
        <f t="shared" ref="C42:N42" si="47">SUM(C43:C44)</f>
        <v>0</v>
      </c>
      <c r="D42" s="44">
        <f t="shared" si="47"/>
        <v>0</v>
      </c>
      <c r="E42" s="44">
        <f t="shared" si="47"/>
        <v>0</v>
      </c>
      <c r="F42" s="44">
        <f t="shared" si="47"/>
        <v>0</v>
      </c>
      <c r="G42" s="44">
        <f t="shared" si="47"/>
        <v>0</v>
      </c>
      <c r="H42" s="44">
        <f t="shared" si="47"/>
        <v>0</v>
      </c>
      <c r="I42" s="44">
        <f t="shared" si="47"/>
        <v>0</v>
      </c>
      <c r="J42" s="44">
        <f t="shared" si="47"/>
        <v>0</v>
      </c>
      <c r="K42" s="44">
        <f t="shared" si="47"/>
        <v>0</v>
      </c>
      <c r="L42" s="44">
        <f t="shared" si="47"/>
        <v>0</v>
      </c>
      <c r="M42" s="44">
        <f t="shared" si="47"/>
        <v>0</v>
      </c>
      <c r="N42" s="45">
        <f t="shared" si="47"/>
        <v>0</v>
      </c>
      <c r="P42" s="43">
        <f>SUM(P43:P44)</f>
        <v>0</v>
      </c>
      <c r="Q42" s="45">
        <f>SUM(Q43:Q44)</f>
        <v>0</v>
      </c>
      <c r="R42" s="9"/>
      <c r="S42" s="356" t="str">
        <f>+IF(MARZO!S42=0,"",MARZO!S42)</f>
        <v/>
      </c>
      <c r="T42" s="678" t="str">
        <f>+IF(MARZO!T42=0,"",MARZO!T42)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+IF(MARZO!A43=0,"",MARZO!A43)</f>
        <v>1130106-1</v>
      </c>
      <c r="B43" s="629" t="str">
        <f>+CONCATENATE("Vigencia ",INSTRUCCIONES!$F$3)</f>
        <v>Vigencia 2019</v>
      </c>
      <c r="C43" s="655">
        <f>+ENERO!C43</f>
        <v>0</v>
      </c>
      <c r="D43" s="363">
        <f>MARZO!D43+ABRIL!P43</f>
        <v>0</v>
      </c>
      <c r="E43" s="363">
        <f>MARZO!E43+ABRIL!Q43</f>
        <v>0</v>
      </c>
      <c r="F43" s="363">
        <f>SUM(C43:E43)</f>
        <v>0</v>
      </c>
      <c r="G43" s="363">
        <f>MARZO!I43</f>
        <v>0</v>
      </c>
      <c r="H43" s="364">
        <v>0</v>
      </c>
      <c r="I43" s="363">
        <f>SUM(G43:H43)</f>
        <v>0</v>
      </c>
      <c r="J43" s="363">
        <f>MARZO!L43</f>
        <v>0</v>
      </c>
      <c r="K43" s="364">
        <v>0</v>
      </c>
      <c r="L43" s="363">
        <f>SUM(J43:K43)</f>
        <v>0</v>
      </c>
      <c r="M43" s="363">
        <f>F43-I43</f>
        <v>0</v>
      </c>
      <c r="N43" s="143">
        <f>F43-L43</f>
        <v>0</v>
      </c>
      <c r="O43" s="372"/>
      <c r="P43" s="362">
        <v>0</v>
      </c>
      <c r="Q43" s="365">
        <v>0</v>
      </c>
      <c r="R43" s="9"/>
      <c r="S43" s="687">
        <f>+IF(MARZO!S43=0,"",MARZO!S43)</f>
        <v>1010300</v>
      </c>
      <c r="T43" s="663" t="str">
        <f>+IF(MARZO!T43=0,"",MARZO!T43)</f>
        <v>Contribuciones Inherentes nómina al Sector Privado</v>
      </c>
      <c r="U43" s="132">
        <f t="shared" ref="U43:AJ43" si="48">U44+U49+U55</f>
        <v>682314446</v>
      </c>
      <c r="V43" s="122">
        <f t="shared" si="48"/>
        <v>-6501068</v>
      </c>
      <c r="W43" s="122">
        <f t="shared" si="48"/>
        <v>0</v>
      </c>
      <c r="X43" s="129">
        <f t="shared" si="48"/>
        <v>675813378</v>
      </c>
      <c r="Y43" s="128">
        <f t="shared" si="48"/>
        <v>143066467</v>
      </c>
      <c r="Z43" s="122">
        <f t="shared" si="48"/>
        <v>18372706</v>
      </c>
      <c r="AA43" s="129">
        <f t="shared" si="48"/>
        <v>161439173</v>
      </c>
      <c r="AB43" s="128">
        <f t="shared" si="48"/>
        <v>143066467</v>
      </c>
      <c r="AC43" s="122">
        <f t="shared" si="48"/>
        <v>18372706</v>
      </c>
      <c r="AD43" s="129">
        <f t="shared" si="48"/>
        <v>161439173</v>
      </c>
      <c r="AE43" s="128">
        <f t="shared" si="48"/>
        <v>138748867</v>
      </c>
      <c r="AF43" s="122">
        <f t="shared" si="48"/>
        <v>18408346</v>
      </c>
      <c r="AG43" s="129">
        <f t="shared" si="48"/>
        <v>157157213</v>
      </c>
      <c r="AH43" s="128">
        <f t="shared" si="48"/>
        <v>514374205</v>
      </c>
      <c r="AI43" s="122">
        <f t="shared" si="48"/>
        <v>514374205</v>
      </c>
      <c r="AJ43" s="130">
        <f t="shared" si="48"/>
        <v>518656165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+IF(MARZO!A44=0,"",MARZO!A44)</f>
        <v>1130106-2</v>
      </c>
      <c r="B44" s="629" t="str">
        <f>+IF(MARZO!B44=0,"",MARZO!B44)</f>
        <v>Vigencia Anterior</v>
      </c>
      <c r="C44" s="655">
        <f>+ENERO!C44</f>
        <v>0</v>
      </c>
      <c r="D44" s="363">
        <f>MARZO!D44+ABRIL!P44</f>
        <v>0</v>
      </c>
      <c r="E44" s="363">
        <f>MARZO!E44+ABRIL!Q44</f>
        <v>0</v>
      </c>
      <c r="F44" s="363">
        <f>SUM(C44:E44)</f>
        <v>0</v>
      </c>
      <c r="G44" s="363">
        <f>MARZO!I44</f>
        <v>0</v>
      </c>
      <c r="H44" s="364">
        <v>0</v>
      </c>
      <c r="I44" s="363">
        <f>SUM(G44:H44)</f>
        <v>0</v>
      </c>
      <c r="J44" s="363">
        <f>MARZO!L44</f>
        <v>0</v>
      </c>
      <c r="K44" s="364">
        <v>0</v>
      </c>
      <c r="L44" s="363">
        <f>SUM(J44:K44)</f>
        <v>0</v>
      </c>
      <c r="M44" s="363">
        <f>F44-I44</f>
        <v>0</v>
      </c>
      <c r="N44" s="143">
        <f>F44-L44</f>
        <v>0</v>
      </c>
      <c r="O44" s="372"/>
      <c r="P44" s="362">
        <v>0</v>
      </c>
      <c r="Q44" s="365">
        <v>0</v>
      </c>
      <c r="R44" s="9"/>
      <c r="S44" s="688">
        <f>+IF(MARZO!S44=0,"",MARZO!S44)</f>
        <v>1010301</v>
      </c>
      <c r="T44" s="664" t="str">
        <f>+IF(MARZO!T44=0,"",MARZO!T44)</f>
        <v>Contribuciones - SGP - Aportes Patronales - Cuenta Maestra</v>
      </c>
      <c r="U44" s="27">
        <f t="shared" ref="U44:AJ44" si="49">SUM(U45:U48)</f>
        <v>224699564</v>
      </c>
      <c r="V44" s="15">
        <f t="shared" si="49"/>
        <v>0</v>
      </c>
      <c r="W44" s="15">
        <f t="shared" si="49"/>
        <v>0</v>
      </c>
      <c r="X44" s="18">
        <f t="shared" si="49"/>
        <v>224699564</v>
      </c>
      <c r="Y44" s="19">
        <f t="shared" si="49"/>
        <v>28456775</v>
      </c>
      <c r="Z44" s="142">
        <f t="shared" si="49"/>
        <v>14090746</v>
      </c>
      <c r="AA44" s="18">
        <f t="shared" si="49"/>
        <v>42547521</v>
      </c>
      <c r="AB44" s="19">
        <f t="shared" si="49"/>
        <v>28456775</v>
      </c>
      <c r="AC44" s="142">
        <f t="shared" si="49"/>
        <v>14090746</v>
      </c>
      <c r="AD44" s="18">
        <f t="shared" si="49"/>
        <v>42547521</v>
      </c>
      <c r="AE44" s="19">
        <f t="shared" si="49"/>
        <v>28456775</v>
      </c>
      <c r="AF44" s="142">
        <f t="shared" si="49"/>
        <v>14090746</v>
      </c>
      <c r="AG44" s="18">
        <f t="shared" si="49"/>
        <v>42547521</v>
      </c>
      <c r="AH44" s="19">
        <f t="shared" si="49"/>
        <v>182152043</v>
      </c>
      <c r="AI44" s="15">
        <f t="shared" si="49"/>
        <v>182152043</v>
      </c>
      <c r="AJ44" s="16">
        <f t="shared" si="49"/>
        <v>182152043</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+IF(MARZO!A45=0,"",MARZO!A45)</f>
        <v>1130107</v>
      </c>
      <c r="B45" s="628" t="str">
        <f>+IF(MARZO!B45=0,"",MARZO!B45)</f>
        <v>MINSALUD-FOSYGA-RECLAMACIONES ECAT</v>
      </c>
      <c r="C45" s="43">
        <f t="shared" ref="C45:N45" si="50">SUM(C46:C47)</f>
        <v>130489617</v>
      </c>
      <c r="D45" s="44">
        <f t="shared" si="50"/>
        <v>0</v>
      </c>
      <c r="E45" s="44">
        <f t="shared" si="50"/>
        <v>0</v>
      </c>
      <c r="F45" s="44">
        <f t="shared" si="50"/>
        <v>130489617</v>
      </c>
      <c r="G45" s="44">
        <f t="shared" si="50"/>
        <v>278691594</v>
      </c>
      <c r="H45" s="44">
        <f t="shared" si="50"/>
        <v>32537941</v>
      </c>
      <c r="I45" s="44">
        <f t="shared" si="50"/>
        <v>311229535</v>
      </c>
      <c r="J45" s="44">
        <f t="shared" si="50"/>
        <v>5564279</v>
      </c>
      <c r="K45" s="44">
        <f t="shared" si="50"/>
        <v>0</v>
      </c>
      <c r="L45" s="44">
        <f t="shared" si="50"/>
        <v>5564279</v>
      </c>
      <c r="M45" s="44">
        <f t="shared" si="50"/>
        <v>-180739918</v>
      </c>
      <c r="N45" s="45">
        <f t="shared" si="50"/>
        <v>124925338</v>
      </c>
      <c r="P45" s="43">
        <f>SUM(P46:P47)</f>
        <v>0</v>
      </c>
      <c r="Q45" s="45">
        <f>SUM(Q46:Q47)</f>
        <v>0</v>
      </c>
      <c r="R45" s="9"/>
      <c r="S45" s="689" t="str">
        <f>+IF(MARZO!S45=0,"",MARZO!S45)</f>
        <v>1010301-1</v>
      </c>
      <c r="T45" s="665" t="str">
        <f>+IF(MARZO!T45=0,"",MARZO!T45)</f>
        <v>E.P.S. - Aportes cuenta maestra</v>
      </c>
      <c r="U45" s="27">
        <f>+ENERO!U45</f>
        <v>56701284</v>
      </c>
      <c r="V45" s="15">
        <f>MARZO!V45+ABRIL!AL45</f>
        <v>0</v>
      </c>
      <c r="W45" s="15">
        <f>MARZO!W45+ABRIL!AM45</f>
        <v>0</v>
      </c>
      <c r="X45" s="18">
        <f>SUM(U45:W45)</f>
        <v>56701284</v>
      </c>
      <c r="Y45" s="19">
        <f>MARZO!AA45</f>
        <v>11809309</v>
      </c>
      <c r="Z45" s="364">
        <v>6003440</v>
      </c>
      <c r="AA45" s="18">
        <f>SUM(Y45:Z45)</f>
        <v>17812749</v>
      </c>
      <c r="AB45" s="19">
        <f>MARZO!AD45</f>
        <v>11809309</v>
      </c>
      <c r="AC45" s="364">
        <v>6003440</v>
      </c>
      <c r="AD45" s="18">
        <f>SUM(AB45:AC45)</f>
        <v>17812749</v>
      </c>
      <c r="AE45" s="19">
        <f>MARZO!AG45</f>
        <v>11809309</v>
      </c>
      <c r="AF45" s="364">
        <v>6003440</v>
      </c>
      <c r="AG45" s="18">
        <f>SUM(AE45:AF45)</f>
        <v>17812749</v>
      </c>
      <c r="AH45" s="19">
        <f>X45-AA45</f>
        <v>38888535</v>
      </c>
      <c r="AI45" s="15">
        <f>X45-AD45</f>
        <v>38888535</v>
      </c>
      <c r="AJ45" s="16">
        <f>X45-AG45</f>
        <v>38888535</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+IF(MARZO!A46=0,"",MARZO!A46)</f>
        <v>1130107-1</v>
      </c>
      <c r="B46" s="629" t="str">
        <f>+CONCATENATE("Vigencia ",INSTRUCCIONES!$F$3)</f>
        <v>Vigencia 2019</v>
      </c>
      <c r="C46" s="655">
        <f>+ENERO!C46</f>
        <v>130489617</v>
      </c>
      <c r="D46" s="363">
        <f>MARZO!D46+ABRIL!P46</f>
        <v>0</v>
      </c>
      <c r="E46" s="363">
        <f>MARZO!E46+ABRIL!Q46</f>
        <v>0</v>
      </c>
      <c r="F46" s="363">
        <f>SUM(C46:E46)</f>
        <v>130489617</v>
      </c>
      <c r="G46" s="363">
        <f>MARZO!I46</f>
        <v>273127315</v>
      </c>
      <c r="H46" s="364">
        <v>32537941</v>
      </c>
      <c r="I46" s="363">
        <f>SUM(G46:H46)</f>
        <v>305665256</v>
      </c>
      <c r="J46" s="363">
        <f>MARZO!L46</f>
        <v>0</v>
      </c>
      <c r="K46" s="364">
        <v>0</v>
      </c>
      <c r="L46" s="363">
        <f>SUM(J46:K46)</f>
        <v>0</v>
      </c>
      <c r="M46" s="363">
        <f>F46-I46</f>
        <v>-175175639</v>
      </c>
      <c r="N46" s="143">
        <f>F46-L46</f>
        <v>130489617</v>
      </c>
      <c r="O46" s="372"/>
      <c r="P46" s="362">
        <v>0</v>
      </c>
      <c r="Q46" s="365">
        <v>0</v>
      </c>
      <c r="R46" s="9"/>
      <c r="S46" s="689" t="str">
        <f>+IF(MARZO!S46=0,"",MARZO!S46)</f>
        <v>1010301-2</v>
      </c>
      <c r="T46" s="665" t="str">
        <f>+IF(MARZO!T46=0,"",MARZO!T46)</f>
        <v>Fondos pensionales - Aportes cuenta maestra</v>
      </c>
      <c r="U46" s="27">
        <f>+ENERO!U46</f>
        <v>77319919</v>
      </c>
      <c r="V46" s="15">
        <f>MARZO!V46+ABRIL!AL46</f>
        <v>0</v>
      </c>
      <c r="W46" s="15">
        <f>MARZO!W46+ABRIL!AM46</f>
        <v>0</v>
      </c>
      <c r="X46" s="18">
        <f>SUM(U46:W46)</f>
        <v>77319919</v>
      </c>
      <c r="Y46" s="19">
        <f>MARZO!AA46</f>
        <v>14929326</v>
      </c>
      <c r="Z46" s="364">
        <v>7159046</v>
      </c>
      <c r="AA46" s="18">
        <f>SUM(Y46:Z46)</f>
        <v>22088372</v>
      </c>
      <c r="AB46" s="19">
        <f>MARZO!AD46</f>
        <v>14929326</v>
      </c>
      <c r="AC46" s="364">
        <v>7159046</v>
      </c>
      <c r="AD46" s="18">
        <f>SUM(AB46:AC46)</f>
        <v>22088372</v>
      </c>
      <c r="AE46" s="19">
        <f>MARZO!AG46</f>
        <v>14929326</v>
      </c>
      <c r="AF46" s="364">
        <v>7159046</v>
      </c>
      <c r="AG46" s="18">
        <f>SUM(AE46:AF46)</f>
        <v>22088372</v>
      </c>
      <c r="AH46" s="19">
        <f>X46-AA46</f>
        <v>55231547</v>
      </c>
      <c r="AI46" s="15">
        <f>X46-AD46</f>
        <v>55231547</v>
      </c>
      <c r="AJ46" s="16">
        <f>X46-AG46</f>
        <v>55231547</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+IF(MARZO!A47=0,"",MARZO!A47)</f>
        <v>1130107-2</v>
      </c>
      <c r="B47" s="629" t="str">
        <f>+IF(MARZO!B47=0,"",MARZO!B47)</f>
        <v>Vigencia Anterior</v>
      </c>
      <c r="C47" s="655">
        <f>+ENERO!C47</f>
        <v>0</v>
      </c>
      <c r="D47" s="363">
        <f>MARZO!D47+ABRIL!P47</f>
        <v>0</v>
      </c>
      <c r="E47" s="363">
        <f>MARZO!E47+ABRIL!Q47</f>
        <v>0</v>
      </c>
      <c r="F47" s="363">
        <f>SUM(C47:E47)</f>
        <v>0</v>
      </c>
      <c r="G47" s="363">
        <f>MARZO!I47</f>
        <v>5564279</v>
      </c>
      <c r="H47" s="364">
        <v>0</v>
      </c>
      <c r="I47" s="363">
        <f>SUM(G47:H47)</f>
        <v>5564279</v>
      </c>
      <c r="J47" s="363">
        <f>MARZO!L47</f>
        <v>5564279</v>
      </c>
      <c r="K47" s="364">
        <v>0</v>
      </c>
      <c r="L47" s="363">
        <f>SUM(J47:K47)</f>
        <v>5564279</v>
      </c>
      <c r="M47" s="363">
        <f>F47-I47</f>
        <v>-5564279</v>
      </c>
      <c r="N47" s="143">
        <f>F47-L47</f>
        <v>-5564279</v>
      </c>
      <c r="O47" s="372"/>
      <c r="P47" s="362">
        <v>0</v>
      </c>
      <c r="Q47" s="365">
        <v>0</v>
      </c>
      <c r="R47" s="9"/>
      <c r="S47" s="689" t="str">
        <f>+IF(MARZO!S47=0,"",MARZO!S47)</f>
        <v>1010301-3</v>
      </c>
      <c r="T47" s="665" t="str">
        <f>+IF(MARZO!T47=0,"",MARZO!T47)</f>
        <v>Fondos de cesantías - Aportes cuenta maestra</v>
      </c>
      <c r="U47" s="27">
        <f>+ENERO!U47</f>
        <v>87698777</v>
      </c>
      <c r="V47" s="15">
        <f>MARZO!V47+ABRIL!AL47</f>
        <v>0</v>
      </c>
      <c r="W47" s="15">
        <f>MARZO!W47+ABRIL!AM47</f>
        <v>0</v>
      </c>
      <c r="X47" s="18">
        <f>SUM(U47:W47)</f>
        <v>87698777</v>
      </c>
      <c r="Y47" s="19">
        <f>MARZO!AA47</f>
        <v>0</v>
      </c>
      <c r="Z47" s="364">
        <v>0</v>
      </c>
      <c r="AA47" s="18">
        <f>SUM(Y47:Z47)</f>
        <v>0</v>
      </c>
      <c r="AB47" s="19">
        <f>MARZO!AD47</f>
        <v>0</v>
      </c>
      <c r="AC47" s="364">
        <v>0</v>
      </c>
      <c r="AD47" s="18">
        <f>SUM(AB47:AC47)</f>
        <v>0</v>
      </c>
      <c r="AE47" s="19">
        <f>MARZO!AG47</f>
        <v>0</v>
      </c>
      <c r="AF47" s="364">
        <v>0</v>
      </c>
      <c r="AG47" s="18">
        <f>SUM(AE47:AF47)</f>
        <v>0</v>
      </c>
      <c r="AH47" s="19">
        <f>X47-AA47</f>
        <v>87698777</v>
      </c>
      <c r="AI47" s="15">
        <f>X47-AD47</f>
        <v>87698777</v>
      </c>
      <c r="AJ47" s="16">
        <f>X47-AG47</f>
        <v>87698777</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+IF(MARZO!A48=0,"",MARZO!A48)</f>
        <v>1130108</v>
      </c>
      <c r="B48" s="628" t="str">
        <f>+IF(MARZO!B48=0,"",MARZO!B48)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689" t="str">
        <f>+IF(MARZO!S48=0,"",MARZO!S48)</f>
        <v>1010301-4</v>
      </c>
      <c r="T48" s="665" t="str">
        <f>+IF(MARZO!T48=0,"",MARZO!T48)</f>
        <v>Riesgos laborales - Aportes cuenta maestra</v>
      </c>
      <c r="U48" s="27">
        <f>+ENERO!U48</f>
        <v>2979584</v>
      </c>
      <c r="V48" s="15">
        <f>MARZO!V48+ABRIL!AL48</f>
        <v>0</v>
      </c>
      <c r="W48" s="15">
        <f>MARZO!W48+ABRIL!AM48</f>
        <v>0</v>
      </c>
      <c r="X48" s="18">
        <f>SUM(U48:W48)</f>
        <v>2979584</v>
      </c>
      <c r="Y48" s="19">
        <f>MARZO!AA48</f>
        <v>1718140</v>
      </c>
      <c r="Z48" s="364">
        <v>928260</v>
      </c>
      <c r="AA48" s="18">
        <f>SUM(Y48:Z48)</f>
        <v>2646400</v>
      </c>
      <c r="AB48" s="19">
        <f>MARZO!AD48</f>
        <v>1718140</v>
      </c>
      <c r="AC48" s="364">
        <v>928260</v>
      </c>
      <c r="AD48" s="18">
        <f>SUM(AB48:AC48)</f>
        <v>2646400</v>
      </c>
      <c r="AE48" s="19">
        <f>MARZO!AG48</f>
        <v>1718140</v>
      </c>
      <c r="AF48" s="364">
        <v>928260</v>
      </c>
      <c r="AG48" s="18">
        <f>SUM(AE48:AF48)</f>
        <v>2646400</v>
      </c>
      <c r="AH48" s="19">
        <f>X48-AA48</f>
        <v>333184</v>
      </c>
      <c r="AI48" s="15">
        <f>X48-AD48</f>
        <v>333184</v>
      </c>
      <c r="AJ48" s="16">
        <f>X48-AG48</f>
        <v>333184</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+IF(MARZO!A49=0,"",MARZO!A49)</f>
        <v>1130108-1</v>
      </c>
      <c r="B49" s="629" t="str">
        <f>+CONCATENATE("Vigencia ",INSTRUCCIONES!$F$3)</f>
        <v>Vigencia 2019</v>
      </c>
      <c r="C49" s="655">
        <f>+ENERO!C49</f>
        <v>0</v>
      </c>
      <c r="D49" s="363">
        <f>MARZO!D49+ABRIL!P49</f>
        <v>0</v>
      </c>
      <c r="E49" s="363">
        <f>MARZO!E49+ABRIL!Q49</f>
        <v>0</v>
      </c>
      <c r="F49" s="363">
        <f>SUM(C49:E49)</f>
        <v>0</v>
      </c>
      <c r="G49" s="363">
        <f>MARZO!I49</f>
        <v>0</v>
      </c>
      <c r="H49" s="364">
        <v>0</v>
      </c>
      <c r="I49" s="363">
        <f>SUM(G49:H49)</f>
        <v>0</v>
      </c>
      <c r="J49" s="363">
        <f>MARZO!L49</f>
        <v>0</v>
      </c>
      <c r="K49" s="364">
        <v>0</v>
      </c>
      <c r="L49" s="363">
        <f>SUM(J49:K49)</f>
        <v>0</v>
      </c>
      <c r="M49" s="363">
        <f>F49-I49</f>
        <v>0</v>
      </c>
      <c r="N49" s="143">
        <f>F49-L49</f>
        <v>0</v>
      </c>
      <c r="O49" s="372"/>
      <c r="P49" s="362">
        <v>0</v>
      </c>
      <c r="Q49" s="365">
        <v>0</v>
      </c>
      <c r="R49" s="9"/>
      <c r="S49" s="688">
        <f>+IF(MARZO!S49=0,"",MARZO!S49)</f>
        <v>1010302</v>
      </c>
      <c r="T49" s="664" t="str">
        <f>+IF(MARZO!T49=0,"",MARZO!T49)</f>
        <v>Contribuciones - Otros</v>
      </c>
      <c r="U49" s="27">
        <f t="shared" ref="U49:AJ49" si="52">SUM(U50:U54)</f>
        <v>349614882</v>
      </c>
      <c r="V49" s="15">
        <f t="shared" si="52"/>
        <v>0</v>
      </c>
      <c r="W49" s="15">
        <f t="shared" si="52"/>
        <v>0</v>
      </c>
      <c r="X49" s="18">
        <f t="shared" si="52"/>
        <v>349614882</v>
      </c>
      <c r="Y49" s="19">
        <f t="shared" si="52"/>
        <v>13110760</v>
      </c>
      <c r="Z49" s="142">
        <f t="shared" si="52"/>
        <v>4281960</v>
      </c>
      <c r="AA49" s="18">
        <f t="shared" si="52"/>
        <v>17392720</v>
      </c>
      <c r="AB49" s="19">
        <f t="shared" si="52"/>
        <v>13110760</v>
      </c>
      <c r="AC49" s="142">
        <f t="shared" si="52"/>
        <v>4281960</v>
      </c>
      <c r="AD49" s="18">
        <f t="shared" si="52"/>
        <v>17392720</v>
      </c>
      <c r="AE49" s="19">
        <f t="shared" si="52"/>
        <v>8793160</v>
      </c>
      <c r="AF49" s="142">
        <f t="shared" si="52"/>
        <v>4317600</v>
      </c>
      <c r="AG49" s="18">
        <f t="shared" si="52"/>
        <v>13110760</v>
      </c>
      <c r="AH49" s="19">
        <f t="shared" si="52"/>
        <v>332222162</v>
      </c>
      <c r="AI49" s="15">
        <f t="shared" si="52"/>
        <v>332222162</v>
      </c>
      <c r="AJ49" s="16">
        <f t="shared" si="52"/>
        <v>336504122</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+IF(MARZO!A50=0,"",MARZO!A50)</f>
        <v>1130108-2</v>
      </c>
      <c r="B50" s="629" t="str">
        <f>+IF(MARZO!B50=0,"",MARZO!B50)</f>
        <v>Vigencia Anterior</v>
      </c>
      <c r="C50" s="655">
        <f>+ENERO!C50</f>
        <v>0</v>
      </c>
      <c r="D50" s="363">
        <f>MARZO!D50+ABRIL!P50</f>
        <v>0</v>
      </c>
      <c r="E50" s="363">
        <f>MARZO!E50+ABRIL!Q50</f>
        <v>0</v>
      </c>
      <c r="F50" s="363">
        <f>SUM(C50:E50)</f>
        <v>0</v>
      </c>
      <c r="G50" s="363">
        <f>MARZO!I50</f>
        <v>0</v>
      </c>
      <c r="H50" s="364">
        <v>0</v>
      </c>
      <c r="I50" s="363">
        <f>SUM(G50:H50)</f>
        <v>0</v>
      </c>
      <c r="J50" s="363">
        <f>MARZO!L50</f>
        <v>0</v>
      </c>
      <c r="K50" s="364">
        <v>0</v>
      </c>
      <c r="L50" s="363">
        <f>SUM(J50:K50)</f>
        <v>0</v>
      </c>
      <c r="M50" s="363">
        <f>F50-I50</f>
        <v>0</v>
      </c>
      <c r="N50" s="143">
        <f>F50-L50</f>
        <v>0</v>
      </c>
      <c r="O50" s="372"/>
      <c r="P50" s="362">
        <v>0</v>
      </c>
      <c r="Q50" s="365">
        <v>0</v>
      </c>
      <c r="R50" s="9"/>
      <c r="S50" s="689" t="str">
        <f>+IF(MARZO!S50=0,"",MARZO!S50)</f>
        <v>1010302-1</v>
      </c>
      <c r="T50" s="665" t="str">
        <f>+IF(MARZO!T50=0,"",MARZO!T50)</f>
        <v>Aportes a E.P.S. - recursos propios</v>
      </c>
      <c r="U50" s="27">
        <f>+ENERO!U50</f>
        <v>79647420</v>
      </c>
      <c r="V50" s="15">
        <f>MARZO!V50+ABRIL!AL50</f>
        <v>0</v>
      </c>
      <c r="W50" s="15">
        <f>MARZO!W50+ABRIL!AM50</f>
        <v>0</v>
      </c>
      <c r="X50" s="18">
        <f t="shared" ref="X50:X55" si="53">SUM(U50:W50)</f>
        <v>79647420</v>
      </c>
      <c r="Y50" s="19">
        <f>MARZO!AA50</f>
        <v>0</v>
      </c>
      <c r="Z50" s="364">
        <v>0</v>
      </c>
      <c r="AA50" s="18">
        <f t="shared" ref="AA50:AA55" si="54">SUM(Y50:Z50)</f>
        <v>0</v>
      </c>
      <c r="AB50" s="19">
        <f>MARZO!AD50</f>
        <v>0</v>
      </c>
      <c r="AC50" s="364">
        <v>0</v>
      </c>
      <c r="AD50" s="18">
        <f t="shared" ref="AD50:AD55" si="55">SUM(AB50:AC50)</f>
        <v>0</v>
      </c>
      <c r="AE50" s="19">
        <f>MARZO!AG50</f>
        <v>0</v>
      </c>
      <c r="AF50" s="364">
        <v>0</v>
      </c>
      <c r="AG50" s="18">
        <f t="shared" ref="AG50:AG55" si="56">SUM(AE50:AF50)</f>
        <v>0</v>
      </c>
      <c r="AH50" s="19">
        <f t="shared" ref="AH50:AH55" si="57">X50-AA50</f>
        <v>79647420</v>
      </c>
      <c r="AI50" s="15">
        <f t="shared" ref="AI50:AI55" si="58">X50-AD50</f>
        <v>79647420</v>
      </c>
      <c r="AJ50" s="16">
        <f t="shared" ref="AJ50:AJ55" si="59">X50-AG50</f>
        <v>79647420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+IF(MARZO!A51=0,"",MARZO!A51)</f>
        <v>1130109</v>
      </c>
      <c r="B51" s="628" t="str">
        <f>+IF(MARZO!B51=0,"",MARZO!B51)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689" t="str">
        <f>+IF(MARZO!S51=0,"",MARZO!S51)</f>
        <v>1010302-2</v>
      </c>
      <c r="T51" s="665" t="str">
        <f>+IF(MARZO!T51=0,"",MARZO!T51)</f>
        <v>Aportes Fondos Pensionales - recursos propios</v>
      </c>
      <c r="U51" s="27">
        <f>+ENERO!U51</f>
        <v>115172321</v>
      </c>
      <c r="V51" s="15">
        <f>MARZO!V51+ABRIL!AL51</f>
        <v>0</v>
      </c>
      <c r="W51" s="15">
        <f>MARZO!W51+ABRIL!AM51</f>
        <v>0</v>
      </c>
      <c r="X51" s="18">
        <f t="shared" si="53"/>
        <v>115172321</v>
      </c>
      <c r="Y51" s="19">
        <f>MARZO!AA51</f>
        <v>0</v>
      </c>
      <c r="Z51" s="364">
        <v>0</v>
      </c>
      <c r="AA51" s="18">
        <f t="shared" si="54"/>
        <v>0</v>
      </c>
      <c r="AB51" s="19">
        <f>MARZO!AD51</f>
        <v>0</v>
      </c>
      <c r="AC51" s="364">
        <v>0</v>
      </c>
      <c r="AD51" s="18">
        <f t="shared" si="55"/>
        <v>0</v>
      </c>
      <c r="AE51" s="19">
        <f>MARZO!AG51</f>
        <v>0</v>
      </c>
      <c r="AF51" s="364">
        <v>0</v>
      </c>
      <c r="AG51" s="18">
        <f t="shared" si="56"/>
        <v>0</v>
      </c>
      <c r="AH51" s="19">
        <f t="shared" si="57"/>
        <v>115172321</v>
      </c>
      <c r="AI51" s="15">
        <f t="shared" si="58"/>
        <v>115172321</v>
      </c>
      <c r="AJ51" s="16">
        <f t="shared" si="59"/>
        <v>115172321</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+IF(MARZO!A52=0,"",MARZO!A52)</f>
        <v>1130109-1</v>
      </c>
      <c r="B52" s="629" t="str">
        <f>+CONCATENATE("Vigencia ",INSTRUCCIONES!$F$3)</f>
        <v>Vigencia 2019</v>
      </c>
      <c r="C52" s="655">
        <f>+ENERO!C52</f>
        <v>0</v>
      </c>
      <c r="D52" s="363">
        <f>MARZO!D52+ABRIL!P52</f>
        <v>0</v>
      </c>
      <c r="E52" s="363">
        <f>MARZO!E52+ABRIL!Q52</f>
        <v>0</v>
      </c>
      <c r="F52" s="363">
        <f>SUM(C52:E52)</f>
        <v>0</v>
      </c>
      <c r="G52" s="363">
        <f>MARZO!I52</f>
        <v>0</v>
      </c>
      <c r="H52" s="364">
        <v>0</v>
      </c>
      <c r="I52" s="363">
        <f>SUM(G52:H52)</f>
        <v>0</v>
      </c>
      <c r="J52" s="363">
        <f>MARZO!L52</f>
        <v>0</v>
      </c>
      <c r="K52" s="364">
        <v>0</v>
      </c>
      <c r="L52" s="363">
        <f>SUM(J52:K52)</f>
        <v>0</v>
      </c>
      <c r="M52" s="363">
        <f>F52-I52</f>
        <v>0</v>
      </c>
      <c r="N52" s="143">
        <f>F52-L52</f>
        <v>0</v>
      </c>
      <c r="O52" s="372"/>
      <c r="P52" s="362">
        <v>0</v>
      </c>
      <c r="Q52" s="365">
        <v>0</v>
      </c>
      <c r="R52" s="9"/>
      <c r="S52" s="689" t="str">
        <f>+IF(MARZO!S52=0,"",MARZO!S52)</f>
        <v>1010302-3</v>
      </c>
      <c r="T52" s="665" t="str">
        <f>+IF(MARZO!T52=0,"",MARZO!T52)</f>
        <v>Aportes a Fondos de Cesantia - recursos propios</v>
      </c>
      <c r="U52" s="27">
        <f>+ENERO!U52</f>
        <v>73960356</v>
      </c>
      <c r="V52" s="15">
        <f>MARZO!V52+ABRIL!AL52</f>
        <v>0</v>
      </c>
      <c r="W52" s="15">
        <f>MARZO!W52+ABRIL!AM52</f>
        <v>0</v>
      </c>
      <c r="X52" s="18">
        <f t="shared" si="53"/>
        <v>73960356</v>
      </c>
      <c r="Y52" s="19">
        <f>MARZO!AA52</f>
        <v>0</v>
      </c>
      <c r="Z52" s="364">
        <v>0</v>
      </c>
      <c r="AA52" s="18">
        <f t="shared" si="54"/>
        <v>0</v>
      </c>
      <c r="AB52" s="19">
        <f>MARZO!AD52</f>
        <v>0</v>
      </c>
      <c r="AC52" s="364">
        <v>0</v>
      </c>
      <c r="AD52" s="18">
        <f t="shared" si="55"/>
        <v>0</v>
      </c>
      <c r="AE52" s="19">
        <f>MARZO!AG52</f>
        <v>0</v>
      </c>
      <c r="AF52" s="364">
        <v>0</v>
      </c>
      <c r="AG52" s="18">
        <f t="shared" si="56"/>
        <v>0</v>
      </c>
      <c r="AH52" s="19">
        <f t="shared" si="57"/>
        <v>73960356</v>
      </c>
      <c r="AI52" s="15">
        <f t="shared" si="58"/>
        <v>73960356</v>
      </c>
      <c r="AJ52" s="16">
        <f t="shared" si="59"/>
        <v>73960356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+IF(MARZO!A53=0,"",MARZO!A53)</f>
        <v>1130109-2</v>
      </c>
      <c r="B53" s="629" t="str">
        <f>+IF(MARZO!B53=0,"",MARZO!B53)</f>
        <v>Vigencia Anterior</v>
      </c>
      <c r="C53" s="655">
        <f>+ENERO!C53</f>
        <v>0</v>
      </c>
      <c r="D53" s="363">
        <f>MARZO!D53+ABRIL!P53</f>
        <v>0</v>
      </c>
      <c r="E53" s="363">
        <f>MARZO!E53+ABRIL!Q53</f>
        <v>0</v>
      </c>
      <c r="F53" s="363">
        <f>SUM(C53:E53)</f>
        <v>0</v>
      </c>
      <c r="G53" s="363">
        <f>MARZO!I53</f>
        <v>0</v>
      </c>
      <c r="H53" s="364">
        <v>0</v>
      </c>
      <c r="I53" s="363">
        <f>SUM(G53:H53)</f>
        <v>0</v>
      </c>
      <c r="J53" s="363">
        <f>MARZO!L53</f>
        <v>0</v>
      </c>
      <c r="K53" s="364">
        <v>0</v>
      </c>
      <c r="L53" s="363">
        <f>SUM(J53:K53)</f>
        <v>0</v>
      </c>
      <c r="M53" s="363">
        <f>F53-I53</f>
        <v>0</v>
      </c>
      <c r="N53" s="143">
        <f>F53-L53</f>
        <v>0</v>
      </c>
      <c r="O53" s="372"/>
      <c r="P53" s="362">
        <v>0</v>
      </c>
      <c r="Q53" s="365">
        <v>0</v>
      </c>
      <c r="R53" s="9"/>
      <c r="S53" s="689" t="str">
        <f>+IF(MARZO!S53=0,"",MARZO!S53)</f>
        <v>1010302-4</v>
      </c>
      <c r="T53" s="665" t="str">
        <f>+IF(MARZO!T53=0,"",MARZO!T53)</f>
        <v>Aporte a ARL. - recursos propios</v>
      </c>
      <c r="U53" s="27">
        <f>+ENERO!U53</f>
        <v>5393830</v>
      </c>
      <c r="V53" s="15">
        <f>MARZO!V53+ABRIL!AL53</f>
        <v>0</v>
      </c>
      <c r="W53" s="15">
        <f>MARZO!W53+ABRIL!AM53</f>
        <v>0</v>
      </c>
      <c r="X53" s="18">
        <f t="shared" si="53"/>
        <v>5393830</v>
      </c>
      <c r="Y53" s="19">
        <f>MARZO!AA53</f>
        <v>0</v>
      </c>
      <c r="Z53" s="364">
        <v>0</v>
      </c>
      <c r="AA53" s="18">
        <f t="shared" si="54"/>
        <v>0</v>
      </c>
      <c r="AB53" s="19">
        <f>MARZO!AD53</f>
        <v>0</v>
      </c>
      <c r="AC53" s="364">
        <v>0</v>
      </c>
      <c r="AD53" s="18">
        <f t="shared" si="55"/>
        <v>0</v>
      </c>
      <c r="AE53" s="19">
        <f>MARZO!AG53</f>
        <v>0</v>
      </c>
      <c r="AF53" s="364">
        <v>0</v>
      </c>
      <c r="AG53" s="1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+IF(MARZO!A54=0,"",MARZO!A54)</f>
        <v>1130110</v>
      </c>
      <c r="B54" s="628" t="str">
        <f>+IF(MARZO!B54=0,"",MARZO!B54)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689" t="str">
        <f>+IF(MARZO!S54=0,"",MARZO!S54)</f>
        <v>1010302-5</v>
      </c>
      <c r="T54" s="665" t="str">
        <f>+IF(MARZO!T54=0,"",MARZO!T54)</f>
        <v>Aporte a Caja Compensación Familiar</v>
      </c>
      <c r="U54" s="27">
        <f>+ENERO!U54</f>
        <v>75440955</v>
      </c>
      <c r="V54" s="15">
        <f>MARZO!V54+ABRIL!AL54</f>
        <v>0</v>
      </c>
      <c r="W54" s="15">
        <f>MARZO!W54+ABRIL!AM54</f>
        <v>0</v>
      </c>
      <c r="X54" s="18">
        <f t="shared" si="53"/>
        <v>75440955</v>
      </c>
      <c r="Y54" s="19">
        <f>MARZO!AA54</f>
        <v>13110760</v>
      </c>
      <c r="Z54" s="364">
        <v>4281960</v>
      </c>
      <c r="AA54" s="18">
        <f t="shared" si="54"/>
        <v>17392720</v>
      </c>
      <c r="AB54" s="19">
        <f>MARZO!AD54</f>
        <v>13110760</v>
      </c>
      <c r="AC54" s="364">
        <v>4281960</v>
      </c>
      <c r="AD54" s="18">
        <f t="shared" si="55"/>
        <v>17392720</v>
      </c>
      <c r="AE54" s="19">
        <f>MARZO!AG54</f>
        <v>8793160</v>
      </c>
      <c r="AF54" s="364">
        <v>4317600</v>
      </c>
      <c r="AG54" s="18">
        <f t="shared" si="56"/>
        <v>13110760</v>
      </c>
      <c r="AH54" s="19">
        <f t="shared" si="57"/>
        <v>58048235</v>
      </c>
      <c r="AI54" s="15">
        <f t="shared" si="58"/>
        <v>58048235</v>
      </c>
      <c r="AJ54" s="16">
        <f t="shared" si="59"/>
        <v>62330195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+IF(MARZO!A55=0,"",MARZO!A55)</f>
        <v>1130110-1</v>
      </c>
      <c r="B55" s="629" t="str">
        <f>+CONCATENATE("Vigencia ",INSTRUCCIONES!$F$3)</f>
        <v>Vigencia 2019</v>
      </c>
      <c r="C55" s="655">
        <f>+ENERO!C55</f>
        <v>0</v>
      </c>
      <c r="D55" s="363">
        <f>MARZO!D55+ABRIL!P55</f>
        <v>0</v>
      </c>
      <c r="E55" s="363">
        <f>MARZO!E55+ABRIL!Q55</f>
        <v>0</v>
      </c>
      <c r="F55" s="363">
        <f>SUM(C55:E55)</f>
        <v>0</v>
      </c>
      <c r="G55" s="363">
        <f>MARZO!I55</f>
        <v>0</v>
      </c>
      <c r="H55" s="364">
        <v>0</v>
      </c>
      <c r="I55" s="363">
        <f>SUM(G55:H55)</f>
        <v>0</v>
      </c>
      <c r="J55" s="363">
        <f>MARZO!L55</f>
        <v>0</v>
      </c>
      <c r="K55" s="364">
        <v>0</v>
      </c>
      <c r="L55" s="363">
        <f>SUM(J55:K55)</f>
        <v>0</v>
      </c>
      <c r="M55" s="363">
        <f>F55-I55</f>
        <v>0</v>
      </c>
      <c r="N55" s="143">
        <f>F55-L55</f>
        <v>0</v>
      </c>
      <c r="O55" s="372"/>
      <c r="P55" s="362">
        <v>0</v>
      </c>
      <c r="Q55" s="365">
        <v>0</v>
      </c>
      <c r="R55" s="9"/>
      <c r="S55" s="688">
        <f>+IF(MARZO!S55=0,"",MARZO!S55)</f>
        <v>1010399</v>
      </c>
      <c r="T55" s="664" t="str">
        <f>+IF(MARZO!T55=0,"",MARZO!T55)</f>
        <v>Vigencias Anteriores</v>
      </c>
      <c r="U55" s="27">
        <f>+ENERO!U55</f>
        <v>108000000</v>
      </c>
      <c r="V55" s="15">
        <f>MARZO!V55+ABRIL!AL55</f>
        <v>-6501068</v>
      </c>
      <c r="W55" s="15">
        <f>MARZO!W55+ABRIL!AM55</f>
        <v>0</v>
      </c>
      <c r="X55" s="18">
        <f t="shared" si="53"/>
        <v>101498932</v>
      </c>
      <c r="Y55" s="19">
        <f>MARZO!AA55</f>
        <v>101498932</v>
      </c>
      <c r="Z55" s="364">
        <v>0</v>
      </c>
      <c r="AA55" s="18">
        <f t="shared" si="54"/>
        <v>101498932</v>
      </c>
      <c r="AB55" s="19">
        <f>MARZO!AD55</f>
        <v>101498932</v>
      </c>
      <c r="AC55" s="364">
        <v>0</v>
      </c>
      <c r="AD55" s="18">
        <f t="shared" si="55"/>
        <v>101498932</v>
      </c>
      <c r="AE55" s="19">
        <f>MARZO!AG55</f>
        <v>101498932</v>
      </c>
      <c r="AF55" s="364">
        <v>0</v>
      </c>
      <c r="AG55" s="1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+IF(MARZO!A56=0,"",MARZO!A56)</f>
        <v>1130110-2</v>
      </c>
      <c r="B56" s="629" t="str">
        <f>+IF(MARZO!B56=0,"",MARZO!B56)</f>
        <v>Vigencia Anterior</v>
      </c>
      <c r="C56" s="655">
        <f>+ENERO!C56</f>
        <v>0</v>
      </c>
      <c r="D56" s="363">
        <f>MARZO!D56+ABRIL!P56</f>
        <v>0</v>
      </c>
      <c r="E56" s="363">
        <f>MARZO!E56+ABRIL!Q56</f>
        <v>0</v>
      </c>
      <c r="F56" s="363">
        <f>SUM(C56:E56)</f>
        <v>0</v>
      </c>
      <c r="G56" s="363">
        <f>MARZO!I56</f>
        <v>0</v>
      </c>
      <c r="H56" s="364">
        <v>0</v>
      </c>
      <c r="I56" s="363">
        <f>SUM(G56:H56)</f>
        <v>0</v>
      </c>
      <c r="J56" s="363">
        <f>MARZO!L56</f>
        <v>0</v>
      </c>
      <c r="K56" s="364">
        <v>0</v>
      </c>
      <c r="L56" s="363">
        <f>SUM(J56:K56)</f>
        <v>0</v>
      </c>
      <c r="M56" s="363">
        <f>F56-I56</f>
        <v>0</v>
      </c>
      <c r="N56" s="143">
        <f>F56-L56</f>
        <v>0</v>
      </c>
      <c r="O56" s="372"/>
      <c r="P56" s="362">
        <v>0</v>
      </c>
      <c r="Q56" s="365">
        <v>0</v>
      </c>
      <c r="R56" s="9"/>
      <c r="S56" s="356" t="str">
        <f>+IF(MARZO!S56=0,"",MARZO!S56)</f>
        <v/>
      </c>
      <c r="T56" s="678" t="str">
        <f>+IF(MARZO!T56=0,"",MARZO!T56)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+IF(MARZO!A57=0,"",MARZO!A57)</f>
        <v>1130111</v>
      </c>
      <c r="B57" s="628" t="str">
        <f>+IF(MARZO!B57=0,"",MARZO!B57)</f>
        <v>IPS PRIVADAS</v>
      </c>
      <c r="C57" s="43">
        <f t="shared" ref="C57:N57" si="62">SUM(C58:C59)</f>
        <v>205713</v>
      </c>
      <c r="D57" s="44">
        <f t="shared" si="62"/>
        <v>0</v>
      </c>
      <c r="E57" s="44">
        <f t="shared" si="62"/>
        <v>0</v>
      </c>
      <c r="F57" s="44">
        <f t="shared" si="62"/>
        <v>205713</v>
      </c>
      <c r="G57" s="44">
        <f t="shared" si="62"/>
        <v>0</v>
      </c>
      <c r="H57" s="44">
        <f t="shared" si="62"/>
        <v>1082341</v>
      </c>
      <c r="I57" s="44">
        <f t="shared" si="62"/>
        <v>1082341</v>
      </c>
      <c r="J57" s="44">
        <f t="shared" si="62"/>
        <v>0</v>
      </c>
      <c r="K57" s="44">
        <f t="shared" si="62"/>
        <v>0</v>
      </c>
      <c r="L57" s="44">
        <f t="shared" si="62"/>
        <v>0</v>
      </c>
      <c r="M57" s="44">
        <f t="shared" si="62"/>
        <v>-876628</v>
      </c>
      <c r="N57" s="45">
        <f t="shared" si="62"/>
        <v>205713</v>
      </c>
      <c r="P57" s="43">
        <f>SUM(P58:P59)</f>
        <v>0</v>
      </c>
      <c r="Q57" s="45">
        <f>SUM(Q58:Q59)</f>
        <v>0</v>
      </c>
      <c r="R57" s="9"/>
      <c r="S57" s="687">
        <f>+IF(MARZO!S57=0,"",MARZO!S57)</f>
        <v>1010400</v>
      </c>
      <c r="T57" s="663" t="str">
        <f>+IF(MARZO!T57=0,"",MARZO!T57)</f>
        <v>Contribuciones Inherentes nómina del Sector Publico</v>
      </c>
      <c r="U57" s="132">
        <f t="shared" ref="U57:AJ57" si="63">U58+U61</f>
        <v>94301194</v>
      </c>
      <c r="V57" s="122">
        <f t="shared" si="63"/>
        <v>0</v>
      </c>
      <c r="W57" s="122">
        <f t="shared" si="63"/>
        <v>0</v>
      </c>
      <c r="X57" s="129">
        <f t="shared" si="63"/>
        <v>94301194</v>
      </c>
      <c r="Y57" s="128">
        <f t="shared" si="63"/>
        <v>16388450</v>
      </c>
      <c r="Z57" s="122">
        <f t="shared" si="63"/>
        <v>5352450</v>
      </c>
      <c r="AA57" s="129">
        <f t="shared" si="63"/>
        <v>21740900</v>
      </c>
      <c r="AB57" s="128">
        <f t="shared" si="63"/>
        <v>16388450</v>
      </c>
      <c r="AC57" s="122">
        <f t="shared" si="63"/>
        <v>5352450</v>
      </c>
      <c r="AD57" s="129">
        <f t="shared" si="63"/>
        <v>21740900</v>
      </c>
      <c r="AE57" s="128">
        <f t="shared" si="63"/>
        <v>10991450</v>
      </c>
      <c r="AF57" s="122">
        <f t="shared" si="63"/>
        <v>5397000</v>
      </c>
      <c r="AG57" s="129">
        <f t="shared" si="63"/>
        <v>16388450</v>
      </c>
      <c r="AH57" s="128">
        <f t="shared" si="63"/>
        <v>72560294</v>
      </c>
      <c r="AI57" s="122">
        <f t="shared" si="63"/>
        <v>72560294</v>
      </c>
      <c r="AJ57" s="130">
        <f t="shared" si="63"/>
        <v>77912744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+IF(MARZO!A58=0,"",MARZO!A58)</f>
        <v>1130111-1</v>
      </c>
      <c r="B58" s="629" t="str">
        <f>+CONCATENATE("Vigencia ",INSTRUCCIONES!$F$3)</f>
        <v>Vigencia 2019</v>
      </c>
      <c r="C58" s="655">
        <f>+ENERO!C58</f>
        <v>205713</v>
      </c>
      <c r="D58" s="363">
        <f>MARZO!D58+ABRIL!P58</f>
        <v>0</v>
      </c>
      <c r="E58" s="363">
        <f>MARZO!E58+ABRIL!Q58</f>
        <v>0</v>
      </c>
      <c r="F58" s="363">
        <f>SUM(C58:E58)</f>
        <v>205713</v>
      </c>
      <c r="G58" s="363">
        <f>MARZO!I58</f>
        <v>0</v>
      </c>
      <c r="H58" s="364">
        <v>1082341</v>
      </c>
      <c r="I58" s="363">
        <f>SUM(G58:H58)</f>
        <v>1082341</v>
      </c>
      <c r="J58" s="363">
        <f>MARZO!L58</f>
        <v>0</v>
      </c>
      <c r="K58" s="364">
        <v>0</v>
      </c>
      <c r="L58" s="363">
        <f>SUM(J58:K58)</f>
        <v>0</v>
      </c>
      <c r="M58" s="363">
        <f>F58-I58</f>
        <v>-876628</v>
      </c>
      <c r="N58" s="143">
        <f>F58-L58</f>
        <v>205713</v>
      </c>
      <c r="O58" s="372"/>
      <c r="P58" s="362">
        <v>0</v>
      </c>
      <c r="Q58" s="365">
        <v>0</v>
      </c>
      <c r="R58" s="9"/>
      <c r="S58" s="688">
        <f>+IF(MARZO!S58=0,"",MARZO!S58)</f>
        <v>1010402</v>
      </c>
      <c r="T58" s="664" t="str">
        <f>+IF(MARZO!T58=0,"",MARZO!T58)</f>
        <v>Contribuciones - Otros</v>
      </c>
      <c r="U58" s="27">
        <f t="shared" ref="U58:AJ58" si="64">SUM(U59:U60)</f>
        <v>94301194</v>
      </c>
      <c r="V58" s="15">
        <f t="shared" si="64"/>
        <v>0</v>
      </c>
      <c r="W58" s="15">
        <f t="shared" si="64"/>
        <v>0</v>
      </c>
      <c r="X58" s="18">
        <f t="shared" si="64"/>
        <v>94301194</v>
      </c>
      <c r="Y58" s="19">
        <f t="shared" si="64"/>
        <v>16388450</v>
      </c>
      <c r="Z58" s="142">
        <f t="shared" si="64"/>
        <v>5352450</v>
      </c>
      <c r="AA58" s="18">
        <f t="shared" si="64"/>
        <v>21740900</v>
      </c>
      <c r="AB58" s="19">
        <f t="shared" si="64"/>
        <v>16388450</v>
      </c>
      <c r="AC58" s="142">
        <f t="shared" si="64"/>
        <v>5352450</v>
      </c>
      <c r="AD58" s="18">
        <f t="shared" si="64"/>
        <v>21740900</v>
      </c>
      <c r="AE58" s="19">
        <f t="shared" si="64"/>
        <v>10991450</v>
      </c>
      <c r="AF58" s="142">
        <f t="shared" si="64"/>
        <v>5397000</v>
      </c>
      <c r="AG58" s="18">
        <f t="shared" si="64"/>
        <v>16388450</v>
      </c>
      <c r="AH58" s="19">
        <f t="shared" si="64"/>
        <v>72560294</v>
      </c>
      <c r="AI58" s="15">
        <f t="shared" si="64"/>
        <v>72560294</v>
      </c>
      <c r="AJ58" s="16">
        <f t="shared" si="64"/>
        <v>77912744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+IF(MARZO!A59=0,"",MARZO!A59)</f>
        <v>1130111-2</v>
      </c>
      <c r="B59" s="629" t="str">
        <f>+IF(MARZO!B59=0,"",MARZO!B59)</f>
        <v>Vigencia Anterior</v>
      </c>
      <c r="C59" s="655">
        <f>+ENERO!C59</f>
        <v>0</v>
      </c>
      <c r="D59" s="363">
        <f>MARZO!D59+ABRIL!P59</f>
        <v>0</v>
      </c>
      <c r="E59" s="363">
        <f>MARZO!E59+ABRIL!Q59</f>
        <v>0</v>
      </c>
      <c r="F59" s="363">
        <f>SUM(C59:E59)</f>
        <v>0</v>
      </c>
      <c r="G59" s="363">
        <f>MARZO!I59</f>
        <v>0</v>
      </c>
      <c r="H59" s="364">
        <v>0</v>
      </c>
      <c r="I59" s="363">
        <f>SUM(G59:H59)</f>
        <v>0</v>
      </c>
      <c r="J59" s="363">
        <f>MARZO!L59</f>
        <v>0</v>
      </c>
      <c r="K59" s="364">
        <v>0</v>
      </c>
      <c r="L59" s="363">
        <f>SUM(J59:K59)</f>
        <v>0</v>
      </c>
      <c r="M59" s="363">
        <f>F59-I59</f>
        <v>0</v>
      </c>
      <c r="N59" s="143">
        <f>F59-L59</f>
        <v>0</v>
      </c>
      <c r="O59" s="372"/>
      <c r="P59" s="362">
        <v>0</v>
      </c>
      <c r="Q59" s="365">
        <v>0</v>
      </c>
      <c r="R59" s="9"/>
      <c r="S59" s="689" t="str">
        <f>+IF(MARZO!S59=0,"",MARZO!S59)</f>
        <v>1010402-1</v>
      </c>
      <c r="T59" s="664" t="str">
        <f>+IF(MARZO!T59=0,"",MARZO!T59)</f>
        <v>S.E.N.A.</v>
      </c>
      <c r="U59" s="27">
        <f>+ENERO!U59</f>
        <v>37720478</v>
      </c>
      <c r="V59" s="15">
        <f>MARZO!V59+ABRIL!AL59</f>
        <v>0</v>
      </c>
      <c r="W59" s="15">
        <f>MARZO!W59+ABRIL!AM59</f>
        <v>0</v>
      </c>
      <c r="X59" s="18">
        <f>SUM(U59:W59)</f>
        <v>37720478</v>
      </c>
      <c r="Y59" s="19">
        <f>MARZO!AA59</f>
        <v>6555380</v>
      </c>
      <c r="Z59" s="364">
        <v>2140980</v>
      </c>
      <c r="AA59" s="18">
        <f>SUM(Y59:Z59)</f>
        <v>8696360</v>
      </c>
      <c r="AB59" s="19">
        <f>MARZO!AD59</f>
        <v>6555380</v>
      </c>
      <c r="AC59" s="364">
        <v>2140980</v>
      </c>
      <c r="AD59" s="18">
        <f>SUM(AB59:AC59)</f>
        <v>8696360</v>
      </c>
      <c r="AE59" s="19">
        <f>MARZO!AG59</f>
        <v>4396580</v>
      </c>
      <c r="AF59" s="364">
        <v>2158800</v>
      </c>
      <c r="AG59" s="18">
        <f>SUM(AE59:AF59)</f>
        <v>6555380</v>
      </c>
      <c r="AH59" s="19">
        <f>X59-AA59</f>
        <v>29024118</v>
      </c>
      <c r="AI59" s="15">
        <f>X59-AD59</f>
        <v>29024118</v>
      </c>
      <c r="AJ59" s="16">
        <f>X59-AG59</f>
        <v>31165098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+IF(MARZO!A60=0,"",MARZO!A60)</f>
        <v>1130112</v>
      </c>
      <c r="B60" s="628" t="str">
        <f>+IF(MARZO!B60=0,"",MARZO!B60)</f>
        <v>IPS PUBLICAS</v>
      </c>
      <c r="C60" s="43">
        <f t="shared" ref="C60:N60" si="65">SUM(C61:C62)</f>
        <v>0</v>
      </c>
      <c r="D60" s="44">
        <f t="shared" si="65"/>
        <v>0</v>
      </c>
      <c r="E60" s="44">
        <f t="shared" si="65"/>
        <v>0</v>
      </c>
      <c r="F60" s="44">
        <f t="shared" si="65"/>
        <v>0</v>
      </c>
      <c r="G60" s="44">
        <f t="shared" si="65"/>
        <v>1865493</v>
      </c>
      <c r="H60" s="44">
        <f t="shared" si="65"/>
        <v>384462</v>
      </c>
      <c r="I60" s="44">
        <f t="shared" si="65"/>
        <v>2249955</v>
      </c>
      <c r="J60" s="44">
        <f t="shared" si="65"/>
        <v>1707354</v>
      </c>
      <c r="K60" s="44">
        <f t="shared" si="65"/>
        <v>542601</v>
      </c>
      <c r="L60" s="44">
        <f t="shared" si="65"/>
        <v>2249955</v>
      </c>
      <c r="M60" s="44">
        <f t="shared" si="65"/>
        <v>-2249955</v>
      </c>
      <c r="N60" s="45">
        <f t="shared" si="65"/>
        <v>-2249955</v>
      </c>
      <c r="P60" s="43">
        <f>SUM(P61:P62)</f>
        <v>0</v>
      </c>
      <c r="Q60" s="45">
        <f>SUM(Q61:Q62)</f>
        <v>0</v>
      </c>
      <c r="R60" s="9"/>
      <c r="S60" s="689" t="str">
        <f>+IF(MARZO!S60=0,"",MARZO!S60)</f>
        <v>1010402-2</v>
      </c>
      <c r="T60" s="664" t="str">
        <f>+IF(MARZO!T60=0,"",MARZO!T60)</f>
        <v>I.C.B.F.</v>
      </c>
      <c r="U60" s="27">
        <f>+ENERO!U60</f>
        <v>56580716</v>
      </c>
      <c r="V60" s="15">
        <f>MARZO!V60+ABRIL!AL60</f>
        <v>0</v>
      </c>
      <c r="W60" s="15">
        <f>MARZO!W60+ABRIL!AM60</f>
        <v>0</v>
      </c>
      <c r="X60" s="18">
        <f>SUM(U60:W60)</f>
        <v>56580716</v>
      </c>
      <c r="Y60" s="19">
        <f>MARZO!AA60</f>
        <v>9833070</v>
      </c>
      <c r="Z60" s="364">
        <v>3211470</v>
      </c>
      <c r="AA60" s="18">
        <f>SUM(Y60:Z60)</f>
        <v>13044540</v>
      </c>
      <c r="AB60" s="19">
        <f>MARZO!AD60</f>
        <v>9833070</v>
      </c>
      <c r="AC60" s="364">
        <v>3211470</v>
      </c>
      <c r="AD60" s="18">
        <f>SUM(AB60:AC60)</f>
        <v>13044540</v>
      </c>
      <c r="AE60" s="19">
        <f>MARZO!AG60</f>
        <v>6594870</v>
      </c>
      <c r="AF60" s="364">
        <v>3238200</v>
      </c>
      <c r="AG60" s="18">
        <f>SUM(AE60:AF60)</f>
        <v>9833070</v>
      </c>
      <c r="AH60" s="19">
        <f>X60-AA60</f>
        <v>43536176</v>
      </c>
      <c r="AI60" s="15">
        <f>X60-AD60</f>
        <v>43536176</v>
      </c>
      <c r="AJ60" s="16">
        <f>X60-AG60</f>
        <v>46747646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+IF(MARZO!A61=0,"",MARZO!A61)</f>
        <v>1130112-1</v>
      </c>
      <c r="B61" s="629" t="str">
        <f>+CONCATENATE("Vigencia ",INSTRUCCIONES!$F$3)</f>
        <v>Vigencia 2019</v>
      </c>
      <c r="C61" s="655">
        <f>+ENERO!C61</f>
        <v>0</v>
      </c>
      <c r="D61" s="363">
        <f>MARZO!D61+ABRIL!P61</f>
        <v>0</v>
      </c>
      <c r="E61" s="363">
        <f>MARZO!E61+ABRIL!Q61</f>
        <v>0</v>
      </c>
      <c r="F61" s="363">
        <f>SUM(C61:E61)</f>
        <v>0</v>
      </c>
      <c r="G61" s="363">
        <f>MARZO!I61</f>
        <v>158139</v>
      </c>
      <c r="H61" s="364">
        <v>227906</v>
      </c>
      <c r="I61" s="454">
        <f>SUM(G61:H61)</f>
        <v>386045</v>
      </c>
      <c r="J61" s="363">
        <f>MARZO!L61</f>
        <v>0</v>
      </c>
      <c r="K61" s="364">
        <v>386045</v>
      </c>
      <c r="L61" s="454">
        <f>SUM(J61:K61)</f>
        <v>386045</v>
      </c>
      <c r="M61" s="363">
        <f>F61-I61</f>
        <v>-386045</v>
      </c>
      <c r="N61" s="143">
        <f>F61-L61</f>
        <v>-386045</v>
      </c>
      <c r="O61" s="372"/>
      <c r="P61" s="362">
        <v>0</v>
      </c>
      <c r="Q61" s="365">
        <v>0</v>
      </c>
      <c r="R61" s="9"/>
      <c r="S61" s="688">
        <f>+IF(MARZO!S61=0,"",MARZO!S61)</f>
        <v>1010499</v>
      </c>
      <c r="T61" s="664" t="str">
        <f>+IF(MARZO!T61=0,"",MARZO!T61)</f>
        <v>Vigencias Anteriores</v>
      </c>
      <c r="U61" s="27">
        <f>+ENERO!U61</f>
        <v>0</v>
      </c>
      <c r="V61" s="15">
        <f>MARZO!V61+ABRIL!AL61</f>
        <v>0</v>
      </c>
      <c r="W61" s="15">
        <f>MARZO!W61+ABRIL!AM61</f>
        <v>0</v>
      </c>
      <c r="X61" s="18">
        <f>SUM(U61:W61)</f>
        <v>0</v>
      </c>
      <c r="Y61" s="19">
        <f>MARZO!AA61</f>
        <v>0</v>
      </c>
      <c r="Z61" s="364">
        <v>0</v>
      </c>
      <c r="AA61" s="18">
        <f>SUM(Y61:Z61)</f>
        <v>0</v>
      </c>
      <c r="AB61" s="19">
        <f>MARZO!AD61</f>
        <v>0</v>
      </c>
      <c r="AC61" s="364">
        <v>0</v>
      </c>
      <c r="AD61" s="18">
        <f>SUM(AB61:AC61)</f>
        <v>0</v>
      </c>
      <c r="AE61" s="19">
        <f>MARZO!AG61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+IF(MARZO!A62=0,"",MARZO!A62)</f>
        <v>1130112-2</v>
      </c>
      <c r="B62" s="629" t="str">
        <f>+IF(MARZO!B62=0,"",MARZO!B62)</f>
        <v>Vigencia Anterior</v>
      </c>
      <c r="C62" s="655">
        <f>+ENERO!C62</f>
        <v>0</v>
      </c>
      <c r="D62" s="363">
        <f>MARZO!D62+ABRIL!P62</f>
        <v>0</v>
      </c>
      <c r="E62" s="363">
        <f>MARZO!E62+ABRIL!Q62</f>
        <v>0</v>
      </c>
      <c r="F62" s="363">
        <f>SUM(C62:E62)</f>
        <v>0</v>
      </c>
      <c r="G62" s="363">
        <f>MARZO!I62</f>
        <v>1707354</v>
      </c>
      <c r="H62" s="364">
        <v>156556</v>
      </c>
      <c r="I62" s="363">
        <f>SUM(G62:H62)</f>
        <v>1863910</v>
      </c>
      <c r="J62" s="363">
        <f>MARZO!L62</f>
        <v>1707354</v>
      </c>
      <c r="K62" s="364">
        <v>156556</v>
      </c>
      <c r="L62" s="363">
        <f>SUM(J62:K62)</f>
        <v>1863910</v>
      </c>
      <c r="M62" s="363">
        <f>F62-I62</f>
        <v>-1863910</v>
      </c>
      <c r="N62" s="143">
        <f>F62-L62</f>
        <v>-1863910</v>
      </c>
      <c r="O62" s="372"/>
      <c r="P62" s="362">
        <v>0</v>
      </c>
      <c r="Q62" s="365">
        <v>0</v>
      </c>
      <c r="R62" s="9"/>
      <c r="S62" s="356" t="str">
        <f>+IF(MARZO!S62=0,"",MARZO!S62)</f>
        <v/>
      </c>
      <c r="T62" s="678" t="str">
        <f>+IF(MARZO!T62=0,"",MARZO!T62)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+IF(MARZO!A63=0,"",MARZO!A63)</f>
        <v>1130113</v>
      </c>
      <c r="B63" s="628" t="str">
        <f>+IF(MARZO!B63=0,"",MARZO!B63)</f>
        <v>COMPAÑIAS DE SEGUROS  - ACCIDENTES DE TRANSITO (SOAT)</v>
      </c>
      <c r="C63" s="43">
        <f t="shared" ref="C63:N63" si="66">SUM(C64:C65)</f>
        <v>8371510292</v>
      </c>
      <c r="D63" s="44">
        <f t="shared" si="66"/>
        <v>0</v>
      </c>
      <c r="E63" s="44">
        <f t="shared" si="66"/>
        <v>1649933298</v>
      </c>
      <c r="F63" s="44">
        <f t="shared" si="66"/>
        <v>10021443590</v>
      </c>
      <c r="G63" s="44">
        <f t="shared" si="66"/>
        <v>4483778235</v>
      </c>
      <c r="H63" s="44">
        <f t="shared" si="66"/>
        <v>125694600</v>
      </c>
      <c r="I63" s="44">
        <f t="shared" si="66"/>
        <v>4609472835</v>
      </c>
      <c r="J63" s="44">
        <f t="shared" si="66"/>
        <v>2246814386</v>
      </c>
      <c r="K63" s="44">
        <f t="shared" si="66"/>
        <v>340770617.14999998</v>
      </c>
      <c r="L63" s="44">
        <f t="shared" si="66"/>
        <v>2587585003.1500001</v>
      </c>
      <c r="M63" s="44">
        <f t="shared" si="66"/>
        <v>5411970755</v>
      </c>
      <c r="N63" s="45">
        <f t="shared" si="66"/>
        <v>7433858586.8500004</v>
      </c>
      <c r="P63" s="43">
        <f>SUM(P64:P65)</f>
        <v>0</v>
      </c>
      <c r="Q63" s="45">
        <f>SUM(Q64:Q65)</f>
        <v>0</v>
      </c>
      <c r="R63" s="9"/>
      <c r="S63" s="686">
        <f>+IF(MARZO!S63=0,"",MARZO!S63)</f>
        <v>1020010</v>
      </c>
      <c r="T63" s="662" t="str">
        <f>+IF(MARZO!T63=0,"",MARZO!T63)</f>
        <v>Gastos de Operación</v>
      </c>
      <c r="U63" s="132">
        <f t="shared" ref="U63:AJ63" si="67">U65+U83+U90+U104</f>
        <v>29994047768</v>
      </c>
      <c r="V63" s="122">
        <f t="shared" si="67"/>
        <v>6501068</v>
      </c>
      <c r="W63" s="122">
        <f t="shared" si="67"/>
        <v>1653182074</v>
      </c>
      <c r="X63" s="129">
        <f t="shared" si="67"/>
        <v>31653730910</v>
      </c>
      <c r="Y63" s="128">
        <f t="shared" si="67"/>
        <v>20820970275</v>
      </c>
      <c r="Z63" s="122">
        <f t="shared" si="67"/>
        <v>1419055978</v>
      </c>
      <c r="AA63" s="129">
        <f t="shared" si="67"/>
        <v>22240026253</v>
      </c>
      <c r="AB63" s="128">
        <f t="shared" si="67"/>
        <v>8104851373</v>
      </c>
      <c r="AC63" s="122">
        <f t="shared" si="67"/>
        <v>2751553432</v>
      </c>
      <c r="AD63" s="129">
        <f t="shared" si="67"/>
        <v>10856404805</v>
      </c>
      <c r="AE63" s="128">
        <f t="shared" si="67"/>
        <v>4056584345</v>
      </c>
      <c r="AF63" s="122">
        <f t="shared" si="67"/>
        <v>1938474851</v>
      </c>
      <c r="AG63" s="129">
        <f t="shared" si="67"/>
        <v>5995059196</v>
      </c>
      <c r="AH63" s="128">
        <f t="shared" si="67"/>
        <v>9413704657</v>
      </c>
      <c r="AI63" s="122">
        <f t="shared" si="67"/>
        <v>20797326105</v>
      </c>
      <c r="AJ63" s="130">
        <f t="shared" si="67"/>
        <v>25658671714</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+IF(MARZO!A64=0,"",MARZO!A64)</f>
        <v>1130113-1</v>
      </c>
      <c r="B64" s="629" t="str">
        <f>+CONCATENATE("Vigencia ",INSTRUCCIONES!$F$3)</f>
        <v>Vigencia 2019</v>
      </c>
      <c r="C64" s="655">
        <f>+ENERO!C64</f>
        <v>8371510292</v>
      </c>
      <c r="D64" s="363">
        <f>MARZO!D64+ABRIL!P64</f>
        <v>0</v>
      </c>
      <c r="E64" s="363">
        <f>MARZO!E64+ABRIL!Q64</f>
        <v>0</v>
      </c>
      <c r="F64" s="363">
        <f>SUM(C64:E64)</f>
        <v>8371510292</v>
      </c>
      <c r="G64" s="363">
        <f>MARZO!I64</f>
        <v>2768797525</v>
      </c>
      <c r="H64" s="364">
        <v>14903944</v>
      </c>
      <c r="I64" s="363">
        <f>SUM(G64:H64)</f>
        <v>2783701469</v>
      </c>
      <c r="J64" s="363">
        <f>MARZO!L64</f>
        <v>531833676</v>
      </c>
      <c r="K64" s="364">
        <v>229979961.15000001</v>
      </c>
      <c r="L64" s="363">
        <f>SUM(J64:K64)</f>
        <v>761813637.14999998</v>
      </c>
      <c r="M64" s="363">
        <f>F64-I64</f>
        <v>5587808823</v>
      </c>
      <c r="N64" s="143">
        <f>F64-L64</f>
        <v>7609696654.8500004</v>
      </c>
      <c r="O64" s="372"/>
      <c r="P64" s="362">
        <v>0</v>
      </c>
      <c r="Q64" s="365">
        <v>0</v>
      </c>
      <c r="R64" s="9"/>
      <c r="S64" s="356" t="str">
        <f>+IF(MARZO!S64=0,"",MARZO!S64)</f>
        <v/>
      </c>
      <c r="T64" s="678" t="str">
        <f>+IF(MARZO!T64=0,"",MARZO!T64)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+IF(MARZO!A65=0,"",MARZO!A65)</f>
        <v>1130113-2</v>
      </c>
      <c r="B65" s="629" t="str">
        <f>+IF(MARZO!B65=0,"",MARZO!B65)</f>
        <v>Vigencia Anterior</v>
      </c>
      <c r="C65" s="655">
        <f>+ENERO!C65</f>
        <v>0</v>
      </c>
      <c r="D65" s="363">
        <f>MARZO!D65+ABRIL!P65</f>
        <v>0</v>
      </c>
      <c r="E65" s="363">
        <f>MARZO!E65+ABRIL!Q65</f>
        <v>1649933298</v>
      </c>
      <c r="F65" s="363">
        <f>SUM(C65:E65)</f>
        <v>1649933298</v>
      </c>
      <c r="G65" s="363">
        <f>MARZO!I65</f>
        <v>1714980710</v>
      </c>
      <c r="H65" s="364">
        <v>110790656</v>
      </c>
      <c r="I65" s="363">
        <f>SUM(G65:H65)</f>
        <v>1825771366</v>
      </c>
      <c r="J65" s="363">
        <f>MARZO!L65</f>
        <v>1714980710</v>
      </c>
      <c r="K65" s="364">
        <v>110790656</v>
      </c>
      <c r="L65" s="363">
        <f>SUM(J65:K65)</f>
        <v>1825771366</v>
      </c>
      <c r="M65" s="363">
        <f>F65-I65</f>
        <v>-175838068</v>
      </c>
      <c r="N65" s="143">
        <f>F65-L65</f>
        <v>-175838068</v>
      </c>
      <c r="O65" s="372"/>
      <c r="P65" s="362">
        <v>0</v>
      </c>
      <c r="Q65" s="365">
        <v>0</v>
      </c>
      <c r="R65" s="9"/>
      <c r="S65" s="687">
        <f>+IF(MARZO!S65=0,"",MARZO!S65)</f>
        <v>1020100</v>
      </c>
      <c r="T65" s="663" t="str">
        <f>+IF(MARZO!T65=0,"",MARZO!T65)</f>
        <v>Servicios Personales Asociados a Nómina</v>
      </c>
      <c r="U65" s="132">
        <f t="shared" ref="U65:AJ65" si="68">SUM(U66:U69)+U81</f>
        <v>5283965861</v>
      </c>
      <c r="V65" s="122">
        <f t="shared" si="68"/>
        <v>0</v>
      </c>
      <c r="W65" s="122">
        <f t="shared" si="68"/>
        <v>0</v>
      </c>
      <c r="X65" s="129">
        <f t="shared" si="68"/>
        <v>5283965861</v>
      </c>
      <c r="Y65" s="128">
        <f t="shared" si="68"/>
        <v>552838380</v>
      </c>
      <c r="Z65" s="122">
        <f t="shared" si="68"/>
        <v>188364996</v>
      </c>
      <c r="AA65" s="129">
        <f t="shared" si="68"/>
        <v>741203376</v>
      </c>
      <c r="AB65" s="128">
        <f t="shared" si="68"/>
        <v>552818380</v>
      </c>
      <c r="AC65" s="122">
        <f t="shared" si="68"/>
        <v>188384996</v>
      </c>
      <c r="AD65" s="129">
        <f t="shared" si="68"/>
        <v>741203376</v>
      </c>
      <c r="AE65" s="128">
        <f t="shared" si="68"/>
        <v>552818380</v>
      </c>
      <c r="AF65" s="122">
        <f t="shared" si="68"/>
        <v>188384996</v>
      </c>
      <c r="AG65" s="129">
        <f t="shared" si="68"/>
        <v>741203376</v>
      </c>
      <c r="AH65" s="128">
        <f t="shared" si="68"/>
        <v>4542762485</v>
      </c>
      <c r="AI65" s="122">
        <f t="shared" si="68"/>
        <v>4542762485</v>
      </c>
      <c r="AJ65" s="130">
        <f t="shared" si="68"/>
        <v>4542762485</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+IF(MARZO!A66=0,"",MARZO!A66)</f>
        <v>1130114</v>
      </c>
      <c r="B66" s="628" t="str">
        <f>+IF(MARZO!B66=0,"",MARZO!B66)</f>
        <v xml:space="preserve">COMPAÑIAS DE SEGUROS  - PLANES DE SALUD  </v>
      </c>
      <c r="C66" s="43">
        <f t="shared" ref="C66:N66" si="69">SUM(C67:C68)</f>
        <v>11965775</v>
      </c>
      <c r="D66" s="44">
        <f t="shared" si="69"/>
        <v>0</v>
      </c>
      <c r="E66" s="44">
        <f t="shared" si="69"/>
        <v>0</v>
      </c>
      <c r="F66" s="44">
        <f t="shared" si="69"/>
        <v>11965775</v>
      </c>
      <c r="G66" s="44">
        <f t="shared" si="69"/>
        <v>18258216</v>
      </c>
      <c r="H66" s="44">
        <f t="shared" si="69"/>
        <v>19637206</v>
      </c>
      <c r="I66" s="44">
        <f t="shared" si="69"/>
        <v>37895422</v>
      </c>
      <c r="J66" s="44">
        <f t="shared" si="69"/>
        <v>0</v>
      </c>
      <c r="K66" s="44">
        <f t="shared" si="69"/>
        <v>0</v>
      </c>
      <c r="L66" s="44">
        <f t="shared" si="69"/>
        <v>0</v>
      </c>
      <c r="M66" s="44">
        <f t="shared" si="69"/>
        <v>-25929647</v>
      </c>
      <c r="N66" s="45">
        <f t="shared" si="69"/>
        <v>11965775</v>
      </c>
      <c r="P66" s="43">
        <f>SUM(P67:P68)</f>
        <v>0</v>
      </c>
      <c r="Q66" s="45">
        <f>SUM(Q67:Q68)</f>
        <v>0</v>
      </c>
      <c r="R66" s="9"/>
      <c r="S66" s="688">
        <f>+IF(MARZO!S66=0,"",MARZO!S66)</f>
        <v>1020101</v>
      </c>
      <c r="T66" s="664" t="str">
        <f>+IF(MARZO!T66=0,"",MARZO!T66)</f>
        <v>Sueldos del Personal de nómina</v>
      </c>
      <c r="U66" s="27">
        <f>+ENERO!U66</f>
        <v>3773107838</v>
      </c>
      <c r="V66" s="15">
        <f>MARZO!V66+ABRIL!AL66</f>
        <v>0</v>
      </c>
      <c r="W66" s="15">
        <f>MARZO!W66+ABRIL!AM66</f>
        <v>0</v>
      </c>
      <c r="X66" s="18">
        <f>SUM(U66:W66)</f>
        <v>3773107838</v>
      </c>
      <c r="Y66" s="19">
        <f>MARZO!AA66</f>
        <v>498830938</v>
      </c>
      <c r="Z66" s="364">
        <v>164321689</v>
      </c>
      <c r="AA66" s="18">
        <f>SUM(Y66:Z66)</f>
        <v>663152627</v>
      </c>
      <c r="AB66" s="19">
        <f>MARZO!AD66</f>
        <v>498810938</v>
      </c>
      <c r="AC66" s="364">
        <v>164341689</v>
      </c>
      <c r="AD66" s="18">
        <f>SUM(AB66:AC66)</f>
        <v>663152627</v>
      </c>
      <c r="AE66" s="19">
        <f>MARZO!AG66</f>
        <v>498810938</v>
      </c>
      <c r="AF66" s="364">
        <v>164341689</v>
      </c>
      <c r="AG66" s="18">
        <f>SUM(AE66:AF66)</f>
        <v>663152627</v>
      </c>
      <c r="AH66" s="19">
        <f>X66-AA66</f>
        <v>3109955211</v>
      </c>
      <c r="AI66" s="15">
        <f>X66-AD66</f>
        <v>3109955211</v>
      </c>
      <c r="AJ66" s="16">
        <f>X66-AG66</f>
        <v>3109955211</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+IF(MARZO!A67=0,"",MARZO!A67)</f>
        <v>1130114-1</v>
      </c>
      <c r="B67" s="629" t="str">
        <f>+CONCATENATE("Vigencia ",INSTRUCCIONES!$F$3)</f>
        <v>Vigencia 2019</v>
      </c>
      <c r="C67" s="655">
        <f>+ENERO!C67</f>
        <v>11965775</v>
      </c>
      <c r="D67" s="363">
        <f>MARZO!D67+ABRIL!P67</f>
        <v>0</v>
      </c>
      <c r="E67" s="363">
        <f>MARZO!E67+ABRIL!Q67</f>
        <v>0</v>
      </c>
      <c r="F67" s="363">
        <f>SUM(C67:E67)</f>
        <v>11965775</v>
      </c>
      <c r="G67" s="363">
        <f>MARZO!I67</f>
        <v>18258216</v>
      </c>
      <c r="H67" s="364">
        <v>19637206</v>
      </c>
      <c r="I67" s="363">
        <f>SUM(G67:H67)</f>
        <v>37895422</v>
      </c>
      <c r="J67" s="363">
        <f>MARZO!L67</f>
        <v>0</v>
      </c>
      <c r="K67" s="364">
        <v>0</v>
      </c>
      <c r="L67" s="363">
        <f>SUM(J67:K67)</f>
        <v>0</v>
      </c>
      <c r="M67" s="363">
        <f>F67-I67</f>
        <v>-25929647</v>
      </c>
      <c r="N67" s="143">
        <f>F67-L67</f>
        <v>11965775</v>
      </c>
      <c r="O67" s="372"/>
      <c r="P67" s="362">
        <v>0</v>
      </c>
      <c r="Q67" s="365">
        <v>0</v>
      </c>
      <c r="R67" s="9"/>
      <c r="S67" s="688">
        <f>+IF(MARZO!S67=0,"",MARZO!S67)</f>
        <v>1020102</v>
      </c>
      <c r="T67" s="664" t="str">
        <f>+IF(MARZO!T67=0,"",MARZO!T67)</f>
        <v>Horas Extras,Dominic.,Festivos y Rec. Nocturnos</v>
      </c>
      <c r="U67" s="27">
        <f>+ENERO!U67</f>
        <v>329885360</v>
      </c>
      <c r="V67" s="15">
        <f>MARZO!V67+ABRIL!AL67</f>
        <v>0</v>
      </c>
      <c r="W67" s="15">
        <f>MARZO!W67+ABRIL!AM67</f>
        <v>0</v>
      </c>
      <c r="X67" s="18">
        <f>SUM(U67:W67)</f>
        <v>329885360</v>
      </c>
      <c r="Y67" s="19">
        <f>MARZO!AA67</f>
        <v>21604394</v>
      </c>
      <c r="Z67" s="364">
        <v>11777697</v>
      </c>
      <c r="AA67" s="18">
        <f>SUM(Y67:Z67)</f>
        <v>33382091</v>
      </c>
      <c r="AB67" s="19">
        <f>MARZO!AD67</f>
        <v>21604394</v>
      </c>
      <c r="AC67" s="364">
        <v>11777697</v>
      </c>
      <c r="AD67" s="18">
        <f>SUM(AB67:AC67)</f>
        <v>33382091</v>
      </c>
      <c r="AE67" s="19">
        <f>MARZO!AG67</f>
        <v>21604394</v>
      </c>
      <c r="AF67" s="364">
        <v>11777697</v>
      </c>
      <c r="AG67" s="18">
        <f>SUM(AE67:AF67)</f>
        <v>33382091</v>
      </c>
      <c r="AH67" s="19">
        <f>X67-AA67</f>
        <v>296503269</v>
      </c>
      <c r="AI67" s="15">
        <f>X67-AD67</f>
        <v>296503269</v>
      </c>
      <c r="AJ67" s="16">
        <f>X67-AG67</f>
        <v>296503269</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+IF(MARZO!A68=0,"",MARZO!A68)</f>
        <v>1130114-2</v>
      </c>
      <c r="B68" s="629" t="str">
        <f>+IF(MARZO!B68=0,"",MARZO!B68)</f>
        <v>Vigencia Anterior</v>
      </c>
      <c r="C68" s="655">
        <f>+ENERO!C68</f>
        <v>0</v>
      </c>
      <c r="D68" s="363">
        <f>MARZO!D68+ABRIL!P68</f>
        <v>0</v>
      </c>
      <c r="E68" s="363">
        <f>MARZO!E68+ABRIL!Q68</f>
        <v>0</v>
      </c>
      <c r="F68" s="363">
        <f>SUM(C68:E68)</f>
        <v>0</v>
      </c>
      <c r="G68" s="363">
        <f>MARZO!I68</f>
        <v>0</v>
      </c>
      <c r="H68" s="364">
        <v>0</v>
      </c>
      <c r="I68" s="363">
        <f>SUM(G68:H68)</f>
        <v>0</v>
      </c>
      <c r="J68" s="363">
        <f>MARZO!L68</f>
        <v>0</v>
      </c>
      <c r="K68" s="364">
        <v>0</v>
      </c>
      <c r="L68" s="363">
        <f>SUM(J68:K68)</f>
        <v>0</v>
      </c>
      <c r="M68" s="363">
        <f>F68-I68</f>
        <v>0</v>
      </c>
      <c r="N68" s="143">
        <f>F68-L68</f>
        <v>0</v>
      </c>
      <c r="O68" s="372"/>
      <c r="P68" s="362">
        <v>0</v>
      </c>
      <c r="Q68" s="365">
        <v>0</v>
      </c>
      <c r="R68" s="9"/>
      <c r="S68" s="688">
        <f>+IF(MARZO!S68=0,"",MARZO!S68)</f>
        <v>1020103</v>
      </c>
      <c r="T68" s="664" t="str">
        <f>+IF(MARZO!T68=0,"",MARZO!T68)</f>
        <v>Prima Técnica</v>
      </c>
      <c r="U68" s="27">
        <f>+ENERO!U68</f>
        <v>0</v>
      </c>
      <c r="V68" s="15">
        <f>MARZO!V68+ABRIL!AL68</f>
        <v>0</v>
      </c>
      <c r="W68" s="15">
        <f>MARZO!W68+ABRIL!AM68</f>
        <v>0</v>
      </c>
      <c r="X68" s="18">
        <f>SUM(U68:W68)</f>
        <v>0</v>
      </c>
      <c r="Y68" s="19">
        <f>MARZO!AA68</f>
        <v>0</v>
      </c>
      <c r="Z68" s="364">
        <v>0</v>
      </c>
      <c r="AA68" s="18">
        <f>SUM(Y68:Z68)</f>
        <v>0</v>
      </c>
      <c r="AB68" s="19">
        <f>MARZO!AD68</f>
        <v>0</v>
      </c>
      <c r="AC68" s="364">
        <v>0</v>
      </c>
      <c r="AD68" s="18">
        <f>SUM(AB68:AC68)</f>
        <v>0</v>
      </c>
      <c r="AE68" s="19">
        <f>MARZO!AG68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+IF(MARZO!A69=0,"",MARZO!A69)</f>
        <v>1130115</v>
      </c>
      <c r="B69" s="628" t="str">
        <f>+IF(MARZO!B69=0,"",MARZO!B69)</f>
        <v>ENTIDADES DE REGIMEN ESPECIAL (Magisterio, Fuerza Pca.)</v>
      </c>
      <c r="C69" s="43">
        <f t="shared" ref="C69:N69" si="70">SUM(C70:C71)</f>
        <v>8401952</v>
      </c>
      <c r="D69" s="44">
        <f t="shared" si="70"/>
        <v>0</v>
      </c>
      <c r="E69" s="44">
        <f t="shared" si="70"/>
        <v>4860226</v>
      </c>
      <c r="F69" s="44">
        <f t="shared" si="70"/>
        <v>13262178</v>
      </c>
      <c r="G69" s="44">
        <f t="shared" si="70"/>
        <v>122575589</v>
      </c>
      <c r="H69" s="44">
        <f t="shared" si="70"/>
        <v>23381962</v>
      </c>
      <c r="I69" s="44">
        <f t="shared" si="70"/>
        <v>145957551</v>
      </c>
      <c r="J69" s="44">
        <f t="shared" si="70"/>
        <v>117137175</v>
      </c>
      <c r="K69" s="44">
        <f t="shared" si="70"/>
        <v>23016586</v>
      </c>
      <c r="L69" s="44">
        <f t="shared" si="70"/>
        <v>140153761</v>
      </c>
      <c r="M69" s="44">
        <f t="shared" si="70"/>
        <v>-132695373</v>
      </c>
      <c r="N69" s="45">
        <f t="shared" si="70"/>
        <v>-126891583</v>
      </c>
      <c r="P69" s="43">
        <f>SUM(P70:P71)</f>
        <v>0</v>
      </c>
      <c r="Q69" s="45">
        <f>SUM(Q70:Q71)</f>
        <v>0</v>
      </c>
      <c r="R69" s="9"/>
      <c r="S69" s="688">
        <f>+IF(MARZO!S69=0,"",MARZO!S69)</f>
        <v>1020104</v>
      </c>
      <c r="T69" s="664" t="str">
        <f>+IF(MARZO!T69=0,"",MARZO!T69)</f>
        <v>Otros</v>
      </c>
      <c r="U69" s="27">
        <f t="shared" ref="U69:AJ69" si="71">SUM(U70:U80)</f>
        <v>1180972663</v>
      </c>
      <c r="V69" s="15">
        <f t="shared" si="71"/>
        <v>0</v>
      </c>
      <c r="W69" s="15">
        <f t="shared" si="71"/>
        <v>0</v>
      </c>
      <c r="X69" s="18">
        <f t="shared" si="71"/>
        <v>1180972663</v>
      </c>
      <c r="Y69" s="19">
        <f t="shared" si="71"/>
        <v>32403048</v>
      </c>
      <c r="Z69" s="142">
        <f t="shared" si="71"/>
        <v>12265610</v>
      </c>
      <c r="AA69" s="18">
        <f t="shared" si="71"/>
        <v>44668658</v>
      </c>
      <c r="AB69" s="19">
        <f t="shared" si="71"/>
        <v>32403048</v>
      </c>
      <c r="AC69" s="142">
        <f t="shared" si="71"/>
        <v>12265610</v>
      </c>
      <c r="AD69" s="18">
        <f t="shared" si="71"/>
        <v>44668658</v>
      </c>
      <c r="AE69" s="19">
        <f t="shared" si="71"/>
        <v>32403048</v>
      </c>
      <c r="AF69" s="142">
        <f t="shared" si="71"/>
        <v>12265610</v>
      </c>
      <c r="AG69" s="18">
        <f t="shared" si="71"/>
        <v>44668658</v>
      </c>
      <c r="AH69" s="19">
        <f t="shared" si="71"/>
        <v>1136304005</v>
      </c>
      <c r="AI69" s="15">
        <f t="shared" si="71"/>
        <v>1136304005</v>
      </c>
      <c r="AJ69" s="16">
        <f t="shared" si="71"/>
        <v>1136304005</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+IF(MARZO!A70=0,"",MARZO!A70)</f>
        <v>1130115-1</v>
      </c>
      <c r="B70" s="629" t="str">
        <f>+CONCATENATE("Vigencia ",INSTRUCCIONES!$F$3)</f>
        <v>Vigencia 2019</v>
      </c>
      <c r="C70" s="655">
        <f>+ENERO!C70</f>
        <v>8401952</v>
      </c>
      <c r="D70" s="363">
        <f>MARZO!D70+ABRIL!P70</f>
        <v>0</v>
      </c>
      <c r="E70" s="363">
        <f>MARZO!E70+ABRIL!Q70</f>
        <v>690909</v>
      </c>
      <c r="F70" s="363">
        <f>SUM(C70:E70)</f>
        <v>9092861</v>
      </c>
      <c r="G70" s="363">
        <f>MARZO!I70</f>
        <v>14531275</v>
      </c>
      <c r="H70" s="364">
        <f>365376+9182641</f>
        <v>9548017</v>
      </c>
      <c r="I70" s="454">
        <f>SUM(G70:H70)</f>
        <v>24079292</v>
      </c>
      <c r="J70" s="363">
        <f>MARZO!L70</f>
        <v>9092861</v>
      </c>
      <c r="K70" s="364">
        <v>9182641</v>
      </c>
      <c r="L70" s="454">
        <f>SUM(J70:K70)</f>
        <v>18275502</v>
      </c>
      <c r="M70" s="363">
        <f>F70-I70</f>
        <v>-14986431</v>
      </c>
      <c r="N70" s="143">
        <f>F70-L70</f>
        <v>-9182641</v>
      </c>
      <c r="O70" s="372"/>
      <c r="P70" s="362">
        <v>0</v>
      </c>
      <c r="Q70" s="365">
        <v>0</v>
      </c>
      <c r="R70" s="9"/>
      <c r="S70" s="689" t="str">
        <f>+IF(MARZO!S70=0,"",MARZO!S70)</f>
        <v>1020104-1</v>
      </c>
      <c r="T70" s="665" t="str">
        <f>+IF(MARZO!T70=0,"",MARZO!T70)</f>
        <v xml:space="preserve">Prima de Navidad </v>
      </c>
      <c r="U70" s="27">
        <f>+ENERO!U70</f>
        <v>352482456</v>
      </c>
      <c r="V70" s="15">
        <f>MARZO!V70+ABRIL!AL70</f>
        <v>0</v>
      </c>
      <c r="W70" s="15">
        <f>MARZO!W70+ABRIL!AM70</f>
        <v>0</v>
      </c>
      <c r="X70" s="18">
        <f t="shared" ref="X70:X81" si="72">SUM(U70:W70)</f>
        <v>352482456</v>
      </c>
      <c r="Y70" s="19">
        <f>MARZO!AA70</f>
        <v>500303</v>
      </c>
      <c r="Z70" s="364">
        <v>0</v>
      </c>
      <c r="AA70" s="18">
        <f t="shared" ref="AA70:AA81" si="73">SUM(Y70:Z70)</f>
        <v>500303</v>
      </c>
      <c r="AB70" s="19">
        <f>MARZO!AD70</f>
        <v>500303</v>
      </c>
      <c r="AC70" s="364">
        <v>0</v>
      </c>
      <c r="AD70" s="18">
        <f t="shared" ref="AD70:AD81" si="74">SUM(AB70:AC70)</f>
        <v>500303</v>
      </c>
      <c r="AE70" s="19">
        <f>MARZO!AG70</f>
        <v>500303</v>
      </c>
      <c r="AF70" s="364">
        <v>0</v>
      </c>
      <c r="AG70" s="18">
        <f t="shared" ref="AG70:AG81" si="75">SUM(AE70:AF70)</f>
        <v>500303</v>
      </c>
      <c r="AH70" s="19">
        <f t="shared" ref="AH70:AH81" si="76">X70-AA70</f>
        <v>351982153</v>
      </c>
      <c r="AI70" s="15">
        <f t="shared" ref="AI70:AI81" si="77">X70-AD70</f>
        <v>351982153</v>
      </c>
      <c r="AJ70" s="16">
        <f t="shared" ref="AJ70:AJ81" si="78">X70-AG70</f>
        <v>351982153</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+IF(MARZO!A71=0,"",MARZO!A71)</f>
        <v>1130115-2</v>
      </c>
      <c r="B71" s="629" t="str">
        <f>+IF(MARZO!B71=0,"",MARZO!B71)</f>
        <v>Vigencia Anterior</v>
      </c>
      <c r="C71" s="655">
        <f>+ENERO!C71</f>
        <v>0</v>
      </c>
      <c r="D71" s="363">
        <f>MARZO!D71+ABRIL!P71</f>
        <v>0</v>
      </c>
      <c r="E71" s="363">
        <f>MARZO!E71+ABRIL!Q71</f>
        <v>4169317</v>
      </c>
      <c r="F71" s="363">
        <f>SUM(C71:E71)</f>
        <v>4169317</v>
      </c>
      <c r="G71" s="363">
        <f>MARZO!I71</f>
        <v>108044314</v>
      </c>
      <c r="H71" s="364">
        <v>13833945</v>
      </c>
      <c r="I71" s="363">
        <f>SUM(G71:H71)</f>
        <v>121878259</v>
      </c>
      <c r="J71" s="363">
        <f>MARZO!L71</f>
        <v>108044314</v>
      </c>
      <c r="K71" s="364">
        <v>13833945</v>
      </c>
      <c r="L71" s="363">
        <f>SUM(J71:K71)</f>
        <v>121878259</v>
      </c>
      <c r="M71" s="363">
        <f>F71-I71</f>
        <v>-117708942</v>
      </c>
      <c r="N71" s="143">
        <f>F71-L71</f>
        <v>-117708942</v>
      </c>
      <c r="O71" s="372"/>
      <c r="P71" s="362">
        <v>0</v>
      </c>
      <c r="Q71" s="365">
        <v>0</v>
      </c>
      <c r="R71" s="9"/>
      <c r="S71" s="689" t="str">
        <f>+IF(MARZO!S71=0,"",MARZO!S71)</f>
        <v>1020104-2</v>
      </c>
      <c r="T71" s="665" t="str">
        <f>+IF(MARZO!T71=0,"",MARZO!T71)</f>
        <v>Prima de Vacaciones</v>
      </c>
      <c r="U71" s="27">
        <f>+ENERO!U71</f>
        <v>180248873</v>
      </c>
      <c r="V71" s="15">
        <f>MARZO!V71+ABRIL!AL71</f>
        <v>0</v>
      </c>
      <c r="W71" s="15">
        <f>MARZO!W71+ABRIL!AM71</f>
        <v>0</v>
      </c>
      <c r="X71" s="18">
        <f t="shared" si="72"/>
        <v>180248873</v>
      </c>
      <c r="Y71" s="19">
        <f>MARZO!AA71</f>
        <v>9456276</v>
      </c>
      <c r="Z71" s="364">
        <v>6009070</v>
      </c>
      <c r="AA71" s="18">
        <f t="shared" si="73"/>
        <v>15465346</v>
      </c>
      <c r="AB71" s="19">
        <f>MARZO!AD71</f>
        <v>9456276</v>
      </c>
      <c r="AC71" s="364">
        <v>6009070</v>
      </c>
      <c r="AD71" s="18">
        <f t="shared" si="74"/>
        <v>15465346</v>
      </c>
      <c r="AE71" s="19">
        <f>MARZO!AG71</f>
        <v>9456276</v>
      </c>
      <c r="AF71" s="364">
        <v>6009070</v>
      </c>
      <c r="AG71" s="18">
        <f t="shared" si="75"/>
        <v>15465346</v>
      </c>
      <c r="AH71" s="19">
        <f t="shared" si="76"/>
        <v>164783527</v>
      </c>
      <c r="AI71" s="15">
        <f t="shared" si="77"/>
        <v>164783527</v>
      </c>
      <c r="AJ71" s="16">
        <f t="shared" si="78"/>
        <v>164783527</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+IF(MARZO!A72=0,"",MARZO!A72)</f>
        <v>1130116</v>
      </c>
      <c r="B72" s="628" t="str">
        <f>+IF(MARZO!B72=0,"",MARZO!B72)</f>
        <v>ADMINISTRADORAS DE RIESGOS LABORALES</v>
      </c>
      <c r="C72" s="43">
        <f t="shared" ref="C72:N72" si="79">SUM(C73:C74)</f>
        <v>2163183</v>
      </c>
      <c r="D72" s="44">
        <f t="shared" si="79"/>
        <v>0</v>
      </c>
      <c r="E72" s="44">
        <f t="shared" si="79"/>
        <v>0</v>
      </c>
      <c r="F72" s="44">
        <f t="shared" si="79"/>
        <v>2163183</v>
      </c>
      <c r="G72" s="44">
        <f t="shared" si="79"/>
        <v>32582595</v>
      </c>
      <c r="H72" s="44">
        <f t="shared" si="79"/>
        <v>-7852543</v>
      </c>
      <c r="I72" s="44">
        <f t="shared" si="79"/>
        <v>24730052</v>
      </c>
      <c r="J72" s="44">
        <f t="shared" si="79"/>
        <v>14673123</v>
      </c>
      <c r="K72" s="44">
        <f t="shared" si="79"/>
        <v>938535</v>
      </c>
      <c r="L72" s="44">
        <f t="shared" si="79"/>
        <v>15611658</v>
      </c>
      <c r="M72" s="44">
        <f t="shared" si="79"/>
        <v>-22566869</v>
      </c>
      <c r="N72" s="45">
        <f t="shared" si="79"/>
        <v>-13448475</v>
      </c>
      <c r="P72" s="43">
        <f>SUM(P73:P74)</f>
        <v>0</v>
      </c>
      <c r="Q72" s="45">
        <f>SUM(Q73:Q74)</f>
        <v>0</v>
      </c>
      <c r="R72" s="9"/>
      <c r="S72" s="689" t="str">
        <f>+IF(MARZO!S72=0,"",MARZO!S72)</f>
        <v>1020104-3</v>
      </c>
      <c r="T72" s="665" t="str">
        <f>+IF(MARZO!T72=0,"",MARZO!T72)</f>
        <v>Bonificación  por servicios prestados</v>
      </c>
      <c r="U72" s="27">
        <f>+ENERO!U72</f>
        <v>110048955</v>
      </c>
      <c r="V72" s="15">
        <f>MARZO!V72+ABRIL!AL72</f>
        <v>0</v>
      </c>
      <c r="W72" s="15">
        <f>MARZO!W72+ABRIL!AM72</f>
        <v>0</v>
      </c>
      <c r="X72" s="18">
        <f t="shared" si="72"/>
        <v>110048955</v>
      </c>
      <c r="Y72" s="19">
        <f>MARZO!AA72</f>
        <v>17936718</v>
      </c>
      <c r="Z72" s="364">
        <v>4963250</v>
      </c>
      <c r="AA72" s="18">
        <f t="shared" si="73"/>
        <v>22899968</v>
      </c>
      <c r="AB72" s="19">
        <f>MARZO!AD72</f>
        <v>17936718</v>
      </c>
      <c r="AC72" s="364">
        <v>4963250</v>
      </c>
      <c r="AD72" s="18">
        <f t="shared" si="74"/>
        <v>22899968</v>
      </c>
      <c r="AE72" s="19">
        <f>MARZO!AG72</f>
        <v>17936718</v>
      </c>
      <c r="AF72" s="364">
        <v>4963250</v>
      </c>
      <c r="AG72" s="18">
        <f t="shared" si="75"/>
        <v>22899968</v>
      </c>
      <c r="AH72" s="19">
        <f t="shared" si="76"/>
        <v>87148987</v>
      </c>
      <c r="AI72" s="15">
        <f t="shared" si="77"/>
        <v>87148987</v>
      </c>
      <c r="AJ72" s="16">
        <f t="shared" si="78"/>
        <v>87148987</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+IF(MARZO!A73=0,"",MARZO!A73)</f>
        <v>1130116-1</v>
      </c>
      <c r="B73" s="629" t="str">
        <f>+CONCATENATE("Vigencia ",INSTRUCCIONES!$F$3)</f>
        <v>Vigencia 2019</v>
      </c>
      <c r="C73" s="655">
        <f>+ENERO!C73</f>
        <v>2163183</v>
      </c>
      <c r="D73" s="363">
        <f>MARZO!D73+ABRIL!P73</f>
        <v>0</v>
      </c>
      <c r="E73" s="363">
        <f>MARZO!E73+ABRIL!Q73</f>
        <v>0</v>
      </c>
      <c r="F73" s="363">
        <f>SUM(C73:E73)</f>
        <v>2163183</v>
      </c>
      <c r="G73" s="363">
        <f>MARZO!I73</f>
        <v>29860722</v>
      </c>
      <c r="H73" s="364">
        <v>-7852543</v>
      </c>
      <c r="I73" s="363">
        <f>SUM(G73:H73)</f>
        <v>22008179</v>
      </c>
      <c r="J73" s="363">
        <f>MARZO!L73</f>
        <v>11951250</v>
      </c>
      <c r="K73" s="364">
        <v>938535</v>
      </c>
      <c r="L73" s="363">
        <f>SUM(J73:K73)</f>
        <v>12889785</v>
      </c>
      <c r="M73" s="363">
        <f>F73-I73</f>
        <v>-19844996</v>
      </c>
      <c r="N73" s="143">
        <f>F73-L73</f>
        <v>-10726602</v>
      </c>
      <c r="O73" s="372"/>
      <c r="P73" s="362">
        <v>0</v>
      </c>
      <c r="Q73" s="365">
        <v>0</v>
      </c>
      <c r="R73" s="9"/>
      <c r="S73" s="689" t="str">
        <f>+IF(MARZO!S73=0,"",MARZO!S73)</f>
        <v>1020104-4</v>
      </c>
      <c r="T73" s="665" t="str">
        <f>+IF(MARZO!T73=0,"",MARZO!T73)</f>
        <v>Prima de Servicios</v>
      </c>
      <c r="U73" s="27">
        <f>+ENERO!U73</f>
        <v>166383593</v>
      </c>
      <c r="V73" s="15">
        <f>MARZO!V73+ABRIL!AL73</f>
        <v>0</v>
      </c>
      <c r="W73" s="15">
        <f>MARZO!W73+ABRIL!AM73</f>
        <v>0</v>
      </c>
      <c r="X73" s="18">
        <f t="shared" si="72"/>
        <v>166383593</v>
      </c>
      <c r="Y73" s="19">
        <f>MARZO!AA73</f>
        <v>1728804</v>
      </c>
      <c r="Z73" s="364">
        <v>0</v>
      </c>
      <c r="AA73" s="18">
        <f t="shared" si="73"/>
        <v>1728804</v>
      </c>
      <c r="AB73" s="19">
        <f>MARZO!AD73</f>
        <v>1728804</v>
      </c>
      <c r="AC73" s="364">
        <v>0</v>
      </c>
      <c r="AD73" s="18">
        <f t="shared" si="74"/>
        <v>1728804</v>
      </c>
      <c r="AE73" s="19">
        <f>MARZO!AG73</f>
        <v>1728804</v>
      </c>
      <c r="AF73" s="364">
        <v>0</v>
      </c>
      <c r="AG73" s="18">
        <f t="shared" si="75"/>
        <v>1728804</v>
      </c>
      <c r="AH73" s="19">
        <f t="shared" si="76"/>
        <v>164654789</v>
      </c>
      <c r="AI73" s="15">
        <f t="shared" si="77"/>
        <v>164654789</v>
      </c>
      <c r="AJ73" s="16">
        <f t="shared" si="78"/>
        <v>164654789</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+IF(MARZO!A74=0,"",MARZO!A74)</f>
        <v>1130116-2</v>
      </c>
      <c r="B74" s="629" t="str">
        <f>+IF(MARZO!B74=0,"",MARZO!B74)</f>
        <v>Vigencia Anterior</v>
      </c>
      <c r="C74" s="655">
        <f>+ENERO!C74</f>
        <v>0</v>
      </c>
      <c r="D74" s="363">
        <f>MARZO!D74+ABRIL!P74</f>
        <v>0</v>
      </c>
      <c r="E74" s="363">
        <f>MARZO!E74+ABRIL!Q74</f>
        <v>0</v>
      </c>
      <c r="F74" s="363">
        <f>SUM(C74:E74)</f>
        <v>0</v>
      </c>
      <c r="G74" s="363">
        <f>MARZO!I74</f>
        <v>2721873</v>
      </c>
      <c r="H74" s="364">
        <v>0</v>
      </c>
      <c r="I74" s="363">
        <f>SUM(G74:H74)</f>
        <v>2721873</v>
      </c>
      <c r="J74" s="363">
        <f>MARZO!L74</f>
        <v>2721873</v>
      </c>
      <c r="K74" s="364">
        <v>0</v>
      </c>
      <c r="L74" s="363">
        <f>SUM(J74:K74)</f>
        <v>2721873</v>
      </c>
      <c r="M74" s="363">
        <f>F74-I74</f>
        <v>-2721873</v>
      </c>
      <c r="N74" s="143">
        <f>F74-L74</f>
        <v>-2721873</v>
      </c>
      <c r="O74" s="372"/>
      <c r="P74" s="362">
        <v>0</v>
      </c>
      <c r="Q74" s="365">
        <v>0</v>
      </c>
      <c r="R74" s="9"/>
      <c r="S74" s="689" t="str">
        <f>+IF(MARZO!S74=0,"",MARZO!S74)</f>
        <v>1020104-5</v>
      </c>
      <c r="T74" s="665" t="str">
        <f>+IF(MARZO!T74=0,"",MARZO!T74)</f>
        <v>Bonificación Convencional</v>
      </c>
      <c r="U74" s="27">
        <f>+ENERO!U74</f>
        <v>20961713</v>
      </c>
      <c r="V74" s="15">
        <f>MARZO!V74+ABRIL!AL74</f>
        <v>0</v>
      </c>
      <c r="W74" s="15">
        <f>MARZO!W74+ABRIL!AM74</f>
        <v>0</v>
      </c>
      <c r="X74" s="18">
        <f t="shared" si="72"/>
        <v>20961713</v>
      </c>
      <c r="Y74" s="19">
        <f>MARZO!AA74</f>
        <v>0</v>
      </c>
      <c r="Z74" s="364">
        <v>0</v>
      </c>
      <c r="AA74" s="18">
        <f t="shared" si="73"/>
        <v>0</v>
      </c>
      <c r="AB74" s="19">
        <f>MARZO!AD74</f>
        <v>0</v>
      </c>
      <c r="AC74" s="364">
        <v>0</v>
      </c>
      <c r="AD74" s="18">
        <f t="shared" si="74"/>
        <v>0</v>
      </c>
      <c r="AE74" s="19">
        <f>MARZO!AG74</f>
        <v>0</v>
      </c>
      <c r="AF74" s="364">
        <v>0</v>
      </c>
      <c r="AG74" s="1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+IF(MARZO!A75=0,"",MARZO!A75)</f>
        <v>1130117</v>
      </c>
      <c r="B75" s="628" t="str">
        <f>+IF(MARZO!B75=0,"",MARZO!B75)</f>
        <v>CUOTAS DE RECUPERACION</v>
      </c>
      <c r="C75" s="43">
        <f t="shared" ref="C75:N75" si="80">SUM(C76:C77)</f>
        <v>351388967</v>
      </c>
      <c r="D75" s="44">
        <f t="shared" si="80"/>
        <v>0</v>
      </c>
      <c r="E75" s="44">
        <f t="shared" si="80"/>
        <v>260623</v>
      </c>
      <c r="F75" s="44">
        <f t="shared" si="80"/>
        <v>351649590</v>
      </c>
      <c r="G75" s="44">
        <f t="shared" si="80"/>
        <v>165532670</v>
      </c>
      <c r="H75" s="44">
        <f t="shared" si="80"/>
        <v>21825888</v>
      </c>
      <c r="I75" s="44">
        <f t="shared" si="80"/>
        <v>187358558</v>
      </c>
      <c r="J75" s="44">
        <f t="shared" si="80"/>
        <v>56188075</v>
      </c>
      <c r="K75" s="44">
        <f t="shared" si="80"/>
        <v>22114760</v>
      </c>
      <c r="L75" s="44">
        <f t="shared" si="80"/>
        <v>78302835</v>
      </c>
      <c r="M75" s="44">
        <f t="shared" si="80"/>
        <v>164291032</v>
      </c>
      <c r="N75" s="45">
        <f t="shared" si="80"/>
        <v>273346755</v>
      </c>
      <c r="P75" s="43">
        <f>SUM(P76:P77)</f>
        <v>0</v>
      </c>
      <c r="Q75" s="45">
        <f>SUM(Q76:Q77)</f>
        <v>0</v>
      </c>
      <c r="R75" s="9"/>
      <c r="S75" s="689" t="str">
        <f>+IF(MARZO!S75=0,"",MARZO!S75)</f>
        <v>1020104-6</v>
      </c>
      <c r="T75" s="665" t="str">
        <f>+IF(MARZO!T75=0,"",MARZO!T75)</f>
        <v>Auxilio de Transporte</v>
      </c>
      <c r="U75" s="27">
        <f>+ENERO!U75</f>
        <v>329885360</v>
      </c>
      <c r="V75" s="15">
        <f>MARZO!V75+ABRIL!AL75</f>
        <v>0</v>
      </c>
      <c r="W75" s="15">
        <f>MARZO!W75+ABRIL!AM75</f>
        <v>0</v>
      </c>
      <c r="X75" s="18">
        <f t="shared" si="72"/>
        <v>329885360</v>
      </c>
      <c r="Y75" s="19">
        <f>MARZO!AA75</f>
        <v>1594559</v>
      </c>
      <c r="Z75" s="364">
        <v>543379</v>
      </c>
      <c r="AA75" s="18">
        <f t="shared" si="73"/>
        <v>2137938</v>
      </c>
      <c r="AB75" s="19">
        <f>MARZO!AD75</f>
        <v>1594559</v>
      </c>
      <c r="AC75" s="364">
        <v>543379</v>
      </c>
      <c r="AD75" s="18">
        <f t="shared" si="74"/>
        <v>2137938</v>
      </c>
      <c r="AE75" s="19">
        <f>MARZO!AG75</f>
        <v>1594559</v>
      </c>
      <c r="AF75" s="364">
        <v>543379</v>
      </c>
      <c r="AG75" s="18">
        <f t="shared" si="75"/>
        <v>2137938</v>
      </c>
      <c r="AH75" s="19">
        <f t="shared" si="76"/>
        <v>327747422</v>
      </c>
      <c r="AI75" s="15">
        <f t="shared" si="77"/>
        <v>327747422</v>
      </c>
      <c r="AJ75" s="16">
        <f t="shared" si="78"/>
        <v>327747422</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+IF(MARZO!A76=0,"",MARZO!A76)</f>
        <v>1130117-1</v>
      </c>
      <c r="B76" s="629" t="str">
        <f>+CONCATENATE("Vigencia ",INSTRUCCIONES!$F$3)</f>
        <v>Vigencia 2019</v>
      </c>
      <c r="C76" s="655">
        <f>+ENERO!C76</f>
        <v>351388967</v>
      </c>
      <c r="D76" s="363">
        <f>MARZO!D76+ABRIL!P76</f>
        <v>0</v>
      </c>
      <c r="E76" s="363">
        <f>MARZO!E76+ABRIL!Q76</f>
        <v>0</v>
      </c>
      <c r="F76" s="363">
        <f t="shared" ref="F76:F83" si="81">SUM(C76:E76)</f>
        <v>351388967</v>
      </c>
      <c r="G76" s="363">
        <f>MARZO!I76</f>
        <v>165242047</v>
      </c>
      <c r="H76" s="364">
        <v>21825888</v>
      </c>
      <c r="I76" s="363">
        <f t="shared" ref="I76:I83" si="82">SUM(G76:H76)</f>
        <v>187067935</v>
      </c>
      <c r="J76" s="363">
        <f>MARZO!L76</f>
        <v>55897452</v>
      </c>
      <c r="K76" s="364">
        <v>22114760</v>
      </c>
      <c r="L76" s="363">
        <f t="shared" ref="L76:L83" si="83">SUM(J76:K76)</f>
        <v>78012212</v>
      </c>
      <c r="M76" s="363">
        <f t="shared" ref="M76:M83" si="84">F76-I76</f>
        <v>164321032</v>
      </c>
      <c r="N76" s="143">
        <f t="shared" ref="N76:N83" si="85">F76-L76</f>
        <v>273376755</v>
      </c>
      <c r="O76" s="372"/>
      <c r="P76" s="362">
        <v>0</v>
      </c>
      <c r="Q76" s="365">
        <v>0</v>
      </c>
      <c r="R76" s="9"/>
      <c r="S76" s="689" t="str">
        <f>+IF(MARZO!S76=0,"",MARZO!S76)</f>
        <v>1020104-7</v>
      </c>
      <c r="T76" s="665" t="str">
        <f>+IF(MARZO!T76=0,"",MARZO!T76)</f>
        <v>Auxilio de Alimentación</v>
      </c>
      <c r="U76" s="27">
        <f>+ENERO!U76</f>
        <v>0</v>
      </c>
      <c r="V76" s="15">
        <f>MARZO!V76+ABRIL!AL76</f>
        <v>0</v>
      </c>
      <c r="W76" s="15">
        <f>MARZO!W76+ABRIL!AM76</f>
        <v>0</v>
      </c>
      <c r="X76" s="18">
        <f t="shared" si="72"/>
        <v>0</v>
      </c>
      <c r="Y76" s="19">
        <f>MARZO!AA76</f>
        <v>0</v>
      </c>
      <c r="Z76" s="364">
        <v>0</v>
      </c>
      <c r="AA76" s="18">
        <f t="shared" si="73"/>
        <v>0</v>
      </c>
      <c r="AB76" s="19">
        <f>MARZO!AD76</f>
        <v>0</v>
      </c>
      <c r="AC76" s="364">
        <v>0</v>
      </c>
      <c r="AD76" s="18">
        <f t="shared" si="74"/>
        <v>0</v>
      </c>
      <c r="AE76" s="19">
        <f>MARZO!AG76</f>
        <v>0</v>
      </c>
      <c r="AF76" s="364">
        <v>0</v>
      </c>
      <c r="AG76" s="1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+IF(MARZO!A77=0,"",MARZO!A77)</f>
        <v>1130117-2</v>
      </c>
      <c r="B77" s="629" t="str">
        <f>+IF(MARZO!B77=0,"",MARZO!B77)</f>
        <v>Vigencia Anterior</v>
      </c>
      <c r="C77" s="655">
        <f>+ENERO!C77</f>
        <v>0</v>
      </c>
      <c r="D77" s="363">
        <f>MARZO!D77+ABRIL!P77</f>
        <v>0</v>
      </c>
      <c r="E77" s="363">
        <f>MARZO!E77+ABRIL!Q77</f>
        <v>260623</v>
      </c>
      <c r="F77" s="363">
        <f t="shared" si="81"/>
        <v>260623</v>
      </c>
      <c r="G77" s="363">
        <f>MARZO!I77</f>
        <v>290623</v>
      </c>
      <c r="H77" s="364">
        <v>0</v>
      </c>
      <c r="I77" s="363">
        <f t="shared" si="82"/>
        <v>290623</v>
      </c>
      <c r="J77" s="363">
        <f>MARZO!L77</f>
        <v>290623</v>
      </c>
      <c r="K77" s="364">
        <v>0</v>
      </c>
      <c r="L77" s="363">
        <f t="shared" si="83"/>
        <v>290623</v>
      </c>
      <c r="M77" s="363">
        <f t="shared" si="84"/>
        <v>-30000</v>
      </c>
      <c r="N77" s="143">
        <f t="shared" si="85"/>
        <v>-30000</v>
      </c>
      <c r="O77" s="372"/>
      <c r="P77" s="362">
        <v>0</v>
      </c>
      <c r="Q77" s="365">
        <v>0</v>
      </c>
      <c r="R77" s="9"/>
      <c r="S77" s="689" t="str">
        <f>+IF(MARZO!S77=0,"",MARZO!S77)</f>
        <v>1020104-8</v>
      </c>
      <c r="T77" s="665" t="str">
        <f>+IF(MARZO!T77=0,"",MARZO!T77)</f>
        <v>Indemnizaciones por Vacaciones o Supresión de Cargos por Reestructuración</v>
      </c>
      <c r="U77" s="27">
        <f>+ENERO!U77</f>
        <v>0</v>
      </c>
      <c r="V77" s="15">
        <f>MARZO!V77+ABRIL!AL77</f>
        <v>0</v>
      </c>
      <c r="W77" s="15">
        <f>MARZO!W77+ABRIL!AM77</f>
        <v>0</v>
      </c>
      <c r="X77" s="18">
        <f t="shared" si="72"/>
        <v>0</v>
      </c>
      <c r="Y77" s="19">
        <f>MARZO!AA77</f>
        <v>0</v>
      </c>
      <c r="Z77" s="364">
        <v>0</v>
      </c>
      <c r="AA77" s="18">
        <f t="shared" si="73"/>
        <v>0</v>
      </c>
      <c r="AB77" s="19">
        <f>MARZO!AD77</f>
        <v>0</v>
      </c>
      <c r="AC77" s="364">
        <v>0</v>
      </c>
      <c r="AD77" s="18">
        <f t="shared" si="74"/>
        <v>0</v>
      </c>
      <c r="AE77" s="19">
        <f>MARZO!AG77</f>
        <v>0</v>
      </c>
      <c r="AF77" s="364">
        <v>0</v>
      </c>
      <c r="AG77" s="1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+IF(MARZO!A78=0,"",MARZO!A78)</f>
        <v>1130118</v>
      </c>
      <c r="B78" s="628" t="str">
        <f>+IF(MARZO!B78=0,"",MARZO!B78)</f>
        <v>PARTICULARES   (Venta de Contado)</v>
      </c>
      <c r="C78" s="43">
        <f>SUM(C79:C80)</f>
        <v>209613681</v>
      </c>
      <c r="D78" s="44">
        <f>SUM(D79:D80)</f>
        <v>0</v>
      </c>
      <c r="E78" s="44">
        <f>SUM(E79:E80)</f>
        <v>14766050</v>
      </c>
      <c r="F78" s="44">
        <f t="shared" si="81"/>
        <v>224379731</v>
      </c>
      <c r="G78" s="44">
        <f>SUM(G79:G80)</f>
        <v>182388030</v>
      </c>
      <c r="H78" s="44">
        <f>SUM(H79:H80)</f>
        <v>16922926</v>
      </c>
      <c r="I78" s="44">
        <f t="shared" si="82"/>
        <v>199310956</v>
      </c>
      <c r="J78" s="44">
        <f>SUM(J79:J80)</f>
        <v>116647620</v>
      </c>
      <c r="K78" s="44">
        <f>SUM(K79:K80)</f>
        <v>37836465</v>
      </c>
      <c r="L78" s="44">
        <f t="shared" si="83"/>
        <v>154484085</v>
      </c>
      <c r="M78" s="44">
        <f t="shared" si="84"/>
        <v>25068775</v>
      </c>
      <c r="N78" s="45">
        <f t="shared" si="85"/>
        <v>69895646</v>
      </c>
      <c r="O78" s="372"/>
      <c r="P78" s="43">
        <f>SUM(P79:P80)</f>
        <v>0</v>
      </c>
      <c r="Q78" s="45">
        <f>SUM(Q79:Q80)</f>
        <v>0</v>
      </c>
      <c r="R78" s="9"/>
      <c r="S78" s="689" t="str">
        <f>+IF(MARZO!S78=0,"",MARZO!S78)</f>
        <v>1020104-9</v>
      </c>
      <c r="T78" s="665" t="str">
        <f>+IF(MARZO!T78=0,"",MARZO!T78)</f>
        <v>Bonificación Especial por Recreación</v>
      </c>
      <c r="U78" s="27">
        <f>+ENERO!U78</f>
        <v>20961713</v>
      </c>
      <c r="V78" s="15">
        <f>MARZO!V78+ABRIL!AL78</f>
        <v>0</v>
      </c>
      <c r="W78" s="15">
        <f>MARZO!W78+ABRIL!AM78</f>
        <v>0</v>
      </c>
      <c r="X78" s="18">
        <f t="shared" si="72"/>
        <v>20961713</v>
      </c>
      <c r="Y78" s="19">
        <f>MARZO!AA78</f>
        <v>1186388</v>
      </c>
      <c r="Z78" s="364">
        <v>749911</v>
      </c>
      <c r="AA78" s="18">
        <f t="shared" si="73"/>
        <v>1936299</v>
      </c>
      <c r="AB78" s="19">
        <f>MARZO!AD78</f>
        <v>1186388</v>
      </c>
      <c r="AC78" s="364">
        <v>749911</v>
      </c>
      <c r="AD78" s="18">
        <f t="shared" si="74"/>
        <v>1936299</v>
      </c>
      <c r="AE78" s="19">
        <f>MARZO!AG78</f>
        <v>1186388</v>
      </c>
      <c r="AF78" s="364">
        <v>749911</v>
      </c>
      <c r="AG78" s="18">
        <f t="shared" si="75"/>
        <v>1936299</v>
      </c>
      <c r="AH78" s="19">
        <f t="shared" si="76"/>
        <v>19025414</v>
      </c>
      <c r="AI78" s="15">
        <f t="shared" si="77"/>
        <v>19025414</v>
      </c>
      <c r="AJ78" s="16">
        <f t="shared" si="78"/>
        <v>19025414</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+IF(MARZO!A79=0,"",MARZO!A79)</f>
        <v>1130118-1</v>
      </c>
      <c r="B79" s="629" t="str">
        <f>+CONCATENATE("Vigencia ",INSTRUCCIONES!$F$3)</f>
        <v>Vigencia 2019</v>
      </c>
      <c r="C79" s="655">
        <f>+ENERO!C79</f>
        <v>209613681</v>
      </c>
      <c r="D79" s="363">
        <f>MARZO!D79+ABRIL!P79</f>
        <v>0</v>
      </c>
      <c r="E79" s="363">
        <f>MARZO!E79+ABRIL!Q79</f>
        <v>0</v>
      </c>
      <c r="F79" s="363">
        <f t="shared" si="81"/>
        <v>209613681</v>
      </c>
      <c r="G79" s="363">
        <f>MARZO!I79</f>
        <v>166544429</v>
      </c>
      <c r="H79" s="364">
        <v>16937064</v>
      </c>
      <c r="I79" s="454">
        <f t="shared" si="82"/>
        <v>183481493</v>
      </c>
      <c r="J79" s="363">
        <f>MARZO!L79</f>
        <v>100804019</v>
      </c>
      <c r="K79" s="364">
        <f>538328603-500478000</f>
        <v>37850603</v>
      </c>
      <c r="L79" s="454">
        <f t="shared" si="83"/>
        <v>138654622</v>
      </c>
      <c r="M79" s="363">
        <f t="shared" si="84"/>
        <v>26132188</v>
      </c>
      <c r="N79" s="143">
        <f t="shared" si="85"/>
        <v>70959059</v>
      </c>
      <c r="P79" s="362">
        <v>0</v>
      </c>
      <c r="Q79" s="365">
        <v>0</v>
      </c>
      <c r="R79" s="9"/>
      <c r="S79" s="689" t="str">
        <f>+IF(MARZO!S79=0,"",MARZO!S79)</f>
        <v>1020104-10</v>
      </c>
      <c r="T79" s="665" t="str">
        <f>+IF(MARZO!T79=0,"",MARZO!T79)</f>
        <v/>
      </c>
      <c r="U79" s="27">
        <f>+ENERO!U79</f>
        <v>0</v>
      </c>
      <c r="V79" s="15">
        <f>MARZO!V79+ABRIL!AL79</f>
        <v>0</v>
      </c>
      <c r="W79" s="15">
        <f>MARZO!W79+ABRIL!AM79</f>
        <v>0</v>
      </c>
      <c r="X79" s="18">
        <f t="shared" si="72"/>
        <v>0</v>
      </c>
      <c r="Y79" s="19">
        <f>MARZO!AA79</f>
        <v>0</v>
      </c>
      <c r="Z79" s="364">
        <v>0</v>
      </c>
      <c r="AA79" s="18">
        <f t="shared" si="73"/>
        <v>0</v>
      </c>
      <c r="AB79" s="19">
        <f>MARZO!AD79</f>
        <v>0</v>
      </c>
      <c r="AC79" s="364">
        <v>0</v>
      </c>
      <c r="AD79" s="18">
        <f t="shared" si="74"/>
        <v>0</v>
      </c>
      <c r="AE79" s="19">
        <f>MARZO!AG79</f>
        <v>0</v>
      </c>
      <c r="AF79" s="364">
        <v>0</v>
      </c>
      <c r="AG79" s="1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+IF(MARZO!A80=0,"",MARZO!A80)</f>
        <v>1130118-2</v>
      </c>
      <c r="B80" s="629" t="str">
        <f>+IF(MARZO!B80=0,"",MARZO!B80)</f>
        <v>Vigencia Anterior</v>
      </c>
      <c r="C80" s="655">
        <f>+ENERO!C80</f>
        <v>0</v>
      </c>
      <c r="D80" s="363">
        <f>MARZO!D80+ABRIL!P80</f>
        <v>0</v>
      </c>
      <c r="E80" s="363">
        <f>MARZO!E80+ABRIL!Q80</f>
        <v>14766050</v>
      </c>
      <c r="F80" s="363">
        <f t="shared" si="81"/>
        <v>14766050</v>
      </c>
      <c r="G80" s="363">
        <f>MARZO!I80</f>
        <v>15843601</v>
      </c>
      <c r="H80" s="364">
        <v>-14138</v>
      </c>
      <c r="I80" s="363">
        <f t="shared" si="82"/>
        <v>15829463</v>
      </c>
      <c r="J80" s="363">
        <f>MARZO!L80</f>
        <v>15843601</v>
      </c>
      <c r="K80" s="364">
        <v>-14138</v>
      </c>
      <c r="L80" s="363">
        <f t="shared" si="83"/>
        <v>15829463</v>
      </c>
      <c r="M80" s="363">
        <f t="shared" si="84"/>
        <v>-1063413</v>
      </c>
      <c r="N80" s="143">
        <f t="shared" si="85"/>
        <v>-1063413</v>
      </c>
      <c r="O80" s="372"/>
      <c r="P80" s="362">
        <v>0</v>
      </c>
      <c r="Q80" s="365">
        <v>0</v>
      </c>
      <c r="S80" s="689" t="str">
        <f>+IF(MARZO!S80=0,"",MARZO!S80)</f>
        <v>1020104-11</v>
      </c>
      <c r="T80" s="665" t="str">
        <f>+IF(MARZO!T80=0,"",MARZO!T80)</f>
        <v/>
      </c>
      <c r="U80" s="27">
        <f>+ENERO!U80</f>
        <v>0</v>
      </c>
      <c r="V80" s="15">
        <f>MARZO!V80+ABRIL!AL80</f>
        <v>0</v>
      </c>
      <c r="W80" s="15">
        <f>MARZO!W80+ABRIL!AM80</f>
        <v>0</v>
      </c>
      <c r="X80" s="18">
        <f t="shared" si="72"/>
        <v>0</v>
      </c>
      <c r="Y80" s="19">
        <f>MARZO!AA80</f>
        <v>0</v>
      </c>
      <c r="Z80" s="364">
        <v>0</v>
      </c>
      <c r="AA80" s="18">
        <f t="shared" si="73"/>
        <v>0</v>
      </c>
      <c r="AB80" s="19">
        <f>MARZO!AD80</f>
        <v>0</v>
      </c>
      <c r="AC80" s="364">
        <v>0</v>
      </c>
      <c r="AD80" s="18">
        <f t="shared" si="74"/>
        <v>0</v>
      </c>
      <c r="AE80" s="19">
        <f>MARZO!AG80</f>
        <v>0</v>
      </c>
      <c r="AF80" s="364">
        <v>0</v>
      </c>
      <c r="AG80" s="1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+IF(MARZO!A81=0,"",MARZO!A81)</f>
        <v>1130119</v>
      </c>
      <c r="B81" s="632" t="str">
        <f>+IF(MARZO!B81=0,"",MARZO!B81)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688">
        <f>+IF(MARZO!S81=0,"",MARZO!S81)</f>
        <v>1020199</v>
      </c>
      <c r="T81" s="664" t="str">
        <f>+IF(MARZO!T81=0,"",MARZO!T81)</f>
        <v>Vigencias Anteriores</v>
      </c>
      <c r="U81" s="27">
        <f>+ENERO!U81</f>
        <v>0</v>
      </c>
      <c r="V81" s="15">
        <f>MARZO!V81+ABRIL!AL81</f>
        <v>0</v>
      </c>
      <c r="W81" s="15">
        <f>MARZO!W81+ABRIL!AM81</f>
        <v>0</v>
      </c>
      <c r="X81" s="18">
        <f t="shared" si="72"/>
        <v>0</v>
      </c>
      <c r="Y81" s="19">
        <f>MARZO!AA81</f>
        <v>0</v>
      </c>
      <c r="Z81" s="364">
        <v>0</v>
      </c>
      <c r="AA81" s="18">
        <f t="shared" si="73"/>
        <v>0</v>
      </c>
      <c r="AB81" s="19">
        <f>MARZO!AD81</f>
        <v>0</v>
      </c>
      <c r="AC81" s="364">
        <v>0</v>
      </c>
      <c r="AD81" s="18">
        <f t="shared" si="74"/>
        <v>0</v>
      </c>
      <c r="AE81" s="19">
        <f>MARZO!AG81</f>
        <v>0</v>
      </c>
      <c r="AF81" s="364">
        <v>0</v>
      </c>
      <c r="AG81" s="1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+IF(MARZO!A82=0,"",MARZO!A82)</f>
        <v>1130119-1</v>
      </c>
      <c r="B82" s="629" t="str">
        <f>+CONCATENATE("Vigencia ",INSTRUCCIONES!$F$3)</f>
        <v>Vigencia 2019</v>
      </c>
      <c r="C82" s="655">
        <f>+ENERO!C82</f>
        <v>0</v>
      </c>
      <c r="D82" s="363">
        <f>MARZO!D82+ABRIL!P82</f>
        <v>0</v>
      </c>
      <c r="E82" s="363">
        <f>MARZO!E82+ABRIL!Q82</f>
        <v>0</v>
      </c>
      <c r="F82" s="363">
        <f t="shared" si="81"/>
        <v>0</v>
      </c>
      <c r="G82" s="363">
        <f>MARZO!I82</f>
        <v>0</v>
      </c>
      <c r="H82" s="364">
        <v>0</v>
      </c>
      <c r="I82" s="363">
        <f t="shared" si="82"/>
        <v>0</v>
      </c>
      <c r="J82" s="363">
        <f>MARZO!L82</f>
        <v>0</v>
      </c>
      <c r="K82" s="364">
        <v>0</v>
      </c>
      <c r="L82" s="363">
        <f t="shared" si="83"/>
        <v>0</v>
      </c>
      <c r="M82" s="363">
        <f t="shared" si="84"/>
        <v>0</v>
      </c>
      <c r="N82" s="143">
        <f t="shared" si="85"/>
        <v>0</v>
      </c>
      <c r="P82" s="362">
        <v>0</v>
      </c>
      <c r="Q82" s="365">
        <v>0</v>
      </c>
      <c r="R82" s="9"/>
      <c r="S82" s="356" t="str">
        <f>+IF(MARZO!S82=0,"",MARZO!S82)</f>
        <v/>
      </c>
      <c r="T82" s="678" t="str">
        <f>+IF(MARZO!T82=0,"",MARZO!T82)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+IF(MARZO!A83=0,"",MARZO!A83)</f>
        <v>1130119-2</v>
      </c>
      <c r="B83" s="633" t="str">
        <f>+IF(MARZO!B83=0,"",MARZO!B83)</f>
        <v>Vigencia Anterior</v>
      </c>
      <c r="C83" s="759">
        <f>+ENERO!C83</f>
        <v>0</v>
      </c>
      <c r="D83" s="375">
        <f>MARZO!D83+ABRIL!P83</f>
        <v>0</v>
      </c>
      <c r="E83" s="375">
        <f>MARZO!E83+ABRIL!Q83</f>
        <v>0</v>
      </c>
      <c r="F83" s="375">
        <f t="shared" si="81"/>
        <v>0</v>
      </c>
      <c r="G83" s="375">
        <f>MARZO!I83</f>
        <v>0</v>
      </c>
      <c r="H83" s="378">
        <v>0</v>
      </c>
      <c r="I83" s="375">
        <f t="shared" si="82"/>
        <v>0</v>
      </c>
      <c r="J83" s="375">
        <f>MARZO!L83</f>
        <v>0</v>
      </c>
      <c r="K83" s="378">
        <v>0</v>
      </c>
      <c r="L83" s="375">
        <f t="shared" si="83"/>
        <v>0</v>
      </c>
      <c r="M83" s="375">
        <f t="shared" si="84"/>
        <v>0</v>
      </c>
      <c r="N83" s="376">
        <f t="shared" si="85"/>
        <v>0</v>
      </c>
      <c r="P83" s="362">
        <v>0</v>
      </c>
      <c r="Q83" s="365">
        <v>0</v>
      </c>
      <c r="R83" s="9"/>
      <c r="S83" s="687">
        <f>+IF(MARZO!S83=0,"",MARZO!S83)</f>
        <v>1020200</v>
      </c>
      <c r="T83" s="663" t="str">
        <f>+IF(MARZO!T83=0,"",MARZO!T83)</f>
        <v>Servicios Personales Indirectos</v>
      </c>
      <c r="U83" s="132">
        <f t="shared" ref="U83:AJ83" si="87">SUM(U84:U88)</f>
        <v>21292467542</v>
      </c>
      <c r="V83" s="122">
        <f t="shared" si="87"/>
        <v>0</v>
      </c>
      <c r="W83" s="122">
        <f t="shared" si="87"/>
        <v>1640000000</v>
      </c>
      <c r="X83" s="129">
        <f t="shared" si="87"/>
        <v>22932467542</v>
      </c>
      <c r="Y83" s="128">
        <f t="shared" si="87"/>
        <v>19916189213</v>
      </c>
      <c r="Z83" s="122">
        <f t="shared" si="87"/>
        <v>1158660619</v>
      </c>
      <c r="AA83" s="129">
        <f t="shared" si="87"/>
        <v>21074849832</v>
      </c>
      <c r="AB83" s="128">
        <f t="shared" si="87"/>
        <v>7200090311</v>
      </c>
      <c r="AC83" s="122">
        <f t="shared" si="87"/>
        <v>2491138073</v>
      </c>
      <c r="AD83" s="129">
        <f t="shared" si="87"/>
        <v>9691228384</v>
      </c>
      <c r="AE83" s="128">
        <f t="shared" si="87"/>
        <v>3167395353</v>
      </c>
      <c r="AF83" s="122">
        <f t="shared" si="87"/>
        <v>1678154802</v>
      </c>
      <c r="AG83" s="129">
        <f t="shared" si="87"/>
        <v>4845550155</v>
      </c>
      <c r="AH83" s="128">
        <f t="shared" si="87"/>
        <v>1857617710</v>
      </c>
      <c r="AI83" s="122">
        <f t="shared" si="87"/>
        <v>13241239158</v>
      </c>
      <c r="AJ83" s="130">
        <f t="shared" si="87"/>
        <v>18086917387</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+IF(MARZO!A84=0,"",MARZO!A84)</f>
        <v/>
      </c>
      <c r="B84" s="634" t="str">
        <f>+IF(MARZO!B84=0,"",MARZO!B84)</f>
        <v/>
      </c>
      <c r="C84" s="284"/>
      <c r="D84" s="284"/>
      <c r="E84" s="284"/>
      <c r="F84" s="284"/>
      <c r="G84" s="284"/>
      <c r="H84" s="284"/>
      <c r="I84" s="284"/>
      <c r="J84" s="284"/>
      <c r="K84" s="284"/>
      <c r="L84" s="284"/>
      <c r="M84" s="284"/>
      <c r="N84" s="453"/>
      <c r="O84" s="451"/>
      <c r="P84" s="457"/>
      <c r="Q84" s="381"/>
      <c r="R84" s="9"/>
      <c r="S84" s="688" t="str">
        <f>+IF(MARZO!S84=0,"",MARZO!S84)</f>
        <v>1020200-1</v>
      </c>
      <c r="T84" s="664" t="str">
        <f>+IF(MARZO!T84=0,"",MARZO!T84)</f>
        <v>Remuneración y Honorarios por Servicios Técnicos y Profesionales</v>
      </c>
      <c r="U84" s="27">
        <f>+ENERO!U84</f>
        <v>304448100</v>
      </c>
      <c r="V84" s="15">
        <f>MARZO!V84+ABRIL!AL84</f>
        <v>0</v>
      </c>
      <c r="W84" s="15">
        <f>MARZO!W84+ABRIL!AM84</f>
        <v>90000000</v>
      </c>
      <c r="X84" s="18">
        <f>SUM(U84:W84)</f>
        <v>394448100</v>
      </c>
      <c r="Y84" s="19">
        <f>MARZO!AA84</f>
        <v>304122910</v>
      </c>
      <c r="Z84" s="364">
        <v>0</v>
      </c>
      <c r="AA84" s="18">
        <f>SUM(Y84:Z84)</f>
        <v>304122910</v>
      </c>
      <c r="AB84" s="19">
        <f>MARZO!AD84</f>
        <v>48880495</v>
      </c>
      <c r="AC84" s="364">
        <v>32089965</v>
      </c>
      <c r="AD84" s="18">
        <f>SUM(AB84:AC84)</f>
        <v>80970460</v>
      </c>
      <c r="AE84" s="19">
        <f>MARZO!AG84</f>
        <v>21012203</v>
      </c>
      <c r="AF84" s="364">
        <v>19276220</v>
      </c>
      <c r="AG84" s="18">
        <f>SUM(AE84:AF84)</f>
        <v>40288423</v>
      </c>
      <c r="AH84" s="19">
        <f>X84-AA84</f>
        <v>90325190</v>
      </c>
      <c r="AI84" s="15">
        <f>X84-AD84</f>
        <v>313477640</v>
      </c>
      <c r="AJ84" s="16">
        <f>X84-AG84</f>
        <v>354159677</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+IF(MARZO!A85=0,"",MARZO!A85)</f>
        <v>11302</v>
      </c>
      <c r="B85" s="635" t="str">
        <f>+IF(MARZO!B85=0,"",MARZO!B85)</f>
        <v>Otras Ventas de Servicios de Salud</v>
      </c>
      <c r="C85" s="600">
        <f t="shared" ref="C85:N85" si="88">SUM(C86:C92)</f>
        <v>0</v>
      </c>
      <c r="D85" s="598">
        <f t="shared" si="88"/>
        <v>0</v>
      </c>
      <c r="E85" s="598">
        <f t="shared" si="88"/>
        <v>12200562275</v>
      </c>
      <c r="F85" s="598">
        <f t="shared" si="88"/>
        <v>12200562275</v>
      </c>
      <c r="G85" s="598">
        <f t="shared" si="88"/>
        <v>1640917175</v>
      </c>
      <c r="H85" s="598">
        <f t="shared" si="88"/>
        <v>542115556</v>
      </c>
      <c r="I85" s="598">
        <f t="shared" si="88"/>
        <v>2183032731</v>
      </c>
      <c r="J85" s="598">
        <f t="shared" si="88"/>
        <v>1640917175</v>
      </c>
      <c r="K85" s="598">
        <f t="shared" si="88"/>
        <v>542115556</v>
      </c>
      <c r="L85" s="598">
        <f t="shared" si="88"/>
        <v>2183032731</v>
      </c>
      <c r="M85" s="598">
        <f t="shared" si="88"/>
        <v>10017529544</v>
      </c>
      <c r="N85" s="599">
        <f t="shared" si="88"/>
        <v>10017529544</v>
      </c>
      <c r="P85" s="43">
        <f>SUM(P86:P92)</f>
        <v>0</v>
      </c>
      <c r="Q85" s="45">
        <f>SUM(Q86:Q92)</f>
        <v>0</v>
      </c>
      <c r="R85" s="9"/>
      <c r="S85" s="688" t="str">
        <f>+IF(MARZO!S85=0,"",MARZO!S85)</f>
        <v>1020200-2</v>
      </c>
      <c r="T85" s="664" t="str">
        <f>+IF(MARZO!T85=0,"",MARZO!T85)</f>
        <v>Personal Supernumerario</v>
      </c>
      <c r="U85" s="27">
        <f>+ENERO!U85</f>
        <v>0</v>
      </c>
      <c r="V85" s="15">
        <f>MARZO!V85+ABRIL!AL85</f>
        <v>0</v>
      </c>
      <c r="W85" s="15">
        <f>MARZO!W85+ABRIL!AM85</f>
        <v>0</v>
      </c>
      <c r="X85" s="18">
        <f>SUM(U85:W85)</f>
        <v>0</v>
      </c>
      <c r="Y85" s="19">
        <f>MARZO!AA85</f>
        <v>0</v>
      </c>
      <c r="Z85" s="364">
        <v>0</v>
      </c>
      <c r="AA85" s="18">
        <f>SUM(Y85:Z85)</f>
        <v>0</v>
      </c>
      <c r="AB85" s="19">
        <f>MARZO!AD85</f>
        <v>0</v>
      </c>
      <c r="AC85" s="364">
        <v>0</v>
      </c>
      <c r="AD85" s="18">
        <f>SUM(AB85:AC85)</f>
        <v>0</v>
      </c>
      <c r="AE85" s="19">
        <f>MARZO!AG85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+IF(MARZO!A86=0,"",MARZO!A86)</f>
        <v>1130201</v>
      </c>
      <c r="B86" s="609" t="str">
        <f>+IF(MARZO!B86=0,"",MARZO!B86)</f>
        <v/>
      </c>
      <c r="C86" s="654">
        <f>+ENERO!C86</f>
        <v>0</v>
      </c>
      <c r="D86" s="363">
        <f>MARZO!D86+ABRIL!P86</f>
        <v>0</v>
      </c>
      <c r="E86" s="363">
        <f>MARZO!E86+ABRIL!Q86</f>
        <v>0</v>
      </c>
      <c r="F86" s="363">
        <f t="shared" ref="F86:F92" si="89">SUM(C86:E86)</f>
        <v>0</v>
      </c>
      <c r="G86" s="363">
        <f>MARZO!I86</f>
        <v>0</v>
      </c>
      <c r="H86" s="364">
        <v>0</v>
      </c>
      <c r="I86" s="363">
        <f t="shared" ref="I86:I92" si="90">SUM(G86:H86)</f>
        <v>0</v>
      </c>
      <c r="J86" s="363">
        <f>MARZO!L86</f>
        <v>0</v>
      </c>
      <c r="K86" s="364">
        <v>0</v>
      </c>
      <c r="L86" s="363">
        <f t="shared" ref="L86:L92" si="91">SUM(J86:K86)</f>
        <v>0</v>
      </c>
      <c r="M86" s="363">
        <f t="shared" ref="M86:M92" si="92">F86-I86</f>
        <v>0</v>
      </c>
      <c r="N86" s="143">
        <f t="shared" ref="N86:N92" si="93">F86-L86</f>
        <v>0</v>
      </c>
      <c r="O86" s="372"/>
      <c r="P86" s="362">
        <v>0</v>
      </c>
      <c r="Q86" s="365">
        <v>0</v>
      </c>
      <c r="S86" s="688" t="str">
        <f>+IF(MARZO!S86=0,"",MARZO!S86)</f>
        <v>1020200-3</v>
      </c>
      <c r="T86" s="664" t="str">
        <f>+IF(MARZO!T86=0,"",MARZO!T86)</f>
        <v>Otros Honorarios</v>
      </c>
      <c r="U86" s="27">
        <f>+ENERO!U86</f>
        <v>18988019442</v>
      </c>
      <c r="V86" s="15">
        <f>MARZO!V86+ABRIL!AL86</f>
        <v>-1000000000</v>
      </c>
      <c r="W86" s="15">
        <f>MARZO!W86+ABRIL!AM86</f>
        <v>50000000</v>
      </c>
      <c r="X86" s="18">
        <f>SUM(U86:W86)</f>
        <v>18038019442</v>
      </c>
      <c r="Y86" s="19">
        <f>MARZO!AA86</f>
        <v>16659785509</v>
      </c>
      <c r="Z86" s="364">
        <v>0</v>
      </c>
      <c r="AA86" s="18">
        <f>SUM(Y86:Z86)</f>
        <v>16659785509</v>
      </c>
      <c r="AB86" s="19">
        <f>MARZO!AD86</f>
        <v>4198929022</v>
      </c>
      <c r="AC86" s="364">
        <v>1300387489</v>
      </c>
      <c r="AD86" s="18">
        <f>SUM(AB86:AC86)</f>
        <v>5499316511</v>
      </c>
      <c r="AE86" s="19">
        <f>MARZO!AG86</f>
        <v>194102356</v>
      </c>
      <c r="AF86" s="364">
        <v>500217963</v>
      </c>
      <c r="AG86" s="18">
        <f>SUM(AE86:AF86)</f>
        <v>694320319</v>
      </c>
      <c r="AH86" s="19">
        <f>X86-AA86</f>
        <v>1378233933</v>
      </c>
      <c r="AI86" s="15">
        <f>X86-AD86</f>
        <v>12538702931</v>
      </c>
      <c r="AJ86" s="16">
        <f>X86-AG86</f>
        <v>17343699123</v>
      </c>
      <c r="AL86" s="362">
        <v>-1000000000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+IF(MARZO!A87=0,"",MARZO!A87)</f>
        <v>1130202</v>
      </c>
      <c r="B87" s="609" t="str">
        <f>+IF(MARZO!B87=0,"",MARZO!B87)</f>
        <v/>
      </c>
      <c r="C87" s="654">
        <f>+ENERO!C87</f>
        <v>0</v>
      </c>
      <c r="D87" s="363">
        <f>MARZO!D87+ABRIL!P87</f>
        <v>0</v>
      </c>
      <c r="E87" s="363">
        <f>MARZO!E87+ABRIL!Q87</f>
        <v>0</v>
      </c>
      <c r="F87" s="363">
        <f t="shared" si="89"/>
        <v>0</v>
      </c>
      <c r="G87" s="363">
        <f>MARZO!I87</f>
        <v>0</v>
      </c>
      <c r="H87" s="364">
        <v>0</v>
      </c>
      <c r="I87" s="363">
        <f t="shared" si="90"/>
        <v>0</v>
      </c>
      <c r="J87" s="363">
        <f>MARZO!L87</f>
        <v>0</v>
      </c>
      <c r="K87" s="364">
        <v>0</v>
      </c>
      <c r="L87" s="363">
        <f t="shared" si="91"/>
        <v>0</v>
      </c>
      <c r="M87" s="363">
        <f t="shared" si="92"/>
        <v>0</v>
      </c>
      <c r="N87" s="143">
        <f t="shared" si="93"/>
        <v>0</v>
      </c>
      <c r="P87" s="362">
        <v>0</v>
      </c>
      <c r="Q87" s="365">
        <v>0</v>
      </c>
      <c r="R87" s="9"/>
      <c r="S87" s="688" t="str">
        <f>+IF(MARZO!S87=0,"",MARZO!S87)</f>
        <v>1020200-4</v>
      </c>
      <c r="T87" s="664" t="str">
        <f>+IF(MARZO!T87=0,"",MARZO!T87)</f>
        <v/>
      </c>
      <c r="U87" s="27">
        <f>+ENERO!U87</f>
        <v>0</v>
      </c>
      <c r="V87" s="15">
        <f>MARZO!V87+ABRIL!AL87</f>
        <v>0</v>
      </c>
      <c r="W87" s="15">
        <f>MARZO!W87+ABRIL!AM87</f>
        <v>0</v>
      </c>
      <c r="X87" s="18">
        <f>SUM(U87:W87)</f>
        <v>0</v>
      </c>
      <c r="Y87" s="19">
        <f>MARZO!AA87</f>
        <v>0</v>
      </c>
      <c r="Z87" s="364">
        <v>0</v>
      </c>
      <c r="AA87" s="18">
        <f>SUM(Y87:Z87)</f>
        <v>0</v>
      </c>
      <c r="AB87" s="19">
        <f>MARZO!AD87</f>
        <v>0</v>
      </c>
      <c r="AC87" s="364">
        <v>0</v>
      </c>
      <c r="AD87" s="18">
        <f>SUM(AB87:AC87)</f>
        <v>0</v>
      </c>
      <c r="AE87" s="19">
        <f>MARZO!AG87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+IF(MARZO!A88=0,"",MARZO!A88)</f>
        <v>1130203</v>
      </c>
      <c r="B88" s="610" t="str">
        <f>+IF(MARZO!B88=0,"",MARZO!B88)</f>
        <v>CONVENIOS CON LA NACION LIGADOS A LA VENTA DE SERVICIOS</v>
      </c>
      <c r="C88" s="654">
        <f>+ENERO!C88</f>
        <v>0</v>
      </c>
      <c r="D88" s="363">
        <f>MARZO!D88+ABRIL!P88</f>
        <v>0</v>
      </c>
      <c r="E88" s="363">
        <f>MARZO!E88+ABRIL!Q88</f>
        <v>222386275</v>
      </c>
      <c r="F88" s="363">
        <f t="shared" si="89"/>
        <v>222386275</v>
      </c>
      <c r="G88" s="363">
        <f>MARZO!I88</f>
        <v>67257235</v>
      </c>
      <c r="H88" s="364">
        <v>41637556</v>
      </c>
      <c r="I88" s="363">
        <f t="shared" si="90"/>
        <v>108894791</v>
      </c>
      <c r="J88" s="363">
        <f>MARZO!L88</f>
        <v>67257235</v>
      </c>
      <c r="K88" s="364">
        <v>41637556</v>
      </c>
      <c r="L88" s="363">
        <f t="shared" si="91"/>
        <v>108894791</v>
      </c>
      <c r="M88" s="363">
        <f t="shared" si="92"/>
        <v>113491484</v>
      </c>
      <c r="N88" s="143">
        <f t="shared" si="93"/>
        <v>113491484</v>
      </c>
      <c r="P88" s="362">
        <v>0</v>
      </c>
      <c r="Q88" s="365">
        <v>0</v>
      </c>
      <c r="R88" s="9"/>
      <c r="S88" s="688">
        <f>+IF(MARZO!S88=0,"",MARZO!S88)</f>
        <v>1020299</v>
      </c>
      <c r="T88" s="664" t="str">
        <f>+IF(MARZO!T88=0,"",MARZO!T88)</f>
        <v>Vigencias Anteriores</v>
      </c>
      <c r="U88" s="27">
        <f>+ENERO!U88</f>
        <v>2000000000</v>
      </c>
      <c r="V88" s="15">
        <f>MARZO!V88+ABRIL!AL88</f>
        <v>1000000000</v>
      </c>
      <c r="W88" s="15">
        <f>MARZO!W88+ABRIL!AM88</f>
        <v>1500000000</v>
      </c>
      <c r="X88" s="18">
        <f>SUM(U88:W88)</f>
        <v>4500000000</v>
      </c>
      <c r="Y88" s="19">
        <f>MARZO!AA88</f>
        <v>2952280794</v>
      </c>
      <c r="Z88" s="364">
        <v>1158660619</v>
      </c>
      <c r="AA88" s="18">
        <f>SUM(Y88:Z88)</f>
        <v>4110941413</v>
      </c>
      <c r="AB88" s="19">
        <f>MARZO!AD88</f>
        <v>2952280794</v>
      </c>
      <c r="AC88" s="364">
        <v>1158660619</v>
      </c>
      <c r="AD88" s="18">
        <f>SUM(AB88:AC88)</f>
        <v>4110941413</v>
      </c>
      <c r="AE88" s="19">
        <f>MARZO!AG88</f>
        <v>2952280794</v>
      </c>
      <c r="AF88" s="364">
        <v>1158660619</v>
      </c>
      <c r="AG88" s="18">
        <f>SUM(AE88:AF88)</f>
        <v>4110941413</v>
      </c>
      <c r="AH88" s="19">
        <f>X88-AA88</f>
        <v>389058587</v>
      </c>
      <c r="AI88" s="15">
        <f>X88-AD88</f>
        <v>389058587</v>
      </c>
      <c r="AJ88" s="16">
        <f>X88-AG88</f>
        <v>389058587</v>
      </c>
      <c r="AK88" s="9"/>
      <c r="AL88" s="362">
        <v>1000000000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+IF(MARZO!A89=0,"",MARZO!A89)</f>
        <v>1130204</v>
      </c>
      <c r="B89" s="610" t="str">
        <f>+IF(MARZO!B89=0,"",MARZO!B89)</f>
        <v>CONVENIOS CON EL DEPARTAMENTO LIGADOS A LA VENTA SERVICIOS</v>
      </c>
      <c r="C89" s="654">
        <f>+ENERO!C89</f>
        <v>0</v>
      </c>
      <c r="D89" s="363">
        <f>MARZO!D89+ABRIL!P89</f>
        <v>0</v>
      </c>
      <c r="E89" s="363">
        <f>MARZO!E89+ABRIL!Q89</f>
        <v>0</v>
      </c>
      <c r="F89" s="363">
        <f t="shared" si="89"/>
        <v>0</v>
      </c>
      <c r="G89" s="363">
        <f>MARZO!I89</f>
        <v>0</v>
      </c>
      <c r="H89" s="364">
        <v>0</v>
      </c>
      <c r="I89" s="363">
        <f t="shared" si="90"/>
        <v>0</v>
      </c>
      <c r="J89" s="363">
        <f>MARZO!L89</f>
        <v>0</v>
      </c>
      <c r="K89" s="364">
        <v>0</v>
      </c>
      <c r="L89" s="363">
        <f t="shared" si="91"/>
        <v>0</v>
      </c>
      <c r="M89" s="363">
        <f t="shared" si="92"/>
        <v>0</v>
      </c>
      <c r="N89" s="143">
        <f t="shared" si="93"/>
        <v>0</v>
      </c>
      <c r="P89" s="362">
        <v>0</v>
      </c>
      <c r="Q89" s="365">
        <v>0</v>
      </c>
      <c r="R89" s="9"/>
      <c r="S89" s="356" t="str">
        <f>+IF(MARZO!S89=0,"",MARZO!S89)</f>
        <v/>
      </c>
      <c r="T89" s="678" t="str">
        <f>+IF(MARZO!T89=0,"",MARZO!T89)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+IF(MARZO!A90=0,"",MARZO!A90)</f>
        <v>1130205</v>
      </c>
      <c r="B90" s="610" t="str">
        <f>+IF(MARZO!B90=0,"",MARZO!B90)</f>
        <v>CONVENIOS CON EL MUNICIPIO LIGADOS A LA VENTA DE SERVICIOS</v>
      </c>
      <c r="C90" s="654">
        <f>+ENERO!C90</f>
        <v>0</v>
      </c>
      <c r="D90" s="363">
        <f>MARZO!D90+ABRIL!P90</f>
        <v>0</v>
      </c>
      <c r="E90" s="363">
        <f>MARZO!E90+ABRIL!Q90</f>
        <v>0</v>
      </c>
      <c r="F90" s="363">
        <f t="shared" si="89"/>
        <v>0</v>
      </c>
      <c r="G90" s="363">
        <f>MARZO!I90</f>
        <v>0</v>
      </c>
      <c r="H90" s="364">
        <v>0</v>
      </c>
      <c r="I90" s="363">
        <f t="shared" si="90"/>
        <v>0</v>
      </c>
      <c r="J90" s="363">
        <f>MARZO!L90</f>
        <v>0</v>
      </c>
      <c r="K90" s="364">
        <v>0</v>
      </c>
      <c r="L90" s="363">
        <f t="shared" si="91"/>
        <v>0</v>
      </c>
      <c r="M90" s="363">
        <f t="shared" si="92"/>
        <v>0</v>
      </c>
      <c r="N90" s="143">
        <f t="shared" si="93"/>
        <v>0</v>
      </c>
      <c r="O90" s="372"/>
      <c r="P90" s="362">
        <v>0</v>
      </c>
      <c r="Q90" s="365">
        <v>0</v>
      </c>
      <c r="R90" s="30"/>
      <c r="S90" s="687">
        <f>+IF(MARZO!S90=0,"",MARZO!S90)</f>
        <v>1020300</v>
      </c>
      <c r="T90" s="663" t="str">
        <f>+IF(MARZO!T90=0,"",MARZO!T90)</f>
        <v>Contribuciones Inherentes nómina al Sector Privado</v>
      </c>
      <c r="U90" s="132">
        <f t="shared" ref="U90:AJ90" si="94">U91+U96+U102</f>
        <v>2996072011</v>
      </c>
      <c r="V90" s="122">
        <f t="shared" si="94"/>
        <v>6501068</v>
      </c>
      <c r="W90" s="122">
        <f t="shared" si="94"/>
        <v>13182074</v>
      </c>
      <c r="X90" s="129">
        <f t="shared" si="94"/>
        <v>3015755153</v>
      </c>
      <c r="Y90" s="128">
        <f t="shared" si="94"/>
        <v>326146882</v>
      </c>
      <c r="Z90" s="122">
        <f t="shared" si="94"/>
        <v>63326263</v>
      </c>
      <c r="AA90" s="129">
        <f t="shared" si="94"/>
        <v>389473145</v>
      </c>
      <c r="AB90" s="128">
        <f t="shared" si="94"/>
        <v>326146882</v>
      </c>
      <c r="AC90" s="122">
        <f t="shared" si="94"/>
        <v>63326263</v>
      </c>
      <c r="AD90" s="129">
        <f t="shared" si="94"/>
        <v>389473145</v>
      </c>
      <c r="AE90" s="128">
        <f t="shared" si="94"/>
        <v>319225962</v>
      </c>
      <c r="AF90" s="122">
        <f t="shared" si="94"/>
        <v>63283903</v>
      </c>
      <c r="AG90" s="129">
        <f t="shared" si="94"/>
        <v>382509865</v>
      </c>
      <c r="AH90" s="128">
        <f t="shared" si="94"/>
        <v>2626282008</v>
      </c>
      <c r="AI90" s="122">
        <f t="shared" si="94"/>
        <v>2626282008</v>
      </c>
      <c r="AJ90" s="130">
        <f t="shared" si="94"/>
        <v>2633245288</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+IF(MARZO!A91=0,"",MARZO!A91)</f>
        <v>1130206</v>
      </c>
      <c r="B91" s="610" t="str">
        <f>+IF(MARZO!B91=0,"",MARZO!B91)</f>
        <v>OTROS CONVENIOS LIGADOS A LA VENTA DE SERVICIOS</v>
      </c>
      <c r="C91" s="654">
        <f>+ENERO!C91</f>
        <v>0</v>
      </c>
      <c r="D91" s="363">
        <f>MARZO!D91+ABRIL!P91</f>
        <v>0</v>
      </c>
      <c r="E91" s="363">
        <f>MARZO!E91+ABRIL!Q91</f>
        <v>11978176000</v>
      </c>
      <c r="F91" s="363">
        <f t="shared" si="89"/>
        <v>11978176000</v>
      </c>
      <c r="G91" s="363">
        <f>MARZO!I91</f>
        <v>1573659940</v>
      </c>
      <c r="H91" s="364">
        <v>500478000</v>
      </c>
      <c r="I91" s="363">
        <f t="shared" si="90"/>
        <v>2074137940</v>
      </c>
      <c r="J91" s="363">
        <f>MARZO!L91</f>
        <v>1573659940</v>
      </c>
      <c r="K91" s="364">
        <v>500478000</v>
      </c>
      <c r="L91" s="363">
        <f t="shared" si="91"/>
        <v>2074137940</v>
      </c>
      <c r="M91" s="363">
        <f t="shared" si="92"/>
        <v>9904038060</v>
      </c>
      <c r="N91" s="143">
        <f t="shared" si="93"/>
        <v>9904038060</v>
      </c>
      <c r="O91" s="372"/>
      <c r="P91" s="362">
        <v>0</v>
      </c>
      <c r="Q91" s="365">
        <v>0</v>
      </c>
      <c r="R91" s="30"/>
      <c r="S91" s="688">
        <f>+IF(MARZO!S91=0,"",MARZO!S91)</f>
        <v>1020301</v>
      </c>
      <c r="T91" s="664" t="str">
        <f>+IF(MARZO!T91=0,"",MARZO!T91)</f>
        <v>Contribuciones - SGP - Aportes Patronales - Cuenta Maestra</v>
      </c>
      <c r="U91" s="27">
        <f t="shared" ref="U91:AJ91" si="95">SUM(U92:U95)</f>
        <v>1100060774</v>
      </c>
      <c r="V91" s="15">
        <f t="shared" si="95"/>
        <v>0</v>
      </c>
      <c r="W91" s="15">
        <f t="shared" si="95"/>
        <v>0</v>
      </c>
      <c r="X91" s="18">
        <f t="shared" si="95"/>
        <v>1100060774</v>
      </c>
      <c r="Y91" s="19">
        <f t="shared" si="95"/>
        <v>113827100</v>
      </c>
      <c r="Z91" s="142">
        <f t="shared" si="95"/>
        <v>56362983</v>
      </c>
      <c r="AA91" s="18">
        <f t="shared" si="95"/>
        <v>170190083</v>
      </c>
      <c r="AB91" s="19">
        <f t="shared" si="95"/>
        <v>113827100</v>
      </c>
      <c r="AC91" s="142">
        <f t="shared" si="95"/>
        <v>56362983</v>
      </c>
      <c r="AD91" s="18">
        <f t="shared" si="95"/>
        <v>170190083</v>
      </c>
      <c r="AE91" s="19">
        <f t="shared" si="95"/>
        <v>113827100</v>
      </c>
      <c r="AF91" s="142">
        <f t="shared" si="95"/>
        <v>56362983</v>
      </c>
      <c r="AG91" s="18">
        <f t="shared" si="95"/>
        <v>170190083</v>
      </c>
      <c r="AH91" s="19">
        <f t="shared" si="95"/>
        <v>929870691</v>
      </c>
      <c r="AI91" s="15">
        <f t="shared" si="95"/>
        <v>929870691</v>
      </c>
      <c r="AJ91" s="16">
        <f t="shared" si="95"/>
        <v>929870691</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+IF(MARZO!A92=0,"",MARZO!A92)</f>
        <v>1130207</v>
      </c>
      <c r="B92" s="611" t="str">
        <f>+IF(MARZO!B92=0,"",MARZO!B92)</f>
        <v>Vigencia Anterior</v>
      </c>
      <c r="C92" s="760">
        <f>+ENERO!C92</f>
        <v>0</v>
      </c>
      <c r="D92" s="375">
        <f>MARZO!D92+ABRIL!P92</f>
        <v>0</v>
      </c>
      <c r="E92" s="375">
        <f>MARZO!E92+ABRIL!Q92</f>
        <v>0</v>
      </c>
      <c r="F92" s="375">
        <f t="shared" si="89"/>
        <v>0</v>
      </c>
      <c r="G92" s="375">
        <f>MARZO!I92</f>
        <v>0</v>
      </c>
      <c r="H92" s="378">
        <v>0</v>
      </c>
      <c r="I92" s="375">
        <f t="shared" si="90"/>
        <v>0</v>
      </c>
      <c r="J92" s="375">
        <f>MARZO!L92</f>
        <v>0</v>
      </c>
      <c r="K92" s="378">
        <v>0</v>
      </c>
      <c r="L92" s="375">
        <f t="shared" si="91"/>
        <v>0</v>
      </c>
      <c r="M92" s="375">
        <f t="shared" si="92"/>
        <v>0</v>
      </c>
      <c r="N92" s="376">
        <f t="shared" si="93"/>
        <v>0</v>
      </c>
      <c r="O92" s="372"/>
      <c r="P92" s="362">
        <v>0</v>
      </c>
      <c r="Q92" s="365">
        <v>0</v>
      </c>
      <c r="R92" s="30"/>
      <c r="S92" s="689" t="str">
        <f>+IF(MARZO!S92=0,"",MARZO!S92)</f>
        <v>1020301-1</v>
      </c>
      <c r="T92" s="665" t="str">
        <f>+IF(MARZO!T92=0,"",MARZO!T92)</f>
        <v>E.P.S. - Aportes cuenta maestra</v>
      </c>
      <c r="U92" s="27">
        <f>+ENERO!U92</f>
        <v>273298716</v>
      </c>
      <c r="V92" s="15">
        <f>MARZO!V92+ABRIL!AL92</f>
        <v>0</v>
      </c>
      <c r="W92" s="15">
        <f>MARZO!W92+ABRIL!AM92</f>
        <v>0</v>
      </c>
      <c r="X92" s="18">
        <f>SUM(U92:W92)</f>
        <v>273298716</v>
      </c>
      <c r="Y92" s="19">
        <f>MARZO!AA92</f>
        <v>47237235</v>
      </c>
      <c r="Z92" s="364">
        <v>24013759</v>
      </c>
      <c r="AA92" s="18">
        <f>SUM(Y92:Z92)</f>
        <v>71250994</v>
      </c>
      <c r="AB92" s="19">
        <f>MARZO!AD92</f>
        <v>47237235</v>
      </c>
      <c r="AC92" s="364">
        <v>24013759</v>
      </c>
      <c r="AD92" s="18">
        <f>SUM(AB92:AC92)</f>
        <v>71250994</v>
      </c>
      <c r="AE92" s="19">
        <f>MARZO!AG92</f>
        <v>47237235</v>
      </c>
      <c r="AF92" s="364">
        <v>24013759</v>
      </c>
      <c r="AG92" s="18">
        <f>SUM(AE92:AF92)</f>
        <v>71250994</v>
      </c>
      <c r="AH92" s="19">
        <f>X92-AA92</f>
        <v>202047722</v>
      </c>
      <c r="AI92" s="15">
        <f>X92-AD92</f>
        <v>202047722</v>
      </c>
      <c r="AJ92" s="16">
        <f>X92-AG92</f>
        <v>202047722</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+IF(MARZO!A93=0,"",MARZO!A93)</f>
        <v/>
      </c>
      <c r="B93" s="634" t="str">
        <f>+IF(MARZO!B93=0,"",MARZO!B93)</f>
        <v/>
      </c>
      <c r="C93" s="284"/>
      <c r="D93" s="284"/>
      <c r="E93" s="284"/>
      <c r="F93" s="284"/>
      <c r="G93" s="284"/>
      <c r="H93" s="284"/>
      <c r="I93" s="284"/>
      <c r="J93" s="284"/>
      <c r="K93" s="284"/>
      <c r="L93" s="284"/>
      <c r="M93" s="284"/>
      <c r="N93" s="453"/>
      <c r="P93" s="457"/>
      <c r="Q93" s="381"/>
      <c r="R93" s="30"/>
      <c r="S93" s="689" t="str">
        <f>+IF(MARZO!S93=0,"",MARZO!S93)</f>
        <v>1020301-2</v>
      </c>
      <c r="T93" s="665" t="str">
        <f>+IF(MARZO!T93=0,"",MARZO!T93)</f>
        <v>Fondos pensionales - Aportes cuenta maestra</v>
      </c>
      <c r="U93" s="27">
        <f>+ENERO!U93</f>
        <v>372680081</v>
      </c>
      <c r="V93" s="15">
        <f>MARZO!V93+ABRIL!AL93</f>
        <v>0</v>
      </c>
      <c r="W93" s="15">
        <f>MARZO!W93+ABRIL!AM93</f>
        <v>0</v>
      </c>
      <c r="X93" s="18">
        <f>SUM(U93:W93)</f>
        <v>372680081</v>
      </c>
      <c r="Y93" s="19">
        <f>MARZO!AA93</f>
        <v>59717305</v>
      </c>
      <c r="Z93" s="364">
        <v>28636184</v>
      </c>
      <c r="AA93" s="18">
        <f>SUM(Y93:Z93)</f>
        <v>88353489</v>
      </c>
      <c r="AB93" s="19">
        <f>MARZO!AD93</f>
        <v>59717305</v>
      </c>
      <c r="AC93" s="364">
        <v>28636184</v>
      </c>
      <c r="AD93" s="18">
        <f>SUM(AB93:AC93)</f>
        <v>88353489</v>
      </c>
      <c r="AE93" s="19">
        <f>MARZO!AG93</f>
        <v>59717305</v>
      </c>
      <c r="AF93" s="364">
        <v>28636184</v>
      </c>
      <c r="AG93" s="18">
        <f>SUM(AE93:AF93)</f>
        <v>88353489</v>
      </c>
      <c r="AH93" s="19">
        <f>X93-AA93</f>
        <v>284326592</v>
      </c>
      <c r="AI93" s="15">
        <f>X93-AD93</f>
        <v>284326592</v>
      </c>
      <c r="AJ93" s="16">
        <f>X93-AG93</f>
        <v>284326592</v>
      </c>
      <c r="AK93" s="9"/>
      <c r="AL93" s="362">
        <v>0</v>
      </c>
      <c r="AM93" s="365">
        <v>0</v>
      </c>
      <c r="AN93" s="30"/>
      <c r="AO93" s="450"/>
      <c r="AP93" s="450"/>
      <c r="AQ93" s="450"/>
      <c r="AR93" s="450"/>
      <c r="AS93" s="450"/>
      <c r="AT93" s="450"/>
      <c r="AU93" s="450"/>
      <c r="AV93" s="450"/>
      <c r="AW93" s="450"/>
      <c r="AX93" s="450"/>
      <c r="AY93" s="450"/>
      <c r="AZ93" s="450"/>
      <c r="BL93" s="30"/>
    </row>
    <row r="94" spans="1:70" s="451" customFormat="1" ht="39" customHeight="1">
      <c r="A94" s="720">
        <f>+IF(MARZO!A94=0,"",MARZO!A94)</f>
        <v>11303</v>
      </c>
      <c r="B94" s="601" t="str">
        <f>+IF(MARZO!B94=0,"",MARZO!B94)</f>
        <v>Aportes (No ligados a la venta de servicios de salud)</v>
      </c>
      <c r="C94" s="600">
        <f>SUM(C95:C102)</f>
        <v>7982899073</v>
      </c>
      <c r="D94" s="598">
        <f t="shared" ref="D94:N94" si="96">SUM(D95:D102)</f>
        <v>0</v>
      </c>
      <c r="E94" s="598">
        <f t="shared" si="96"/>
        <v>0</v>
      </c>
      <c r="F94" s="598">
        <f t="shared" si="96"/>
        <v>7982899073</v>
      </c>
      <c r="G94" s="598">
        <f t="shared" si="96"/>
        <v>0</v>
      </c>
      <c r="H94" s="598">
        <f t="shared" si="96"/>
        <v>3354444422</v>
      </c>
      <c r="I94" s="598">
        <f t="shared" si="96"/>
        <v>3354444422</v>
      </c>
      <c r="J94" s="598">
        <f t="shared" si="96"/>
        <v>0</v>
      </c>
      <c r="K94" s="598">
        <f t="shared" si="96"/>
        <v>3354444422</v>
      </c>
      <c r="L94" s="598">
        <f t="shared" si="96"/>
        <v>3354444422</v>
      </c>
      <c r="M94" s="598">
        <f t="shared" si="96"/>
        <v>4628454651</v>
      </c>
      <c r="N94" s="599">
        <f t="shared" si="96"/>
        <v>4628454651</v>
      </c>
      <c r="O94" s="372"/>
      <c r="P94" s="43">
        <f>SUM(P95:P102)</f>
        <v>0</v>
      </c>
      <c r="Q94" s="45">
        <f>SUM(Q95:Q102)</f>
        <v>0</v>
      </c>
      <c r="R94" s="30"/>
      <c r="S94" s="689" t="str">
        <f>+IF(MARZO!S94=0,"",MARZO!S94)</f>
        <v>1020301-3</v>
      </c>
      <c r="T94" s="665" t="str">
        <f>+IF(MARZO!T94=0,"",MARZO!T94)</f>
        <v>Fondos de cesantías - Aportes cuenta maestra</v>
      </c>
      <c r="U94" s="27">
        <f>+ENERO!U94</f>
        <v>387061561</v>
      </c>
      <c r="V94" s="15">
        <f>MARZO!V94+ABRIL!AL94</f>
        <v>0</v>
      </c>
      <c r="W94" s="15">
        <f>MARZO!W94+ABRIL!AM94</f>
        <v>0</v>
      </c>
      <c r="X94" s="18">
        <f>SUM(U94:W94)</f>
        <v>387061561</v>
      </c>
      <c r="Y94" s="19">
        <f>MARZO!AA94</f>
        <v>0</v>
      </c>
      <c r="Z94" s="364">
        <v>0</v>
      </c>
      <c r="AA94" s="18">
        <f>SUM(Y94:Z94)</f>
        <v>0</v>
      </c>
      <c r="AB94" s="19">
        <f>MARZO!AD94</f>
        <v>0</v>
      </c>
      <c r="AC94" s="364">
        <v>0</v>
      </c>
      <c r="AD94" s="18">
        <f>SUM(AB94:AC94)</f>
        <v>0</v>
      </c>
      <c r="AE94" s="19">
        <f>MARZO!AG94</f>
        <v>0</v>
      </c>
      <c r="AF94" s="364">
        <v>0</v>
      </c>
      <c r="AG94" s="18">
        <f>SUM(AE94:AF94)</f>
        <v>0</v>
      </c>
      <c r="AH94" s="19">
        <f>X94-AA94</f>
        <v>387061561</v>
      </c>
      <c r="AI94" s="15">
        <f>X94-AD94</f>
        <v>387061561</v>
      </c>
      <c r="AJ94" s="16">
        <f>X94-AG94</f>
        <v>387061561</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+IF(MARZO!A95=0,"",MARZO!A95)</f>
        <v>11303-1</v>
      </c>
      <c r="B95" s="602" t="str">
        <f>+IF(MARZO!B95=0,"",MARZO!B95)</f>
        <v>CONVENIOS CON LA NACION NO LIGADOS A LA VENTA DE SERVICIOS</v>
      </c>
      <c r="C95" s="654">
        <f>+ENERO!C95</f>
        <v>0</v>
      </c>
      <c r="D95" s="363">
        <f>MARZO!D95+ABRIL!P95</f>
        <v>0</v>
      </c>
      <c r="E95" s="363">
        <f>MARZO!E95+ABRIL!Q95</f>
        <v>0</v>
      </c>
      <c r="F95" s="363">
        <f t="shared" ref="F95:F102" si="97">SUM(C95:E95)</f>
        <v>0</v>
      </c>
      <c r="G95" s="363">
        <f>MARZO!I95</f>
        <v>0</v>
      </c>
      <c r="H95" s="364">
        <v>0</v>
      </c>
      <c r="I95" s="363">
        <f t="shared" ref="I95:I102" si="98">SUM(G95:H95)</f>
        <v>0</v>
      </c>
      <c r="J95" s="363">
        <f>MARZO!L95</f>
        <v>0</v>
      </c>
      <c r="K95" s="364">
        <v>0</v>
      </c>
      <c r="L95" s="363">
        <f t="shared" ref="L95:L102" si="99">SUM(J95:K95)</f>
        <v>0</v>
      </c>
      <c r="M95" s="363">
        <f t="shared" ref="M95:M102" si="100">F95-I95</f>
        <v>0</v>
      </c>
      <c r="N95" s="143">
        <f t="shared" ref="N95:N102" si="101">F95-L95</f>
        <v>0</v>
      </c>
      <c r="O95" s="372"/>
      <c r="P95" s="362">
        <v>0</v>
      </c>
      <c r="Q95" s="365">
        <v>0</v>
      </c>
      <c r="R95" s="30"/>
      <c r="S95" s="689" t="str">
        <f>+IF(MARZO!S95=0,"",MARZO!S95)</f>
        <v>1020301-4</v>
      </c>
      <c r="T95" s="665" t="str">
        <f>+IF(MARZO!T95=0,"",MARZO!T95)</f>
        <v>Riesgos laborales - Aportes cuenta maestra</v>
      </c>
      <c r="U95" s="27">
        <f>+ENERO!U95</f>
        <v>67020416</v>
      </c>
      <c r="V95" s="15">
        <f>MARZO!V95+ABRIL!AL95</f>
        <v>0</v>
      </c>
      <c r="W95" s="15">
        <f>MARZO!W95+ABRIL!AM95</f>
        <v>0</v>
      </c>
      <c r="X95" s="18">
        <f>SUM(U95:W95)</f>
        <v>67020416</v>
      </c>
      <c r="Y95" s="19">
        <f>MARZO!AA95</f>
        <v>6872560</v>
      </c>
      <c r="Z95" s="364">
        <v>3713040</v>
      </c>
      <c r="AA95" s="18">
        <f>SUM(Y95:Z95)</f>
        <v>10585600</v>
      </c>
      <c r="AB95" s="19">
        <f>MARZO!AD95</f>
        <v>6872560</v>
      </c>
      <c r="AC95" s="364">
        <v>3713040</v>
      </c>
      <c r="AD95" s="18">
        <f>SUM(AB95:AC95)</f>
        <v>10585600</v>
      </c>
      <c r="AE95" s="19">
        <f>MARZO!AG95</f>
        <v>6872560</v>
      </c>
      <c r="AF95" s="364">
        <v>3713040</v>
      </c>
      <c r="AG95" s="18">
        <f>SUM(AE95:AF95)</f>
        <v>10585600</v>
      </c>
      <c r="AH95" s="19">
        <f>X95-AA95</f>
        <v>56434816</v>
      </c>
      <c r="AI95" s="15">
        <f>X95-AD95</f>
        <v>56434816</v>
      </c>
      <c r="AJ95" s="16">
        <f>X95-AG95</f>
        <v>56434816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+IF(MARZO!A96=0,"",MARZO!A96)</f>
        <v>11303-2</v>
      </c>
      <c r="B96" s="602" t="str">
        <f>+IF(MARZO!B96=0,"",MARZO!B96)</f>
        <v>CONVENIOS CON EL DEPARTAMENTO NO LIGADOS A LA VENTA SERVICIOS</v>
      </c>
      <c r="C96" s="654">
        <f>+ENERO!C96</f>
        <v>7982899073</v>
      </c>
      <c r="D96" s="363">
        <f>MARZO!D96+ABRIL!P96</f>
        <v>0</v>
      </c>
      <c r="E96" s="363">
        <f>MARZO!E96+ABRIL!Q96</f>
        <v>0</v>
      </c>
      <c r="F96" s="363">
        <f t="shared" si="97"/>
        <v>7982899073</v>
      </c>
      <c r="G96" s="363">
        <f>MARZO!I96</f>
        <v>0</v>
      </c>
      <c r="H96" s="364">
        <v>3354444422</v>
      </c>
      <c r="I96" s="363">
        <f t="shared" si="98"/>
        <v>3354444422</v>
      </c>
      <c r="J96" s="363">
        <f>MARZO!L96</f>
        <v>0</v>
      </c>
      <c r="K96" s="364">
        <v>3354444422</v>
      </c>
      <c r="L96" s="363">
        <f t="shared" si="99"/>
        <v>3354444422</v>
      </c>
      <c r="M96" s="363">
        <f t="shared" si="100"/>
        <v>4628454651</v>
      </c>
      <c r="N96" s="143">
        <f t="shared" si="101"/>
        <v>4628454651</v>
      </c>
      <c r="O96" s="372"/>
      <c r="P96" s="362">
        <v>0</v>
      </c>
      <c r="Q96" s="365">
        <v>0</v>
      </c>
      <c r="S96" s="688">
        <f>+IF(MARZO!S96=0,"",MARZO!S96)</f>
        <v>1020302</v>
      </c>
      <c r="T96" s="664" t="str">
        <f>+IF(MARZO!T96=0,"",MARZO!T96)</f>
        <v>Contribuciones - Otros</v>
      </c>
      <c r="U96" s="27">
        <f t="shared" ref="U96:AJ96" si="102">SUM(U97:U101)</f>
        <v>1724011237</v>
      </c>
      <c r="V96" s="15">
        <f t="shared" si="102"/>
        <v>0</v>
      </c>
      <c r="W96" s="15">
        <f t="shared" si="102"/>
        <v>0</v>
      </c>
      <c r="X96" s="18">
        <f t="shared" si="102"/>
        <v>1724011237</v>
      </c>
      <c r="Y96" s="19">
        <f t="shared" si="102"/>
        <v>20636640</v>
      </c>
      <c r="Z96" s="142">
        <f t="shared" si="102"/>
        <v>6963280</v>
      </c>
      <c r="AA96" s="18">
        <f t="shared" si="102"/>
        <v>27599920</v>
      </c>
      <c r="AB96" s="19">
        <f t="shared" si="102"/>
        <v>20636640</v>
      </c>
      <c r="AC96" s="142">
        <f t="shared" si="102"/>
        <v>6963280</v>
      </c>
      <c r="AD96" s="18">
        <f t="shared" si="102"/>
        <v>27599920</v>
      </c>
      <c r="AE96" s="19">
        <f t="shared" si="102"/>
        <v>13715720</v>
      </c>
      <c r="AF96" s="142">
        <f t="shared" si="102"/>
        <v>6920920</v>
      </c>
      <c r="AG96" s="18">
        <f t="shared" si="102"/>
        <v>20636640</v>
      </c>
      <c r="AH96" s="19">
        <f t="shared" si="102"/>
        <v>1696411317</v>
      </c>
      <c r="AI96" s="15">
        <f t="shared" si="102"/>
        <v>1696411317</v>
      </c>
      <c r="AJ96" s="16">
        <f t="shared" si="102"/>
        <v>1703374597</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+IF(MARZO!A97=0,"",MARZO!A97)</f>
        <v>11303-3</v>
      </c>
      <c r="B97" s="602" t="str">
        <f>+IF(MARZO!B97=0,"",MARZO!B97)</f>
        <v>CONVENIOS CON EL MUNICIPIO NO LIGADOS A LA VENTA DE SERVICIOS</v>
      </c>
      <c r="C97" s="654">
        <f>+ENERO!C97</f>
        <v>0</v>
      </c>
      <c r="D97" s="363">
        <f>MARZO!D97+ABRIL!P97</f>
        <v>0</v>
      </c>
      <c r="E97" s="363">
        <f>MARZO!E97+ABRIL!Q97</f>
        <v>0</v>
      </c>
      <c r="F97" s="363">
        <f t="shared" si="97"/>
        <v>0</v>
      </c>
      <c r="G97" s="363">
        <f>MARZO!I97</f>
        <v>0</v>
      </c>
      <c r="H97" s="364">
        <v>0</v>
      </c>
      <c r="I97" s="363">
        <f t="shared" si="98"/>
        <v>0</v>
      </c>
      <c r="J97" s="363">
        <f>MARZO!L97</f>
        <v>0</v>
      </c>
      <c r="K97" s="364">
        <v>0</v>
      </c>
      <c r="L97" s="363">
        <f t="shared" si="99"/>
        <v>0</v>
      </c>
      <c r="M97" s="363">
        <f t="shared" si="100"/>
        <v>0</v>
      </c>
      <c r="N97" s="143">
        <f t="shared" si="101"/>
        <v>0</v>
      </c>
      <c r="O97" s="372"/>
      <c r="P97" s="362">
        <v>0</v>
      </c>
      <c r="Q97" s="365">
        <v>0</v>
      </c>
      <c r="R97" s="30"/>
      <c r="S97" s="689" t="str">
        <f>+IF(MARZO!S97=0,"",MARZO!S97)</f>
        <v>1020302-1</v>
      </c>
      <c r="T97" s="665" t="str">
        <f>+IF(MARZO!T97=0,"",MARZO!T97)</f>
        <v>Aportes a E.P.S. - recursos propios</v>
      </c>
      <c r="U97" s="27">
        <f>+ENERO!U97</f>
        <v>383898492</v>
      </c>
      <c r="V97" s="15">
        <f>MARZO!V97+ABRIL!AL97</f>
        <v>0</v>
      </c>
      <c r="W97" s="15">
        <f>MARZO!W97+ABRIL!AM97</f>
        <v>0</v>
      </c>
      <c r="X97" s="18">
        <f t="shared" ref="X97:X102" si="103">SUM(U97:W97)</f>
        <v>383898492</v>
      </c>
      <c r="Y97" s="19">
        <f>MARZO!AA97</f>
        <v>0</v>
      </c>
      <c r="Z97" s="364">
        <v>0</v>
      </c>
      <c r="AA97" s="18">
        <f t="shared" ref="AA97:AA102" si="104">SUM(Y97:Z97)</f>
        <v>0</v>
      </c>
      <c r="AB97" s="19">
        <f>MARZO!AD97</f>
        <v>0</v>
      </c>
      <c r="AC97" s="364">
        <v>0</v>
      </c>
      <c r="AD97" s="18">
        <f t="shared" ref="AD97:AD102" si="105">SUM(AB97:AC97)</f>
        <v>0</v>
      </c>
      <c r="AE97" s="19">
        <f>MARZO!AG97</f>
        <v>0</v>
      </c>
      <c r="AF97" s="364">
        <v>0</v>
      </c>
      <c r="AG97" s="18">
        <f t="shared" ref="AG97:AG102" si="106">SUM(AE97:AF97)</f>
        <v>0</v>
      </c>
      <c r="AH97" s="19">
        <f t="shared" ref="AH97:AH102" si="107">X97-AA97</f>
        <v>383898492</v>
      </c>
      <c r="AI97" s="15">
        <f t="shared" ref="AI97:AI102" si="108">X97-AD97</f>
        <v>383898492</v>
      </c>
      <c r="AJ97" s="16">
        <f t="shared" ref="AJ97:AJ102" si="109">X97-AG97</f>
        <v>383898492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+IF(MARZO!A98=0,"",MARZO!A98)</f>
        <v>11303-4</v>
      </c>
      <c r="B98" s="602" t="str">
        <f>+IF(MARZO!B98=0,"",MARZO!B98)</f>
        <v>OTROS CONVENIOS NO LIGADOS A LA VENTA DE SERVICIOS</v>
      </c>
      <c r="C98" s="654">
        <f>+ENERO!C98</f>
        <v>0</v>
      </c>
      <c r="D98" s="363">
        <f>MARZO!D98+ABRIL!P98</f>
        <v>0</v>
      </c>
      <c r="E98" s="363">
        <f>MARZO!E98+ABRIL!Q98</f>
        <v>0</v>
      </c>
      <c r="F98" s="363">
        <f t="shared" si="97"/>
        <v>0</v>
      </c>
      <c r="G98" s="363">
        <f>MARZO!I98</f>
        <v>0</v>
      </c>
      <c r="H98" s="364">
        <v>0</v>
      </c>
      <c r="I98" s="363">
        <f t="shared" si="98"/>
        <v>0</v>
      </c>
      <c r="J98" s="363">
        <f>MARZO!L98</f>
        <v>0</v>
      </c>
      <c r="K98" s="364">
        <v>0</v>
      </c>
      <c r="L98" s="363">
        <f t="shared" si="99"/>
        <v>0</v>
      </c>
      <c r="M98" s="363">
        <f t="shared" si="100"/>
        <v>0</v>
      </c>
      <c r="N98" s="143">
        <f t="shared" si="101"/>
        <v>0</v>
      </c>
      <c r="O98" s="372"/>
      <c r="P98" s="362">
        <v>0</v>
      </c>
      <c r="Q98" s="365">
        <v>0</v>
      </c>
      <c r="R98" s="30"/>
      <c r="S98" s="689" t="str">
        <f>+IF(MARZO!S98=0,"",MARZO!S98)</f>
        <v>1020302-2</v>
      </c>
      <c r="T98" s="665" t="str">
        <f>+IF(MARZO!T98=0,"",MARZO!T98)</f>
        <v>Aportes Fondos Pensionales - recursos propios</v>
      </c>
      <c r="U98" s="27">
        <f>+ENERO!U98</f>
        <v>555127711</v>
      </c>
      <c r="V98" s="15">
        <f>MARZO!V98+ABRIL!AL98</f>
        <v>0</v>
      </c>
      <c r="W98" s="15">
        <f>MARZO!W98+ABRIL!AM98</f>
        <v>0</v>
      </c>
      <c r="X98" s="18">
        <f t="shared" si="103"/>
        <v>555127711</v>
      </c>
      <c r="Y98" s="19">
        <f>MARZO!AA98</f>
        <v>0</v>
      </c>
      <c r="Z98" s="364">
        <v>0</v>
      </c>
      <c r="AA98" s="18">
        <f t="shared" si="104"/>
        <v>0</v>
      </c>
      <c r="AB98" s="19">
        <f>MARZO!AD98</f>
        <v>0</v>
      </c>
      <c r="AC98" s="364">
        <v>0</v>
      </c>
      <c r="AD98" s="18">
        <f t="shared" si="105"/>
        <v>0</v>
      </c>
      <c r="AE98" s="19">
        <f>MARZO!AG98</f>
        <v>0</v>
      </c>
      <c r="AF98" s="364">
        <v>0</v>
      </c>
      <c r="AG98" s="18">
        <f t="shared" si="106"/>
        <v>0</v>
      </c>
      <c r="AH98" s="19">
        <f t="shared" si="107"/>
        <v>555127711</v>
      </c>
      <c r="AI98" s="15">
        <f t="shared" si="108"/>
        <v>555127711</v>
      </c>
      <c r="AJ98" s="16">
        <f t="shared" si="109"/>
        <v>555127711</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+IF(MARZO!A99=0,"",MARZO!A99)</f>
        <v>11303-5</v>
      </c>
      <c r="B99" s="602" t="str">
        <f>+IF(MARZO!B99=0,"",MARZO!B99)</f>
        <v>RECURSOS PARA PROGRAMA DE SANEAMIENTO FINANCIERO</v>
      </c>
      <c r="C99" s="654">
        <f>+ENERO!C99</f>
        <v>0</v>
      </c>
      <c r="D99" s="363">
        <f>MARZO!D99+ABRIL!P99</f>
        <v>0</v>
      </c>
      <c r="E99" s="363">
        <f>MARZO!E99+ABRIL!Q99</f>
        <v>0</v>
      </c>
      <c r="F99" s="363">
        <f t="shared" si="97"/>
        <v>0</v>
      </c>
      <c r="G99" s="363">
        <f>MARZO!I99</f>
        <v>0</v>
      </c>
      <c r="H99" s="364">
        <v>0</v>
      </c>
      <c r="I99" s="363">
        <f t="shared" si="98"/>
        <v>0</v>
      </c>
      <c r="J99" s="363">
        <f>MARZO!L99</f>
        <v>0</v>
      </c>
      <c r="K99" s="364">
        <v>0</v>
      </c>
      <c r="L99" s="363">
        <f t="shared" si="99"/>
        <v>0</v>
      </c>
      <c r="M99" s="363">
        <f t="shared" si="100"/>
        <v>0</v>
      </c>
      <c r="N99" s="143">
        <f t="shared" si="101"/>
        <v>0</v>
      </c>
      <c r="O99" s="372"/>
      <c r="P99" s="362">
        <v>0</v>
      </c>
      <c r="Q99" s="365">
        <v>0</v>
      </c>
      <c r="R99" s="30"/>
      <c r="S99" s="689" t="str">
        <f>+IF(MARZO!S99=0,"",MARZO!S99)</f>
        <v>1020302-3</v>
      </c>
      <c r="T99" s="665" t="str">
        <f>+IF(MARZO!T99=0,"",MARZO!T99)</f>
        <v>Aportes a Fondos de Cesantia - recursos propios</v>
      </c>
      <c r="U99" s="27">
        <f>+ENERO!U99</f>
        <v>326426572</v>
      </c>
      <c r="V99" s="15">
        <f>MARZO!V99+ABRIL!AL99</f>
        <v>0</v>
      </c>
      <c r="W99" s="15">
        <f>MARZO!W99+ABRIL!AM99</f>
        <v>0</v>
      </c>
      <c r="X99" s="18">
        <f t="shared" si="103"/>
        <v>326426572</v>
      </c>
      <c r="Y99" s="19">
        <f>MARZO!AA99</f>
        <v>0</v>
      </c>
      <c r="Z99" s="364">
        <v>0</v>
      </c>
      <c r="AA99" s="18">
        <f t="shared" si="104"/>
        <v>0</v>
      </c>
      <c r="AB99" s="19">
        <f>MARZO!AD99</f>
        <v>0</v>
      </c>
      <c r="AC99" s="364">
        <v>0</v>
      </c>
      <c r="AD99" s="18">
        <f t="shared" si="105"/>
        <v>0</v>
      </c>
      <c r="AE99" s="19">
        <f>MARZO!AG99</f>
        <v>0</v>
      </c>
      <c r="AF99" s="364">
        <v>0</v>
      </c>
      <c r="AG99" s="18">
        <f t="shared" si="106"/>
        <v>0</v>
      </c>
      <c r="AH99" s="19">
        <f t="shared" si="107"/>
        <v>326426572</v>
      </c>
      <c r="AI99" s="15">
        <f t="shared" si="108"/>
        <v>326426572</v>
      </c>
      <c r="AJ99" s="16">
        <f t="shared" si="109"/>
        <v>326426572</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+IF(MARZO!A100=0,"",MARZO!A100)</f>
        <v>11303-6</v>
      </c>
      <c r="B100" s="602" t="str">
        <f>+IF(MARZO!B100=0,"",MARZO!B100)</f>
        <v/>
      </c>
      <c r="C100" s="654">
        <f>+ENERO!C100</f>
        <v>0</v>
      </c>
      <c r="D100" s="363">
        <f>MARZO!D100+ABRIL!P100</f>
        <v>0</v>
      </c>
      <c r="E100" s="363">
        <f>MARZO!E100+ABRIL!Q100</f>
        <v>0</v>
      </c>
      <c r="F100" s="363">
        <f t="shared" si="97"/>
        <v>0</v>
      </c>
      <c r="G100" s="363">
        <f>MARZO!I100</f>
        <v>0</v>
      </c>
      <c r="H100" s="364">
        <v>0</v>
      </c>
      <c r="I100" s="363">
        <f t="shared" si="98"/>
        <v>0</v>
      </c>
      <c r="J100" s="363">
        <f>MARZO!L100</f>
        <v>0</v>
      </c>
      <c r="K100" s="364">
        <v>0</v>
      </c>
      <c r="L100" s="363">
        <f t="shared" si="99"/>
        <v>0</v>
      </c>
      <c r="M100" s="363">
        <f t="shared" si="100"/>
        <v>0</v>
      </c>
      <c r="N100" s="143">
        <f t="shared" si="101"/>
        <v>0</v>
      </c>
      <c r="P100" s="362">
        <v>0</v>
      </c>
      <c r="Q100" s="365">
        <v>0</v>
      </c>
      <c r="R100" s="9"/>
      <c r="S100" s="689" t="str">
        <f>+IF(MARZO!S100=0,"",MARZO!S100)</f>
        <v>1020302-4</v>
      </c>
      <c r="T100" s="665" t="str">
        <f>+IF(MARZO!T100=0,"",MARZO!T100)</f>
        <v>Aporte a ARL. - recursos propios</v>
      </c>
      <c r="U100" s="27">
        <f>+ENERO!U100</f>
        <v>121324579</v>
      </c>
      <c r="V100" s="15">
        <f>MARZO!V100+ABRIL!AL100</f>
        <v>0</v>
      </c>
      <c r="W100" s="15">
        <f>MARZO!W100+ABRIL!AM100</f>
        <v>0</v>
      </c>
      <c r="X100" s="18">
        <f t="shared" si="103"/>
        <v>121324579</v>
      </c>
      <c r="Y100" s="19">
        <f>MARZO!AA100</f>
        <v>0</v>
      </c>
      <c r="Z100" s="364">
        <v>0</v>
      </c>
      <c r="AA100" s="18">
        <f t="shared" si="104"/>
        <v>0</v>
      </c>
      <c r="AB100" s="19">
        <f>MARZO!AD100</f>
        <v>0</v>
      </c>
      <c r="AC100" s="364">
        <v>0</v>
      </c>
      <c r="AD100" s="18">
        <f t="shared" si="105"/>
        <v>0</v>
      </c>
      <c r="AE100" s="19">
        <f>MARZO!AG100</f>
        <v>0</v>
      </c>
      <c r="AF100" s="364">
        <v>0</v>
      </c>
      <c r="AG100" s="18">
        <f t="shared" si="106"/>
        <v>0</v>
      </c>
      <c r="AH100" s="19">
        <f t="shared" si="107"/>
        <v>121324579</v>
      </c>
      <c r="AI100" s="15">
        <f t="shared" si="108"/>
        <v>121324579</v>
      </c>
      <c r="AJ100" s="16">
        <f t="shared" si="109"/>
        <v>121324579</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+IF(MARZO!A101=0,"",MARZO!A101)</f>
        <v>11303-7</v>
      </c>
      <c r="B101" s="602" t="str">
        <f>+IF(MARZO!B101=0,"",MARZO!B101)</f>
        <v/>
      </c>
      <c r="C101" s="654">
        <f>+ENERO!C101</f>
        <v>0</v>
      </c>
      <c r="D101" s="363">
        <f>MARZO!D101+ABRIL!P101</f>
        <v>0</v>
      </c>
      <c r="E101" s="363">
        <f>MARZO!E101+ABRIL!Q101</f>
        <v>0</v>
      </c>
      <c r="F101" s="363">
        <f t="shared" si="97"/>
        <v>0</v>
      </c>
      <c r="G101" s="363">
        <f>MARZO!I101</f>
        <v>0</v>
      </c>
      <c r="H101" s="364">
        <v>0</v>
      </c>
      <c r="I101" s="363">
        <f t="shared" si="98"/>
        <v>0</v>
      </c>
      <c r="J101" s="363">
        <f>MARZO!L101</f>
        <v>0</v>
      </c>
      <c r="K101" s="364">
        <v>0</v>
      </c>
      <c r="L101" s="363">
        <f t="shared" si="99"/>
        <v>0</v>
      </c>
      <c r="M101" s="363">
        <f t="shared" si="100"/>
        <v>0</v>
      </c>
      <c r="N101" s="143">
        <f t="shared" si="101"/>
        <v>0</v>
      </c>
      <c r="P101" s="362">
        <v>0</v>
      </c>
      <c r="Q101" s="365">
        <v>0</v>
      </c>
      <c r="R101" s="9"/>
      <c r="S101" s="689" t="str">
        <f>+IF(MARZO!S101=0,"",MARZO!S101)</f>
        <v>1020302-5</v>
      </c>
      <c r="T101" s="665" t="str">
        <f>+IF(MARZO!T101=0,"",MARZO!T101)</f>
        <v>Aporte a Caja Compensación Familiar</v>
      </c>
      <c r="U101" s="27">
        <f>+ENERO!U101</f>
        <v>337233883</v>
      </c>
      <c r="V101" s="15">
        <f>MARZO!V101+ABRIL!AL101</f>
        <v>0</v>
      </c>
      <c r="W101" s="15">
        <f>MARZO!W101+ABRIL!AM101</f>
        <v>0</v>
      </c>
      <c r="X101" s="18">
        <f t="shared" si="103"/>
        <v>337233883</v>
      </c>
      <c r="Y101" s="19">
        <f>MARZO!AA101</f>
        <v>20636640</v>
      </c>
      <c r="Z101" s="364">
        <v>6963280</v>
      </c>
      <c r="AA101" s="18">
        <f t="shared" si="104"/>
        <v>27599920</v>
      </c>
      <c r="AB101" s="19">
        <f>MARZO!AD101</f>
        <v>20636640</v>
      </c>
      <c r="AC101" s="364">
        <v>6963280</v>
      </c>
      <c r="AD101" s="18">
        <f t="shared" si="105"/>
        <v>27599920</v>
      </c>
      <c r="AE101" s="19">
        <f>MARZO!AG101</f>
        <v>13715720</v>
      </c>
      <c r="AF101" s="364">
        <v>6920920</v>
      </c>
      <c r="AG101" s="18">
        <f t="shared" si="106"/>
        <v>20636640</v>
      </c>
      <c r="AH101" s="19">
        <f t="shared" si="107"/>
        <v>309633963</v>
      </c>
      <c r="AI101" s="15">
        <f t="shared" si="108"/>
        <v>309633963</v>
      </c>
      <c r="AJ101" s="16">
        <f t="shared" si="109"/>
        <v>316597243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+IF(MARZO!A102=0,"",MARZO!A102)</f>
        <v>11303-8</v>
      </c>
      <c r="B102" s="611" t="str">
        <f>+IF(MARZO!B102=0,"",MARZO!B102)</f>
        <v>Vigencia Anterior</v>
      </c>
      <c r="C102" s="760">
        <f>+ENERO!C102</f>
        <v>0</v>
      </c>
      <c r="D102" s="375">
        <f>MARZO!D102+ABRIL!P102</f>
        <v>0</v>
      </c>
      <c r="E102" s="375">
        <f>MARZO!E102+ABRIL!Q102</f>
        <v>0</v>
      </c>
      <c r="F102" s="375">
        <f t="shared" si="97"/>
        <v>0</v>
      </c>
      <c r="G102" s="375">
        <f>MARZO!I102</f>
        <v>0</v>
      </c>
      <c r="H102" s="378">
        <v>0</v>
      </c>
      <c r="I102" s="375">
        <f t="shared" si="98"/>
        <v>0</v>
      </c>
      <c r="J102" s="375">
        <f>MARZO!L102</f>
        <v>0</v>
      </c>
      <c r="K102" s="378">
        <v>0</v>
      </c>
      <c r="L102" s="375">
        <f t="shared" si="99"/>
        <v>0</v>
      </c>
      <c r="M102" s="375">
        <f t="shared" si="100"/>
        <v>0</v>
      </c>
      <c r="N102" s="376">
        <f t="shared" si="101"/>
        <v>0</v>
      </c>
      <c r="P102" s="362">
        <v>0</v>
      </c>
      <c r="Q102" s="365">
        <v>0</v>
      </c>
      <c r="R102" s="9"/>
      <c r="S102" s="688">
        <f>+IF(MARZO!S102=0,"",MARZO!S102)</f>
        <v>1020399</v>
      </c>
      <c r="T102" s="664" t="str">
        <f>+IF(MARZO!T102=0,"",MARZO!T102)</f>
        <v>Vigencias Anteriores</v>
      </c>
      <c r="U102" s="27">
        <f>+ENERO!U102</f>
        <v>172000000</v>
      </c>
      <c r="V102" s="15">
        <f>MARZO!V102+ABRIL!AL102</f>
        <v>6501068</v>
      </c>
      <c r="W102" s="15">
        <f>MARZO!W102+ABRIL!AM102</f>
        <v>13182074</v>
      </c>
      <c r="X102" s="18">
        <f t="shared" si="103"/>
        <v>191683142</v>
      </c>
      <c r="Y102" s="19">
        <f>MARZO!AA102</f>
        <v>191683142</v>
      </c>
      <c r="Z102" s="364">
        <v>0</v>
      </c>
      <c r="AA102" s="18">
        <f t="shared" si="104"/>
        <v>191683142</v>
      </c>
      <c r="AB102" s="19">
        <f>MARZO!AD102</f>
        <v>191683142</v>
      </c>
      <c r="AC102" s="364">
        <v>0</v>
      </c>
      <c r="AD102" s="18">
        <f t="shared" si="105"/>
        <v>191683142</v>
      </c>
      <c r="AE102" s="19">
        <f>MARZO!AG102</f>
        <v>191683142</v>
      </c>
      <c r="AF102" s="364">
        <v>0</v>
      </c>
      <c r="AG102" s="1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+IF(MARZO!A103=0,"",MARZO!A103)</f>
        <v/>
      </c>
      <c r="B103" s="636" t="str">
        <f>+IF(MARZO!B103=0,"",MARZO!B103)</f>
        <v/>
      </c>
      <c r="C103" s="470"/>
      <c r="D103" s="470"/>
      <c r="E103" s="470"/>
      <c r="F103" s="470"/>
      <c r="G103" s="470"/>
      <c r="H103" s="470"/>
      <c r="I103" s="470"/>
      <c r="J103" s="470"/>
      <c r="K103" s="470"/>
      <c r="L103" s="470"/>
      <c r="M103" s="470"/>
      <c r="N103" s="471"/>
      <c r="P103" s="472"/>
      <c r="Q103" s="471"/>
      <c r="R103" s="9"/>
      <c r="S103" s="356" t="str">
        <f>+IF(MARZO!S103=0,"",MARZO!S103)</f>
        <v/>
      </c>
      <c r="T103" s="678" t="str">
        <f>+IF(MARZO!T103=0,"",MARZO!T103)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+IF(MARZO!A104=0,"",MARZO!A104)</f>
        <v>11304</v>
      </c>
      <c r="B104" s="601" t="str">
        <f>+IF(MARZO!B104=0,"",MARZO!B104)</f>
        <v>Otros ingresos corrientes</v>
      </c>
      <c r="C104" s="600">
        <f>SUM(C105:C111)</f>
        <v>98172123</v>
      </c>
      <c r="D104" s="598">
        <f t="shared" ref="D104:N104" si="110">SUM(D105:D111)</f>
        <v>0</v>
      </c>
      <c r="E104" s="598">
        <f t="shared" si="110"/>
        <v>0</v>
      </c>
      <c r="F104" s="598">
        <f t="shared" si="110"/>
        <v>98172123</v>
      </c>
      <c r="G104" s="598">
        <f t="shared" si="110"/>
        <v>31840545</v>
      </c>
      <c r="H104" s="598">
        <f t="shared" si="110"/>
        <v>11807006</v>
      </c>
      <c r="I104" s="598">
        <f t="shared" si="110"/>
        <v>43647551</v>
      </c>
      <c r="J104" s="598">
        <f t="shared" si="110"/>
        <v>9996492</v>
      </c>
      <c r="K104" s="598">
        <f t="shared" si="110"/>
        <v>4179347</v>
      </c>
      <c r="L104" s="598">
        <f t="shared" si="110"/>
        <v>14175839</v>
      </c>
      <c r="M104" s="598">
        <f t="shared" si="110"/>
        <v>54524572</v>
      </c>
      <c r="N104" s="599">
        <f t="shared" si="110"/>
        <v>83996284</v>
      </c>
      <c r="P104" s="43">
        <f>SUM(P105:P111)</f>
        <v>0</v>
      </c>
      <c r="Q104" s="45">
        <f>SUM(Q105:Q111)</f>
        <v>0</v>
      </c>
      <c r="R104" s="9"/>
      <c r="S104" s="687">
        <f>+IF(MARZO!S104=0,"",MARZO!S104)</f>
        <v>1020400</v>
      </c>
      <c r="T104" s="663" t="str">
        <f>+IF(MARZO!T104=0,"",MARZO!T104)</f>
        <v>Contribuciones Inherentes nómina del Sector Publico</v>
      </c>
      <c r="U104" s="132">
        <f t="shared" ref="U104:AJ104" si="111">U105+U108</f>
        <v>421542354</v>
      </c>
      <c r="V104" s="122">
        <f t="shared" si="111"/>
        <v>0</v>
      </c>
      <c r="W104" s="122">
        <f t="shared" si="111"/>
        <v>0</v>
      </c>
      <c r="X104" s="129">
        <f t="shared" si="111"/>
        <v>421542354</v>
      </c>
      <c r="Y104" s="128">
        <f t="shared" si="111"/>
        <v>25795800</v>
      </c>
      <c r="Z104" s="122">
        <f t="shared" si="111"/>
        <v>8704100</v>
      </c>
      <c r="AA104" s="129">
        <f t="shared" si="111"/>
        <v>34499900</v>
      </c>
      <c r="AB104" s="128">
        <f t="shared" si="111"/>
        <v>25795800</v>
      </c>
      <c r="AC104" s="122">
        <f t="shared" si="111"/>
        <v>8704100</v>
      </c>
      <c r="AD104" s="129">
        <f t="shared" si="111"/>
        <v>34499900</v>
      </c>
      <c r="AE104" s="128">
        <f t="shared" si="111"/>
        <v>17144650</v>
      </c>
      <c r="AF104" s="122">
        <f t="shared" si="111"/>
        <v>8651150</v>
      </c>
      <c r="AG104" s="129">
        <f t="shared" si="111"/>
        <v>25795800</v>
      </c>
      <c r="AH104" s="128">
        <f t="shared" si="111"/>
        <v>387042454</v>
      </c>
      <c r="AI104" s="122">
        <f t="shared" si="111"/>
        <v>387042454</v>
      </c>
      <c r="AJ104" s="130">
        <f t="shared" si="111"/>
        <v>395746554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+IF(MARZO!A105=0,"",MARZO!A105)</f>
        <v>11304-1</v>
      </c>
      <c r="B105" s="602" t="str">
        <f>+IF(MARZO!B105=0,"",MARZO!B105)</f>
        <v>ARRENDAMIENTO Y ALQUILER DE BIENES MUEBLES E INMUEBLES</v>
      </c>
      <c r="C105" s="654">
        <f>+ENERO!C105</f>
        <v>35952047</v>
      </c>
      <c r="D105" s="363">
        <f>MARZO!D105+ABRIL!P105</f>
        <v>0</v>
      </c>
      <c r="E105" s="363">
        <f>MARZO!E105+ABRIL!Q105</f>
        <v>0</v>
      </c>
      <c r="F105" s="363">
        <f t="shared" ref="F105:F111" si="112">SUM(C105:E105)</f>
        <v>35952047</v>
      </c>
      <c r="G105" s="363">
        <f>MARZO!I105</f>
        <v>26577879</v>
      </c>
      <c r="H105" s="364">
        <v>9205401</v>
      </c>
      <c r="I105" s="363">
        <f t="shared" ref="I105:I111" si="113">SUM(G105:H105)</f>
        <v>35783280</v>
      </c>
      <c r="J105" s="363">
        <f>MARZO!L105</f>
        <v>4733826</v>
      </c>
      <c r="K105" s="364">
        <v>1577742</v>
      </c>
      <c r="L105" s="363">
        <f t="shared" ref="L105:L111" si="114">SUM(J105:K105)</f>
        <v>6311568</v>
      </c>
      <c r="M105" s="363">
        <f t="shared" ref="M105:M111" si="115">F105-I105</f>
        <v>168767</v>
      </c>
      <c r="N105" s="143">
        <f t="shared" ref="N105:N111" si="116">F105-L105</f>
        <v>29640479</v>
      </c>
      <c r="P105" s="362">
        <v>0</v>
      </c>
      <c r="Q105" s="365">
        <v>0</v>
      </c>
      <c r="R105" s="9"/>
      <c r="S105" s="688">
        <f>+IF(MARZO!S105=0,"",MARZO!S105)</f>
        <v>1020402</v>
      </c>
      <c r="T105" s="664" t="str">
        <f>+IF(MARZO!T105=0,"",MARZO!T105)</f>
        <v>Contribuciones - Otros</v>
      </c>
      <c r="U105" s="27">
        <f t="shared" ref="U105:AJ105" si="117">SUM(U106:U107)</f>
        <v>421542354</v>
      </c>
      <c r="V105" s="15">
        <f t="shared" si="117"/>
        <v>0</v>
      </c>
      <c r="W105" s="15">
        <f t="shared" si="117"/>
        <v>0</v>
      </c>
      <c r="X105" s="18">
        <f t="shared" si="117"/>
        <v>421542354</v>
      </c>
      <c r="Y105" s="19">
        <f t="shared" si="117"/>
        <v>25795800</v>
      </c>
      <c r="Z105" s="142">
        <f t="shared" si="117"/>
        <v>8704100</v>
      </c>
      <c r="AA105" s="18">
        <f t="shared" si="117"/>
        <v>34499900</v>
      </c>
      <c r="AB105" s="19">
        <f t="shared" si="117"/>
        <v>25795800</v>
      </c>
      <c r="AC105" s="142">
        <f t="shared" si="117"/>
        <v>8704100</v>
      </c>
      <c r="AD105" s="18">
        <f t="shared" si="117"/>
        <v>34499900</v>
      </c>
      <c r="AE105" s="19">
        <f t="shared" si="117"/>
        <v>17144650</v>
      </c>
      <c r="AF105" s="142">
        <f t="shared" si="117"/>
        <v>8651150</v>
      </c>
      <c r="AG105" s="18">
        <f t="shared" si="117"/>
        <v>25795800</v>
      </c>
      <c r="AH105" s="19">
        <f t="shared" si="117"/>
        <v>387042454</v>
      </c>
      <c r="AI105" s="15">
        <f t="shared" si="117"/>
        <v>387042454</v>
      </c>
      <c r="AJ105" s="16">
        <f t="shared" si="117"/>
        <v>395746554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+IF(MARZO!A106=0,"",MARZO!A106)</f>
        <v>11304-2</v>
      </c>
      <c r="B106" s="603" t="str">
        <f>+IF(MARZO!B106=0,"",MARZO!B106)</f>
        <v>COMERCIALIZACIÓN DE MERCANCÍAS</v>
      </c>
      <c r="C106" s="654">
        <f>+ENERO!C106</f>
        <v>0</v>
      </c>
      <c r="D106" s="363">
        <f>MARZO!D106+ABRIL!P106</f>
        <v>0</v>
      </c>
      <c r="E106" s="363">
        <f>MARZO!E106+ABRIL!Q106</f>
        <v>0</v>
      </c>
      <c r="F106" s="363">
        <f t="shared" si="112"/>
        <v>0</v>
      </c>
      <c r="G106" s="363">
        <f>MARZO!I106</f>
        <v>0</v>
      </c>
      <c r="H106" s="364">
        <v>0</v>
      </c>
      <c r="I106" s="363">
        <f t="shared" si="113"/>
        <v>0</v>
      </c>
      <c r="J106" s="363">
        <f>MARZO!L106</f>
        <v>0</v>
      </c>
      <c r="K106" s="364">
        <v>0</v>
      </c>
      <c r="L106" s="363">
        <f t="shared" si="114"/>
        <v>0</v>
      </c>
      <c r="M106" s="363">
        <f t="shared" si="115"/>
        <v>0</v>
      </c>
      <c r="N106" s="143">
        <f t="shared" si="116"/>
        <v>0</v>
      </c>
      <c r="P106" s="362">
        <v>0</v>
      </c>
      <c r="Q106" s="365">
        <v>0</v>
      </c>
      <c r="R106" s="9"/>
      <c r="S106" s="689" t="str">
        <f>+IF(MARZO!S106=0,"",MARZO!S106)</f>
        <v>1020402-1</v>
      </c>
      <c r="T106" s="664" t="str">
        <f>+IF(MARZO!T106=0,"",MARZO!T106)</f>
        <v>S.E.N.A.</v>
      </c>
      <c r="U106" s="27">
        <f>+ENERO!U106</f>
        <v>168616942</v>
      </c>
      <c r="V106" s="15">
        <f>MARZO!V106+ABRIL!AL106</f>
        <v>0</v>
      </c>
      <c r="W106" s="15">
        <f>MARZO!W106+ABRIL!AM106</f>
        <v>0</v>
      </c>
      <c r="X106" s="18">
        <f>SUM(U106:W106)</f>
        <v>168616942</v>
      </c>
      <c r="Y106" s="19">
        <f>MARZO!AA106</f>
        <v>10318320</v>
      </c>
      <c r="Z106" s="364">
        <v>3481640</v>
      </c>
      <c r="AA106" s="18">
        <f>SUM(Y106:Z106)</f>
        <v>13799960</v>
      </c>
      <c r="AB106" s="19">
        <f>MARZO!AD106</f>
        <v>10318320</v>
      </c>
      <c r="AC106" s="364">
        <v>3481640</v>
      </c>
      <c r="AD106" s="18">
        <f>SUM(AB106:AC106)</f>
        <v>13799960</v>
      </c>
      <c r="AE106" s="19">
        <f>MARZO!AG106</f>
        <v>6857860</v>
      </c>
      <c r="AF106" s="364">
        <v>3460460</v>
      </c>
      <c r="AG106" s="18">
        <f>SUM(AE106:AF106)</f>
        <v>10318320</v>
      </c>
      <c r="AH106" s="19">
        <f>X106-AA106</f>
        <v>154816982</v>
      </c>
      <c r="AI106" s="15">
        <f>X106-AD106</f>
        <v>154816982</v>
      </c>
      <c r="AJ106" s="16">
        <f>X106-AG106</f>
        <v>158298622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+IF(MARZO!A107=0,"",MARZO!A107)</f>
        <v>11304-3</v>
      </c>
      <c r="B107" s="602" t="str">
        <f>+IF(MARZO!B107=0,"",MARZO!B107)</f>
        <v>Bienestar Social</v>
      </c>
      <c r="C107" s="654">
        <f>+ENERO!C107</f>
        <v>0</v>
      </c>
      <c r="D107" s="363">
        <f>MARZO!D107+ABRIL!P107</f>
        <v>0</v>
      </c>
      <c r="E107" s="363">
        <f>MARZO!E107+ABRIL!Q107</f>
        <v>0</v>
      </c>
      <c r="F107" s="363">
        <f t="shared" si="112"/>
        <v>0</v>
      </c>
      <c r="G107" s="363">
        <f>MARZO!I107</f>
        <v>0</v>
      </c>
      <c r="H107" s="364">
        <v>0</v>
      </c>
      <c r="I107" s="363">
        <f t="shared" si="113"/>
        <v>0</v>
      </c>
      <c r="J107" s="363">
        <f>MARZO!L107</f>
        <v>0</v>
      </c>
      <c r="K107" s="364">
        <v>0</v>
      </c>
      <c r="L107" s="363">
        <f t="shared" si="114"/>
        <v>0</v>
      </c>
      <c r="M107" s="363">
        <f t="shared" si="115"/>
        <v>0</v>
      </c>
      <c r="N107" s="143">
        <f t="shared" si="116"/>
        <v>0</v>
      </c>
      <c r="P107" s="362">
        <v>0</v>
      </c>
      <c r="Q107" s="365">
        <v>0</v>
      </c>
      <c r="R107" s="9"/>
      <c r="S107" s="689" t="str">
        <f>+IF(MARZO!S107=0,"",MARZO!S107)</f>
        <v>1020402-2</v>
      </c>
      <c r="T107" s="664" t="str">
        <f>+IF(MARZO!T107=0,"",MARZO!T107)</f>
        <v>I.C.B.F.</v>
      </c>
      <c r="U107" s="27">
        <f>+ENERO!U107</f>
        <v>252925412</v>
      </c>
      <c r="V107" s="15">
        <f>MARZO!V107+ABRIL!AL107</f>
        <v>0</v>
      </c>
      <c r="W107" s="15">
        <f>MARZO!W107+ABRIL!AM107</f>
        <v>0</v>
      </c>
      <c r="X107" s="18">
        <f>SUM(U107:W107)</f>
        <v>252925412</v>
      </c>
      <c r="Y107" s="19">
        <f>MARZO!AA107</f>
        <v>15477480</v>
      </c>
      <c r="Z107" s="364">
        <v>5222460</v>
      </c>
      <c r="AA107" s="18">
        <f>SUM(Y107:Z107)</f>
        <v>20699940</v>
      </c>
      <c r="AB107" s="19">
        <f>MARZO!AD107</f>
        <v>15477480</v>
      </c>
      <c r="AC107" s="364">
        <v>5222460</v>
      </c>
      <c r="AD107" s="18">
        <f>SUM(AB107:AC107)</f>
        <v>20699940</v>
      </c>
      <c r="AE107" s="19">
        <f>MARZO!AG107</f>
        <v>10286790</v>
      </c>
      <c r="AF107" s="364">
        <v>5190690</v>
      </c>
      <c r="AG107" s="18">
        <f>SUM(AE107:AF107)</f>
        <v>15477480</v>
      </c>
      <c r="AH107" s="19">
        <f>X107-AA107</f>
        <v>232225472</v>
      </c>
      <c r="AI107" s="15">
        <f>X107-AD107</f>
        <v>232225472</v>
      </c>
      <c r="AJ107" s="16">
        <f>X107-AG107</f>
        <v>237447932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+IF(MARZO!A108=0,"",MARZO!A108)</f>
        <v>11304-4</v>
      </c>
      <c r="B108" s="602" t="str">
        <f>+IF(MARZO!B108=0,"",MARZO!B108)</f>
        <v>Fondo de la Vivienda</v>
      </c>
      <c r="C108" s="654">
        <f>+ENERO!C108</f>
        <v>0</v>
      </c>
      <c r="D108" s="363">
        <f>MARZO!D108+ABRIL!P108</f>
        <v>0</v>
      </c>
      <c r="E108" s="363">
        <f>MARZO!E108+ABRIL!Q108</f>
        <v>0</v>
      </c>
      <c r="F108" s="363">
        <f t="shared" si="112"/>
        <v>0</v>
      </c>
      <c r="G108" s="363">
        <f>MARZO!I108</f>
        <v>0</v>
      </c>
      <c r="H108" s="364">
        <v>0</v>
      </c>
      <c r="I108" s="363">
        <f t="shared" si="113"/>
        <v>0</v>
      </c>
      <c r="J108" s="363">
        <f>MARZO!L108</f>
        <v>0</v>
      </c>
      <c r="K108" s="364">
        <v>0</v>
      </c>
      <c r="L108" s="363">
        <f t="shared" si="114"/>
        <v>0</v>
      </c>
      <c r="M108" s="363">
        <f t="shared" si="115"/>
        <v>0</v>
      </c>
      <c r="N108" s="143">
        <f t="shared" si="116"/>
        <v>0</v>
      </c>
      <c r="P108" s="362">
        <v>0</v>
      </c>
      <c r="Q108" s="365">
        <v>0</v>
      </c>
      <c r="R108" s="9"/>
      <c r="S108" s="688">
        <f>+IF(MARZO!S108=0,"",MARZO!S108)</f>
        <v>1020499</v>
      </c>
      <c r="T108" s="664" t="str">
        <f>+IF(MARZO!T108=0,"",MARZO!T108)</f>
        <v>Vigencias Anteriores</v>
      </c>
      <c r="U108" s="27">
        <f>+ENERO!U108</f>
        <v>0</v>
      </c>
      <c r="V108" s="15">
        <f>MARZO!V108+ABRIL!AL108</f>
        <v>0</v>
      </c>
      <c r="W108" s="15">
        <f>MARZO!W108+ABRIL!AM108</f>
        <v>0</v>
      </c>
      <c r="X108" s="18">
        <f>SUM(U108:W108)</f>
        <v>0</v>
      </c>
      <c r="Y108" s="19">
        <f>MARZO!AA108</f>
        <v>0</v>
      </c>
      <c r="Z108" s="364">
        <v>0</v>
      </c>
      <c r="AA108" s="18">
        <f>SUM(Y108:Z108)</f>
        <v>0</v>
      </c>
      <c r="AB108" s="19">
        <f>MARZO!AD108</f>
        <v>0</v>
      </c>
      <c r="AC108" s="364">
        <v>0</v>
      </c>
      <c r="AD108" s="18">
        <f>SUM(AB108:AC108)</f>
        <v>0</v>
      </c>
      <c r="AE108" s="19">
        <f>MARZO!AG108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+IF(MARZO!A109=0,"",MARZO!A109)</f>
        <v>11304-5</v>
      </c>
      <c r="B109" s="602" t="str">
        <f>+IF(MARZO!B109=0,"",MARZO!B109)</f>
        <v xml:space="preserve">Aprovechamientos </v>
      </c>
      <c r="C109" s="654">
        <f>+ENERO!C109</f>
        <v>62220076</v>
      </c>
      <c r="D109" s="363">
        <f>MARZO!D109+ABRIL!P109</f>
        <v>0</v>
      </c>
      <c r="E109" s="363">
        <f>MARZO!E109+ABRIL!Q109</f>
        <v>0</v>
      </c>
      <c r="F109" s="363">
        <f t="shared" si="112"/>
        <v>62220076</v>
      </c>
      <c r="G109" s="363">
        <f>MARZO!I109</f>
        <v>5262666</v>
      </c>
      <c r="H109" s="364">
        <v>395665</v>
      </c>
      <c r="I109" s="363">
        <f t="shared" si="113"/>
        <v>5658331</v>
      </c>
      <c r="J109" s="363">
        <f>MARZO!L109</f>
        <v>5262666</v>
      </c>
      <c r="K109" s="364">
        <f>155050+240615</f>
        <v>395665</v>
      </c>
      <c r="L109" s="363">
        <f t="shared" si="114"/>
        <v>5658331</v>
      </c>
      <c r="M109" s="363">
        <f t="shared" si="115"/>
        <v>56561745</v>
      </c>
      <c r="N109" s="143">
        <f t="shared" si="116"/>
        <v>56561745</v>
      </c>
      <c r="P109" s="362">
        <v>0</v>
      </c>
      <c r="Q109" s="365">
        <v>0</v>
      </c>
      <c r="R109" s="9"/>
      <c r="S109" s="356" t="str">
        <f>+IF(MARZO!S109=0,"",MARZO!S109)</f>
        <v/>
      </c>
      <c r="T109" s="678" t="str">
        <f>+IF(MARZO!T109=0,"",MARZO!T109)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+IF(MARZO!A110=0,"",MARZO!A110)</f>
        <v>11304-6</v>
      </c>
      <c r="B110" s="602" t="str">
        <f>+IF(MARZO!B110=0,"",MARZO!B110)</f>
        <v>Otros</v>
      </c>
      <c r="C110" s="654">
        <f>+ENERO!C110</f>
        <v>0</v>
      </c>
      <c r="D110" s="363">
        <f>MARZO!D110+ABRIL!P110</f>
        <v>0</v>
      </c>
      <c r="E110" s="363">
        <f>MARZO!E110+ABRIL!Q110</f>
        <v>0</v>
      </c>
      <c r="F110" s="363">
        <f t="shared" si="112"/>
        <v>0</v>
      </c>
      <c r="G110" s="363">
        <f>MARZO!I110</f>
        <v>0</v>
      </c>
      <c r="H110" s="364">
        <v>2205940</v>
      </c>
      <c r="I110" s="363">
        <f t="shared" si="113"/>
        <v>2205940</v>
      </c>
      <c r="J110" s="363">
        <f>MARZO!L110</f>
        <v>0</v>
      </c>
      <c r="K110" s="364">
        <v>2205940</v>
      </c>
      <c r="L110" s="363">
        <f t="shared" si="114"/>
        <v>2205940</v>
      </c>
      <c r="M110" s="363">
        <f t="shared" si="115"/>
        <v>-2205940</v>
      </c>
      <c r="N110" s="143">
        <f t="shared" si="116"/>
        <v>-2205940</v>
      </c>
      <c r="P110" s="362">
        <v>0</v>
      </c>
      <c r="Q110" s="365">
        <v>0</v>
      </c>
      <c r="R110" s="9"/>
      <c r="S110" s="686">
        <f>+IF(MARZO!S110=0,"",MARZO!S110)</f>
        <v>2000000</v>
      </c>
      <c r="T110" s="668" t="str">
        <f>+IF(MARZO!T110=0,"",MARZO!T110)</f>
        <v>GASTOS GENERALES</v>
      </c>
      <c r="U110" s="460">
        <f t="shared" ref="U110:AJ110" si="118">U112+U145</f>
        <v>11975719527</v>
      </c>
      <c r="V110" s="461">
        <f t="shared" si="118"/>
        <v>-320000000</v>
      </c>
      <c r="W110" s="461">
        <f t="shared" si="118"/>
        <v>1950000000</v>
      </c>
      <c r="X110" s="462">
        <f t="shared" si="118"/>
        <v>13605719527</v>
      </c>
      <c r="Y110" s="369">
        <f t="shared" si="118"/>
        <v>7727731337</v>
      </c>
      <c r="Z110" s="461">
        <f t="shared" si="118"/>
        <v>795172331</v>
      </c>
      <c r="AA110" s="462">
        <f t="shared" si="118"/>
        <v>8522903668</v>
      </c>
      <c r="AB110" s="369">
        <f t="shared" si="118"/>
        <v>3503559311</v>
      </c>
      <c r="AC110" s="461">
        <f t="shared" si="118"/>
        <v>1054801242</v>
      </c>
      <c r="AD110" s="462">
        <f t="shared" si="118"/>
        <v>4558360553</v>
      </c>
      <c r="AE110" s="369">
        <f t="shared" si="118"/>
        <v>2178283929</v>
      </c>
      <c r="AF110" s="461">
        <f t="shared" si="118"/>
        <v>810123267</v>
      </c>
      <c r="AG110" s="462">
        <f t="shared" si="118"/>
        <v>2988407196</v>
      </c>
      <c r="AH110" s="369">
        <f t="shared" si="118"/>
        <v>5082815859</v>
      </c>
      <c r="AI110" s="461">
        <f t="shared" si="118"/>
        <v>9047358974</v>
      </c>
      <c r="AJ110" s="370">
        <f t="shared" si="118"/>
        <v>10617312331</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+IF(MARZO!A111=0,"",MARZO!A111)</f>
        <v>11304-7</v>
      </c>
      <c r="B111" s="637" t="str">
        <f>+IF(MARZO!B111=0,"",MARZO!B111)</f>
        <v>Vigencia Anterior</v>
      </c>
      <c r="C111" s="760">
        <f>+ENERO!C111</f>
        <v>0</v>
      </c>
      <c r="D111" s="375">
        <f>MARZO!D111+ABRIL!P111</f>
        <v>0</v>
      </c>
      <c r="E111" s="375">
        <f>MARZO!E111+ABRIL!Q111</f>
        <v>0</v>
      </c>
      <c r="F111" s="375">
        <f t="shared" si="112"/>
        <v>0</v>
      </c>
      <c r="G111" s="375">
        <f>MARZO!I111</f>
        <v>0</v>
      </c>
      <c r="H111" s="378">
        <v>0</v>
      </c>
      <c r="I111" s="375">
        <f t="shared" si="113"/>
        <v>0</v>
      </c>
      <c r="J111" s="375">
        <f>MARZO!L111</f>
        <v>0</v>
      </c>
      <c r="K111" s="378">
        <v>0</v>
      </c>
      <c r="L111" s="375">
        <f t="shared" si="114"/>
        <v>0</v>
      </c>
      <c r="M111" s="375">
        <f t="shared" si="115"/>
        <v>0</v>
      </c>
      <c r="N111" s="376">
        <f t="shared" si="116"/>
        <v>0</v>
      </c>
      <c r="P111" s="362">
        <v>0</v>
      </c>
      <c r="Q111" s="365">
        <v>0</v>
      </c>
      <c r="R111" s="9"/>
      <c r="S111" s="356" t="str">
        <f>+IF(MARZO!S111=0,"",MARZO!S111)</f>
        <v/>
      </c>
      <c r="T111" s="678" t="str">
        <f>+IF(MARZO!T111=0,"",MARZO!T111)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+IF(MARZO!A112=0,"",MARZO!A112)</f>
        <v/>
      </c>
      <c r="B112" s="636" t="str">
        <f>+IF(MARZO!B112=0,"",MARZO!B112)</f>
        <v/>
      </c>
      <c r="C112" s="470"/>
      <c r="D112" s="470"/>
      <c r="E112" s="470"/>
      <c r="F112" s="470"/>
      <c r="G112" s="470"/>
      <c r="H112" s="470"/>
      <c r="I112" s="470"/>
      <c r="J112" s="470"/>
      <c r="K112" s="470"/>
      <c r="L112" s="470"/>
      <c r="M112" s="470"/>
      <c r="N112" s="471"/>
      <c r="P112" s="472"/>
      <c r="Q112" s="471"/>
      <c r="R112" s="9"/>
      <c r="S112" s="686">
        <f>+IF(MARZO!S112=0,"",MARZO!S112)</f>
        <v>2010000</v>
      </c>
      <c r="T112" s="662" t="str">
        <f>+IF(MARZO!T112=0,"",MARZO!T112)</f>
        <v>Gastos de Administración</v>
      </c>
      <c r="U112" s="132">
        <f t="shared" ref="U112:AJ112" si="119">U114+U123+U141</f>
        <v>6052082264</v>
      </c>
      <c r="V112" s="122">
        <f t="shared" si="119"/>
        <v>-620000000</v>
      </c>
      <c r="W112" s="122">
        <f t="shared" si="119"/>
        <v>650000000</v>
      </c>
      <c r="X112" s="129">
        <f t="shared" si="119"/>
        <v>6082082264</v>
      </c>
      <c r="Y112" s="128">
        <f t="shared" si="119"/>
        <v>2773438027</v>
      </c>
      <c r="Z112" s="122">
        <f t="shared" si="119"/>
        <v>511901352</v>
      </c>
      <c r="AA112" s="129">
        <f t="shared" si="119"/>
        <v>3285339379</v>
      </c>
      <c r="AB112" s="128">
        <f t="shared" si="119"/>
        <v>1499015115</v>
      </c>
      <c r="AC112" s="122">
        <f t="shared" si="119"/>
        <v>340426701</v>
      </c>
      <c r="AD112" s="129">
        <f t="shared" si="119"/>
        <v>1839441816</v>
      </c>
      <c r="AE112" s="128">
        <f t="shared" si="119"/>
        <v>1184308607</v>
      </c>
      <c r="AF112" s="122">
        <f t="shared" si="119"/>
        <v>276911395</v>
      </c>
      <c r="AG112" s="129">
        <f t="shared" si="119"/>
        <v>1461220002</v>
      </c>
      <c r="AH112" s="128">
        <f t="shared" si="119"/>
        <v>2796742885</v>
      </c>
      <c r="AI112" s="122">
        <f t="shared" si="119"/>
        <v>4242640448</v>
      </c>
      <c r="AJ112" s="130">
        <f t="shared" si="119"/>
        <v>4620862262</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+IF(MARZO!A113=0,"",MARZO!A113)</f>
        <v>2000</v>
      </c>
      <c r="B113" s="623" t="str">
        <f>+IF(MARZO!B113=0,"",MARZO!B113)</f>
        <v>INGRESOS DE CAPITAL</v>
      </c>
      <c r="C113" s="606">
        <f>SUM(C115:C124)</f>
        <v>200295319</v>
      </c>
      <c r="D113" s="607">
        <f>SUM(D115:D124)</f>
        <v>0</v>
      </c>
      <c r="E113" s="607">
        <f t="shared" ref="E113:N113" si="120">SUM(E115:E124)</f>
        <v>2997987</v>
      </c>
      <c r="F113" s="607">
        <f t="shared" si="120"/>
        <v>203293306</v>
      </c>
      <c r="G113" s="607">
        <f t="shared" si="120"/>
        <v>70324503</v>
      </c>
      <c r="H113" s="607">
        <f t="shared" si="120"/>
        <v>3806233</v>
      </c>
      <c r="I113" s="607">
        <f t="shared" si="120"/>
        <v>74130736</v>
      </c>
      <c r="J113" s="607">
        <f t="shared" si="120"/>
        <v>70324503</v>
      </c>
      <c r="K113" s="607">
        <f t="shared" si="120"/>
        <v>3806233</v>
      </c>
      <c r="L113" s="607">
        <f t="shared" si="120"/>
        <v>74130736</v>
      </c>
      <c r="M113" s="607">
        <f t="shared" si="120"/>
        <v>129162570</v>
      </c>
      <c r="N113" s="608">
        <f t="shared" si="120"/>
        <v>129162570</v>
      </c>
      <c r="O113" s="451"/>
      <c r="P113" s="174">
        <f>SUM(P115:P124)</f>
        <v>0</v>
      </c>
      <c r="Q113" s="175">
        <f>SUM(Q115:Q124)</f>
        <v>0</v>
      </c>
      <c r="R113" s="9"/>
      <c r="S113" s="356" t="str">
        <f>+IF(MARZO!S113=0,"",MARZO!S113)</f>
        <v/>
      </c>
      <c r="T113" s="678" t="str">
        <f>+IF(MARZO!T113=0,"",MARZO!T113)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+IF(MARZO!A114=0,"",MARZO!A114)</f>
        <v/>
      </c>
      <c r="B114" s="636" t="str">
        <f>+IF(MARZO!B114=0,"",MARZO!B114)</f>
        <v/>
      </c>
      <c r="C114" s="470"/>
      <c r="D114" s="470"/>
      <c r="E114" s="470"/>
      <c r="F114" s="470"/>
      <c r="G114" s="470"/>
      <c r="H114" s="470"/>
      <c r="I114" s="470"/>
      <c r="J114" s="470"/>
      <c r="K114" s="470"/>
      <c r="L114" s="470"/>
      <c r="M114" s="470"/>
      <c r="N114" s="471"/>
      <c r="P114" s="472"/>
      <c r="Q114" s="471"/>
      <c r="R114" s="9"/>
      <c r="S114" s="687">
        <f>+IF(MARZO!S114=0,"",MARZO!S114)</f>
        <v>2010100</v>
      </c>
      <c r="T114" s="663" t="str">
        <f>+IF(MARZO!T114=0,"",MARZO!T114)</f>
        <v>Adquisición de bienes</v>
      </c>
      <c r="U114" s="132">
        <f t="shared" ref="U114:AJ114" si="121">SUM(U115:U121)</f>
        <v>2750000000</v>
      </c>
      <c r="V114" s="122">
        <f t="shared" si="121"/>
        <v>-620000000</v>
      </c>
      <c r="W114" s="122">
        <f t="shared" si="121"/>
        <v>400000000</v>
      </c>
      <c r="X114" s="129">
        <f t="shared" si="121"/>
        <v>2530000000</v>
      </c>
      <c r="Y114" s="128">
        <f t="shared" si="121"/>
        <v>845542776</v>
      </c>
      <c r="Z114" s="122">
        <f t="shared" si="121"/>
        <v>125372401</v>
      </c>
      <c r="AA114" s="129">
        <f t="shared" si="121"/>
        <v>970915177</v>
      </c>
      <c r="AB114" s="128">
        <f t="shared" si="121"/>
        <v>521707031</v>
      </c>
      <c r="AC114" s="122">
        <f t="shared" si="121"/>
        <v>137187815</v>
      </c>
      <c r="AD114" s="129">
        <f t="shared" si="121"/>
        <v>658894846</v>
      </c>
      <c r="AE114" s="128">
        <f t="shared" si="121"/>
        <v>444763570</v>
      </c>
      <c r="AF114" s="122">
        <f t="shared" si="121"/>
        <v>122424298</v>
      </c>
      <c r="AG114" s="129">
        <f t="shared" si="121"/>
        <v>567187868</v>
      </c>
      <c r="AH114" s="128">
        <f t="shared" si="121"/>
        <v>1559084823</v>
      </c>
      <c r="AI114" s="122">
        <f t="shared" si="121"/>
        <v>1871105154</v>
      </c>
      <c r="AJ114" s="130">
        <f t="shared" si="121"/>
        <v>1962812132</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+IF(MARZO!A115=0,"",MARZO!A115)</f>
        <v>2100</v>
      </c>
      <c r="B115" s="609" t="str">
        <f>+IF(MARZO!B115=0,"",MARZO!B115)</f>
        <v>CREDITO INTERNO</v>
      </c>
      <c r="C115" s="655">
        <f>+ENERO!C115</f>
        <v>0</v>
      </c>
      <c r="D115" s="454">
        <f>MARZO!D115+ABRIL!P115</f>
        <v>0</v>
      </c>
      <c r="E115" s="454">
        <f>MARZO!E115+ABRIL!Q115</f>
        <v>0</v>
      </c>
      <c r="F115" s="458">
        <f t="shared" ref="F115:F124" si="122">SUM(C115:E115)</f>
        <v>0</v>
      </c>
      <c r="G115" s="456">
        <f>MARZO!I115</f>
        <v>0</v>
      </c>
      <c r="H115" s="364">
        <v>0</v>
      </c>
      <c r="I115" s="458">
        <f t="shared" ref="I115:I124" si="123">SUM(G115:H115)</f>
        <v>0</v>
      </c>
      <c r="J115" s="456">
        <f>MARZO!L115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+IF(MARZO!S115=0,"",MARZO!S115)</f>
        <v>2010100-1</v>
      </c>
      <c r="T115" s="664" t="str">
        <f>+IF(MARZO!T115=0,"",MARZO!T115)</f>
        <v>Compra de Equipos</v>
      </c>
      <c r="U115" s="27">
        <f>+ENERO!U115</f>
        <v>2350000000</v>
      </c>
      <c r="V115" s="15">
        <f>MARZO!V115+ABRIL!AL115</f>
        <v>-690000000</v>
      </c>
      <c r="W115" s="15">
        <f>MARZO!W115+ABRIL!AM115</f>
        <v>0</v>
      </c>
      <c r="X115" s="18">
        <f t="shared" ref="X115:X121" si="127">SUM(U115:W115)</f>
        <v>1660000000</v>
      </c>
      <c r="Y115" s="19">
        <f>MARZO!AA115</f>
        <v>278663461</v>
      </c>
      <c r="Z115" s="364">
        <v>0</v>
      </c>
      <c r="AA115" s="18">
        <f t="shared" ref="AA115:AA121" si="128">SUM(Y115:Z115)</f>
        <v>278663461</v>
      </c>
      <c r="AB115" s="19">
        <f>MARZO!AD115</f>
        <v>34319201</v>
      </c>
      <c r="AC115" s="364">
        <v>14344260</v>
      </c>
      <c r="AD115" s="18">
        <f t="shared" ref="AD115:AD121" si="129">SUM(AB115:AC115)</f>
        <v>48663461</v>
      </c>
      <c r="AE115" s="19">
        <f>MARZO!AG115</f>
        <v>8023500</v>
      </c>
      <c r="AF115" s="364">
        <v>0</v>
      </c>
      <c r="AG115" s="18">
        <f t="shared" ref="AG115:AG121" si="130">SUM(AE115:AF115)</f>
        <v>8023500</v>
      </c>
      <c r="AH115" s="19">
        <f t="shared" ref="AH115:AH121" si="131">X115-AA115</f>
        <v>1381336539</v>
      </c>
      <c r="AI115" s="15">
        <f t="shared" ref="AI115:AI121" si="132">X115-AD115</f>
        <v>1611336539</v>
      </c>
      <c r="AJ115" s="16">
        <f t="shared" ref="AJ115:AJ121" si="133">X115-AG115</f>
        <v>1651976500</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+IF(MARZO!A116=0,"",MARZO!A116)</f>
        <v>2100-1</v>
      </c>
      <c r="B116" s="610" t="str">
        <f>+IF(MARZO!B116=0,"",MARZO!B116)</f>
        <v>Vigencia Anterior</v>
      </c>
      <c r="C116" s="655">
        <f>+ENERO!C116</f>
        <v>0</v>
      </c>
      <c r="D116" s="454">
        <f>MARZO!D116+ABRIL!P116</f>
        <v>0</v>
      </c>
      <c r="E116" s="454">
        <f>MARZO!E116+ABRIL!Q116</f>
        <v>0</v>
      </c>
      <c r="F116" s="458">
        <f t="shared" si="122"/>
        <v>0</v>
      </c>
      <c r="G116" s="456">
        <f>MARZO!I116</f>
        <v>0</v>
      </c>
      <c r="H116" s="364">
        <v>0</v>
      </c>
      <c r="I116" s="458">
        <f t="shared" si="123"/>
        <v>0</v>
      </c>
      <c r="J116" s="456">
        <f>MARZO!L116</f>
        <v>0</v>
      </c>
      <c r="K116" s="364">
        <v>0</v>
      </c>
      <c r="L116" s="455">
        <f t="shared" si="124"/>
        <v>0</v>
      </c>
      <c r="M116" s="459">
        <f t="shared" si="125"/>
        <v>0</v>
      </c>
      <c r="N116" s="455">
        <f t="shared" si="126"/>
        <v>0</v>
      </c>
      <c r="O116" s="451"/>
      <c r="P116" s="362">
        <v>0</v>
      </c>
      <c r="Q116" s="365">
        <v>0</v>
      </c>
      <c r="R116" s="9"/>
      <c r="S116" s="688" t="str">
        <f>+IF(MARZO!S116=0,"",MARZO!S116)</f>
        <v>2010100-2</v>
      </c>
      <c r="T116" s="664" t="str">
        <f>+IF(MARZO!T116=0,"",MARZO!T116)</f>
        <v>Materiales</v>
      </c>
      <c r="U116" s="27">
        <f>+ENERO!U116</f>
        <v>300000000</v>
      </c>
      <c r="V116" s="15">
        <f>MARZO!V116+ABRIL!AL116</f>
        <v>0</v>
      </c>
      <c r="W116" s="15">
        <f>MARZO!W116+ABRIL!AM116</f>
        <v>0</v>
      </c>
      <c r="X116" s="18">
        <f t="shared" si="127"/>
        <v>300000000</v>
      </c>
      <c r="Y116" s="19">
        <f>MARZO!AA116</f>
        <v>111483598</v>
      </c>
      <c r="Z116" s="364">
        <v>19181259</v>
      </c>
      <c r="AA116" s="18">
        <f t="shared" si="128"/>
        <v>130664857</v>
      </c>
      <c r="AB116" s="19">
        <f>MARZO!AD116</f>
        <v>96992113</v>
      </c>
      <c r="AC116" s="364">
        <v>16652413</v>
      </c>
      <c r="AD116" s="18">
        <f t="shared" si="129"/>
        <v>113644526</v>
      </c>
      <c r="AE116" s="19">
        <f>MARZO!AG116</f>
        <v>46344353</v>
      </c>
      <c r="AF116" s="364">
        <v>16233156</v>
      </c>
      <c r="AG116" s="18">
        <f t="shared" si="130"/>
        <v>62577509</v>
      </c>
      <c r="AH116" s="19">
        <f t="shared" si="131"/>
        <v>169335143</v>
      </c>
      <c r="AI116" s="15">
        <f t="shared" si="132"/>
        <v>186355474</v>
      </c>
      <c r="AJ116" s="16">
        <f t="shared" si="133"/>
        <v>237422491</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+IF(MARZO!A117=0,"",MARZO!A117)</f>
        <v>2200</v>
      </c>
      <c r="B117" s="609" t="str">
        <f>+IF(MARZO!B117=0,"",MARZO!B117)</f>
        <v>CREDITO EXTERNO</v>
      </c>
      <c r="C117" s="655">
        <f>+ENERO!C117</f>
        <v>0</v>
      </c>
      <c r="D117" s="454">
        <f>MARZO!D117+ABRIL!P117</f>
        <v>0</v>
      </c>
      <c r="E117" s="454">
        <f>MARZO!E117+ABRIL!Q117</f>
        <v>0</v>
      </c>
      <c r="F117" s="458">
        <f t="shared" si="122"/>
        <v>0</v>
      </c>
      <c r="G117" s="456">
        <f>MARZO!I117</f>
        <v>0</v>
      </c>
      <c r="H117" s="364">
        <v>0</v>
      </c>
      <c r="I117" s="458">
        <f t="shared" si="123"/>
        <v>0</v>
      </c>
      <c r="J117" s="456">
        <f>MARZO!L117</f>
        <v>0</v>
      </c>
      <c r="K117" s="364">
        <v>0</v>
      </c>
      <c r="L117" s="455">
        <f t="shared" si="124"/>
        <v>0</v>
      </c>
      <c r="M117" s="459">
        <f t="shared" si="125"/>
        <v>0</v>
      </c>
      <c r="N117" s="455">
        <f t="shared" si="126"/>
        <v>0</v>
      </c>
      <c r="O117" s="451"/>
      <c r="P117" s="362">
        <v>0</v>
      </c>
      <c r="Q117" s="365">
        <v>0</v>
      </c>
      <c r="R117" s="9"/>
      <c r="S117" s="688" t="str">
        <f>+IF(MARZO!S117=0,"",MARZO!S117)</f>
        <v>2010100-3</v>
      </c>
      <c r="T117" s="664" t="str">
        <f>+IF(MARZO!T117=0,"",MARZO!T117)</f>
        <v>Salud Ocupacional</v>
      </c>
      <c r="U117" s="27">
        <f>+ENERO!U117</f>
        <v>0</v>
      </c>
      <c r="V117" s="15">
        <f>MARZO!V117+ABRIL!AL117</f>
        <v>0</v>
      </c>
      <c r="W117" s="15">
        <f>MARZO!W117+ABRIL!AM117</f>
        <v>0</v>
      </c>
      <c r="X117" s="18">
        <f t="shared" si="127"/>
        <v>0</v>
      </c>
      <c r="Y117" s="19">
        <f>MARZO!AA117</f>
        <v>0</v>
      </c>
      <c r="Z117" s="364">
        <v>0</v>
      </c>
      <c r="AA117" s="18">
        <f t="shared" si="128"/>
        <v>0</v>
      </c>
      <c r="AB117" s="19">
        <f>MARZO!AD117</f>
        <v>0</v>
      </c>
      <c r="AC117" s="364">
        <v>0</v>
      </c>
      <c r="AD117" s="18">
        <f t="shared" si="129"/>
        <v>0</v>
      </c>
      <c r="AE117" s="19">
        <f>MARZO!AG117</f>
        <v>0</v>
      </c>
      <c r="AF117" s="364">
        <v>0</v>
      </c>
      <c r="AG117" s="18">
        <f t="shared" si="130"/>
        <v>0</v>
      </c>
      <c r="AH117" s="19">
        <f t="shared" si="131"/>
        <v>0</v>
      </c>
      <c r="AI117" s="15">
        <f t="shared" si="132"/>
        <v>0</v>
      </c>
      <c r="AJ117" s="16">
        <f t="shared" si="133"/>
        <v>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+IF(MARZO!A118=0,"",MARZO!A118)</f>
        <v>2200-1</v>
      </c>
      <c r="B118" s="610" t="str">
        <f>+IF(MARZO!B118=0,"",MARZO!B118)</f>
        <v>Vigencia Anterior</v>
      </c>
      <c r="C118" s="655">
        <f>+ENERO!C118</f>
        <v>0</v>
      </c>
      <c r="D118" s="454">
        <f>MARZO!D118+ABRIL!P118</f>
        <v>0</v>
      </c>
      <c r="E118" s="454">
        <f>MARZO!E118+ABRIL!Q118</f>
        <v>0</v>
      </c>
      <c r="F118" s="458">
        <f t="shared" si="122"/>
        <v>0</v>
      </c>
      <c r="G118" s="456">
        <f>MARZO!I118</f>
        <v>0</v>
      </c>
      <c r="H118" s="364">
        <v>0</v>
      </c>
      <c r="I118" s="458">
        <f t="shared" si="123"/>
        <v>0</v>
      </c>
      <c r="J118" s="456">
        <f>MARZO!L118</f>
        <v>0</v>
      </c>
      <c r="K118" s="364">
        <v>0</v>
      </c>
      <c r="L118" s="455">
        <f t="shared" si="124"/>
        <v>0</v>
      </c>
      <c r="M118" s="459">
        <f t="shared" si="125"/>
        <v>0</v>
      </c>
      <c r="N118" s="455">
        <f t="shared" si="126"/>
        <v>0</v>
      </c>
      <c r="O118" s="451"/>
      <c r="P118" s="362">
        <v>0</v>
      </c>
      <c r="Q118" s="365">
        <v>0</v>
      </c>
      <c r="R118" s="9"/>
      <c r="S118" s="688" t="str">
        <f>+IF(MARZO!S118=0,"",MARZO!S118)</f>
        <v>2010100-4</v>
      </c>
      <c r="T118" s="664" t="str">
        <f>+IF(MARZO!T118=0,"",MARZO!T118)</f>
        <v/>
      </c>
      <c r="U118" s="27">
        <f>+ENERO!U118</f>
        <v>0</v>
      </c>
      <c r="V118" s="15">
        <f>MARZO!V118+ABRIL!AL118</f>
        <v>70000000</v>
      </c>
      <c r="W118" s="15">
        <f>MARZO!W118+ABRIL!AM118</f>
        <v>0</v>
      </c>
      <c r="X118" s="18">
        <f t="shared" si="127"/>
        <v>70000000</v>
      </c>
      <c r="Y118" s="19">
        <f>MARZO!AA118</f>
        <v>65000000</v>
      </c>
      <c r="Z118" s="364">
        <v>0</v>
      </c>
      <c r="AA118" s="18">
        <f t="shared" si="128"/>
        <v>65000000</v>
      </c>
      <c r="AB118" s="19">
        <f>MARZO!AD118</f>
        <v>0</v>
      </c>
      <c r="AC118" s="364">
        <v>0</v>
      </c>
      <c r="AD118" s="18">
        <f t="shared" si="129"/>
        <v>0</v>
      </c>
      <c r="AE118" s="19">
        <f>MARZO!AG118</f>
        <v>0</v>
      </c>
      <c r="AF118" s="364">
        <v>0</v>
      </c>
      <c r="AG118" s="18">
        <f t="shared" si="130"/>
        <v>0</v>
      </c>
      <c r="AH118" s="19">
        <f t="shared" si="131"/>
        <v>5000000</v>
      </c>
      <c r="AI118" s="15">
        <f t="shared" si="132"/>
        <v>70000000</v>
      </c>
      <c r="AJ118" s="16">
        <f t="shared" si="133"/>
        <v>70000000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+IF(MARZO!A119=0,"",MARZO!A119)</f>
        <v>2300</v>
      </c>
      <c r="B119" s="609" t="str">
        <f>+IF(MARZO!B119=0,"",MARZO!B119)</f>
        <v>RENDIMIENTOS FINANCIEROS</v>
      </c>
      <c r="C119" s="655">
        <f>+ENERO!C119</f>
        <v>200295319</v>
      </c>
      <c r="D119" s="454">
        <f>MARZO!D119+ABRIL!P119</f>
        <v>0</v>
      </c>
      <c r="E119" s="454">
        <f>MARZO!E119+ABRIL!Q119</f>
        <v>0</v>
      </c>
      <c r="F119" s="458">
        <f t="shared" si="122"/>
        <v>200295319</v>
      </c>
      <c r="G119" s="216">
        <f>MARZO!I119</f>
        <v>7262</v>
      </c>
      <c r="H119" s="364">
        <v>0</v>
      </c>
      <c r="I119" s="463">
        <f t="shared" si="123"/>
        <v>7262</v>
      </c>
      <c r="J119" s="216">
        <f>MARZO!L119</f>
        <v>7262</v>
      </c>
      <c r="K119" s="364">
        <v>0</v>
      </c>
      <c r="L119" s="143">
        <f t="shared" si="124"/>
        <v>7262</v>
      </c>
      <c r="M119" s="428">
        <f t="shared" si="125"/>
        <v>200288057</v>
      </c>
      <c r="N119" s="143">
        <f t="shared" si="126"/>
        <v>200288057</v>
      </c>
      <c r="O119" s="451"/>
      <c r="P119" s="362">
        <v>0</v>
      </c>
      <c r="Q119" s="365">
        <v>0</v>
      </c>
      <c r="R119" s="9"/>
      <c r="S119" s="688" t="str">
        <f>+IF(MARZO!S119=0,"",MARZO!S119)</f>
        <v>2010100-5</v>
      </c>
      <c r="T119" s="664" t="str">
        <f>+IF(MARZO!T119=0,"",MARZO!T119)</f>
        <v/>
      </c>
      <c r="U119" s="27">
        <f>+ENERO!U119</f>
        <v>0</v>
      </c>
      <c r="V119" s="15">
        <f>MARZO!V119+ABRIL!AL119</f>
        <v>0</v>
      </c>
      <c r="W119" s="15">
        <f>MARZO!W119+ABRIL!AM119</f>
        <v>0</v>
      </c>
      <c r="X119" s="18">
        <f t="shared" si="127"/>
        <v>0</v>
      </c>
      <c r="Y119" s="19">
        <f>MARZO!AA119</f>
        <v>0</v>
      </c>
      <c r="Z119" s="364">
        <v>0</v>
      </c>
      <c r="AA119" s="18">
        <f t="shared" si="128"/>
        <v>0</v>
      </c>
      <c r="AB119" s="19">
        <f>MARZO!AD119</f>
        <v>0</v>
      </c>
      <c r="AC119" s="364">
        <v>0</v>
      </c>
      <c r="AD119" s="18">
        <f t="shared" si="129"/>
        <v>0</v>
      </c>
      <c r="AE119" s="19">
        <f>MARZO!AG119</f>
        <v>0</v>
      </c>
      <c r="AF119" s="364">
        <v>0</v>
      </c>
      <c r="AG119" s="1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+IF(MARZO!A120=0,"",MARZO!A120)</f>
        <v>2400</v>
      </c>
      <c r="B120" s="610" t="str">
        <f>+IF(MARZO!B120=0,"",MARZO!B120)</f>
        <v>VENTA DE ACTIVOS</v>
      </c>
      <c r="C120" s="655">
        <f>+ENERO!C120</f>
        <v>0</v>
      </c>
      <c r="D120" s="454">
        <f>MARZO!D120+ABRIL!P120</f>
        <v>0</v>
      </c>
      <c r="E120" s="454">
        <f>MARZO!E120+ABRIL!Q120</f>
        <v>0</v>
      </c>
      <c r="F120" s="458">
        <f t="shared" si="122"/>
        <v>0</v>
      </c>
      <c r="G120" s="216">
        <f>MARZO!I120</f>
        <v>0</v>
      </c>
      <c r="H120" s="364">
        <v>0</v>
      </c>
      <c r="I120" s="463">
        <f t="shared" si="123"/>
        <v>0</v>
      </c>
      <c r="J120" s="216">
        <f>MARZO!L120</f>
        <v>0</v>
      </c>
      <c r="K120" s="364">
        <v>0</v>
      </c>
      <c r="L120" s="143">
        <f t="shared" si="124"/>
        <v>0</v>
      </c>
      <c r="M120" s="428">
        <f t="shared" si="125"/>
        <v>0</v>
      </c>
      <c r="N120" s="143">
        <f t="shared" si="126"/>
        <v>0</v>
      </c>
      <c r="P120" s="362">
        <v>0</v>
      </c>
      <c r="Q120" s="365">
        <v>0</v>
      </c>
      <c r="R120" s="9"/>
      <c r="S120" s="688" t="str">
        <f>+IF(MARZO!S120=0,"",MARZO!S120)</f>
        <v>2010100-6</v>
      </c>
      <c r="T120" s="664" t="str">
        <f>+IF(MARZO!T120=0,"",MARZO!T120)</f>
        <v/>
      </c>
      <c r="U120" s="27">
        <f>+ENERO!U120</f>
        <v>0</v>
      </c>
      <c r="V120" s="15">
        <f>MARZO!V120+ABRIL!AL120</f>
        <v>0</v>
      </c>
      <c r="W120" s="15">
        <f>MARZO!W120+ABRIL!AM120</f>
        <v>0</v>
      </c>
      <c r="X120" s="18">
        <f t="shared" si="127"/>
        <v>0</v>
      </c>
      <c r="Y120" s="19">
        <f>MARZO!AA120</f>
        <v>0</v>
      </c>
      <c r="Z120" s="364">
        <v>0</v>
      </c>
      <c r="AA120" s="18">
        <f t="shared" si="128"/>
        <v>0</v>
      </c>
      <c r="AB120" s="19">
        <f>MARZO!AD120</f>
        <v>0</v>
      </c>
      <c r="AC120" s="364">
        <v>0</v>
      </c>
      <c r="AD120" s="18">
        <f t="shared" si="129"/>
        <v>0</v>
      </c>
      <c r="AE120" s="19">
        <f>MARZO!AG120</f>
        <v>0</v>
      </c>
      <c r="AF120" s="364">
        <v>0</v>
      </c>
      <c r="AG120" s="1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+IF(MARZO!A121=0,"",MARZO!A121)</f>
        <v>2500</v>
      </c>
      <c r="B121" s="610" t="str">
        <f>+IF(MARZO!B121=0,"",MARZO!B121)</f>
        <v>DONACIONES</v>
      </c>
      <c r="C121" s="655">
        <f>+ENERO!C121</f>
        <v>0</v>
      </c>
      <c r="D121" s="454">
        <f>MARZO!D121+ABRIL!P121</f>
        <v>0</v>
      </c>
      <c r="E121" s="454">
        <f>MARZO!E121+ABRIL!Q121</f>
        <v>0</v>
      </c>
      <c r="F121" s="458">
        <f t="shared" si="122"/>
        <v>0</v>
      </c>
      <c r="G121" s="216">
        <f>MARZO!I121</f>
        <v>1500000</v>
      </c>
      <c r="H121" s="364">
        <v>0</v>
      </c>
      <c r="I121" s="463">
        <f t="shared" si="123"/>
        <v>1500000</v>
      </c>
      <c r="J121" s="216">
        <f>MARZO!L121</f>
        <v>1500000</v>
      </c>
      <c r="K121" s="364">
        <v>0</v>
      </c>
      <c r="L121" s="143">
        <f t="shared" si="124"/>
        <v>1500000</v>
      </c>
      <c r="M121" s="428">
        <f t="shared" si="125"/>
        <v>-1500000</v>
      </c>
      <c r="N121" s="143">
        <f t="shared" si="126"/>
        <v>-1500000</v>
      </c>
      <c r="P121" s="362">
        <v>0</v>
      </c>
      <c r="Q121" s="365">
        <v>0</v>
      </c>
      <c r="R121" s="9"/>
      <c r="S121" s="688">
        <f>+IF(MARZO!S121=0,"",MARZO!S121)</f>
        <v>2010199</v>
      </c>
      <c r="T121" s="664" t="str">
        <f>+IF(MARZO!T121=0,"",MARZO!T121)</f>
        <v>Vigencias Anteriores</v>
      </c>
      <c r="U121" s="27">
        <f>+ENERO!U121</f>
        <v>100000000</v>
      </c>
      <c r="V121" s="15">
        <f>MARZO!V121+ABRIL!AL121</f>
        <v>0</v>
      </c>
      <c r="W121" s="15">
        <f>MARZO!W121+ABRIL!AM121</f>
        <v>400000000</v>
      </c>
      <c r="X121" s="18">
        <f t="shared" si="127"/>
        <v>500000000</v>
      </c>
      <c r="Y121" s="19">
        <f>MARZO!AA121</f>
        <v>390395717</v>
      </c>
      <c r="Z121" s="364">
        <v>106191142</v>
      </c>
      <c r="AA121" s="18">
        <f t="shared" si="128"/>
        <v>496586859</v>
      </c>
      <c r="AB121" s="19">
        <f>MARZO!AD121</f>
        <v>390395717</v>
      </c>
      <c r="AC121" s="364">
        <v>106191142</v>
      </c>
      <c r="AD121" s="18">
        <f t="shared" si="129"/>
        <v>496586859</v>
      </c>
      <c r="AE121" s="19">
        <f>MARZO!AG121</f>
        <v>390395717</v>
      </c>
      <c r="AF121" s="364">
        <v>106191142</v>
      </c>
      <c r="AG121" s="18">
        <f t="shared" si="130"/>
        <v>496586859</v>
      </c>
      <c r="AH121" s="19">
        <f t="shared" si="131"/>
        <v>3413141</v>
      </c>
      <c r="AI121" s="15">
        <f t="shared" si="132"/>
        <v>3413141</v>
      </c>
      <c r="AJ121" s="16">
        <f t="shared" si="133"/>
        <v>3413141</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+IF(MARZO!A122=0,"",MARZO!A122)</f>
        <v>2600</v>
      </c>
      <c r="B122" s="610" t="str">
        <f>+IF(MARZO!B122=0,"",MARZO!B122)</f>
        <v>RECUPERACIÓN DE CARTERA (AÑO 2017 Y ANTERIORES)</v>
      </c>
      <c r="C122" s="655">
        <f>+ENERO!C122</f>
        <v>0</v>
      </c>
      <c r="D122" s="454">
        <f>MARZO!D122+ABRIL!P122</f>
        <v>0</v>
      </c>
      <c r="E122" s="454">
        <f>MARZO!E122+ABRIL!Q122</f>
        <v>0</v>
      </c>
      <c r="F122" s="458">
        <f t="shared" si="122"/>
        <v>0</v>
      </c>
      <c r="G122" s="216">
        <f>MARZO!I122</f>
        <v>0</v>
      </c>
      <c r="H122" s="364">
        <v>0</v>
      </c>
      <c r="I122" s="463">
        <f t="shared" si="123"/>
        <v>0</v>
      </c>
      <c r="J122" s="216">
        <f>MARZO!L122</f>
        <v>0</v>
      </c>
      <c r="K122" s="364">
        <v>0</v>
      </c>
      <c r="L122" s="143">
        <f t="shared" si="124"/>
        <v>0</v>
      </c>
      <c r="M122" s="428">
        <f t="shared" si="125"/>
        <v>0</v>
      </c>
      <c r="N122" s="143">
        <f t="shared" si="126"/>
        <v>0</v>
      </c>
      <c r="P122" s="362">
        <v>0</v>
      </c>
      <c r="Q122" s="365">
        <v>0</v>
      </c>
      <c r="R122" s="9"/>
      <c r="S122" s="356" t="str">
        <f>+IF(MARZO!S122=0,"",MARZO!S122)</f>
        <v/>
      </c>
      <c r="T122" s="678" t="str">
        <f>+IF(MARZO!T122=0,"",MARZO!T122)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+IF(MARZO!A123=0,"",MARZO!A123)</f>
        <v>2700</v>
      </c>
      <c r="B123" s="610" t="str">
        <f>+IF(MARZO!B123=0,"",MARZO!B123)</f>
        <v>OTROS INGRESOS DE CAPITAL</v>
      </c>
      <c r="C123" s="655">
        <f>+ENERO!C123</f>
        <v>0</v>
      </c>
      <c r="D123" s="454">
        <f>MARZO!D123+ABRIL!P123</f>
        <v>0</v>
      </c>
      <c r="E123" s="454">
        <f>MARZO!E123+ABRIL!Q123</f>
        <v>2997987</v>
      </c>
      <c r="F123" s="458">
        <f t="shared" si="122"/>
        <v>2997987</v>
      </c>
      <c r="G123" s="216">
        <f>MARZO!I123</f>
        <v>68817241</v>
      </c>
      <c r="H123" s="364">
        <v>3806233</v>
      </c>
      <c r="I123" s="463">
        <f t="shared" si="123"/>
        <v>72623474</v>
      </c>
      <c r="J123" s="216">
        <f>MARZO!L123</f>
        <v>68817241</v>
      </c>
      <c r="K123" s="364">
        <v>3806233</v>
      </c>
      <c r="L123" s="143">
        <f t="shared" si="124"/>
        <v>72623474</v>
      </c>
      <c r="M123" s="428">
        <f t="shared" si="125"/>
        <v>-69625487</v>
      </c>
      <c r="N123" s="143">
        <f t="shared" si="126"/>
        <v>-69625487</v>
      </c>
      <c r="P123" s="362">
        <v>0</v>
      </c>
      <c r="Q123" s="365">
        <v>0</v>
      </c>
      <c r="R123" s="9"/>
      <c r="S123" s="687">
        <f>+IF(MARZO!S123=0,"",MARZO!S123)</f>
        <v>2010200</v>
      </c>
      <c r="T123" s="663" t="str">
        <f>+IF(MARZO!T123=0,"",MARZO!T123)</f>
        <v>Adquisición de Servicios</v>
      </c>
      <c r="U123" s="132">
        <f t="shared" ref="U123:AJ123" si="134">SUM(U124:U139)</f>
        <v>2775000000</v>
      </c>
      <c r="V123" s="122">
        <f t="shared" si="134"/>
        <v>0</v>
      </c>
      <c r="W123" s="122">
        <f t="shared" si="134"/>
        <v>250000000</v>
      </c>
      <c r="X123" s="129">
        <f t="shared" si="134"/>
        <v>3025000000</v>
      </c>
      <c r="Y123" s="128">
        <f t="shared" si="134"/>
        <v>1816065939</v>
      </c>
      <c r="Z123" s="122">
        <f t="shared" si="134"/>
        <v>368786401</v>
      </c>
      <c r="AA123" s="129">
        <f t="shared" si="134"/>
        <v>2184852340</v>
      </c>
      <c r="AB123" s="128">
        <f t="shared" si="134"/>
        <v>865478772</v>
      </c>
      <c r="AC123" s="122">
        <f t="shared" si="134"/>
        <v>185496336</v>
      </c>
      <c r="AD123" s="129">
        <f t="shared" si="134"/>
        <v>1050975108</v>
      </c>
      <c r="AE123" s="128">
        <f t="shared" si="134"/>
        <v>640186048</v>
      </c>
      <c r="AF123" s="122">
        <f t="shared" si="134"/>
        <v>124274224</v>
      </c>
      <c r="AG123" s="129">
        <f t="shared" si="134"/>
        <v>764460272</v>
      </c>
      <c r="AH123" s="128">
        <f t="shared" si="134"/>
        <v>840147660</v>
      </c>
      <c r="AI123" s="122">
        <f t="shared" si="134"/>
        <v>1974024892</v>
      </c>
      <c r="AJ123" s="130">
        <f t="shared" si="134"/>
        <v>2260539728</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+IF(MARZO!A124=0,"",MARZO!A124)</f>
        <v>2800</v>
      </c>
      <c r="B124" s="638" t="str">
        <f>+IF(MARZO!B124=0,"",MARZO!B124)</f>
        <v/>
      </c>
      <c r="C124" s="759">
        <f>+ENERO!C124</f>
        <v>0</v>
      </c>
      <c r="D124" s="452">
        <f>MARZO!D124+ABRIL!P124</f>
        <v>0</v>
      </c>
      <c r="E124" s="452">
        <f>MARZO!E124+ABRIL!Q124</f>
        <v>0</v>
      </c>
      <c r="F124" s="464">
        <f t="shared" si="122"/>
        <v>0</v>
      </c>
      <c r="G124" s="377">
        <f>MARZO!I124</f>
        <v>0</v>
      </c>
      <c r="H124" s="378">
        <v>0</v>
      </c>
      <c r="I124" s="465">
        <f t="shared" si="123"/>
        <v>0</v>
      </c>
      <c r="J124" s="377">
        <f>MARZO!L124</f>
        <v>0</v>
      </c>
      <c r="K124" s="378">
        <v>0</v>
      </c>
      <c r="L124" s="376">
        <f t="shared" si="124"/>
        <v>0</v>
      </c>
      <c r="M124" s="466">
        <f t="shared" si="125"/>
        <v>0</v>
      </c>
      <c r="N124" s="376">
        <f t="shared" si="126"/>
        <v>0</v>
      </c>
      <c r="P124" s="374">
        <v>0</v>
      </c>
      <c r="Q124" s="379">
        <v>0</v>
      </c>
      <c r="R124" s="9"/>
      <c r="S124" s="688" t="str">
        <f>+IF(MARZO!S124=0,"",MARZO!S124)</f>
        <v>2010200-1</v>
      </c>
      <c r="T124" s="664" t="str">
        <f>+IF(MARZO!T124=0,"",MARZO!T124)</f>
        <v>Seguros</v>
      </c>
      <c r="U124" s="27">
        <f>+ENERO!U124</f>
        <v>3000000</v>
      </c>
      <c r="V124" s="15">
        <f>MARZO!V124+ABRIL!AL124</f>
        <v>0</v>
      </c>
      <c r="W124" s="15">
        <f>MARZO!W124+ABRIL!AM124</f>
        <v>0</v>
      </c>
      <c r="X124" s="18">
        <f t="shared" ref="X124:X139" si="135">SUM(U124:W124)</f>
        <v>3000000</v>
      </c>
      <c r="Y124" s="19">
        <f>MARZO!AA124</f>
        <v>673000</v>
      </c>
      <c r="Z124" s="364">
        <v>292154</v>
      </c>
      <c r="AA124" s="18">
        <f t="shared" ref="AA124:AA139" si="136">SUM(Y124:Z124)</f>
        <v>965154</v>
      </c>
      <c r="AB124" s="19">
        <f>MARZO!AD124</f>
        <v>673000</v>
      </c>
      <c r="AC124" s="364">
        <v>0</v>
      </c>
      <c r="AD124" s="18">
        <f t="shared" ref="AD124:AD139" si="137">SUM(AB124:AC124)</f>
        <v>673000</v>
      </c>
      <c r="AE124" s="19">
        <f>MARZO!AG124</f>
        <v>673000</v>
      </c>
      <c r="AF124" s="364">
        <v>0</v>
      </c>
      <c r="AG124" s="18">
        <f t="shared" ref="AG124:AG139" si="138">SUM(AE124:AF124)</f>
        <v>673000</v>
      </c>
      <c r="AH124" s="19">
        <f t="shared" ref="AH124:AH139" si="139">X124-AA124</f>
        <v>2034846</v>
      </c>
      <c r="AI124" s="15">
        <f t="shared" ref="AI124:AI139" si="140">X124-AD124</f>
        <v>2327000</v>
      </c>
      <c r="AJ124" s="16">
        <f t="shared" ref="AJ124:AJ139" si="141">X124-AG124</f>
        <v>2327000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+IF(MARZO!S125=0,"",MARZO!S125)</f>
        <v>2010200-2</v>
      </c>
      <c r="T125" s="664" t="str">
        <f>+IF(MARZO!T125=0,"",MARZO!T125)</f>
        <v>Impresos y Publicaciones</v>
      </c>
      <c r="U125" s="27">
        <f>+ENERO!U125</f>
        <v>25000000</v>
      </c>
      <c r="V125" s="15">
        <f>MARZO!V125+ABRIL!AL125</f>
        <v>0</v>
      </c>
      <c r="W125" s="15">
        <f>MARZO!W125+ABRIL!AM125</f>
        <v>0</v>
      </c>
      <c r="X125" s="18">
        <f t="shared" si="135"/>
        <v>25000000</v>
      </c>
      <c r="Y125" s="19">
        <f>MARZO!AA125</f>
        <v>280000</v>
      </c>
      <c r="Z125" s="364">
        <v>420000</v>
      </c>
      <c r="AA125" s="18">
        <f t="shared" si="136"/>
        <v>700000</v>
      </c>
      <c r="AB125" s="19">
        <f>MARZO!AD125</f>
        <v>280000</v>
      </c>
      <c r="AC125" s="364">
        <v>420000</v>
      </c>
      <c r="AD125" s="18">
        <f t="shared" si="137"/>
        <v>700000</v>
      </c>
      <c r="AE125" s="19">
        <f>MARZO!AG125</f>
        <v>280000</v>
      </c>
      <c r="AF125" s="364">
        <v>420000</v>
      </c>
      <c r="AG125" s="18">
        <f t="shared" si="138"/>
        <v>700000</v>
      </c>
      <c r="AH125" s="19">
        <f t="shared" si="139"/>
        <v>24300000</v>
      </c>
      <c r="AI125" s="15">
        <f t="shared" si="140"/>
        <v>24300000</v>
      </c>
      <c r="AJ125" s="16">
        <f t="shared" si="141"/>
        <v>24300000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2">C8-C128</f>
        <v>66420360605</v>
      </c>
      <c r="D126" s="467">
        <f t="shared" si="142"/>
        <v>0</v>
      </c>
      <c r="E126" s="467">
        <f t="shared" si="142"/>
        <v>17535681475</v>
      </c>
      <c r="F126" s="467">
        <f t="shared" si="142"/>
        <v>83956042080</v>
      </c>
      <c r="G126" s="467">
        <f t="shared" si="142"/>
        <v>28742133975</v>
      </c>
      <c r="H126" s="467">
        <f>H8-H128</f>
        <v>7362099084</v>
      </c>
      <c r="I126" s="467">
        <f t="shared" si="142"/>
        <v>36104233059</v>
      </c>
      <c r="J126" s="467">
        <f t="shared" si="142"/>
        <v>13367420012</v>
      </c>
      <c r="K126" s="467">
        <f t="shared" si="142"/>
        <v>7468677795.1499996</v>
      </c>
      <c r="L126" s="467">
        <f t="shared" si="142"/>
        <v>20836097807.150002</v>
      </c>
      <c r="M126" s="467">
        <f t="shared" si="142"/>
        <v>47851809021</v>
      </c>
      <c r="N126" s="596">
        <f t="shared" si="142"/>
        <v>63119944272.849998</v>
      </c>
      <c r="P126" s="468">
        <f>P8-P128</f>
        <v>0</v>
      </c>
      <c r="Q126" s="469">
        <f>Q8-Q128</f>
        <v>0</v>
      </c>
      <c r="R126" s="9"/>
      <c r="S126" s="688" t="str">
        <f>+IF(MARZO!S126=0,"",MARZO!S126)</f>
        <v>2010200-3</v>
      </c>
      <c r="T126" s="664" t="str">
        <f>+IF(MARZO!T126=0,"",MARZO!T126)</f>
        <v xml:space="preserve">Servicios Públicos </v>
      </c>
      <c r="U126" s="27">
        <f>+ENERO!U126</f>
        <v>740000000</v>
      </c>
      <c r="V126" s="15">
        <f>MARZO!V126+ABRIL!AL126</f>
        <v>0</v>
      </c>
      <c r="W126" s="15">
        <f>MARZO!W126+ABRIL!AM126</f>
        <v>0</v>
      </c>
      <c r="X126" s="18">
        <f t="shared" si="135"/>
        <v>740000000</v>
      </c>
      <c r="Y126" s="19">
        <f>MARZO!AA126</f>
        <v>212039691</v>
      </c>
      <c r="Z126" s="364">
        <v>56004668</v>
      </c>
      <c r="AA126" s="18">
        <f t="shared" si="136"/>
        <v>268044359</v>
      </c>
      <c r="AB126" s="19">
        <f>MARZO!AD126</f>
        <v>212039691</v>
      </c>
      <c r="AC126" s="364">
        <v>56004668</v>
      </c>
      <c r="AD126" s="18">
        <f t="shared" si="137"/>
        <v>268044359</v>
      </c>
      <c r="AE126" s="19">
        <f>MARZO!AG126</f>
        <v>163316924</v>
      </c>
      <c r="AF126" s="364">
        <v>53504825</v>
      </c>
      <c r="AG126" s="18">
        <f t="shared" si="138"/>
        <v>216821749</v>
      </c>
      <c r="AH126" s="19">
        <f t="shared" si="139"/>
        <v>471955641</v>
      </c>
      <c r="AI126" s="15">
        <f t="shared" si="140"/>
        <v>471955641</v>
      </c>
      <c r="AJ126" s="16">
        <f t="shared" si="141"/>
        <v>523178251</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+IF(MARZO!S127=0,"",MARZO!S127)</f>
        <v>2010200-4</v>
      </c>
      <c r="T127" s="664" t="str">
        <f>+IF(MARZO!T127=0,"",MARZO!T127)</f>
        <v>Comunicaciones y Transportes</v>
      </c>
      <c r="U127" s="27">
        <f>+ENERO!U127</f>
        <v>118000000</v>
      </c>
      <c r="V127" s="15">
        <f>MARZO!V127+ABRIL!AL127</f>
        <v>0</v>
      </c>
      <c r="W127" s="15">
        <f>MARZO!W127+ABRIL!AM127</f>
        <v>0</v>
      </c>
      <c r="X127" s="18">
        <f t="shared" si="135"/>
        <v>118000000</v>
      </c>
      <c r="Y127" s="19">
        <f>MARZO!AA127</f>
        <v>86128630</v>
      </c>
      <c r="Z127" s="364">
        <v>1855619</v>
      </c>
      <c r="AA127" s="18">
        <f t="shared" si="136"/>
        <v>87984249</v>
      </c>
      <c r="AB127" s="19">
        <f>MARZO!AD127</f>
        <v>18348630</v>
      </c>
      <c r="AC127" s="364">
        <v>10835619</v>
      </c>
      <c r="AD127" s="18">
        <f t="shared" si="137"/>
        <v>29184249</v>
      </c>
      <c r="AE127" s="19">
        <f>MARZO!AG127</f>
        <v>14974730</v>
      </c>
      <c r="AF127" s="364">
        <v>11709519</v>
      </c>
      <c r="AG127" s="18">
        <f t="shared" si="138"/>
        <v>26684249</v>
      </c>
      <c r="AH127" s="19">
        <f t="shared" si="139"/>
        <v>30015751</v>
      </c>
      <c r="AI127" s="15">
        <f t="shared" si="140"/>
        <v>88815751</v>
      </c>
      <c r="AJ127" s="16">
        <f t="shared" si="141"/>
        <v>91315751</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10903031070</v>
      </c>
      <c r="F128" s="473">
        <f>SUMIF($B8:$B$122,$B$24,F8:F122)+F122</f>
        <v>10903031070</v>
      </c>
      <c r="G128" s="473">
        <f>SUMIF($B8:$B$122,$B$24,G8:G122)+G122</f>
        <v>11507515594</v>
      </c>
      <c r="H128" s="473">
        <f>SUMIF($B8:$B$122,$B$24,H8:H122)+H122</f>
        <v>156937893</v>
      </c>
      <c r="I128" s="473">
        <f>SUMIF($B8:$B$122,$B$24,I8:I122)+I122</f>
        <v>11664453487</v>
      </c>
      <c r="J128" s="473">
        <f>SUMIF($B8:$B$122,$B$24,J8:J122)+J1212</f>
        <v>11507515594</v>
      </c>
      <c r="K128" s="473">
        <f>SUMIF($B8:$B$122,$B$24,K8:K122)+K122</f>
        <v>156937893</v>
      </c>
      <c r="L128" s="473">
        <f>SUMIF($B8:$B$122,$B$24,L8:L122)+L122</f>
        <v>11664453487</v>
      </c>
      <c r="M128" s="473">
        <f>SUMIF($B8:$B$122,$B$24,M8:M122)+M12</f>
        <v>-761422417</v>
      </c>
      <c r="N128" s="597">
        <f>SUMIF($B8:$B$122,$B$24,N8:N122)+N122</f>
        <v>-761422417</v>
      </c>
      <c r="O128" s="451"/>
      <c r="P128" s="473">
        <f>SUMIF($B8:$B$122,$B$24,P8:P122)+P122</f>
        <v>0</v>
      </c>
      <c r="Q128" s="474">
        <f>SUMIF($B8:$B$122,$B$24,Q8:Q122)+Q122</f>
        <v>0</v>
      </c>
      <c r="R128" s="9"/>
      <c r="S128" s="688" t="str">
        <f>+IF(MARZO!S128=0,"",MARZO!S128)</f>
        <v>2010200-5</v>
      </c>
      <c r="T128" s="664" t="str">
        <f>+IF(MARZO!T128=0,"",MARZO!T128)</f>
        <v>Viáticos y Gastos de Viaje</v>
      </c>
      <c r="U128" s="27">
        <f>+ENERO!U128</f>
        <v>22000000</v>
      </c>
      <c r="V128" s="15">
        <f>MARZO!V128+ABRIL!AL128</f>
        <v>0</v>
      </c>
      <c r="W128" s="15">
        <f>MARZO!W128+ABRIL!AM128</f>
        <v>0</v>
      </c>
      <c r="X128" s="18">
        <f t="shared" si="135"/>
        <v>22000000</v>
      </c>
      <c r="Y128" s="19">
        <f>MARZO!AA128</f>
        <v>2638000</v>
      </c>
      <c r="Z128" s="364">
        <v>300000</v>
      </c>
      <c r="AA128" s="18">
        <f t="shared" si="136"/>
        <v>2938000</v>
      </c>
      <c r="AB128" s="19">
        <f>MARZO!AD128</f>
        <v>2117500</v>
      </c>
      <c r="AC128" s="364">
        <v>670500</v>
      </c>
      <c r="AD128" s="18">
        <f t="shared" si="137"/>
        <v>2788000</v>
      </c>
      <c r="AE128" s="19">
        <f>MARZO!AG128</f>
        <v>1945000</v>
      </c>
      <c r="AF128" s="364">
        <v>670500</v>
      </c>
      <c r="AG128" s="18">
        <f t="shared" si="138"/>
        <v>2615500</v>
      </c>
      <c r="AH128" s="19">
        <f t="shared" si="139"/>
        <v>19062000</v>
      </c>
      <c r="AI128" s="15">
        <f t="shared" si="140"/>
        <v>19212000</v>
      </c>
      <c r="AJ128" s="16">
        <f t="shared" si="141"/>
        <v>19384500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+IF(MARZO!S129=0,"",MARZO!S129)</f>
        <v>2010200-6</v>
      </c>
      <c r="T129" s="664" t="str">
        <f>+IF(MARZO!T129=0,"",MARZO!T129)</f>
        <v>Arrendamientos</v>
      </c>
      <c r="U129" s="27">
        <f>+ENERO!U129</f>
        <v>165000000</v>
      </c>
      <c r="V129" s="15">
        <f>MARZO!V129+ABRIL!AL129</f>
        <v>0</v>
      </c>
      <c r="W129" s="15">
        <f>MARZO!W129+ABRIL!AM129</f>
        <v>0</v>
      </c>
      <c r="X129" s="18">
        <f t="shared" si="135"/>
        <v>165000000</v>
      </c>
      <c r="Y129" s="19">
        <f>MARZO!AA129</f>
        <v>110000000</v>
      </c>
      <c r="Z129" s="364">
        <v>0</v>
      </c>
      <c r="AA129" s="18">
        <f t="shared" si="136"/>
        <v>110000000</v>
      </c>
      <c r="AB129" s="19">
        <f>MARZO!AD129</f>
        <v>0</v>
      </c>
      <c r="AC129" s="364">
        <v>31930579</v>
      </c>
      <c r="AD129" s="18">
        <f t="shared" si="137"/>
        <v>31930579</v>
      </c>
      <c r="AE129" s="19">
        <f>MARZO!AG129</f>
        <v>0</v>
      </c>
      <c r="AF129" s="364">
        <v>0</v>
      </c>
      <c r="AG129" s="18">
        <f t="shared" si="138"/>
        <v>0</v>
      </c>
      <c r="AH129" s="19">
        <f t="shared" si="139"/>
        <v>55000000</v>
      </c>
      <c r="AI129" s="15">
        <f t="shared" si="140"/>
        <v>133069421</v>
      </c>
      <c r="AJ129" s="16">
        <f t="shared" si="141"/>
        <v>165000000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3">C128+C126</f>
        <v>66420360605</v>
      </c>
      <c r="D130" s="476">
        <f t="shared" si="143"/>
        <v>0</v>
      </c>
      <c r="E130" s="476">
        <f t="shared" si="143"/>
        <v>28438712545</v>
      </c>
      <c r="F130" s="477">
        <f t="shared" si="143"/>
        <v>94859073150</v>
      </c>
      <c r="G130" s="475">
        <f t="shared" si="143"/>
        <v>40249649569</v>
      </c>
      <c r="H130" s="476">
        <f>H128+H126</f>
        <v>7519036977</v>
      </c>
      <c r="I130" s="477">
        <f t="shared" si="143"/>
        <v>47768686546</v>
      </c>
      <c r="J130" s="475">
        <f t="shared" si="143"/>
        <v>24874935606</v>
      </c>
      <c r="K130" s="476">
        <f t="shared" si="143"/>
        <v>7625615688.1499996</v>
      </c>
      <c r="L130" s="477">
        <f t="shared" si="143"/>
        <v>32500551294.150002</v>
      </c>
      <c r="M130" s="475">
        <f t="shared" si="143"/>
        <v>47090386604</v>
      </c>
      <c r="N130" s="477">
        <f t="shared" si="143"/>
        <v>62358521855.849998</v>
      </c>
      <c r="P130" s="468">
        <f>P128+P126</f>
        <v>0</v>
      </c>
      <c r="Q130" s="469">
        <f>Q128+Q126</f>
        <v>0</v>
      </c>
      <c r="R130" s="9"/>
      <c r="S130" s="688" t="str">
        <f>+IF(MARZO!S130=0,"",MARZO!S130)</f>
        <v>2010200-7</v>
      </c>
      <c r="T130" s="664" t="str">
        <f>+IF(MARZO!T130=0,"",MARZO!T130)</f>
        <v>Vigilancia y Aseo</v>
      </c>
      <c r="U130" s="27">
        <f>+ENERO!U130</f>
        <v>1086000000</v>
      </c>
      <c r="V130" s="15">
        <f>MARZO!V130+ABRIL!AL130</f>
        <v>0</v>
      </c>
      <c r="W130" s="15">
        <f>MARZO!W130+ABRIL!AM130</f>
        <v>0</v>
      </c>
      <c r="X130" s="18">
        <f t="shared" si="135"/>
        <v>1086000000</v>
      </c>
      <c r="Y130" s="19">
        <f>MARZO!AA130</f>
        <v>1027184608</v>
      </c>
      <c r="Z130" s="364">
        <v>0</v>
      </c>
      <c r="AA130" s="18">
        <f t="shared" si="136"/>
        <v>1027184608</v>
      </c>
      <c r="AB130" s="19">
        <f>MARZO!AD130</f>
        <v>254897941</v>
      </c>
      <c r="AC130" s="364">
        <v>83346010</v>
      </c>
      <c r="AD130" s="18">
        <f t="shared" si="137"/>
        <v>338243951</v>
      </c>
      <c r="AE130" s="19">
        <f>MARZO!AG130</f>
        <v>81874384</v>
      </c>
      <c r="AF130" s="364">
        <v>55680420</v>
      </c>
      <c r="AG130" s="18">
        <f t="shared" si="138"/>
        <v>137554804</v>
      </c>
      <c r="AH130" s="19">
        <f t="shared" si="139"/>
        <v>58815392</v>
      </c>
      <c r="AI130" s="15">
        <f t="shared" si="140"/>
        <v>747756049</v>
      </c>
      <c r="AJ130" s="16">
        <f t="shared" si="141"/>
        <v>948445196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+IF(MARZO!S131=0,"",MARZO!S131)</f>
        <v>2010200-8</v>
      </c>
      <c r="T131" s="664" t="str">
        <f>+IF(MARZO!T131=0,"",MARZO!T131)</f>
        <v>Bienestar Social</v>
      </c>
      <c r="U131" s="27">
        <f>+ENERO!U131</f>
        <v>100000000</v>
      </c>
      <c r="V131" s="15">
        <f>MARZO!V131+ABRIL!AL131</f>
        <v>0</v>
      </c>
      <c r="W131" s="15">
        <f>MARZO!W131+ABRIL!AM131</f>
        <v>0</v>
      </c>
      <c r="X131" s="18">
        <f t="shared" si="135"/>
        <v>100000000</v>
      </c>
      <c r="Y131" s="19">
        <f>MARZO!AA131</f>
        <v>0</v>
      </c>
      <c r="Z131" s="364">
        <v>1200000</v>
      </c>
      <c r="AA131" s="18">
        <f t="shared" si="136"/>
        <v>1200000</v>
      </c>
      <c r="AB131" s="19">
        <f>MARZO!AD131</f>
        <v>0</v>
      </c>
      <c r="AC131" s="364">
        <v>0</v>
      </c>
      <c r="AD131" s="18">
        <f t="shared" si="137"/>
        <v>0</v>
      </c>
      <c r="AE131" s="19">
        <f>MARZO!AG131</f>
        <v>0</v>
      </c>
      <c r="AF131" s="364">
        <v>0</v>
      </c>
      <c r="AG131" s="18">
        <f t="shared" si="138"/>
        <v>0</v>
      </c>
      <c r="AH131" s="19">
        <f t="shared" si="139"/>
        <v>98800000</v>
      </c>
      <c r="AI131" s="15">
        <f t="shared" si="140"/>
        <v>100000000</v>
      </c>
      <c r="AJ131" s="16">
        <f t="shared" si="141"/>
        <v>100000000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+IF(MARZO!S132=0,"",MARZO!S132)</f>
        <v>2010200-9</v>
      </c>
      <c r="T132" s="664" t="str">
        <f>+IF(MARZO!T132=0,"",MARZO!T132)</f>
        <v>Capacitación, estimulos, incentivos, programa de calidad</v>
      </c>
      <c r="U132" s="27">
        <f>+ENERO!U132</f>
        <v>50000000</v>
      </c>
      <c r="V132" s="15">
        <f>MARZO!V132+ABRIL!AL132</f>
        <v>0</v>
      </c>
      <c r="W132" s="15">
        <f>MARZO!W132+ABRIL!AM132</f>
        <v>0</v>
      </c>
      <c r="X132" s="18">
        <f t="shared" si="135"/>
        <v>50000000</v>
      </c>
      <c r="Y132" s="19">
        <f>MARZO!AA132</f>
        <v>0</v>
      </c>
      <c r="Z132" s="364">
        <v>0</v>
      </c>
      <c r="AA132" s="18">
        <f t="shared" si="136"/>
        <v>0</v>
      </c>
      <c r="AB132" s="19">
        <f>MARZO!AD132</f>
        <v>0</v>
      </c>
      <c r="AC132" s="364">
        <v>0</v>
      </c>
      <c r="AD132" s="18">
        <f t="shared" si="137"/>
        <v>0</v>
      </c>
      <c r="AE132" s="19">
        <f>MARZO!AG132</f>
        <v>0</v>
      </c>
      <c r="AF132" s="364">
        <v>0</v>
      </c>
      <c r="AG132" s="18">
        <f t="shared" si="138"/>
        <v>0</v>
      </c>
      <c r="AH132" s="19">
        <f t="shared" si="139"/>
        <v>50000000</v>
      </c>
      <c r="AI132" s="15">
        <f t="shared" si="140"/>
        <v>50000000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+IF(MARZO!S133=0,"",MARZO!S133)</f>
        <v>2010200-10</v>
      </c>
      <c r="T133" s="664" t="str">
        <f>+IF(MARZO!T133=0,"",MARZO!T133)</f>
        <v>Pagos otras IPS</v>
      </c>
      <c r="U133" s="27">
        <f>+ENERO!U133</f>
        <v>0</v>
      </c>
      <c r="V133" s="15">
        <f>MARZO!V133+ABRIL!AL133</f>
        <v>0</v>
      </c>
      <c r="W133" s="15">
        <f>MARZO!W133+ABRIL!AM133</f>
        <v>0</v>
      </c>
      <c r="X133" s="18">
        <f t="shared" si="135"/>
        <v>0</v>
      </c>
      <c r="Y133" s="19">
        <f>MARZO!AA133</f>
        <v>0</v>
      </c>
      <c r="Z133" s="364">
        <v>0</v>
      </c>
      <c r="AA133" s="18">
        <f t="shared" si="136"/>
        <v>0</v>
      </c>
      <c r="AB133" s="19">
        <f>MARZO!AD133</f>
        <v>0</v>
      </c>
      <c r="AC133" s="364">
        <v>0</v>
      </c>
      <c r="AD133" s="18">
        <f t="shared" si="137"/>
        <v>0</v>
      </c>
      <c r="AE133" s="19">
        <f>MARZO!AG133</f>
        <v>0</v>
      </c>
      <c r="AF133" s="364">
        <v>0</v>
      </c>
      <c r="AG133" s="1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+IF(MARZO!S134=0,"",MARZO!S134)</f>
        <v>2010200-11</v>
      </c>
      <c r="T134" s="664" t="str">
        <f>+IF(MARZO!T134=0,"",MARZO!T134)</f>
        <v>Gastos financieros</v>
      </c>
      <c r="U134" s="27">
        <f>+ENERO!U134</f>
        <v>16000000</v>
      </c>
      <c r="V134" s="15">
        <f>MARZO!V134+ABRIL!AL134</f>
        <v>0</v>
      </c>
      <c r="W134" s="15">
        <f>MARZO!W134+ABRIL!AM134</f>
        <v>0</v>
      </c>
      <c r="X134" s="18">
        <f t="shared" si="135"/>
        <v>16000000</v>
      </c>
      <c r="Y134" s="19">
        <f>MARZO!AA134</f>
        <v>5330457</v>
      </c>
      <c r="Z134" s="364">
        <v>2288960</v>
      </c>
      <c r="AA134" s="18">
        <f t="shared" si="136"/>
        <v>7619417</v>
      </c>
      <c r="AB134" s="19">
        <f>MARZO!AD134</f>
        <v>5330457</v>
      </c>
      <c r="AC134" s="364">
        <v>2288960</v>
      </c>
      <c r="AD134" s="18">
        <f t="shared" si="137"/>
        <v>7619417</v>
      </c>
      <c r="AE134" s="19">
        <f>MARZO!AG134</f>
        <v>5330457</v>
      </c>
      <c r="AF134" s="364">
        <v>2288960</v>
      </c>
      <c r="AG134" s="18">
        <f t="shared" si="138"/>
        <v>7619417</v>
      </c>
      <c r="AH134" s="19">
        <f t="shared" si="139"/>
        <v>8380583</v>
      </c>
      <c r="AI134" s="15">
        <f t="shared" si="140"/>
        <v>8380583</v>
      </c>
      <c r="AJ134" s="16">
        <f t="shared" si="141"/>
        <v>8380583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+IF(MARZO!S135=0,"",MARZO!S135)</f>
        <v>2010200-12</v>
      </c>
      <c r="T135" s="664" t="str">
        <f>+IF(MARZO!T135=0,"",MARZO!T135)</f>
        <v>Mantenimiento de software</v>
      </c>
      <c r="U135" s="27">
        <f>+ENERO!U135</f>
        <v>350000000</v>
      </c>
      <c r="V135" s="15">
        <f>MARZO!V135+ABRIL!AL135</f>
        <v>0</v>
      </c>
      <c r="W135" s="15">
        <f>MARZO!W135+ABRIL!AM135</f>
        <v>0</v>
      </c>
      <c r="X135" s="18">
        <f t="shared" si="135"/>
        <v>350000000</v>
      </c>
      <c r="Y135" s="19">
        <f>MARZO!AA135</f>
        <v>32073600</v>
      </c>
      <c r="Z135" s="364">
        <v>306425000</v>
      </c>
      <c r="AA135" s="18">
        <f t="shared" si="136"/>
        <v>338498600</v>
      </c>
      <c r="AB135" s="19">
        <f>MARZO!AD135</f>
        <v>32073600</v>
      </c>
      <c r="AC135" s="364">
        <v>0</v>
      </c>
      <c r="AD135" s="18">
        <f t="shared" si="137"/>
        <v>32073600</v>
      </c>
      <c r="AE135" s="19">
        <f>MARZO!AG135</f>
        <v>32073600</v>
      </c>
      <c r="AF135" s="364">
        <v>0</v>
      </c>
      <c r="AG135" s="18">
        <f t="shared" si="138"/>
        <v>32073600</v>
      </c>
      <c r="AH135" s="19">
        <f t="shared" si="139"/>
        <v>11501400</v>
      </c>
      <c r="AI135" s="15">
        <f t="shared" si="140"/>
        <v>317926400</v>
      </c>
      <c r="AJ135" s="16">
        <f t="shared" si="141"/>
        <v>317926400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+IF(MARZO!S136=0,"",MARZO!S136)</f>
        <v>2010200-13</v>
      </c>
      <c r="T136" s="664" t="str">
        <f>+IF(MARZO!T136=0,"",MARZO!T136)</f>
        <v/>
      </c>
      <c r="U136" s="27">
        <f>+ENERO!U136</f>
        <v>0</v>
      </c>
      <c r="V136" s="15">
        <f>MARZO!V136+ABRIL!AL136</f>
        <v>0</v>
      </c>
      <c r="W136" s="15">
        <f>MARZO!W136+ABRIL!AM136</f>
        <v>0</v>
      </c>
      <c r="X136" s="18">
        <f t="shared" si="135"/>
        <v>0</v>
      </c>
      <c r="Y136" s="19">
        <f>MARZO!AA136</f>
        <v>0</v>
      </c>
      <c r="Z136" s="364">
        <v>0</v>
      </c>
      <c r="AA136" s="18">
        <f t="shared" si="136"/>
        <v>0</v>
      </c>
      <c r="AB136" s="19">
        <f>MARZO!AD136</f>
        <v>0</v>
      </c>
      <c r="AC136" s="364">
        <v>0</v>
      </c>
      <c r="AD136" s="18">
        <f t="shared" si="137"/>
        <v>0</v>
      </c>
      <c r="AE136" s="19">
        <f>MARZO!AG136</f>
        <v>0</v>
      </c>
      <c r="AF136" s="364">
        <v>0</v>
      </c>
      <c r="AG136" s="1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+IF(MARZO!S137=0,"",MARZO!S137)</f>
        <v>2010020-14</v>
      </c>
      <c r="T137" s="664" t="str">
        <f>+IF(MARZO!T137=0,"",MARZO!T137)</f>
        <v/>
      </c>
      <c r="U137" s="27">
        <f>+ENERO!U137</f>
        <v>0</v>
      </c>
      <c r="V137" s="15">
        <f>MARZO!V137+ABRIL!AL137</f>
        <v>0</v>
      </c>
      <c r="W137" s="15">
        <f>MARZO!W137+ABRIL!AM137</f>
        <v>0</v>
      </c>
      <c r="X137" s="18">
        <f t="shared" si="135"/>
        <v>0</v>
      </c>
      <c r="Y137" s="19">
        <f>MARZO!AA137</f>
        <v>0</v>
      </c>
      <c r="Z137" s="364">
        <v>0</v>
      </c>
      <c r="AA137" s="18">
        <f t="shared" si="136"/>
        <v>0</v>
      </c>
      <c r="AB137" s="19">
        <f>MARZO!AD137</f>
        <v>0</v>
      </c>
      <c r="AC137" s="364">
        <v>0</v>
      </c>
      <c r="AD137" s="18">
        <f t="shared" si="137"/>
        <v>0</v>
      </c>
      <c r="AE137" s="19">
        <f>MARZO!AG137</f>
        <v>0</v>
      </c>
      <c r="AF137" s="364">
        <v>0</v>
      </c>
      <c r="AG137" s="1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+IF(MARZO!S138=0,"",MARZO!S138)</f>
        <v>2010200-15</v>
      </c>
      <c r="T138" s="664" t="str">
        <f>+IF(MARZO!T138=0,"",MARZO!T138)</f>
        <v/>
      </c>
      <c r="U138" s="27">
        <f>+ENERO!U138</f>
        <v>0</v>
      </c>
      <c r="V138" s="15">
        <f>MARZO!V138+ABRIL!AL138</f>
        <v>0</v>
      </c>
      <c r="W138" s="15">
        <f>MARZO!W138+ABRIL!AM138</f>
        <v>0</v>
      </c>
      <c r="X138" s="18">
        <f t="shared" si="135"/>
        <v>0</v>
      </c>
      <c r="Y138" s="19">
        <f>MARZO!AA138</f>
        <v>0</v>
      </c>
      <c r="Z138" s="364">
        <v>0</v>
      </c>
      <c r="AA138" s="18">
        <f t="shared" si="136"/>
        <v>0</v>
      </c>
      <c r="AB138" s="19">
        <f>MARZO!AD138</f>
        <v>0</v>
      </c>
      <c r="AC138" s="364">
        <v>0</v>
      </c>
      <c r="AD138" s="18">
        <f t="shared" si="137"/>
        <v>0</v>
      </c>
      <c r="AE138" s="19">
        <f>MARZO!AG138</f>
        <v>0</v>
      </c>
      <c r="AF138" s="364">
        <v>0</v>
      </c>
      <c r="AG138" s="1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+IF(MARZO!S139=0,"",MARZO!S139)</f>
        <v>2010299</v>
      </c>
      <c r="T139" s="664" t="str">
        <f>+IF(MARZO!T139=0,"",MARZO!T139)</f>
        <v>Vigencias Anteriores</v>
      </c>
      <c r="U139" s="27">
        <f>+ENERO!U139</f>
        <v>100000000</v>
      </c>
      <c r="V139" s="15">
        <f>MARZO!V139+ABRIL!AL139</f>
        <v>0</v>
      </c>
      <c r="W139" s="15">
        <f>MARZO!W139+ABRIL!AM139</f>
        <v>250000000</v>
      </c>
      <c r="X139" s="18">
        <f t="shared" si="135"/>
        <v>350000000</v>
      </c>
      <c r="Y139" s="19">
        <f>MARZO!AA139</f>
        <v>339717953</v>
      </c>
      <c r="Z139" s="364">
        <v>0</v>
      </c>
      <c r="AA139" s="18">
        <f t="shared" si="136"/>
        <v>339717953</v>
      </c>
      <c r="AB139" s="19">
        <f>MARZO!AD139</f>
        <v>339717953</v>
      </c>
      <c r="AC139" s="364">
        <v>0</v>
      </c>
      <c r="AD139" s="18">
        <f t="shared" si="137"/>
        <v>339717953</v>
      </c>
      <c r="AE139" s="19">
        <f>MARZO!AG139</f>
        <v>339717953</v>
      </c>
      <c r="AF139" s="364">
        <v>0</v>
      </c>
      <c r="AG139" s="18">
        <f t="shared" si="138"/>
        <v>339717953</v>
      </c>
      <c r="AH139" s="19">
        <f t="shared" si="139"/>
        <v>10282047</v>
      </c>
      <c r="AI139" s="15">
        <f t="shared" si="140"/>
        <v>10282047</v>
      </c>
      <c r="AJ139" s="16">
        <f t="shared" si="141"/>
        <v>10282047</v>
      </c>
      <c r="AK139" s="9"/>
      <c r="AL139" s="362">
        <v>0</v>
      </c>
      <c r="AM139" s="365">
        <v>0</v>
      </c>
      <c r="AN139" s="9"/>
      <c r="AO139" s="284"/>
      <c r="AP139" s="284"/>
      <c r="AQ139" s="284"/>
    </row>
    <row r="140" spans="1:52" s="372" customFormat="1" ht="24.95" customHeight="1">
      <c r="A140" s="734"/>
      <c r="B140" s="643"/>
      <c r="N140" s="9"/>
      <c r="R140" s="9"/>
      <c r="S140" s="356" t="str">
        <f>+IF(MARZO!S140=0,"",MARZO!S140)</f>
        <v/>
      </c>
      <c r="T140" s="678" t="str">
        <f>+IF(MARZO!T140=0,"",MARZO!T140)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+IF(MARZO!S141=0,"",MARZO!S141)</f>
        <v>2010300</v>
      </c>
      <c r="T141" s="663" t="str">
        <f>+IF(MARZO!T141=0,"",MARZO!T141)</f>
        <v>Impuestos y Multas</v>
      </c>
      <c r="U141" s="132">
        <f t="shared" ref="U141:AJ141" si="144">U142+U143</f>
        <v>527082264</v>
      </c>
      <c r="V141" s="122">
        <f t="shared" si="144"/>
        <v>0</v>
      </c>
      <c r="W141" s="122">
        <f t="shared" si="144"/>
        <v>0</v>
      </c>
      <c r="X141" s="129">
        <f t="shared" si="144"/>
        <v>527082264</v>
      </c>
      <c r="Y141" s="128">
        <f t="shared" si="144"/>
        <v>111829312</v>
      </c>
      <c r="Z141" s="122">
        <f t="shared" si="144"/>
        <v>17742550</v>
      </c>
      <c r="AA141" s="129">
        <f t="shared" si="144"/>
        <v>129571862</v>
      </c>
      <c r="AB141" s="128">
        <f t="shared" si="144"/>
        <v>111829312</v>
      </c>
      <c r="AC141" s="122">
        <f t="shared" si="144"/>
        <v>17742550</v>
      </c>
      <c r="AD141" s="129">
        <f t="shared" si="144"/>
        <v>129571862</v>
      </c>
      <c r="AE141" s="128">
        <f t="shared" si="144"/>
        <v>99358989</v>
      </c>
      <c r="AF141" s="122">
        <f t="shared" si="144"/>
        <v>30212873</v>
      </c>
      <c r="AG141" s="129">
        <f t="shared" si="144"/>
        <v>129571862</v>
      </c>
      <c r="AH141" s="128">
        <f t="shared" si="144"/>
        <v>397510402</v>
      </c>
      <c r="AI141" s="122">
        <f t="shared" si="144"/>
        <v>397510402</v>
      </c>
      <c r="AJ141" s="130">
        <f t="shared" si="144"/>
        <v>397510402</v>
      </c>
      <c r="AK141" s="10"/>
      <c r="AL141" s="128">
        <f>AL142+AL143</f>
        <v>0</v>
      </c>
      <c r="AM141" s="130">
        <f>AM142+AM143</f>
        <v>0</v>
      </c>
      <c r="AN141" s="9"/>
    </row>
    <row r="142" spans="1:52" s="372" customFormat="1" ht="24.95" customHeight="1">
      <c r="A142" s="734"/>
      <c r="B142" s="643"/>
      <c r="N142" s="9"/>
      <c r="R142" s="9"/>
      <c r="S142" s="688" t="str">
        <f>+IF(MARZO!S142=0,"",MARZO!S142)</f>
        <v>2010300-1</v>
      </c>
      <c r="T142" s="664" t="str">
        <f>+IF(MARZO!T142=0,"",MARZO!T142)</f>
        <v>Impuestos (Predial, Vehiculos, Otros)</v>
      </c>
      <c r="U142" s="27">
        <f>+ENERO!U142</f>
        <v>527082264</v>
      </c>
      <c r="V142" s="15">
        <f>MARZO!V142+ABRIL!AL142</f>
        <v>0</v>
      </c>
      <c r="W142" s="15">
        <f>MARZO!W142+ABRIL!AM142</f>
        <v>0</v>
      </c>
      <c r="X142" s="18">
        <f>SUM(U142:W142)</f>
        <v>527082264</v>
      </c>
      <c r="Y142" s="19">
        <f>MARZO!AA142</f>
        <v>111829312</v>
      </c>
      <c r="Z142" s="364">
        <v>17742550</v>
      </c>
      <c r="AA142" s="18">
        <f>SUM(Y142:Z142)</f>
        <v>129571862</v>
      </c>
      <c r="AB142" s="19">
        <f>MARZO!AD142</f>
        <v>111829312</v>
      </c>
      <c r="AC142" s="364">
        <v>17742550</v>
      </c>
      <c r="AD142" s="18">
        <f>SUM(AB142:AC142)</f>
        <v>129571862</v>
      </c>
      <c r="AE142" s="19">
        <f>MARZO!AG142</f>
        <v>99358989</v>
      </c>
      <c r="AF142" s="364">
        <v>30212873</v>
      </c>
      <c r="AG142" s="18">
        <f>SUM(AE142:AF142)</f>
        <v>129571862</v>
      </c>
      <c r="AH142" s="19">
        <f>X142-AA142</f>
        <v>397510402</v>
      </c>
      <c r="AI142" s="15">
        <f>X142-AD142</f>
        <v>397510402</v>
      </c>
      <c r="AJ142" s="16">
        <f>X142-AG142</f>
        <v>397510402</v>
      </c>
      <c r="AK142" s="9"/>
      <c r="AL142" s="362">
        <v>0</v>
      </c>
      <c r="AM142" s="365">
        <v>0</v>
      </c>
      <c r="AN142" s="9"/>
    </row>
    <row r="143" spans="1:52" s="372" customFormat="1" ht="24.95" customHeight="1">
      <c r="A143" s="734"/>
      <c r="B143" s="643"/>
      <c r="N143" s="9"/>
      <c r="R143" s="9"/>
      <c r="S143" s="688">
        <f>+IF(MARZO!S143=0,"",MARZO!S143)</f>
        <v>2010399</v>
      </c>
      <c r="T143" s="664" t="str">
        <f>+IF(MARZO!T143=0,"",MARZO!T143)</f>
        <v>Vigencias Anteriores</v>
      </c>
      <c r="U143" s="27">
        <f>+ENERO!U143</f>
        <v>0</v>
      </c>
      <c r="V143" s="15">
        <f>MARZO!V143+ABRIL!AL143</f>
        <v>0</v>
      </c>
      <c r="W143" s="15">
        <f>MARZO!W143+ABRIL!AM143</f>
        <v>0</v>
      </c>
      <c r="X143" s="18">
        <f>SUM(U143:W143)</f>
        <v>0</v>
      </c>
      <c r="Y143" s="19">
        <f>MARZO!AA143</f>
        <v>0</v>
      </c>
      <c r="Z143" s="364">
        <v>0</v>
      </c>
      <c r="AA143" s="18">
        <f>SUM(Y143:Z143)</f>
        <v>0</v>
      </c>
      <c r="AB143" s="19">
        <f>MARZO!AD143</f>
        <v>0</v>
      </c>
      <c r="AC143" s="364">
        <v>0</v>
      </c>
      <c r="AD143" s="18">
        <f>SUM(AB143:AC143)</f>
        <v>0</v>
      </c>
      <c r="AE143" s="19">
        <f>MARZO!AG143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+IF(MARZO!S144=0,"",MARZO!S144)</f>
        <v/>
      </c>
      <c r="T144" s="678" t="str">
        <f>+IF(MARZO!T144=0,"",MARZO!T144)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+IF(MARZO!S145=0,"",MARZO!S145)</f>
        <v>2020010</v>
      </c>
      <c r="T145" s="662" t="str">
        <f>+IF(MARZO!T145=0,"",MARZO!T145)</f>
        <v>Gastos de Operación</v>
      </c>
      <c r="U145" s="132">
        <f t="shared" ref="U145:AJ145" si="145">U147+U155</f>
        <v>5923637263</v>
      </c>
      <c r="V145" s="122">
        <f t="shared" si="145"/>
        <v>300000000</v>
      </c>
      <c r="W145" s="122">
        <f t="shared" si="145"/>
        <v>1300000000</v>
      </c>
      <c r="X145" s="129">
        <f t="shared" si="145"/>
        <v>7523637263</v>
      </c>
      <c r="Y145" s="128">
        <f t="shared" si="145"/>
        <v>4954293310</v>
      </c>
      <c r="Z145" s="122">
        <f t="shared" si="145"/>
        <v>283270979</v>
      </c>
      <c r="AA145" s="129">
        <f t="shared" si="145"/>
        <v>5237564289</v>
      </c>
      <c r="AB145" s="128">
        <f t="shared" si="145"/>
        <v>2004544196</v>
      </c>
      <c r="AC145" s="122">
        <f t="shared" si="145"/>
        <v>714374541</v>
      </c>
      <c r="AD145" s="129">
        <f t="shared" si="145"/>
        <v>2718918737</v>
      </c>
      <c r="AE145" s="128">
        <f t="shared" si="145"/>
        <v>993975322</v>
      </c>
      <c r="AF145" s="122">
        <f t="shared" si="145"/>
        <v>533211872</v>
      </c>
      <c r="AG145" s="129">
        <f t="shared" si="145"/>
        <v>1527187194</v>
      </c>
      <c r="AH145" s="128">
        <f t="shared" si="145"/>
        <v>2286072974</v>
      </c>
      <c r="AI145" s="122">
        <f t="shared" si="145"/>
        <v>4804718526</v>
      </c>
      <c r="AJ145" s="130">
        <f t="shared" si="145"/>
        <v>5996450069</v>
      </c>
      <c r="AK145" s="10"/>
      <c r="AL145" s="128">
        <f>AL147+AL155</f>
        <v>0</v>
      </c>
      <c r="AM145" s="130">
        <f>AM147+AM155</f>
        <v>0</v>
      </c>
      <c r="AN145" s="9"/>
    </row>
    <row r="146" spans="1:40" s="372" customFormat="1" ht="24.95" customHeight="1">
      <c r="A146" s="734"/>
      <c r="B146" s="643"/>
      <c r="N146" s="9"/>
      <c r="R146" s="9"/>
      <c r="S146" s="689" t="str">
        <f>+IF(MARZO!S146=0,"",MARZO!S146)</f>
        <v/>
      </c>
      <c r="T146" s="665" t="str">
        <f>+IF(MARZO!T146=0,"",MARZO!T146)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+IF(MARZO!S147=0,"",MARZO!S147)</f>
        <v>2020100</v>
      </c>
      <c r="T147" s="663" t="str">
        <f>+IF(MARZO!T147=0,"",MARZO!T147)</f>
        <v>Adquisición de bienes</v>
      </c>
      <c r="U147" s="132">
        <f t="shared" ref="U147:AJ147" si="146">SUM(U148:U149)+U153</f>
        <v>1211000000</v>
      </c>
      <c r="V147" s="122">
        <f t="shared" si="146"/>
        <v>0</v>
      </c>
      <c r="W147" s="122">
        <f t="shared" si="146"/>
        <v>100000000</v>
      </c>
      <c r="X147" s="129">
        <f t="shared" si="146"/>
        <v>1311000000</v>
      </c>
      <c r="Y147" s="128">
        <f t="shared" si="146"/>
        <v>237489228</v>
      </c>
      <c r="Z147" s="122">
        <f t="shared" si="146"/>
        <v>18795360</v>
      </c>
      <c r="AA147" s="129">
        <f t="shared" si="146"/>
        <v>256284588</v>
      </c>
      <c r="AB147" s="128">
        <f t="shared" si="146"/>
        <v>220345987</v>
      </c>
      <c r="AC147" s="122">
        <f t="shared" si="146"/>
        <v>18795360</v>
      </c>
      <c r="AD147" s="129">
        <f t="shared" si="146"/>
        <v>239141347</v>
      </c>
      <c r="AE147" s="128">
        <f t="shared" si="146"/>
        <v>173907546</v>
      </c>
      <c r="AF147" s="122">
        <f t="shared" si="146"/>
        <v>11758509</v>
      </c>
      <c r="AG147" s="129">
        <f t="shared" si="146"/>
        <v>185666055</v>
      </c>
      <c r="AH147" s="128">
        <f t="shared" si="146"/>
        <v>1054715412</v>
      </c>
      <c r="AI147" s="122">
        <f t="shared" si="146"/>
        <v>1071858653</v>
      </c>
      <c r="AJ147" s="130">
        <f t="shared" si="146"/>
        <v>1125333945</v>
      </c>
      <c r="AK147" s="9"/>
      <c r="AL147" s="128">
        <f>SUM(AL148:AL149)+AL153</f>
        <v>0</v>
      </c>
      <c r="AM147" s="130">
        <f>SUM(AM148:AM149)+AM153</f>
        <v>0</v>
      </c>
      <c r="AN147" s="9"/>
    </row>
    <row r="148" spans="1:40" s="372" customFormat="1" ht="24.95" customHeight="1">
      <c r="A148" s="734"/>
      <c r="B148" s="643"/>
      <c r="N148" s="9"/>
      <c r="R148" s="9"/>
      <c r="S148" s="688">
        <f>+IF(MARZO!S148=0,"",MARZO!S148)</f>
        <v>2020101</v>
      </c>
      <c r="T148" s="664" t="str">
        <f>+IF(MARZO!T148=0,"",MARZO!T148)</f>
        <v>Mantenimiento Hospitalario</v>
      </c>
      <c r="U148" s="27">
        <f>+ENERO!U148</f>
        <v>1000000000</v>
      </c>
      <c r="V148" s="15">
        <f>MARZO!V148+ABRIL!AL148</f>
        <v>0</v>
      </c>
      <c r="W148" s="15">
        <f>MARZO!W148+ABRIL!AM148</f>
        <v>0</v>
      </c>
      <c r="X148" s="18">
        <f>SUM(U148:W148)</f>
        <v>1000000000</v>
      </c>
      <c r="Y148" s="19">
        <f>MARZO!AA148</f>
        <v>57253810</v>
      </c>
      <c r="Z148" s="364">
        <v>0</v>
      </c>
      <c r="AA148" s="18">
        <f>SUM(Y148:Z148)</f>
        <v>57253810</v>
      </c>
      <c r="AB148" s="19">
        <f>MARZO!AD148</f>
        <v>40110569</v>
      </c>
      <c r="AC148" s="364">
        <v>0</v>
      </c>
      <c r="AD148" s="18">
        <f>SUM(AB148:AC148)</f>
        <v>40110569</v>
      </c>
      <c r="AE148" s="19">
        <f>MARZO!AG148</f>
        <v>34874569</v>
      </c>
      <c r="AF148" s="364">
        <v>0</v>
      </c>
      <c r="AG148" s="18">
        <f>SUM(AE148:AF148)</f>
        <v>34874569</v>
      </c>
      <c r="AH148" s="19">
        <f>X148-AA148</f>
        <v>942746190</v>
      </c>
      <c r="AI148" s="15">
        <f>X148-AD148</f>
        <v>959889431</v>
      </c>
      <c r="AJ148" s="16">
        <f>X148-AG148</f>
        <v>965125431</v>
      </c>
      <c r="AK148" s="9"/>
      <c r="AL148" s="362">
        <v>0</v>
      </c>
      <c r="AM148" s="365">
        <v>0</v>
      </c>
      <c r="AN148" s="9"/>
    </row>
    <row r="149" spans="1:40" s="372" customFormat="1" ht="24.95" customHeight="1">
      <c r="A149" s="734"/>
      <c r="B149" s="643"/>
      <c r="N149" s="9"/>
      <c r="R149" s="9"/>
      <c r="S149" s="688">
        <f>+IF(MARZO!S149=0,"",MARZO!S149)</f>
        <v>2020102</v>
      </c>
      <c r="T149" s="664" t="str">
        <f>+IF(MARZO!T149=0,"",MARZO!T149)</f>
        <v>Otros</v>
      </c>
      <c r="U149" s="27">
        <f t="shared" ref="U149:AJ149" si="147">SUM(U150:U152)</f>
        <v>150000000</v>
      </c>
      <c r="V149" s="15">
        <f t="shared" si="147"/>
        <v>0</v>
      </c>
      <c r="W149" s="15">
        <f t="shared" si="147"/>
        <v>0</v>
      </c>
      <c r="X149" s="18">
        <f t="shared" si="147"/>
        <v>150000000</v>
      </c>
      <c r="Y149" s="19">
        <f t="shared" si="147"/>
        <v>41202441</v>
      </c>
      <c r="Z149" s="142">
        <f t="shared" si="147"/>
        <v>18356250</v>
      </c>
      <c r="AA149" s="18">
        <f t="shared" si="147"/>
        <v>59558691</v>
      </c>
      <c r="AB149" s="19">
        <f t="shared" si="147"/>
        <v>41202441</v>
      </c>
      <c r="AC149" s="142">
        <f t="shared" si="147"/>
        <v>18356250</v>
      </c>
      <c r="AD149" s="18">
        <f t="shared" si="147"/>
        <v>59558691</v>
      </c>
      <c r="AE149" s="19">
        <f t="shared" si="147"/>
        <v>0</v>
      </c>
      <c r="AF149" s="142">
        <f t="shared" si="147"/>
        <v>11319399</v>
      </c>
      <c r="AG149" s="18">
        <f t="shared" si="147"/>
        <v>11319399</v>
      </c>
      <c r="AH149" s="19">
        <f t="shared" si="147"/>
        <v>90441309</v>
      </c>
      <c r="AI149" s="15">
        <f t="shared" si="147"/>
        <v>90441309</v>
      </c>
      <c r="AJ149" s="16">
        <f t="shared" si="147"/>
        <v>138680601</v>
      </c>
      <c r="AK149" s="9"/>
      <c r="AL149" s="29">
        <f>SUM(AL150:AL152)</f>
        <v>0</v>
      </c>
      <c r="AM149" s="26">
        <f>SUM(AM150:AM152)</f>
        <v>0</v>
      </c>
      <c r="AN149" s="9"/>
    </row>
    <row r="150" spans="1:40" s="372" customFormat="1" ht="24.95" customHeight="1">
      <c r="A150" s="734"/>
      <c r="B150" s="643"/>
      <c r="N150" s="9"/>
      <c r="R150" s="9"/>
      <c r="S150" s="689" t="str">
        <f>+IF(MARZO!S150=0,"",MARZO!S150)</f>
        <v>2020102-1</v>
      </c>
      <c r="T150" s="664" t="str">
        <f>+IF(MARZO!T150=0,"",MARZO!T150)</f>
        <v>Compra de Equipo e Instr. Mco. y Laborat.</v>
      </c>
      <c r="U150" s="27">
        <f>+ENERO!U150</f>
        <v>150000000</v>
      </c>
      <c r="V150" s="15">
        <f>MARZO!V150+ABRIL!AL150</f>
        <v>0</v>
      </c>
      <c r="W150" s="15">
        <f>MARZO!W150+ABRIL!AM150</f>
        <v>0</v>
      </c>
      <c r="X150" s="18">
        <f>SUM(U150:W150)</f>
        <v>150000000</v>
      </c>
      <c r="Y150" s="19">
        <f>MARZO!AA150</f>
        <v>41202441</v>
      </c>
      <c r="Z150" s="364">
        <v>18356250</v>
      </c>
      <c r="AA150" s="18">
        <f>SUM(Y150:Z150)</f>
        <v>59558691</v>
      </c>
      <c r="AB150" s="19">
        <f>MARZO!AD150</f>
        <v>41202441</v>
      </c>
      <c r="AC150" s="364">
        <v>18356250</v>
      </c>
      <c r="AD150" s="18">
        <f>SUM(AB150:AC150)</f>
        <v>59558691</v>
      </c>
      <c r="AE150" s="19">
        <f>MARZO!AG150</f>
        <v>0</v>
      </c>
      <c r="AF150" s="364">
        <v>11319399</v>
      </c>
      <c r="AG150" s="18">
        <f>SUM(AE150:AF150)</f>
        <v>11319399</v>
      </c>
      <c r="AH150" s="19">
        <f>X150-AA150</f>
        <v>90441309</v>
      </c>
      <c r="AI150" s="15">
        <f>X150-AD150</f>
        <v>90441309</v>
      </c>
      <c r="AJ150" s="16">
        <f>X150-AG150</f>
        <v>138680601</v>
      </c>
      <c r="AK150" s="9"/>
      <c r="AL150" s="362">
        <v>0</v>
      </c>
      <c r="AM150" s="365">
        <v>0</v>
      </c>
      <c r="AN150" s="9"/>
    </row>
    <row r="151" spans="1:40" s="372" customFormat="1" ht="24.95" customHeight="1">
      <c r="A151" s="734"/>
      <c r="B151" s="643"/>
      <c r="N151" s="9"/>
      <c r="R151" s="9"/>
      <c r="S151" s="689" t="str">
        <f>+IF(MARZO!S151=0,"",MARZO!S151)</f>
        <v>2020102-2</v>
      </c>
      <c r="T151" s="664" t="str">
        <f>+IF(MARZO!T151=0,"",MARZO!T151)</f>
        <v>Materiales</v>
      </c>
      <c r="U151" s="27">
        <f>+ENERO!U151</f>
        <v>0</v>
      </c>
      <c r="V151" s="15">
        <f>MARZO!V151+ABRIL!AL151</f>
        <v>0</v>
      </c>
      <c r="W151" s="15">
        <f>MARZO!W151+ABRIL!AM151</f>
        <v>0</v>
      </c>
      <c r="X151" s="18">
        <f>SUM(U151:W151)</f>
        <v>0</v>
      </c>
      <c r="Y151" s="19">
        <f>MARZO!AA151</f>
        <v>0</v>
      </c>
      <c r="Z151" s="364">
        <v>0</v>
      </c>
      <c r="AA151" s="18">
        <f>SUM(Y151:Z151)</f>
        <v>0</v>
      </c>
      <c r="AB151" s="19">
        <f>MARZO!AD151</f>
        <v>0</v>
      </c>
      <c r="AC151" s="364">
        <v>0</v>
      </c>
      <c r="AD151" s="18">
        <f>SUM(AB151:AC151)</f>
        <v>0</v>
      </c>
      <c r="AE151" s="19">
        <f>MARZO!AG151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+IF(MARZO!S152=0,"",MARZO!S152)</f>
        <v>2020102-3</v>
      </c>
      <c r="T152" s="665" t="str">
        <f>+IF(MARZO!T152=0,"",MARZO!T152)</f>
        <v/>
      </c>
      <c r="U152" s="27">
        <f>+ENERO!U152</f>
        <v>0</v>
      </c>
      <c r="V152" s="15">
        <f>MARZO!V152+ABRIL!AL152</f>
        <v>0</v>
      </c>
      <c r="W152" s="15">
        <f>MARZO!W152+ABRIL!AM152</f>
        <v>0</v>
      </c>
      <c r="X152" s="18">
        <f>SUM(U152:W152)</f>
        <v>0</v>
      </c>
      <c r="Y152" s="19">
        <f>MARZO!AA152</f>
        <v>0</v>
      </c>
      <c r="Z152" s="364">
        <v>0</v>
      </c>
      <c r="AA152" s="18">
        <f>SUM(Y152:Z152)</f>
        <v>0</v>
      </c>
      <c r="AB152" s="19">
        <f>MARZO!AD152</f>
        <v>0</v>
      </c>
      <c r="AC152" s="364">
        <v>0</v>
      </c>
      <c r="AD152" s="18">
        <f>SUM(AB152:AC152)</f>
        <v>0</v>
      </c>
      <c r="AE152" s="19">
        <f>MARZO!AG152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+IF(MARZO!S153=0,"",MARZO!S153)</f>
        <v>2020199</v>
      </c>
      <c r="T153" s="664" t="str">
        <f>+IF(MARZO!T153=0,"",MARZO!T153)</f>
        <v>Vigencias Anteriores</v>
      </c>
      <c r="U153" s="27">
        <f>+ENERO!U153</f>
        <v>61000000</v>
      </c>
      <c r="V153" s="15">
        <f>MARZO!V153+ABRIL!AL153</f>
        <v>0</v>
      </c>
      <c r="W153" s="15">
        <f>MARZO!W153+ABRIL!AM153</f>
        <v>100000000</v>
      </c>
      <c r="X153" s="18">
        <f>SUM(U153:W153)</f>
        <v>161000000</v>
      </c>
      <c r="Y153" s="19">
        <f>MARZO!AA153</f>
        <v>139032977</v>
      </c>
      <c r="Z153" s="364">
        <v>439110</v>
      </c>
      <c r="AA153" s="18">
        <f>SUM(Y153:Z153)</f>
        <v>139472087</v>
      </c>
      <c r="AB153" s="19">
        <f>MARZO!AD153</f>
        <v>139032977</v>
      </c>
      <c r="AC153" s="364">
        <v>439110</v>
      </c>
      <c r="AD153" s="18">
        <f>SUM(AB153:AC153)</f>
        <v>139472087</v>
      </c>
      <c r="AE153" s="19">
        <f>MARZO!AG153</f>
        <v>139032977</v>
      </c>
      <c r="AF153" s="364">
        <v>439110</v>
      </c>
      <c r="AG153" s="18">
        <f>SUM(AE153:AF153)</f>
        <v>139472087</v>
      </c>
      <c r="AH153" s="19">
        <f>X153-AA153</f>
        <v>21527913</v>
      </c>
      <c r="AI153" s="15">
        <f>X153-AD153</f>
        <v>21527913</v>
      </c>
      <c r="AJ153" s="16">
        <f>X153-AG153</f>
        <v>21527913</v>
      </c>
      <c r="AK153" s="9"/>
      <c r="AL153" s="362">
        <v>0</v>
      </c>
      <c r="AM153" s="365">
        <v>0</v>
      </c>
      <c r="AN153" s="9"/>
    </row>
    <row r="154" spans="1:40" s="372" customFormat="1" ht="24.95" customHeight="1">
      <c r="A154" s="734"/>
      <c r="B154" s="643"/>
      <c r="N154" s="9"/>
      <c r="R154" s="9"/>
      <c r="S154" s="356" t="str">
        <f>+IF(MARZO!S154=0,"",MARZO!S154)</f>
        <v/>
      </c>
      <c r="T154" s="678" t="str">
        <f>+IF(MARZO!T154=0,"",MARZO!T154)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+IF(MARZO!S155=0,"",MARZO!S155)</f>
        <v>2020200</v>
      </c>
      <c r="T155" s="663" t="str">
        <f>+IF(MARZO!T155=0,"",MARZO!T155)</f>
        <v>Adquisición de Servicios</v>
      </c>
      <c r="U155" s="132">
        <f t="shared" ref="U155:AJ155" si="148">SUM(U156:U157)+U168</f>
        <v>4712637263</v>
      </c>
      <c r="V155" s="122">
        <f t="shared" si="148"/>
        <v>300000000</v>
      </c>
      <c r="W155" s="122">
        <f t="shared" si="148"/>
        <v>1200000000</v>
      </c>
      <c r="X155" s="129">
        <f t="shared" si="148"/>
        <v>6212637263</v>
      </c>
      <c r="Y155" s="128">
        <f t="shared" si="148"/>
        <v>4716804082</v>
      </c>
      <c r="Z155" s="122">
        <f t="shared" si="148"/>
        <v>264475619</v>
      </c>
      <c r="AA155" s="129">
        <f t="shared" si="148"/>
        <v>4981279701</v>
      </c>
      <c r="AB155" s="128">
        <f t="shared" si="148"/>
        <v>1784198209</v>
      </c>
      <c r="AC155" s="122">
        <f t="shared" si="148"/>
        <v>695579181</v>
      </c>
      <c r="AD155" s="129">
        <f t="shared" si="148"/>
        <v>2479777390</v>
      </c>
      <c r="AE155" s="128">
        <f t="shared" si="148"/>
        <v>820067776</v>
      </c>
      <c r="AF155" s="122">
        <f t="shared" si="148"/>
        <v>521453363</v>
      </c>
      <c r="AG155" s="129">
        <f t="shared" si="148"/>
        <v>1341521139</v>
      </c>
      <c r="AH155" s="128">
        <f t="shared" si="148"/>
        <v>1231357562</v>
      </c>
      <c r="AI155" s="122">
        <f t="shared" si="148"/>
        <v>3732859873</v>
      </c>
      <c r="AJ155" s="130">
        <f t="shared" si="148"/>
        <v>4871116124</v>
      </c>
      <c r="AK155" s="9"/>
      <c r="AL155" s="128">
        <f>SUM(AL156:AL157)+AL168</f>
        <v>0</v>
      </c>
      <c r="AM155" s="130">
        <f>SUM(AM156:AM157)+AM168</f>
        <v>0</v>
      </c>
      <c r="AN155" s="9"/>
    </row>
    <row r="156" spans="1:40" s="372" customFormat="1" ht="24.95" customHeight="1">
      <c r="A156" s="734"/>
      <c r="B156" s="643"/>
      <c r="N156" s="9"/>
      <c r="P156" s="9"/>
      <c r="Q156" s="9"/>
      <c r="R156" s="9"/>
      <c r="S156" s="688">
        <f>+IF(MARZO!S156=0,"",MARZO!S156)</f>
        <v>2020201</v>
      </c>
      <c r="T156" s="664" t="str">
        <f>+IF(MARZO!T156=0,"",MARZO!T156)</f>
        <v>Mantenimiento Hospitalario</v>
      </c>
      <c r="U156" s="27">
        <f>+ENERO!U156</f>
        <v>2002025000</v>
      </c>
      <c r="V156" s="15">
        <f>MARZO!V156+ABRIL!AL156</f>
        <v>200000000</v>
      </c>
      <c r="W156" s="15">
        <f>MARZO!W156+ABRIL!AM156</f>
        <v>0</v>
      </c>
      <c r="X156" s="18">
        <f>SUM(U156:W156)</f>
        <v>2202025000</v>
      </c>
      <c r="Y156" s="19">
        <f>MARZO!AA156</f>
        <v>1939703917</v>
      </c>
      <c r="Z156" s="364">
        <v>108194964</v>
      </c>
      <c r="AA156" s="18">
        <f>SUM(Y156:Z156)</f>
        <v>2047898881</v>
      </c>
      <c r="AB156" s="19">
        <f>MARZO!AD156</f>
        <v>597249604</v>
      </c>
      <c r="AC156" s="364">
        <v>270365002</v>
      </c>
      <c r="AD156" s="18">
        <f>SUM(AB156:AC156)</f>
        <v>867614606</v>
      </c>
      <c r="AE156" s="19">
        <f>MARZO!AG156</f>
        <v>285346808</v>
      </c>
      <c r="AF156" s="364">
        <v>339357448</v>
      </c>
      <c r="AG156" s="18">
        <f>SUM(AE156:AF156)</f>
        <v>624704256</v>
      </c>
      <c r="AH156" s="19">
        <f>X156-AA156</f>
        <v>154126119</v>
      </c>
      <c r="AI156" s="15">
        <f>X156-AD156</f>
        <v>1334410394</v>
      </c>
      <c r="AJ156" s="16">
        <f>X156-AG156</f>
        <v>1577320744</v>
      </c>
      <c r="AK156" s="9"/>
      <c r="AL156" s="362">
        <v>0</v>
      </c>
      <c r="AM156" s="365">
        <v>0</v>
      </c>
      <c r="AN156" s="9"/>
    </row>
    <row r="157" spans="1:40" s="372" customFormat="1" ht="24.95" customHeight="1">
      <c r="A157" s="734"/>
      <c r="B157" s="643"/>
      <c r="N157" s="9"/>
      <c r="P157" s="9"/>
      <c r="Q157" s="9"/>
      <c r="R157" s="9"/>
      <c r="S157" s="688">
        <f>+IF(MARZO!S157=0,"",MARZO!S157)</f>
        <v>2020202</v>
      </c>
      <c r="T157" s="664" t="str">
        <f>+IF(MARZO!T157=0,"",MARZO!T157)</f>
        <v>Otros</v>
      </c>
      <c r="U157" s="27">
        <f t="shared" ref="U157:AJ157" si="149">SUM(U158:U167)</f>
        <v>2609712263</v>
      </c>
      <c r="V157" s="15">
        <f t="shared" si="149"/>
        <v>0</v>
      </c>
      <c r="W157" s="15">
        <f t="shared" si="149"/>
        <v>500000000</v>
      </c>
      <c r="X157" s="18">
        <f t="shared" si="149"/>
        <v>3109712263</v>
      </c>
      <c r="Y157" s="19">
        <f t="shared" si="149"/>
        <v>2395954049</v>
      </c>
      <c r="Z157" s="142">
        <f t="shared" si="149"/>
        <v>17227966</v>
      </c>
      <c r="AA157" s="18">
        <f t="shared" si="149"/>
        <v>2413182015</v>
      </c>
      <c r="AB157" s="19">
        <f t="shared" si="149"/>
        <v>805802489</v>
      </c>
      <c r="AC157" s="142">
        <f t="shared" si="149"/>
        <v>286161490</v>
      </c>
      <c r="AD157" s="18">
        <f t="shared" si="149"/>
        <v>1091963979</v>
      </c>
      <c r="AE157" s="19">
        <f t="shared" si="149"/>
        <v>153574852</v>
      </c>
      <c r="AF157" s="142">
        <f t="shared" si="149"/>
        <v>43043226</v>
      </c>
      <c r="AG157" s="18">
        <f t="shared" si="149"/>
        <v>196618078</v>
      </c>
      <c r="AH157" s="19">
        <f t="shared" si="149"/>
        <v>696530248</v>
      </c>
      <c r="AI157" s="15">
        <f t="shared" si="149"/>
        <v>2017748284</v>
      </c>
      <c r="AJ157" s="16">
        <f t="shared" si="149"/>
        <v>2913094185</v>
      </c>
      <c r="AK157" s="10"/>
      <c r="AL157" s="16">
        <f>SUM(AL158:AL167)</f>
        <v>0</v>
      </c>
      <c r="AM157" s="16">
        <f>SUM(AM158:AM167)</f>
        <v>0</v>
      </c>
      <c r="AN157" s="9"/>
    </row>
    <row r="158" spans="1:40" s="372" customFormat="1" ht="24.95" customHeight="1">
      <c r="A158" s="734"/>
      <c r="B158" s="643"/>
      <c r="N158" s="9"/>
      <c r="P158" s="9"/>
      <c r="Q158" s="9"/>
      <c r="R158" s="9"/>
      <c r="S158" s="689" t="str">
        <f>+IF(MARZO!S158=0,"",MARZO!S158)</f>
        <v>2020202-1</v>
      </c>
      <c r="T158" s="665" t="str">
        <f>+IF(MARZO!T158=0,"",MARZO!T158)</f>
        <v>Seguros</v>
      </c>
      <c r="U158" s="27">
        <f>+ENERO!U158</f>
        <v>200000000</v>
      </c>
      <c r="V158" s="15">
        <f>MARZO!V158+ABRIL!AL158</f>
        <v>0</v>
      </c>
      <c r="W158" s="15">
        <f>MARZO!W158+ABRIL!AM158</f>
        <v>0</v>
      </c>
      <c r="X158" s="18">
        <f t="shared" ref="X158:X168" si="150">SUM(U158:W158)</f>
        <v>200000000</v>
      </c>
      <c r="Y158" s="19">
        <f>MARZO!AA158</f>
        <v>21558821</v>
      </c>
      <c r="Z158" s="364">
        <v>0</v>
      </c>
      <c r="AA158" s="18">
        <f t="shared" ref="AA158:AA168" si="151">SUM(Y158:Z158)</f>
        <v>21558821</v>
      </c>
      <c r="AB158" s="19">
        <f>MARZO!AD158</f>
        <v>21558821</v>
      </c>
      <c r="AC158" s="364">
        <v>0</v>
      </c>
      <c r="AD158" s="18">
        <f t="shared" ref="AD158:AD168" si="152">SUM(AB158:AC158)</f>
        <v>21558821</v>
      </c>
      <c r="AE158" s="19">
        <f>MARZO!AG158</f>
        <v>21558821</v>
      </c>
      <c r="AF158" s="364">
        <v>0</v>
      </c>
      <c r="AG158" s="18">
        <f t="shared" ref="AG158:AG168" si="153">SUM(AE158:AF158)</f>
        <v>21558821</v>
      </c>
      <c r="AH158" s="19">
        <f t="shared" ref="AH158:AH168" si="154">X158-AA158</f>
        <v>178441179</v>
      </c>
      <c r="AI158" s="15">
        <f t="shared" ref="AI158:AI168" si="155">X158-AD158</f>
        <v>178441179</v>
      </c>
      <c r="AJ158" s="16">
        <f t="shared" ref="AJ158:AJ168" si="156">X158-AG158</f>
        <v>178441179</v>
      </c>
      <c r="AK158" s="9"/>
      <c r="AL158" s="362">
        <v>0</v>
      </c>
      <c r="AM158" s="365">
        <v>0</v>
      </c>
      <c r="AN158" s="9"/>
    </row>
    <row r="159" spans="1:40" s="372" customFormat="1" ht="24.95" customHeight="1">
      <c r="A159" s="734"/>
      <c r="B159" s="643"/>
      <c r="N159" s="9"/>
      <c r="P159" s="9"/>
      <c r="Q159" s="9"/>
      <c r="R159" s="9"/>
      <c r="S159" s="689" t="str">
        <f>+IF(MARZO!S159=0,"",MARZO!S159)</f>
        <v>2020202-2</v>
      </c>
      <c r="T159" s="665" t="str">
        <f>+IF(MARZO!T159=0,"",MARZO!T159)</f>
        <v>Impresos y Publicaciones</v>
      </c>
      <c r="U159" s="27">
        <f>+ENERO!U159</f>
        <v>40000000</v>
      </c>
      <c r="V159" s="15">
        <f>MARZO!V159+ABRIL!AL159</f>
        <v>0</v>
      </c>
      <c r="W159" s="15">
        <f>MARZO!W159+ABRIL!AM159</f>
        <v>0</v>
      </c>
      <c r="X159" s="18">
        <f t="shared" si="150"/>
        <v>40000000</v>
      </c>
      <c r="Y159" s="19">
        <f>MARZO!AA159</f>
        <v>6596018</v>
      </c>
      <c r="Z159" s="364">
        <v>3218147</v>
      </c>
      <c r="AA159" s="18">
        <f t="shared" si="151"/>
        <v>9814165</v>
      </c>
      <c r="AB159" s="19">
        <f>MARZO!AD159</f>
        <v>6596018</v>
      </c>
      <c r="AC159" s="364">
        <v>3218147</v>
      </c>
      <c r="AD159" s="18">
        <f t="shared" si="152"/>
        <v>9814165</v>
      </c>
      <c r="AE159" s="19">
        <f>MARZO!AG159</f>
        <v>5659488</v>
      </c>
      <c r="AF159" s="364">
        <v>539070</v>
      </c>
      <c r="AG159" s="18">
        <f t="shared" si="153"/>
        <v>6198558</v>
      </c>
      <c r="AH159" s="19">
        <f t="shared" si="154"/>
        <v>30185835</v>
      </c>
      <c r="AI159" s="15">
        <f t="shared" si="155"/>
        <v>30185835</v>
      </c>
      <c r="AJ159" s="16">
        <f t="shared" si="156"/>
        <v>33801442</v>
      </c>
      <c r="AK159" s="9"/>
      <c r="AL159" s="362">
        <v>0</v>
      </c>
      <c r="AM159" s="365">
        <v>0</v>
      </c>
      <c r="AN159" s="9"/>
    </row>
    <row r="160" spans="1:40" s="372" customFormat="1" ht="24.95" customHeight="1">
      <c r="A160" s="734"/>
      <c r="B160" s="643"/>
      <c r="N160" s="9"/>
      <c r="P160" s="9"/>
      <c r="Q160" s="9"/>
      <c r="R160" s="9"/>
      <c r="S160" s="689" t="str">
        <f>+IF(MARZO!S160=0,"",MARZO!S160)</f>
        <v>2020202-3</v>
      </c>
      <c r="T160" s="665" t="str">
        <f>+IF(MARZO!T160=0,"",MARZO!T160)</f>
        <v>Pago a otras IPS</v>
      </c>
      <c r="U160" s="27">
        <f>+ENERO!U160</f>
        <v>0</v>
      </c>
      <c r="V160" s="15">
        <f>MARZO!V160+ABRIL!AL160</f>
        <v>0</v>
      </c>
      <c r="W160" s="15">
        <f>MARZO!W160+ABRIL!AM160</f>
        <v>0</v>
      </c>
      <c r="X160" s="18">
        <f t="shared" si="150"/>
        <v>0</v>
      </c>
      <c r="Y160" s="19">
        <f>MARZO!AA160</f>
        <v>0</v>
      </c>
      <c r="Z160" s="364">
        <v>0</v>
      </c>
      <c r="AA160" s="18">
        <f t="shared" si="151"/>
        <v>0</v>
      </c>
      <c r="AB160" s="19">
        <f>MARZO!AD160</f>
        <v>0</v>
      </c>
      <c r="AC160" s="364">
        <v>0</v>
      </c>
      <c r="AD160" s="18">
        <f t="shared" si="152"/>
        <v>0</v>
      </c>
      <c r="AE160" s="19">
        <f>MARZO!AG160</f>
        <v>0</v>
      </c>
      <c r="AF160" s="364">
        <v>0</v>
      </c>
      <c r="AG160" s="18">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N161" s="9"/>
      <c r="P161" s="9"/>
      <c r="Q161" s="9"/>
      <c r="R161" s="9"/>
      <c r="S161" s="689" t="str">
        <f>+IF(MARZO!S161=0,"",MARZO!S161)</f>
        <v>2020202-4</v>
      </c>
      <c r="T161" s="665" t="str">
        <f>+IF(MARZO!T161=0,"",MARZO!T161)</f>
        <v>Comunicaciones y Transportes</v>
      </c>
      <c r="U161" s="27">
        <f>+ENERO!U161</f>
        <v>5000000</v>
      </c>
      <c r="V161" s="15">
        <f>MARZO!V161+ABRIL!AL161</f>
        <v>0</v>
      </c>
      <c r="W161" s="15">
        <f>MARZO!W161+ABRIL!AM161</f>
        <v>0</v>
      </c>
      <c r="X161" s="18">
        <f t="shared" si="150"/>
        <v>5000000</v>
      </c>
      <c r="Y161" s="19">
        <f>MARZO!AA161</f>
        <v>0</v>
      </c>
      <c r="Z161" s="364">
        <v>0</v>
      </c>
      <c r="AA161" s="18">
        <f t="shared" si="151"/>
        <v>0</v>
      </c>
      <c r="AB161" s="19">
        <f>MARZO!AD161</f>
        <v>0</v>
      </c>
      <c r="AC161" s="364">
        <v>0</v>
      </c>
      <c r="AD161" s="18">
        <f t="shared" si="152"/>
        <v>0</v>
      </c>
      <c r="AE161" s="19">
        <f>MARZO!AG161</f>
        <v>0</v>
      </c>
      <c r="AF161" s="364">
        <v>0</v>
      </c>
      <c r="AG161" s="18">
        <f t="shared" si="153"/>
        <v>0</v>
      </c>
      <c r="AH161" s="19">
        <f t="shared" si="154"/>
        <v>5000000</v>
      </c>
      <c r="AI161" s="15">
        <f t="shared" si="155"/>
        <v>5000000</v>
      </c>
      <c r="AJ161" s="16">
        <f t="shared" si="156"/>
        <v>5000000</v>
      </c>
      <c r="AK161" s="9"/>
      <c r="AL161" s="362">
        <v>0</v>
      </c>
      <c r="AM161" s="365">
        <v>0</v>
      </c>
      <c r="AN161" s="9"/>
    </row>
    <row r="162" spans="1:40" s="372" customFormat="1" ht="24.95" customHeight="1">
      <c r="A162" s="734"/>
      <c r="B162" s="643"/>
      <c r="N162" s="9"/>
      <c r="P162" s="9"/>
      <c r="Q162" s="9"/>
      <c r="R162" s="9"/>
      <c r="S162" s="689" t="str">
        <f>+IF(MARZO!S162=0,"",MARZO!S162)</f>
        <v>2020202-5</v>
      </c>
      <c r="T162" s="665" t="str">
        <f>+IF(MARZO!T162=0,"",MARZO!T162)</f>
        <v>Viáticos y Gastos de Viaje</v>
      </c>
      <c r="U162" s="27">
        <f>+ENERO!U162</f>
        <v>5000000</v>
      </c>
      <c r="V162" s="15">
        <f>MARZO!V162+ABRIL!AL162</f>
        <v>0</v>
      </c>
      <c r="W162" s="15">
        <f>MARZO!W162+ABRIL!AM162</f>
        <v>0</v>
      </c>
      <c r="X162" s="18">
        <f t="shared" si="150"/>
        <v>5000000</v>
      </c>
      <c r="Y162" s="19">
        <f>MARZO!AA162</f>
        <v>712500</v>
      </c>
      <c r="Z162" s="364">
        <v>0</v>
      </c>
      <c r="AA162" s="18">
        <f t="shared" si="151"/>
        <v>712500</v>
      </c>
      <c r="AB162" s="19">
        <f>MARZO!AD162</f>
        <v>712500</v>
      </c>
      <c r="AC162" s="364">
        <v>0</v>
      </c>
      <c r="AD162" s="18">
        <f t="shared" si="152"/>
        <v>712500</v>
      </c>
      <c r="AE162" s="19">
        <f>MARZO!AG162</f>
        <v>712500</v>
      </c>
      <c r="AF162" s="364">
        <v>0</v>
      </c>
      <c r="AG162" s="18">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N163" s="9"/>
      <c r="P163" s="9"/>
      <c r="Q163" s="9"/>
      <c r="R163" s="9"/>
      <c r="S163" s="689" t="str">
        <f>+IF(MARZO!S163=0,"",MARZO!S163)</f>
        <v>2020202-6</v>
      </c>
      <c r="T163" s="665" t="str">
        <f>+IF(MARZO!T163=0,"",MARZO!T163)</f>
        <v>Plan Integral de Manejo de Residuos Sólidos Hospitalarios</v>
      </c>
      <c r="U163" s="27">
        <f>+ENERO!U163</f>
        <v>300000000</v>
      </c>
      <c r="V163" s="15">
        <f>MARZO!V163+ABRIL!AL163</f>
        <v>0</v>
      </c>
      <c r="W163" s="15">
        <f>MARZO!W163+ABRIL!AM163</f>
        <v>0</v>
      </c>
      <c r="X163" s="18">
        <f t="shared" si="150"/>
        <v>300000000</v>
      </c>
      <c r="Y163" s="19">
        <f>MARZO!AA163</f>
        <v>146919447</v>
      </c>
      <c r="Z163" s="364">
        <v>7087319</v>
      </c>
      <c r="AA163" s="18">
        <f t="shared" si="151"/>
        <v>154006766</v>
      </c>
      <c r="AB163" s="19">
        <f>MARZO!AD163</f>
        <v>49458326</v>
      </c>
      <c r="AC163" s="364">
        <v>21798739</v>
      </c>
      <c r="AD163" s="18">
        <f t="shared" si="152"/>
        <v>71257065</v>
      </c>
      <c r="AE163" s="19">
        <f>MARZO!AG163</f>
        <v>6288079</v>
      </c>
      <c r="AF163" s="364">
        <v>30536469</v>
      </c>
      <c r="AG163" s="18">
        <f t="shared" si="153"/>
        <v>36824548</v>
      </c>
      <c r="AH163" s="19">
        <f t="shared" si="154"/>
        <v>145993234</v>
      </c>
      <c r="AI163" s="15">
        <f t="shared" si="155"/>
        <v>228742935</v>
      </c>
      <c r="AJ163" s="16">
        <f t="shared" si="156"/>
        <v>263175452</v>
      </c>
      <c r="AK163" s="9"/>
      <c r="AL163" s="362">
        <v>0</v>
      </c>
      <c r="AM163" s="365">
        <v>0</v>
      </c>
      <c r="AN163" s="9"/>
    </row>
    <row r="164" spans="1:40" s="372" customFormat="1" ht="24.95" customHeight="1">
      <c r="A164" s="734"/>
      <c r="B164" s="643"/>
      <c r="N164" s="9"/>
      <c r="P164" s="9"/>
      <c r="Q164" s="9"/>
      <c r="R164" s="9"/>
      <c r="S164" s="689" t="str">
        <f>+IF(MARZO!S164=0,"",MARZO!S164)</f>
        <v>2020202-7</v>
      </c>
      <c r="T164" s="665" t="str">
        <f>+IF(MARZO!T164=0,"",MARZO!T164)</f>
        <v>Servicios de Laboratorio contratados con terceros</v>
      </c>
      <c r="U164" s="27">
        <f>+ENERO!U164</f>
        <v>778712263</v>
      </c>
      <c r="V164" s="15">
        <f>MARZO!V164+ABRIL!AL164</f>
        <v>0</v>
      </c>
      <c r="W164" s="15">
        <f>MARZO!W164+ABRIL!AM164</f>
        <v>0</v>
      </c>
      <c r="X164" s="18">
        <f t="shared" si="150"/>
        <v>778712263</v>
      </c>
      <c r="Y164" s="19">
        <f>MARZO!AA164</f>
        <v>675167263</v>
      </c>
      <c r="Z164" s="364">
        <v>6922500</v>
      </c>
      <c r="AA164" s="18">
        <f t="shared" si="151"/>
        <v>682089763</v>
      </c>
      <c r="AB164" s="19">
        <f>MARZO!AD164</f>
        <v>419852018</v>
      </c>
      <c r="AC164" s="364">
        <v>90729710</v>
      </c>
      <c r="AD164" s="18">
        <f t="shared" si="152"/>
        <v>510581728</v>
      </c>
      <c r="AE164" s="19">
        <f>MARZO!AG164</f>
        <v>38119200</v>
      </c>
      <c r="AF164" s="364">
        <v>0</v>
      </c>
      <c r="AG164" s="18">
        <f t="shared" si="153"/>
        <v>38119200</v>
      </c>
      <c r="AH164" s="19">
        <f t="shared" si="154"/>
        <v>96622500</v>
      </c>
      <c r="AI164" s="15">
        <f t="shared" si="155"/>
        <v>268130535</v>
      </c>
      <c r="AJ164" s="16">
        <f t="shared" si="156"/>
        <v>740593063</v>
      </c>
      <c r="AK164" s="9"/>
      <c r="AL164" s="362">
        <v>0</v>
      </c>
      <c r="AM164" s="365">
        <v>0</v>
      </c>
      <c r="AN164" s="9"/>
    </row>
    <row r="165" spans="1:40" s="372" customFormat="1" ht="24.95" customHeight="1">
      <c r="A165" s="734"/>
      <c r="B165" s="643"/>
      <c r="N165" s="9"/>
      <c r="P165" s="9"/>
      <c r="Q165" s="9"/>
      <c r="R165" s="9"/>
      <c r="S165" s="689" t="str">
        <f>+IF(MARZO!S165=0,"",MARZO!S165)</f>
        <v>2020202-8</v>
      </c>
      <c r="T165" s="665" t="str">
        <f>+IF(MARZO!T165=0,"",MARZO!T165)</f>
        <v>Servicios de Rayos X e Imaginología contratado con terceros</v>
      </c>
      <c r="U165" s="27">
        <f>+ENERO!U165</f>
        <v>1116000000</v>
      </c>
      <c r="V165" s="15">
        <f>MARZO!V165+ABRIL!AL165</f>
        <v>0</v>
      </c>
      <c r="W165" s="15">
        <f>MARZO!W165+ABRIL!AM165</f>
        <v>500000000</v>
      </c>
      <c r="X165" s="18">
        <f t="shared" si="150"/>
        <v>1616000000</v>
      </c>
      <c r="Y165" s="19">
        <f>MARZO!AA165</f>
        <v>1545000000</v>
      </c>
      <c r="Z165" s="364">
        <v>0</v>
      </c>
      <c r="AA165" s="18">
        <f t="shared" si="151"/>
        <v>1545000000</v>
      </c>
      <c r="AB165" s="19">
        <f>MARZO!AD165</f>
        <v>307624806</v>
      </c>
      <c r="AC165" s="364">
        <v>170414894</v>
      </c>
      <c r="AD165" s="18">
        <f t="shared" si="152"/>
        <v>478039700</v>
      </c>
      <c r="AE165" s="19">
        <f>MARZO!AG165</f>
        <v>81236764</v>
      </c>
      <c r="AF165" s="364">
        <v>11967687</v>
      </c>
      <c r="AG165" s="18">
        <f t="shared" si="153"/>
        <v>93204451</v>
      </c>
      <c r="AH165" s="19">
        <f t="shared" si="154"/>
        <v>71000000</v>
      </c>
      <c r="AI165" s="15">
        <f t="shared" si="155"/>
        <v>1137960300</v>
      </c>
      <c r="AJ165" s="16">
        <f t="shared" si="156"/>
        <v>1522795549</v>
      </c>
      <c r="AK165" s="9"/>
      <c r="AL165" s="362">
        <v>0</v>
      </c>
      <c r="AM165" s="365">
        <v>0</v>
      </c>
      <c r="AN165" s="9"/>
    </row>
    <row r="166" spans="1:40" s="372" customFormat="1" ht="24.95" customHeight="1">
      <c r="A166" s="734"/>
      <c r="B166" s="643"/>
      <c r="N166" s="9"/>
      <c r="P166" s="9"/>
      <c r="Q166" s="9"/>
      <c r="R166" s="9"/>
      <c r="S166" s="689" t="str">
        <f>+IF(MARZO!S166=0,"",MARZO!S166)</f>
        <v>2020202-9</v>
      </c>
      <c r="T166" s="665" t="str">
        <f>+IF(MARZO!T166=0,"",MARZO!T166)</f>
        <v>Arrendamientos</v>
      </c>
      <c r="U166" s="27">
        <f>+ENERO!U166</f>
        <v>165000000</v>
      </c>
      <c r="V166" s="15">
        <f>MARZO!V166+ABRIL!AL166</f>
        <v>0</v>
      </c>
      <c r="W166" s="15">
        <f>MARZO!W166+ABRIL!AM166</f>
        <v>0</v>
      </c>
      <c r="X166" s="18">
        <f t="shared" si="150"/>
        <v>165000000</v>
      </c>
      <c r="Y166" s="19">
        <f>MARZO!AA166</f>
        <v>0</v>
      </c>
      <c r="Z166" s="364">
        <v>0</v>
      </c>
      <c r="AA166" s="18">
        <f t="shared" si="151"/>
        <v>0</v>
      </c>
      <c r="AB166" s="19">
        <f>MARZO!AD166</f>
        <v>0</v>
      </c>
      <c r="AC166" s="364">
        <v>0</v>
      </c>
      <c r="AD166" s="18">
        <f t="shared" si="152"/>
        <v>0</v>
      </c>
      <c r="AE166" s="19">
        <f>MARZO!AG166</f>
        <v>0</v>
      </c>
      <c r="AF166" s="364">
        <v>0</v>
      </c>
      <c r="AG166" s="18">
        <f t="shared" si="153"/>
        <v>0</v>
      </c>
      <c r="AH166" s="19">
        <f t="shared" si="154"/>
        <v>165000000</v>
      </c>
      <c r="AI166" s="15">
        <f t="shared" si="155"/>
        <v>165000000</v>
      </c>
      <c r="AJ166" s="16">
        <f t="shared" si="156"/>
        <v>165000000</v>
      </c>
      <c r="AK166" s="9"/>
      <c r="AL166" s="362">
        <v>0</v>
      </c>
      <c r="AM166" s="365">
        <v>0</v>
      </c>
      <c r="AN166" s="9"/>
    </row>
    <row r="167" spans="1:40" s="372" customFormat="1" ht="24.95" customHeight="1">
      <c r="A167" s="734"/>
      <c r="B167" s="643"/>
      <c r="N167" s="9"/>
      <c r="P167" s="9"/>
      <c r="Q167" s="9"/>
      <c r="R167" s="9"/>
      <c r="S167" s="689" t="str">
        <f>+IF(MARZO!S167=0,"",MARZO!S167)</f>
        <v>2020202-10</v>
      </c>
      <c r="T167" s="665" t="str">
        <f>+IF(MARZO!T167=0,"",MARZO!T167)</f>
        <v>Servicios Públicos</v>
      </c>
      <c r="U167" s="27">
        <f>+ENERO!U167</f>
        <v>0</v>
      </c>
      <c r="V167" s="15">
        <f>MARZO!V167+ABRIL!AL167</f>
        <v>0</v>
      </c>
      <c r="W167" s="15">
        <f>MARZO!W167+ABRIL!AM167</f>
        <v>0</v>
      </c>
      <c r="X167" s="18">
        <f>SUM(U167:W167)</f>
        <v>0</v>
      </c>
      <c r="Y167" s="19">
        <f>MARZO!AA167</f>
        <v>0</v>
      </c>
      <c r="Z167" s="364">
        <v>0</v>
      </c>
      <c r="AA167" s="18">
        <f>SUM(Y167:Z167)</f>
        <v>0</v>
      </c>
      <c r="AB167" s="19">
        <f>MARZO!AD167</f>
        <v>0</v>
      </c>
      <c r="AC167" s="364">
        <v>0</v>
      </c>
      <c r="AD167" s="18">
        <f>SUM(AB167:AC167)</f>
        <v>0</v>
      </c>
      <c r="AE167" s="19">
        <f>MARZO!AG167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+IF(MARZO!S168=0,"",MARZO!S168)</f>
        <v>2020299</v>
      </c>
      <c r="T168" s="664" t="str">
        <f>+IF(MARZO!T168=0,"",MARZO!T168)</f>
        <v>Vigencias Anteriores</v>
      </c>
      <c r="U168" s="27">
        <f>+ENERO!U168</f>
        <v>100900000</v>
      </c>
      <c r="V168" s="15">
        <f>MARZO!V168+ABRIL!AL168</f>
        <v>100000000</v>
      </c>
      <c r="W168" s="15">
        <f>MARZO!W168+ABRIL!AM168</f>
        <v>700000000</v>
      </c>
      <c r="X168" s="18">
        <f t="shared" si="150"/>
        <v>900900000</v>
      </c>
      <c r="Y168" s="19">
        <f>MARZO!AA168</f>
        <v>381146116</v>
      </c>
      <c r="Z168" s="364">
        <v>139052689</v>
      </c>
      <c r="AA168" s="18">
        <f t="shared" si="151"/>
        <v>520198805</v>
      </c>
      <c r="AB168" s="19">
        <f>MARZO!AD168</f>
        <v>381146116</v>
      </c>
      <c r="AC168" s="364">
        <v>139052689</v>
      </c>
      <c r="AD168" s="18">
        <f t="shared" si="152"/>
        <v>520198805</v>
      </c>
      <c r="AE168" s="19">
        <f>MARZO!AG168</f>
        <v>381146116</v>
      </c>
      <c r="AF168" s="364">
        <v>139052689</v>
      </c>
      <c r="AG168" s="18">
        <f t="shared" si="153"/>
        <v>520198805</v>
      </c>
      <c r="AH168" s="19">
        <f t="shared" si="154"/>
        <v>380701195</v>
      </c>
      <c r="AI168" s="15">
        <f t="shared" si="155"/>
        <v>380701195</v>
      </c>
      <c r="AJ168" s="16">
        <f t="shared" si="156"/>
        <v>380701195</v>
      </c>
      <c r="AK168" s="9"/>
      <c r="AL168" s="362">
        <v>0</v>
      </c>
      <c r="AM168" s="365">
        <v>0</v>
      </c>
      <c r="AN168" s="9"/>
    </row>
    <row r="169" spans="1:40" s="372" customFormat="1" ht="24.95" customHeight="1">
      <c r="A169" s="734"/>
      <c r="B169" s="643"/>
      <c r="N169" s="9"/>
      <c r="P169" s="9"/>
      <c r="Q169" s="9"/>
      <c r="R169" s="9"/>
      <c r="S169" s="356" t="str">
        <f>+IF(MARZO!S169=0,"",MARZO!S169)</f>
        <v/>
      </c>
      <c r="T169" s="678" t="str">
        <f>+IF(MARZO!T169=0,"",MARZO!T169)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+IF(MARZO!S170=0,"",MARZO!S170)</f>
        <v>3000000</v>
      </c>
      <c r="T170" s="668" t="str">
        <f>+IF(MARZO!T170=0,"",MARZO!T170)</f>
        <v>TRANSFERENCIAS CORRIENTES</v>
      </c>
      <c r="U170" s="460">
        <f t="shared" ref="U170:AJ170" si="157">U172+U176+U185</f>
        <v>1240354144</v>
      </c>
      <c r="V170" s="461">
        <f t="shared" si="157"/>
        <v>20000000</v>
      </c>
      <c r="W170" s="461">
        <f t="shared" si="157"/>
        <v>0</v>
      </c>
      <c r="X170" s="462">
        <f t="shared" si="157"/>
        <v>1260354144</v>
      </c>
      <c r="Y170" s="369">
        <f t="shared" si="157"/>
        <v>294949251</v>
      </c>
      <c r="Z170" s="461">
        <f t="shared" si="157"/>
        <v>61236032</v>
      </c>
      <c r="AA170" s="462">
        <f t="shared" si="157"/>
        <v>356185283</v>
      </c>
      <c r="AB170" s="369">
        <f t="shared" si="157"/>
        <v>288870149</v>
      </c>
      <c r="AC170" s="461">
        <f t="shared" si="157"/>
        <v>67315134</v>
      </c>
      <c r="AD170" s="462">
        <f t="shared" si="157"/>
        <v>356185283</v>
      </c>
      <c r="AE170" s="369">
        <f t="shared" si="157"/>
        <v>288870149</v>
      </c>
      <c r="AF170" s="461">
        <f t="shared" si="157"/>
        <v>67315134</v>
      </c>
      <c r="AG170" s="462">
        <f t="shared" si="157"/>
        <v>356185283</v>
      </c>
      <c r="AH170" s="369">
        <f t="shared" si="157"/>
        <v>904168861</v>
      </c>
      <c r="AI170" s="461">
        <f t="shared" si="157"/>
        <v>904168861</v>
      </c>
      <c r="AJ170" s="370">
        <f t="shared" si="157"/>
        <v>904168861</v>
      </c>
      <c r="AK170" s="9"/>
      <c r="AL170" s="128">
        <f>AL172+AL176+AL185</f>
        <v>0</v>
      </c>
      <c r="AM170" s="130">
        <f>AM172+AM176+AM185</f>
        <v>0</v>
      </c>
      <c r="AN170" s="9"/>
    </row>
    <row r="171" spans="1:40" s="372" customFormat="1" ht="24.95" customHeight="1">
      <c r="A171" s="734"/>
      <c r="B171" s="643"/>
      <c r="N171" s="9"/>
      <c r="P171" s="9"/>
      <c r="Q171" s="9"/>
      <c r="R171" s="9"/>
      <c r="S171" s="356" t="str">
        <f>+IF(MARZO!S171=0,"",MARZO!S171)</f>
        <v/>
      </c>
      <c r="T171" s="678" t="str">
        <f>+IF(MARZO!T171=0,"",MARZO!T171)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+IF(MARZO!S172=0,"",MARZO!S172)</f>
        <v>3100000</v>
      </c>
      <c r="T172" s="663" t="str">
        <f>+IF(MARZO!T172=0,"",MARZO!T172)</f>
        <v>Transferencias al Sector Público</v>
      </c>
      <c r="U172" s="132">
        <f t="shared" ref="U172:AJ172" si="158">SUM(U173:U174)</f>
        <v>50000000</v>
      </c>
      <c r="V172" s="122">
        <f t="shared" si="158"/>
        <v>20000000</v>
      </c>
      <c r="W172" s="122">
        <f t="shared" si="158"/>
        <v>0</v>
      </c>
      <c r="X172" s="129">
        <f t="shared" si="158"/>
        <v>70000000</v>
      </c>
      <c r="Y172" s="128">
        <f t="shared" si="158"/>
        <v>68101230</v>
      </c>
      <c r="Z172" s="122">
        <f t="shared" si="158"/>
        <v>0</v>
      </c>
      <c r="AA172" s="129">
        <f t="shared" si="158"/>
        <v>68101230</v>
      </c>
      <c r="AB172" s="128">
        <f t="shared" si="158"/>
        <v>68101230</v>
      </c>
      <c r="AC172" s="122">
        <f t="shared" si="158"/>
        <v>0</v>
      </c>
      <c r="AD172" s="129">
        <f t="shared" si="158"/>
        <v>68101230</v>
      </c>
      <c r="AE172" s="128">
        <f t="shared" si="158"/>
        <v>68101230</v>
      </c>
      <c r="AF172" s="122">
        <f t="shared" si="158"/>
        <v>0</v>
      </c>
      <c r="AG172" s="129">
        <f t="shared" si="158"/>
        <v>68101230</v>
      </c>
      <c r="AH172" s="128">
        <f t="shared" si="158"/>
        <v>1898770</v>
      </c>
      <c r="AI172" s="122">
        <f t="shared" si="158"/>
        <v>1898770</v>
      </c>
      <c r="AJ172" s="130">
        <f t="shared" si="158"/>
        <v>1898770</v>
      </c>
      <c r="AK172" s="9"/>
      <c r="AL172" s="128">
        <f>SUM(AL173:AL174)</f>
        <v>0</v>
      </c>
      <c r="AM172" s="130">
        <f>SUM(AM173:AM174)</f>
        <v>0</v>
      </c>
      <c r="AN172" s="9"/>
    </row>
    <row r="173" spans="1:40" s="372" customFormat="1" ht="24.95" customHeight="1">
      <c r="A173" s="734"/>
      <c r="B173" s="643"/>
      <c r="N173" s="9"/>
      <c r="P173" s="9"/>
      <c r="Q173" s="9"/>
      <c r="R173" s="9"/>
      <c r="S173" s="688">
        <f>+IF(MARZO!S173=0,"",MARZO!S173)</f>
        <v>3100003</v>
      </c>
      <c r="T173" s="664" t="str">
        <f>+IF(MARZO!T173=0,"",MARZO!T173)</f>
        <v>Entidades Públicas (Contraloria, Supersalud,…)</v>
      </c>
      <c r="U173" s="27">
        <f>+ENERO!U173</f>
        <v>50000000</v>
      </c>
      <c r="V173" s="15">
        <f>MARZO!V173+ABRIL!AL173</f>
        <v>20000000</v>
      </c>
      <c r="W173" s="15">
        <f>MARZO!W173+ABRIL!AM173</f>
        <v>0</v>
      </c>
      <c r="X173" s="18">
        <f>SUM(U173:W173)</f>
        <v>70000000</v>
      </c>
      <c r="Y173" s="19">
        <f>MARZO!AA173</f>
        <v>68101230</v>
      </c>
      <c r="Z173" s="364">
        <v>0</v>
      </c>
      <c r="AA173" s="18">
        <f>SUM(Y173:Z173)</f>
        <v>68101230</v>
      </c>
      <c r="AB173" s="19">
        <f>MARZO!AD173</f>
        <v>68101230</v>
      </c>
      <c r="AC173" s="364">
        <v>0</v>
      </c>
      <c r="AD173" s="18">
        <f>SUM(AB173:AC173)</f>
        <v>68101230</v>
      </c>
      <c r="AE173" s="19">
        <f>MARZO!AG173</f>
        <v>68101230</v>
      </c>
      <c r="AF173" s="364">
        <v>0</v>
      </c>
      <c r="AG173" s="18">
        <f>SUM(AE173:AF173)</f>
        <v>68101230</v>
      </c>
      <c r="AH173" s="19">
        <f>X173-AA173</f>
        <v>1898770</v>
      </c>
      <c r="AI173" s="15">
        <f>X173-AD173</f>
        <v>1898770</v>
      </c>
      <c r="AJ173" s="16">
        <f>X173-AG173</f>
        <v>1898770</v>
      </c>
      <c r="AK173" s="9"/>
      <c r="AL173" s="362">
        <v>0</v>
      </c>
      <c r="AM173" s="365">
        <v>0</v>
      </c>
      <c r="AN173" s="9"/>
    </row>
    <row r="174" spans="1:40" s="372" customFormat="1" ht="24.95" customHeight="1">
      <c r="A174" s="734"/>
      <c r="B174" s="643"/>
      <c r="N174" s="9"/>
      <c r="P174" s="9"/>
      <c r="Q174" s="9"/>
      <c r="R174" s="9"/>
      <c r="S174" s="688">
        <f>+IF(MARZO!S174=0,"",MARZO!S174)</f>
        <v>3199999</v>
      </c>
      <c r="T174" s="664" t="str">
        <f>+IF(MARZO!T174=0,"",MARZO!T174)</f>
        <v>Vigencias Anteriores</v>
      </c>
      <c r="U174" s="27">
        <f>+ENERO!U174</f>
        <v>0</v>
      </c>
      <c r="V174" s="15">
        <f>MARZO!V174+ABRIL!AL174</f>
        <v>0</v>
      </c>
      <c r="W174" s="15">
        <f>MARZO!W174+ABRIL!AM174</f>
        <v>0</v>
      </c>
      <c r="X174" s="18">
        <f>SUM(U174:W174)</f>
        <v>0</v>
      </c>
      <c r="Y174" s="19">
        <f>MARZO!AA174</f>
        <v>0</v>
      </c>
      <c r="Z174" s="364">
        <v>0</v>
      </c>
      <c r="AA174" s="18">
        <f>SUM(Y174:Z174)</f>
        <v>0</v>
      </c>
      <c r="AB174" s="19">
        <f>MARZO!AD174</f>
        <v>0</v>
      </c>
      <c r="AC174" s="364">
        <v>0</v>
      </c>
      <c r="AD174" s="18">
        <f>SUM(AB174:AC174)</f>
        <v>0</v>
      </c>
      <c r="AE174" s="19">
        <f>MARZO!AG174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+IF(MARZO!S175=0,"",MARZO!S175)</f>
        <v/>
      </c>
      <c r="T175" s="678" t="str">
        <f>+IF(MARZO!T175=0,"",MARZO!T175)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+IF(MARZO!S176=0,"",MARZO!S176)</f>
        <v>320000</v>
      </c>
      <c r="T176" s="663" t="str">
        <f>+IF(MARZO!T176=0,"",MARZO!T176)</f>
        <v>Transf. Previsión y Seguridad Social</v>
      </c>
      <c r="U176" s="132">
        <f t="shared" ref="U176:AJ176" si="159">SUM(U177:U183)</f>
        <v>1110354144</v>
      </c>
      <c r="V176" s="122">
        <f t="shared" si="159"/>
        <v>0</v>
      </c>
      <c r="W176" s="122">
        <f t="shared" si="159"/>
        <v>0</v>
      </c>
      <c r="X176" s="129">
        <f t="shared" si="159"/>
        <v>1110354144</v>
      </c>
      <c r="Y176" s="128">
        <f t="shared" si="159"/>
        <v>226179021</v>
      </c>
      <c r="Z176" s="122">
        <f t="shared" si="159"/>
        <v>61013032</v>
      </c>
      <c r="AA176" s="129">
        <f t="shared" si="159"/>
        <v>287192053</v>
      </c>
      <c r="AB176" s="128">
        <f t="shared" si="159"/>
        <v>220099919</v>
      </c>
      <c r="AC176" s="122">
        <f t="shared" si="159"/>
        <v>67092134</v>
      </c>
      <c r="AD176" s="129">
        <f t="shared" si="159"/>
        <v>287192053</v>
      </c>
      <c r="AE176" s="128">
        <f t="shared" si="159"/>
        <v>220099919</v>
      </c>
      <c r="AF176" s="122">
        <f t="shared" si="159"/>
        <v>67092134</v>
      </c>
      <c r="AG176" s="129">
        <f t="shared" si="159"/>
        <v>287192053</v>
      </c>
      <c r="AH176" s="128">
        <f t="shared" si="159"/>
        <v>823162091</v>
      </c>
      <c r="AI176" s="122">
        <f t="shared" si="159"/>
        <v>823162091</v>
      </c>
      <c r="AJ176" s="130">
        <f t="shared" si="159"/>
        <v>823162091</v>
      </c>
      <c r="AK176" s="9"/>
      <c r="AL176" s="128">
        <f>SUM(AL177:AL183)</f>
        <v>0</v>
      </c>
      <c r="AM176" s="130">
        <f>SUM(AM177:AM183)</f>
        <v>0</v>
      </c>
      <c r="AN176" s="9"/>
    </row>
    <row r="177" spans="1:40" s="372" customFormat="1" ht="24.95" customHeight="1">
      <c r="A177" s="734"/>
      <c r="B177" s="643"/>
      <c r="N177" s="9"/>
      <c r="P177" s="9"/>
      <c r="Q177" s="9"/>
      <c r="R177" s="9"/>
      <c r="S177" s="688">
        <f>+IF(MARZO!S177=0,"",MARZO!S177)</f>
        <v>3200100</v>
      </c>
      <c r="T177" s="664" t="str">
        <f>+IF(MARZO!T177=0,"",MARZO!T177)</f>
        <v>Pensiones y Jubilaciones (Pago Directo)</v>
      </c>
      <c r="U177" s="27">
        <f>+ENERO!U177</f>
        <v>965336472</v>
      </c>
      <c r="V177" s="15">
        <f>MARZO!V177+ABRIL!AL177</f>
        <v>0</v>
      </c>
      <c r="W177" s="15">
        <f>MARZO!W177+ABRIL!AM177</f>
        <v>0</v>
      </c>
      <c r="X177" s="18">
        <f t="shared" ref="X177:X183" si="160">SUM(U177:W177)</f>
        <v>965336472</v>
      </c>
      <c r="Y177" s="19">
        <f>MARZO!AA177</f>
        <v>184479187</v>
      </c>
      <c r="Z177" s="364">
        <v>61013032</v>
      </c>
      <c r="AA177" s="18">
        <f t="shared" ref="AA177:AA183" si="161">SUM(Y177:Z177)</f>
        <v>245492219</v>
      </c>
      <c r="AB177" s="19">
        <f>MARZO!AD177</f>
        <v>184479187</v>
      </c>
      <c r="AC177" s="364">
        <v>61013032</v>
      </c>
      <c r="AD177" s="18">
        <f t="shared" ref="AD177:AD183" si="162">SUM(AB177:AC177)</f>
        <v>245492219</v>
      </c>
      <c r="AE177" s="19">
        <f>MARZO!AG177</f>
        <v>184479187</v>
      </c>
      <c r="AF177" s="364">
        <v>61013032</v>
      </c>
      <c r="AG177" s="18">
        <f t="shared" ref="AG177:AG183" si="163">SUM(AE177:AF177)</f>
        <v>245492219</v>
      </c>
      <c r="AH177" s="19">
        <f t="shared" ref="AH177:AH183" si="164">X177-AA177</f>
        <v>719844253</v>
      </c>
      <c r="AI177" s="15">
        <f t="shared" ref="AI177:AI183" si="165">X177-AD177</f>
        <v>719844253</v>
      </c>
      <c r="AJ177" s="16">
        <f t="shared" ref="AJ177:AJ183" si="166">X177-AG177</f>
        <v>719844253</v>
      </c>
      <c r="AK177" s="9"/>
      <c r="AL177" s="362">
        <v>0</v>
      </c>
      <c r="AM177" s="365">
        <v>0</v>
      </c>
      <c r="AN177" s="9"/>
    </row>
    <row r="178" spans="1:40" s="372" customFormat="1" ht="24.95" customHeight="1">
      <c r="A178" s="734"/>
      <c r="B178" s="643"/>
      <c r="N178" s="9"/>
      <c r="P178" s="9"/>
      <c r="Q178" s="9"/>
      <c r="R178" s="9"/>
      <c r="S178" s="688">
        <f>+IF(MARZO!S178=0,"",MARZO!S178)</f>
        <v>3200200</v>
      </c>
      <c r="T178" s="664" t="str">
        <f>+IF(MARZO!T178=0,"",MARZO!T178)</f>
        <v>Cesantías Pago Directo (Pago Directo)</v>
      </c>
      <c r="U178" s="27">
        <f>+ENERO!U178</f>
        <v>20000000</v>
      </c>
      <c r="V178" s="15">
        <f>MARZO!V178+ABRIL!AL178</f>
        <v>0</v>
      </c>
      <c r="W178" s="15">
        <f>MARZO!W178+ABRIL!AM178</f>
        <v>0</v>
      </c>
      <c r="X178" s="18">
        <f t="shared" si="160"/>
        <v>20000000</v>
      </c>
      <c r="Y178" s="19">
        <f>MARZO!AA178</f>
        <v>6079102</v>
      </c>
      <c r="Z178" s="364">
        <v>0</v>
      </c>
      <c r="AA178" s="18">
        <f t="shared" si="161"/>
        <v>6079102</v>
      </c>
      <c r="AB178" s="19">
        <f>MARZO!AD178</f>
        <v>0</v>
      </c>
      <c r="AC178" s="364">
        <v>6079102</v>
      </c>
      <c r="AD178" s="18">
        <f t="shared" si="162"/>
        <v>6079102</v>
      </c>
      <c r="AE178" s="19">
        <f>MARZO!AG178</f>
        <v>0</v>
      </c>
      <c r="AF178" s="364">
        <v>6079102</v>
      </c>
      <c r="AG178" s="18">
        <f t="shared" si="163"/>
        <v>6079102</v>
      </c>
      <c r="AH178" s="19">
        <f t="shared" si="164"/>
        <v>13920898</v>
      </c>
      <c r="AI178" s="15">
        <f t="shared" si="165"/>
        <v>13920898</v>
      </c>
      <c r="AJ178" s="16">
        <f t="shared" si="166"/>
        <v>13920898</v>
      </c>
      <c r="AK178" s="9"/>
      <c r="AL178" s="362">
        <v>0</v>
      </c>
      <c r="AM178" s="365">
        <v>0</v>
      </c>
      <c r="AN178" s="9"/>
    </row>
    <row r="179" spans="1:40" s="372" customFormat="1" ht="24.95" customHeight="1">
      <c r="A179" s="734"/>
      <c r="B179" s="643"/>
      <c r="N179" s="9"/>
      <c r="P179" s="9"/>
      <c r="Q179" s="9"/>
      <c r="R179" s="9"/>
      <c r="S179" s="688">
        <f>+IF(MARZO!S179=0,"",MARZO!S179)</f>
        <v>3200300</v>
      </c>
      <c r="T179" s="664" t="str">
        <f>+IF(MARZO!T179=0,"",MARZO!T179)</f>
        <v>Bonos, Cuotas de Bonos y cuotas partes jubilatorias</v>
      </c>
      <c r="U179" s="27">
        <f>+ENERO!U179</f>
        <v>20000000</v>
      </c>
      <c r="V179" s="15">
        <f>MARZO!V179+ABRIL!AL179</f>
        <v>0</v>
      </c>
      <c r="W179" s="15">
        <f>MARZO!W179+ABRIL!AM179</f>
        <v>0</v>
      </c>
      <c r="X179" s="18">
        <f t="shared" si="160"/>
        <v>20000000</v>
      </c>
      <c r="Y179" s="19">
        <f>MARZO!AA179</f>
        <v>0</v>
      </c>
      <c r="Z179" s="364">
        <v>0</v>
      </c>
      <c r="AA179" s="18">
        <f t="shared" si="161"/>
        <v>0</v>
      </c>
      <c r="AB179" s="19">
        <f>MARZO!AD179</f>
        <v>0</v>
      </c>
      <c r="AC179" s="364">
        <v>0</v>
      </c>
      <c r="AD179" s="18">
        <f t="shared" si="162"/>
        <v>0</v>
      </c>
      <c r="AE179" s="19">
        <f>MARZO!AG179</f>
        <v>0</v>
      </c>
      <c r="AF179" s="364">
        <v>0</v>
      </c>
      <c r="AG179" s="18">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N180" s="9"/>
      <c r="P180" s="9"/>
      <c r="Q180" s="9"/>
      <c r="R180" s="9"/>
      <c r="S180" s="688">
        <f>+IF(MARZO!S180=0,"",MARZO!S180)</f>
        <v>3200400</v>
      </c>
      <c r="T180" s="664" t="str">
        <f>+IF(MARZO!T180=0,"",MARZO!T180)</f>
        <v>Intereses a las cesantias</v>
      </c>
      <c r="U180" s="27">
        <f>+ENERO!U180</f>
        <v>105017672</v>
      </c>
      <c r="V180" s="15">
        <f>MARZO!V180+ABRIL!AL180</f>
        <v>0</v>
      </c>
      <c r="W180" s="15">
        <f>MARZO!W180+ABRIL!AM180</f>
        <v>0</v>
      </c>
      <c r="X180" s="18">
        <f t="shared" si="160"/>
        <v>105017672</v>
      </c>
      <c r="Y180" s="19">
        <f>MARZO!AA180</f>
        <v>35620732</v>
      </c>
      <c r="Z180" s="364">
        <v>0</v>
      </c>
      <c r="AA180" s="18">
        <f t="shared" si="161"/>
        <v>35620732</v>
      </c>
      <c r="AB180" s="19">
        <f>MARZO!AD180</f>
        <v>35620732</v>
      </c>
      <c r="AC180" s="364">
        <v>0</v>
      </c>
      <c r="AD180" s="18">
        <f t="shared" si="162"/>
        <v>35620732</v>
      </c>
      <c r="AE180" s="19">
        <f>MARZO!AG180</f>
        <v>35620732</v>
      </c>
      <c r="AF180" s="364">
        <v>0</v>
      </c>
      <c r="AG180" s="18">
        <f t="shared" si="163"/>
        <v>35620732</v>
      </c>
      <c r="AH180" s="19">
        <f t="shared" si="164"/>
        <v>69396940</v>
      </c>
      <c r="AI180" s="15">
        <f t="shared" si="165"/>
        <v>69396940</v>
      </c>
      <c r="AJ180" s="16">
        <f t="shared" si="166"/>
        <v>69396940</v>
      </c>
      <c r="AK180" s="9"/>
      <c r="AL180" s="362">
        <v>0</v>
      </c>
      <c r="AM180" s="365">
        <v>0</v>
      </c>
      <c r="AN180" s="9"/>
    </row>
    <row r="181" spans="1:40" s="372" customFormat="1" ht="24.95" customHeight="1">
      <c r="A181" s="734"/>
      <c r="B181" s="643"/>
      <c r="N181" s="9"/>
      <c r="P181" s="9"/>
      <c r="Q181" s="9"/>
      <c r="R181" s="9"/>
      <c r="S181" s="688">
        <f>+IF(MARZO!S181=0,"",MARZO!S181)</f>
        <v>3200500</v>
      </c>
      <c r="T181" s="664" t="str">
        <f>+IF(MARZO!T181=0,"",MARZO!T181)</f>
        <v/>
      </c>
      <c r="U181" s="27">
        <f>+ENERO!U181</f>
        <v>0</v>
      </c>
      <c r="V181" s="15">
        <f>MARZO!V181+ABRIL!AL181</f>
        <v>0</v>
      </c>
      <c r="W181" s="15">
        <f>MARZO!W181+ABRIL!AM181</f>
        <v>0</v>
      </c>
      <c r="X181" s="18">
        <f t="shared" si="160"/>
        <v>0</v>
      </c>
      <c r="Y181" s="19">
        <f>MARZO!AA181</f>
        <v>0</v>
      </c>
      <c r="Z181" s="364">
        <v>0</v>
      </c>
      <c r="AA181" s="18">
        <f t="shared" si="161"/>
        <v>0</v>
      </c>
      <c r="AB181" s="19">
        <f>MARZO!AD181</f>
        <v>0</v>
      </c>
      <c r="AC181" s="364">
        <v>0</v>
      </c>
      <c r="AD181" s="18">
        <f t="shared" si="162"/>
        <v>0</v>
      </c>
      <c r="AE181" s="19">
        <f>MARZO!AG181</f>
        <v>0</v>
      </c>
      <c r="AF181" s="364">
        <v>0</v>
      </c>
      <c r="AG181" s="18">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N182" s="9"/>
      <c r="P182" s="9"/>
      <c r="Q182" s="9"/>
      <c r="R182" s="9"/>
      <c r="S182" s="688">
        <f>+IF(MARZO!S182=0,"",MARZO!S182)</f>
        <v>3200600</v>
      </c>
      <c r="T182" s="664" t="str">
        <f>+IF(MARZO!T182=0,"",MARZO!T182)</f>
        <v/>
      </c>
      <c r="U182" s="27">
        <f>+ENERO!U182</f>
        <v>0</v>
      </c>
      <c r="V182" s="15">
        <f>MARZO!V182+ABRIL!AL182</f>
        <v>0</v>
      </c>
      <c r="W182" s="15">
        <f>MARZO!W182+ABRIL!AM182</f>
        <v>0</v>
      </c>
      <c r="X182" s="18">
        <f t="shared" si="160"/>
        <v>0</v>
      </c>
      <c r="Y182" s="19">
        <f>MARZO!AA182</f>
        <v>0</v>
      </c>
      <c r="Z182" s="364">
        <v>0</v>
      </c>
      <c r="AA182" s="18">
        <f t="shared" si="161"/>
        <v>0</v>
      </c>
      <c r="AB182" s="19">
        <f>MARZO!AD182</f>
        <v>0</v>
      </c>
      <c r="AC182" s="364">
        <v>0</v>
      </c>
      <c r="AD182" s="18">
        <f t="shared" si="162"/>
        <v>0</v>
      </c>
      <c r="AE182" s="19">
        <f>MARZO!AG182</f>
        <v>0</v>
      </c>
      <c r="AF182" s="364">
        <v>0</v>
      </c>
      <c r="AG182" s="18">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N183" s="9"/>
      <c r="P183" s="9"/>
      <c r="Q183" s="9"/>
      <c r="R183" s="9"/>
      <c r="S183" s="688">
        <f>+IF(MARZO!S183=0,"",MARZO!S183)</f>
        <v>3299999</v>
      </c>
      <c r="T183" s="664" t="str">
        <f>+IF(MARZO!T183=0,"",MARZO!T183)</f>
        <v>Vigencias Anteriores</v>
      </c>
      <c r="U183" s="27">
        <f>+ENERO!U183</f>
        <v>0</v>
      </c>
      <c r="V183" s="15">
        <f>MARZO!V183+ABRIL!AL183</f>
        <v>0</v>
      </c>
      <c r="W183" s="15">
        <f>MARZO!W183+ABRIL!AM183</f>
        <v>0</v>
      </c>
      <c r="X183" s="18">
        <f t="shared" si="160"/>
        <v>0</v>
      </c>
      <c r="Y183" s="19">
        <f>MARZO!AA183</f>
        <v>0</v>
      </c>
      <c r="Z183" s="364">
        <v>0</v>
      </c>
      <c r="AA183" s="18">
        <f t="shared" si="161"/>
        <v>0</v>
      </c>
      <c r="AB183" s="19">
        <f>MARZO!AD183</f>
        <v>0</v>
      </c>
      <c r="AC183" s="364">
        <v>0</v>
      </c>
      <c r="AD183" s="18">
        <f t="shared" si="162"/>
        <v>0</v>
      </c>
      <c r="AE183" s="19">
        <f>MARZO!AG183</f>
        <v>0</v>
      </c>
      <c r="AF183" s="364">
        <v>0</v>
      </c>
      <c r="AG183" s="18">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N184" s="9"/>
      <c r="P184" s="9"/>
      <c r="Q184" s="9"/>
      <c r="R184" s="9"/>
      <c r="S184" s="356" t="str">
        <f>+IF(MARZO!S184=0,"",MARZO!S184)</f>
        <v/>
      </c>
      <c r="T184" s="678" t="str">
        <f>+IF(MARZO!T184=0,"",MARZO!T184)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+IF(MARZO!S185=0,"",MARZO!S185)</f>
        <v>3300000</v>
      </c>
      <c r="T185" s="663" t="str">
        <f>+IF(MARZO!T185=0,"",MARZO!T185)</f>
        <v>Otras Transferencias</v>
      </c>
      <c r="U185" s="132">
        <f t="shared" ref="U185:AJ185" si="167">U186+U187+U191</f>
        <v>80000000</v>
      </c>
      <c r="V185" s="122">
        <f t="shared" si="167"/>
        <v>0</v>
      </c>
      <c r="W185" s="122">
        <f t="shared" si="167"/>
        <v>0</v>
      </c>
      <c r="X185" s="129">
        <f t="shared" si="167"/>
        <v>80000000</v>
      </c>
      <c r="Y185" s="128">
        <f t="shared" si="167"/>
        <v>669000</v>
      </c>
      <c r="Z185" s="122">
        <f t="shared" si="167"/>
        <v>223000</v>
      </c>
      <c r="AA185" s="129">
        <f t="shared" si="167"/>
        <v>892000</v>
      </c>
      <c r="AB185" s="128">
        <f t="shared" si="167"/>
        <v>669000</v>
      </c>
      <c r="AC185" s="122">
        <f t="shared" si="167"/>
        <v>223000</v>
      </c>
      <c r="AD185" s="129">
        <f t="shared" si="167"/>
        <v>892000</v>
      </c>
      <c r="AE185" s="128">
        <f t="shared" si="167"/>
        <v>669000</v>
      </c>
      <c r="AF185" s="122">
        <f t="shared" si="167"/>
        <v>223000</v>
      </c>
      <c r="AG185" s="129">
        <f t="shared" si="167"/>
        <v>892000</v>
      </c>
      <c r="AH185" s="128">
        <f t="shared" si="167"/>
        <v>79108000</v>
      </c>
      <c r="AI185" s="122">
        <f t="shared" si="167"/>
        <v>79108000</v>
      </c>
      <c r="AJ185" s="130">
        <f t="shared" si="167"/>
        <v>79108000</v>
      </c>
      <c r="AK185" s="9"/>
      <c r="AL185" s="128">
        <f>AL186+AL187+AL191</f>
        <v>0</v>
      </c>
      <c r="AM185" s="130">
        <f>AM186+AM187+AM191</f>
        <v>0</v>
      </c>
      <c r="AN185" s="9"/>
    </row>
    <row r="186" spans="1:40" s="372" customFormat="1" ht="24.95" customHeight="1">
      <c r="A186" s="734"/>
      <c r="B186" s="643"/>
      <c r="N186" s="9"/>
      <c r="P186" s="9"/>
      <c r="Q186" s="9"/>
      <c r="R186" s="9"/>
      <c r="S186" s="688">
        <f>+IF(MARZO!S186=0,"",MARZO!S186)</f>
        <v>3300100</v>
      </c>
      <c r="T186" s="664" t="str">
        <f>+IF(MARZO!T186=0,"",MARZO!T186)</f>
        <v>Sentencias y Conciliaciones</v>
      </c>
      <c r="U186" s="27">
        <f>+ENERO!U186</f>
        <v>60000000</v>
      </c>
      <c r="V186" s="15">
        <f>MARZO!V186+ABRIL!AL186</f>
        <v>0</v>
      </c>
      <c r="W186" s="15">
        <f>MARZO!W186+ABRIL!AM186</f>
        <v>0</v>
      </c>
      <c r="X186" s="18">
        <f>SUM(U186:W186)</f>
        <v>60000000</v>
      </c>
      <c r="Y186" s="19">
        <f>MARZO!AA186</f>
        <v>0</v>
      </c>
      <c r="Z186" s="364">
        <v>0</v>
      </c>
      <c r="AA186" s="18">
        <f>SUM(Y186:Z186)</f>
        <v>0</v>
      </c>
      <c r="AB186" s="19">
        <f>MARZO!AD186</f>
        <v>0</v>
      </c>
      <c r="AC186" s="364">
        <v>0</v>
      </c>
      <c r="AD186" s="18">
        <f>SUM(AB186:AC186)</f>
        <v>0</v>
      </c>
      <c r="AE186" s="19">
        <f>MARZO!AG186</f>
        <v>0</v>
      </c>
      <c r="AF186" s="364">
        <v>0</v>
      </c>
      <c r="AG186" s="18">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N187" s="9"/>
      <c r="P187" s="9"/>
      <c r="Q187" s="9"/>
      <c r="R187" s="9"/>
      <c r="S187" s="688">
        <f>+IF(MARZO!S187=0,"",MARZO!S187)</f>
        <v>3300200</v>
      </c>
      <c r="T187" s="664" t="str">
        <f>+IF(MARZO!T187=0,"",MARZO!T187)</f>
        <v>Destinatarios de otras transferencias</v>
      </c>
      <c r="U187" s="27">
        <f t="shared" ref="U187:AM187" si="168">SUM(U188:U190)</f>
        <v>20000000</v>
      </c>
      <c r="V187" s="15">
        <f t="shared" si="168"/>
        <v>0</v>
      </c>
      <c r="W187" s="15">
        <f t="shared" si="168"/>
        <v>0</v>
      </c>
      <c r="X187" s="18">
        <f t="shared" si="168"/>
        <v>20000000</v>
      </c>
      <c r="Y187" s="19">
        <f t="shared" si="168"/>
        <v>669000</v>
      </c>
      <c r="Z187" s="142">
        <f t="shared" si="168"/>
        <v>223000</v>
      </c>
      <c r="AA187" s="18">
        <f t="shared" si="168"/>
        <v>892000</v>
      </c>
      <c r="AB187" s="19">
        <f t="shared" si="168"/>
        <v>669000</v>
      </c>
      <c r="AC187" s="142">
        <f t="shared" si="168"/>
        <v>223000</v>
      </c>
      <c r="AD187" s="18">
        <f t="shared" si="168"/>
        <v>892000</v>
      </c>
      <c r="AE187" s="19">
        <f t="shared" si="168"/>
        <v>669000</v>
      </c>
      <c r="AF187" s="142">
        <f t="shared" si="168"/>
        <v>223000</v>
      </c>
      <c r="AG187" s="18">
        <f t="shared" si="168"/>
        <v>892000</v>
      </c>
      <c r="AH187" s="19">
        <f t="shared" si="168"/>
        <v>19108000</v>
      </c>
      <c r="AI187" s="15">
        <f t="shared" si="168"/>
        <v>19108000</v>
      </c>
      <c r="AJ187" s="16">
        <f t="shared" si="168"/>
        <v>19108000</v>
      </c>
      <c r="AK187" s="9"/>
      <c r="AL187" s="16">
        <f t="shared" si="168"/>
        <v>0</v>
      </c>
      <c r="AM187" s="16">
        <f t="shared" si="168"/>
        <v>0</v>
      </c>
      <c r="AN187" s="9"/>
    </row>
    <row r="188" spans="1:40" s="372" customFormat="1" ht="24.95" customHeight="1">
      <c r="A188" s="734"/>
      <c r="B188" s="644"/>
      <c r="N188" s="9"/>
      <c r="P188" s="9"/>
      <c r="Q188" s="9"/>
      <c r="R188" s="9"/>
      <c r="S188" s="689" t="str">
        <f>+IF(MARZO!S188=0,"",MARZO!S188)</f>
        <v>3300200-1</v>
      </c>
      <c r="T188" s="664" t="str">
        <f>+IF(MARZO!T188=0,"",MARZO!T188)</f>
        <v>COHAN</v>
      </c>
      <c r="U188" s="27">
        <f>+ENERO!U188</f>
        <v>10000000</v>
      </c>
      <c r="V188" s="15">
        <f>MARZO!V188+ABRIL!AL188</f>
        <v>0</v>
      </c>
      <c r="W188" s="15">
        <f>MARZO!W188+ABRIL!AM188</f>
        <v>0</v>
      </c>
      <c r="X188" s="18">
        <f>SUM(U188:W188)</f>
        <v>10000000</v>
      </c>
      <c r="Y188" s="19">
        <f>MARZO!AA188</f>
        <v>0</v>
      </c>
      <c r="Z188" s="364">
        <v>0</v>
      </c>
      <c r="AA188" s="18">
        <f>SUM(Y188:Z188)</f>
        <v>0</v>
      </c>
      <c r="AB188" s="19">
        <f>MARZO!AD188</f>
        <v>0</v>
      </c>
      <c r="AC188" s="364">
        <v>0</v>
      </c>
      <c r="AD188" s="18">
        <f>SUM(AB188:AC188)</f>
        <v>0</v>
      </c>
      <c r="AE188" s="19">
        <f>MARZO!AG188</f>
        <v>0</v>
      </c>
      <c r="AF188" s="364">
        <v>0</v>
      </c>
      <c r="AG188" s="18">
        <f>SUM(AE188:AF188)</f>
        <v>0</v>
      </c>
      <c r="AH188" s="19">
        <f>X188-AA188</f>
        <v>10000000</v>
      </c>
      <c r="AI188" s="15">
        <f>X188-AD188</f>
        <v>10000000</v>
      </c>
      <c r="AJ188" s="16">
        <f>X188-AG188</f>
        <v>10000000</v>
      </c>
      <c r="AK188" s="9"/>
      <c r="AL188" s="362">
        <v>0</v>
      </c>
      <c r="AM188" s="365">
        <v>0</v>
      </c>
      <c r="AN188" s="9"/>
    </row>
    <row r="189" spans="1:40" s="372" customFormat="1" ht="24.95" customHeight="1">
      <c r="A189" s="734"/>
      <c r="B189" s="644"/>
      <c r="N189" s="9"/>
      <c r="P189" s="9"/>
      <c r="Q189" s="9"/>
      <c r="R189" s="9"/>
      <c r="S189" s="689" t="str">
        <f>+IF(MARZO!S189=0,"",MARZO!S189)</f>
        <v>3300200-2</v>
      </c>
      <c r="T189" s="664" t="str">
        <f>+IF(MARZO!T189=0,"",MARZO!T189)</f>
        <v>AESA</v>
      </c>
      <c r="U189" s="27">
        <f>+ENERO!U189</f>
        <v>5000000</v>
      </c>
      <c r="V189" s="15">
        <f>MARZO!V189+ABRIL!AL189</f>
        <v>0</v>
      </c>
      <c r="W189" s="15">
        <f>MARZO!W189+ABRIL!AM189</f>
        <v>0</v>
      </c>
      <c r="X189" s="18">
        <f>SUM(U189:W189)</f>
        <v>5000000</v>
      </c>
      <c r="Y189" s="19">
        <f>MARZO!AA189</f>
        <v>0</v>
      </c>
      <c r="Z189" s="364">
        <v>0</v>
      </c>
      <c r="AA189" s="18">
        <f>SUM(Y189:Z189)</f>
        <v>0</v>
      </c>
      <c r="AB189" s="19">
        <f>MARZO!AD189</f>
        <v>0</v>
      </c>
      <c r="AC189" s="364">
        <v>0</v>
      </c>
      <c r="AD189" s="18">
        <f>SUM(AB189:AC189)</f>
        <v>0</v>
      </c>
      <c r="AE189" s="19">
        <f>MARZO!AG189</f>
        <v>0</v>
      </c>
      <c r="AF189" s="364">
        <v>0</v>
      </c>
      <c r="AG189" s="18">
        <f>SUM(AE189:AF189)</f>
        <v>0</v>
      </c>
      <c r="AH189" s="19">
        <f>X189-AA189</f>
        <v>5000000</v>
      </c>
      <c r="AI189" s="15">
        <f>X189-AD189</f>
        <v>5000000</v>
      </c>
      <c r="AJ189" s="16">
        <f>X189-AG189</f>
        <v>5000000</v>
      </c>
      <c r="AK189" s="9"/>
      <c r="AL189" s="362">
        <v>0</v>
      </c>
      <c r="AM189" s="365">
        <v>0</v>
      </c>
      <c r="AN189" s="9"/>
    </row>
    <row r="190" spans="1:40" s="372" customFormat="1" ht="24.95" customHeight="1">
      <c r="A190" s="734"/>
      <c r="B190" s="644"/>
      <c r="N190" s="9"/>
      <c r="P190" s="9"/>
      <c r="Q190" s="9"/>
      <c r="R190" s="9"/>
      <c r="S190" s="689" t="str">
        <f>+IF(MARZO!S190=0,"",MARZO!S190)</f>
        <v>3300200-3</v>
      </c>
      <c r="T190" s="664" t="str">
        <f>+IF(MARZO!T190=0,"",MARZO!T190)</f>
        <v xml:space="preserve">OTRAS </v>
      </c>
      <c r="U190" s="27">
        <f>+ENERO!U190</f>
        <v>5000000</v>
      </c>
      <c r="V190" s="15">
        <f>MARZO!V190+ABRIL!AL190</f>
        <v>0</v>
      </c>
      <c r="W190" s="15">
        <f>MARZO!W190+ABRIL!AM190</f>
        <v>0</v>
      </c>
      <c r="X190" s="18">
        <f>SUM(U190:W190)</f>
        <v>5000000</v>
      </c>
      <c r="Y190" s="19">
        <f>MARZO!AA190</f>
        <v>669000</v>
      </c>
      <c r="Z190" s="364">
        <v>223000</v>
      </c>
      <c r="AA190" s="18">
        <f>SUM(Y190:Z190)</f>
        <v>892000</v>
      </c>
      <c r="AB190" s="19">
        <f>MARZO!AD190</f>
        <v>669000</v>
      </c>
      <c r="AC190" s="364">
        <v>223000</v>
      </c>
      <c r="AD190" s="18">
        <f>SUM(AB190:AC190)</f>
        <v>892000</v>
      </c>
      <c r="AE190" s="19">
        <f>MARZO!AG190</f>
        <v>669000</v>
      </c>
      <c r="AF190" s="364">
        <v>223000</v>
      </c>
      <c r="AG190" s="18">
        <f>SUM(AE190:AF190)</f>
        <v>892000</v>
      </c>
      <c r="AH190" s="19">
        <f>X190-AA190</f>
        <v>4108000</v>
      </c>
      <c r="AI190" s="15">
        <f>X190-AD190</f>
        <v>4108000</v>
      </c>
      <c r="AJ190" s="16">
        <f>X190-AG190</f>
        <v>4108000</v>
      </c>
      <c r="AK190" s="9"/>
      <c r="AL190" s="362">
        <v>0</v>
      </c>
      <c r="AM190" s="365">
        <v>0</v>
      </c>
      <c r="AN190" s="9"/>
    </row>
    <row r="191" spans="1:40" s="372" customFormat="1" ht="24.95" customHeight="1">
      <c r="A191" s="734"/>
      <c r="B191" s="644"/>
      <c r="N191" s="9"/>
      <c r="P191" s="9"/>
      <c r="Q191" s="9"/>
      <c r="R191" s="9"/>
      <c r="S191" s="688">
        <f>+IF(MARZO!S191=0,"",MARZO!S191)</f>
        <v>3399999</v>
      </c>
      <c r="T191" s="664" t="str">
        <f>+IF(MARZO!T191=0,"",MARZO!T191)</f>
        <v>Vigencias Anteriores</v>
      </c>
      <c r="U191" s="27">
        <f>+ENERO!U191</f>
        <v>0</v>
      </c>
      <c r="V191" s="15">
        <f>MARZO!V191+ABRIL!AL191</f>
        <v>0</v>
      </c>
      <c r="W191" s="15">
        <f>MARZO!W191+ABRIL!AM191</f>
        <v>0</v>
      </c>
      <c r="X191" s="18">
        <f>SUM(U191:W191)</f>
        <v>0</v>
      </c>
      <c r="Y191" s="19">
        <f>MARZO!AA191</f>
        <v>0</v>
      </c>
      <c r="Z191" s="364">
        <v>0</v>
      </c>
      <c r="AA191" s="18">
        <f>SUM(Y191:Z191)</f>
        <v>0</v>
      </c>
      <c r="AB191" s="19">
        <f>MARZO!AD191</f>
        <v>0</v>
      </c>
      <c r="AC191" s="364">
        <v>0</v>
      </c>
      <c r="AD191" s="18">
        <f>SUM(AB191:AC191)</f>
        <v>0</v>
      </c>
      <c r="AE191" s="19">
        <f>MARZO!AG191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39" customHeight="1">
      <c r="A193" s="734"/>
      <c r="B193" s="644"/>
      <c r="N193" s="9"/>
      <c r="P193" s="9"/>
      <c r="Q193" s="9"/>
      <c r="R193" s="9"/>
      <c r="S193" s="483" t="s">
        <v>318</v>
      </c>
      <c r="T193" s="672" t="s">
        <v>561</v>
      </c>
      <c r="U193" s="460">
        <f>U195+U209</f>
        <v>10282942055</v>
      </c>
      <c r="V193" s="461">
        <f t="shared" ref="V193:AJ193" si="169">V195+V209</f>
        <v>300000000</v>
      </c>
      <c r="W193" s="461">
        <f t="shared" si="169"/>
        <v>6016007161</v>
      </c>
      <c r="X193" s="370">
        <f t="shared" si="169"/>
        <v>16598949216</v>
      </c>
      <c r="Y193" s="369">
        <f t="shared" si="169"/>
        <v>11582583445</v>
      </c>
      <c r="Z193" s="484">
        <f t="shared" si="169"/>
        <v>3277208893</v>
      </c>
      <c r="AA193" s="370">
        <f t="shared" si="169"/>
        <v>14859792338</v>
      </c>
      <c r="AB193" s="460">
        <f t="shared" si="169"/>
        <v>8104622350</v>
      </c>
      <c r="AC193" s="484">
        <f t="shared" si="169"/>
        <v>3474922020</v>
      </c>
      <c r="AD193" s="462">
        <f t="shared" si="169"/>
        <v>11579544370</v>
      </c>
      <c r="AE193" s="369">
        <f t="shared" si="169"/>
        <v>3857742458</v>
      </c>
      <c r="AF193" s="484">
        <f t="shared" si="169"/>
        <v>3018227057</v>
      </c>
      <c r="AG193" s="370">
        <f t="shared" si="169"/>
        <v>6875969515</v>
      </c>
      <c r="AH193" s="369">
        <f t="shared" si="169"/>
        <v>1739156878</v>
      </c>
      <c r="AI193" s="461">
        <f t="shared" si="169"/>
        <v>5019404846</v>
      </c>
      <c r="AJ193" s="370">
        <f t="shared" si="169"/>
        <v>9722979701</v>
      </c>
      <c r="AK193" s="9"/>
      <c r="AL193" s="369">
        <f>AL195+AL209</f>
        <v>0</v>
      </c>
      <c r="AM193" s="370">
        <f>AM195+AM209</f>
        <v>0</v>
      </c>
      <c r="AN193" s="9"/>
    </row>
    <row r="194" spans="1:40" s="372" customFormat="1" ht="24.95" customHeight="1">
      <c r="A194" s="734"/>
      <c r="B194" s="644"/>
      <c r="N194" s="9"/>
      <c r="P194" s="9"/>
      <c r="Q194" s="9"/>
      <c r="R194" s="9"/>
      <c r="S194" s="356" t="str">
        <f>+IF(MARZO!S192=0,"",MARZO!S192)</f>
        <v/>
      </c>
      <c r="T194" s="678" t="str">
        <f>+IF(MARZO!T192=0,"",MARZO!T192)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+IF(MARZO!S195=0,"",MARZO!S195)</f>
        <v>4000000</v>
      </c>
      <c r="T195" s="668" t="str">
        <f>+IF(MARZO!T195=0,"",MARZO!T195)</f>
        <v>GASTOS  DE PRESTACION DE SERVICIOS</v>
      </c>
      <c r="U195" s="460">
        <f t="shared" ref="U195:AJ195" si="170">U196</f>
        <v>10282942055</v>
      </c>
      <c r="V195" s="461">
        <f t="shared" si="170"/>
        <v>300000000</v>
      </c>
      <c r="W195" s="461">
        <f t="shared" si="170"/>
        <v>6016007161</v>
      </c>
      <c r="X195" s="462">
        <f t="shared" si="170"/>
        <v>16598949216</v>
      </c>
      <c r="Y195" s="369">
        <f t="shared" si="170"/>
        <v>11582583445</v>
      </c>
      <c r="Z195" s="461">
        <f t="shared" si="170"/>
        <v>3277208893</v>
      </c>
      <c r="AA195" s="462">
        <f t="shared" si="170"/>
        <v>14859792338</v>
      </c>
      <c r="AB195" s="369">
        <f t="shared" si="170"/>
        <v>8104622350</v>
      </c>
      <c r="AC195" s="461">
        <f t="shared" si="170"/>
        <v>3474922020</v>
      </c>
      <c r="AD195" s="462">
        <f t="shared" si="170"/>
        <v>11579544370</v>
      </c>
      <c r="AE195" s="369">
        <f t="shared" si="170"/>
        <v>3857742458</v>
      </c>
      <c r="AF195" s="461">
        <f t="shared" si="170"/>
        <v>3018227057</v>
      </c>
      <c r="AG195" s="462">
        <f t="shared" si="170"/>
        <v>6875969515</v>
      </c>
      <c r="AH195" s="369">
        <f t="shared" si="170"/>
        <v>1739156878</v>
      </c>
      <c r="AI195" s="461">
        <f t="shared" si="170"/>
        <v>5019404846</v>
      </c>
      <c r="AJ195" s="370">
        <f t="shared" si="170"/>
        <v>9722979701</v>
      </c>
      <c r="AK195" s="9"/>
      <c r="AL195" s="128">
        <f>AL196</f>
        <v>0</v>
      </c>
      <c r="AM195" s="130">
        <f>AM196</f>
        <v>0</v>
      </c>
      <c r="AN195" s="9"/>
    </row>
    <row r="196" spans="1:40" s="372" customFormat="1" ht="24.95" customHeight="1">
      <c r="A196" s="734"/>
      <c r="B196" s="644"/>
      <c r="N196" s="9"/>
      <c r="P196" s="9"/>
      <c r="Q196" s="9"/>
      <c r="R196" s="9"/>
      <c r="S196" s="687">
        <f>+IF(MARZO!S196=0,"",MARZO!S196)</f>
        <v>4100000</v>
      </c>
      <c r="T196" s="663" t="str">
        <f>+IF(MARZO!T196=0,"",MARZO!T196)</f>
        <v>Insumos y Suministros Hospitalarios</v>
      </c>
      <c r="U196" s="132">
        <f t="shared" ref="U196:AJ196" si="171">U197+U205+U207</f>
        <v>10282942055</v>
      </c>
      <c r="V196" s="122">
        <f t="shared" si="171"/>
        <v>300000000</v>
      </c>
      <c r="W196" s="122">
        <f t="shared" si="171"/>
        <v>6016007161</v>
      </c>
      <c r="X196" s="129">
        <f t="shared" si="171"/>
        <v>16598949216</v>
      </c>
      <c r="Y196" s="128">
        <f t="shared" si="171"/>
        <v>11582583445</v>
      </c>
      <c r="Z196" s="122">
        <f t="shared" si="171"/>
        <v>3277208893</v>
      </c>
      <c r="AA196" s="129">
        <f t="shared" si="171"/>
        <v>14859792338</v>
      </c>
      <c r="AB196" s="128">
        <f t="shared" si="171"/>
        <v>8104622350</v>
      </c>
      <c r="AC196" s="122">
        <f t="shared" si="171"/>
        <v>3474922020</v>
      </c>
      <c r="AD196" s="129">
        <f t="shared" si="171"/>
        <v>11579544370</v>
      </c>
      <c r="AE196" s="128">
        <f t="shared" si="171"/>
        <v>3857742458</v>
      </c>
      <c r="AF196" s="122">
        <f t="shared" si="171"/>
        <v>3018227057</v>
      </c>
      <c r="AG196" s="129">
        <f t="shared" si="171"/>
        <v>6875969515</v>
      </c>
      <c r="AH196" s="128">
        <f t="shared" si="171"/>
        <v>1739156878</v>
      </c>
      <c r="AI196" s="122">
        <f t="shared" si="171"/>
        <v>5019404846</v>
      </c>
      <c r="AJ196" s="130">
        <f t="shared" si="171"/>
        <v>9722979701</v>
      </c>
      <c r="AK196" s="10"/>
      <c r="AL196" s="128">
        <f>AL197+AL205+AL207</f>
        <v>0</v>
      </c>
      <c r="AM196" s="130">
        <f>AM197+AM205+AM207</f>
        <v>0</v>
      </c>
      <c r="AN196" s="9"/>
    </row>
    <row r="197" spans="1:40" s="372" customFormat="1" ht="24.95" customHeight="1">
      <c r="A197" s="734"/>
      <c r="B197" s="644"/>
      <c r="N197" s="9"/>
      <c r="P197" s="9"/>
      <c r="Q197" s="9"/>
      <c r="R197" s="9"/>
      <c r="S197" s="688">
        <f>+IF(MARZO!S197=0,"",MARZO!S197)</f>
        <v>4100100</v>
      </c>
      <c r="T197" s="664" t="str">
        <f>+IF(MARZO!T197=0,"",MARZO!T197)</f>
        <v>Compra de Bienes para la Prestacion de servicios</v>
      </c>
      <c r="U197" s="27">
        <f t="shared" ref="U197:AJ197" si="172">SUM(U198:U204)</f>
        <v>8084311192</v>
      </c>
      <c r="V197" s="15">
        <f t="shared" si="172"/>
        <v>290000000</v>
      </c>
      <c r="W197" s="15">
        <f t="shared" si="172"/>
        <v>1678133167</v>
      </c>
      <c r="X197" s="18">
        <f t="shared" si="172"/>
        <v>10052444359</v>
      </c>
      <c r="Y197" s="19">
        <f t="shared" si="172"/>
        <v>7570836241</v>
      </c>
      <c r="Z197" s="142">
        <f t="shared" si="172"/>
        <v>1321979487</v>
      </c>
      <c r="AA197" s="18">
        <f t="shared" si="172"/>
        <v>8892815728</v>
      </c>
      <c r="AB197" s="19">
        <f t="shared" si="172"/>
        <v>4962163945</v>
      </c>
      <c r="AC197" s="142">
        <f t="shared" si="172"/>
        <v>1425696224</v>
      </c>
      <c r="AD197" s="18">
        <f t="shared" si="172"/>
        <v>6387860169</v>
      </c>
      <c r="AE197" s="19">
        <f t="shared" si="172"/>
        <v>896693411</v>
      </c>
      <c r="AF197" s="142">
        <f t="shared" si="172"/>
        <v>881588293</v>
      </c>
      <c r="AG197" s="18">
        <f t="shared" si="172"/>
        <v>1778281704</v>
      </c>
      <c r="AH197" s="19">
        <f t="shared" si="172"/>
        <v>1159628631</v>
      </c>
      <c r="AI197" s="15">
        <f t="shared" si="172"/>
        <v>3664584190</v>
      </c>
      <c r="AJ197" s="16">
        <f t="shared" si="172"/>
        <v>8274162655</v>
      </c>
      <c r="AK197" s="9"/>
      <c r="AL197" s="29">
        <f>SUM(AL198:AL204)</f>
        <v>0</v>
      </c>
      <c r="AM197" s="26">
        <f>SUM(AM198:AM204)</f>
        <v>0</v>
      </c>
      <c r="AN197" s="9"/>
    </row>
    <row r="198" spans="1:40" s="372" customFormat="1" ht="24.95" customHeight="1">
      <c r="A198" s="734"/>
      <c r="B198" s="644"/>
      <c r="N198" s="9"/>
      <c r="P198" s="9"/>
      <c r="Q198" s="9"/>
      <c r="R198" s="9"/>
      <c r="S198" s="689" t="str">
        <f>+IF(MARZO!S198=0,"",MARZO!S198)</f>
        <v>4100100-1</v>
      </c>
      <c r="T198" s="665" t="str">
        <f>+IF(MARZO!T198=0,"",MARZO!T198)</f>
        <v>Productos Farmaceuticos</v>
      </c>
      <c r="U198" s="27">
        <f>+ENERO!U198</f>
        <v>4000000000</v>
      </c>
      <c r="V198" s="15">
        <f>MARZO!V198+ABRIL!AL198</f>
        <v>290000000</v>
      </c>
      <c r="W198" s="15">
        <f>MARZO!W198+ABRIL!AM198</f>
        <v>300000000</v>
      </c>
      <c r="X198" s="18">
        <f t="shared" ref="X198:X204" si="173">SUM(U198:W198)</f>
        <v>4590000000</v>
      </c>
      <c r="Y198" s="19">
        <f>MARZO!AA198</f>
        <v>3684513046</v>
      </c>
      <c r="Z198" s="364">
        <v>517372237</v>
      </c>
      <c r="AA198" s="18">
        <f t="shared" ref="AA198:AA204" si="174">SUM(Y198:Z198)</f>
        <v>4201885283</v>
      </c>
      <c r="AB198" s="19">
        <f>MARZO!AD198</f>
        <v>2318884378</v>
      </c>
      <c r="AC198" s="364">
        <v>634943966</v>
      </c>
      <c r="AD198" s="18">
        <f t="shared" ref="AD198:AD204" si="175">SUM(AB198:AC198)</f>
        <v>2953828344</v>
      </c>
      <c r="AE198" s="19">
        <f>MARZO!AG198</f>
        <v>425352530</v>
      </c>
      <c r="AF198" s="364">
        <v>389653709</v>
      </c>
      <c r="AG198" s="18">
        <f t="shared" ref="AG198:AG204" si="176">SUM(AE198:AF198)</f>
        <v>815006239</v>
      </c>
      <c r="AH198" s="19">
        <f t="shared" ref="AH198:AH204" si="177">X198-AA198</f>
        <v>388114717</v>
      </c>
      <c r="AI198" s="15">
        <f t="shared" ref="AI198:AI204" si="178">X198-AD198</f>
        <v>1636171656</v>
      </c>
      <c r="AJ198" s="16">
        <f t="shared" ref="AJ198:AJ204" si="179">X198-AG198</f>
        <v>3774993761</v>
      </c>
      <c r="AK198" s="9"/>
      <c r="AL198" s="362">
        <v>0</v>
      </c>
      <c r="AM198" s="365">
        <v>0</v>
      </c>
      <c r="AN198" s="9"/>
    </row>
    <row r="199" spans="1:40" s="372" customFormat="1" ht="24.95" customHeight="1">
      <c r="A199" s="734"/>
      <c r="B199" s="644"/>
      <c r="N199" s="9"/>
      <c r="P199" s="9"/>
      <c r="Q199" s="9"/>
      <c r="R199" s="9"/>
      <c r="S199" s="689" t="str">
        <f>+IF(MARZO!S199=0,"",MARZO!S199)</f>
        <v>4100100-2</v>
      </c>
      <c r="T199" s="665" t="str">
        <f>+IF(MARZO!T199=0,"",MARZO!T199)</f>
        <v>Material Médico Quirúrgico</v>
      </c>
      <c r="U199" s="27">
        <f>+ENERO!U199</f>
        <v>3244311192</v>
      </c>
      <c r="V199" s="15">
        <f>MARZO!V199+ABRIL!AL199</f>
        <v>0</v>
      </c>
      <c r="W199" s="15">
        <f>MARZO!W199+ABRIL!AM199</f>
        <v>1378133167</v>
      </c>
      <c r="X199" s="18">
        <f t="shared" si="173"/>
        <v>4622444359</v>
      </c>
      <c r="Y199" s="19">
        <f>MARZO!AA199</f>
        <v>3697978457</v>
      </c>
      <c r="Z199" s="364">
        <v>729850721</v>
      </c>
      <c r="AA199" s="18">
        <f t="shared" si="174"/>
        <v>4427829178</v>
      </c>
      <c r="AB199" s="19">
        <f>MARZO!AD199</f>
        <v>2454934562</v>
      </c>
      <c r="AC199" s="364">
        <v>730398206</v>
      </c>
      <c r="AD199" s="18">
        <f t="shared" si="175"/>
        <v>3185332768</v>
      </c>
      <c r="AE199" s="19">
        <f>MARZO!AG199</f>
        <v>471121921</v>
      </c>
      <c r="AF199" s="364">
        <v>458524586</v>
      </c>
      <c r="AG199" s="18">
        <f t="shared" si="176"/>
        <v>929646507</v>
      </c>
      <c r="AH199" s="19">
        <f t="shared" si="177"/>
        <v>194615181</v>
      </c>
      <c r="AI199" s="15">
        <f t="shared" si="178"/>
        <v>1437111591</v>
      </c>
      <c r="AJ199" s="16">
        <f t="shared" si="179"/>
        <v>3692797852</v>
      </c>
      <c r="AK199" s="9"/>
      <c r="AL199" s="362">
        <v>0</v>
      </c>
      <c r="AM199" s="365">
        <v>0</v>
      </c>
      <c r="AN199" s="9"/>
    </row>
    <row r="200" spans="1:40" s="372" customFormat="1" ht="24.95" customHeight="1">
      <c r="A200" s="734"/>
      <c r="B200" s="644"/>
      <c r="N200" s="9"/>
      <c r="P200" s="9"/>
      <c r="Q200" s="9"/>
      <c r="R200" s="9"/>
      <c r="S200" s="689" t="str">
        <f>+IF(MARZO!S200=0,"",MARZO!S200)</f>
        <v>4100100-3</v>
      </c>
      <c r="T200" s="665" t="str">
        <f>+IF(MARZO!T200=0,"",MARZO!T200)</f>
        <v>Material de Laboratorio</v>
      </c>
      <c r="U200" s="27">
        <f>+ENERO!U200</f>
        <v>840000000</v>
      </c>
      <c r="V200" s="15">
        <f>MARZO!V200+ABRIL!AL200</f>
        <v>0</v>
      </c>
      <c r="W200" s="15">
        <f>MARZO!W200+ABRIL!AM200</f>
        <v>0</v>
      </c>
      <c r="X200" s="18">
        <f t="shared" si="173"/>
        <v>840000000</v>
      </c>
      <c r="Y200" s="19">
        <f>MARZO!AA200</f>
        <v>188344738</v>
      </c>
      <c r="Z200" s="364">
        <v>74756529</v>
      </c>
      <c r="AA200" s="18">
        <f t="shared" si="174"/>
        <v>263101267</v>
      </c>
      <c r="AB200" s="19">
        <f>MARZO!AD200</f>
        <v>188345005</v>
      </c>
      <c r="AC200" s="364">
        <v>60354052</v>
      </c>
      <c r="AD200" s="18">
        <f t="shared" si="175"/>
        <v>248699057</v>
      </c>
      <c r="AE200" s="19">
        <f>MARZO!AG200</f>
        <v>218960</v>
      </c>
      <c r="AF200" s="364">
        <v>33409998</v>
      </c>
      <c r="AG200" s="18">
        <f t="shared" si="176"/>
        <v>33628958</v>
      </c>
      <c r="AH200" s="19">
        <f t="shared" si="177"/>
        <v>576898733</v>
      </c>
      <c r="AI200" s="15">
        <f t="shared" si="178"/>
        <v>591300943</v>
      </c>
      <c r="AJ200" s="16">
        <f t="shared" si="179"/>
        <v>806371042</v>
      </c>
      <c r="AK200" s="9"/>
      <c r="AL200" s="362">
        <v>0</v>
      </c>
      <c r="AM200" s="365">
        <v>0</v>
      </c>
      <c r="AN200" s="9"/>
    </row>
    <row r="201" spans="1:40" s="372" customFormat="1" ht="24.95" customHeight="1">
      <c r="A201" s="734"/>
      <c r="B201" s="644"/>
      <c r="N201" s="9"/>
      <c r="P201" s="9"/>
      <c r="Q201" s="9"/>
      <c r="R201" s="9"/>
      <c r="S201" s="689" t="str">
        <f>+IF(MARZO!S201=0,"",MARZO!S201)</f>
        <v>4100100-4</v>
      </c>
      <c r="T201" s="665" t="str">
        <f>+IF(MARZO!T201=0,"",MARZO!T201)</f>
        <v>Material para Odontologia</v>
      </c>
      <c r="U201" s="27">
        <f>+ENERO!U201</f>
        <v>0</v>
      </c>
      <c r="V201" s="15">
        <f>MARZO!V201+ABRIL!AL201</f>
        <v>0</v>
      </c>
      <c r="W201" s="15">
        <f>MARZO!W201+ABRIL!AM201</f>
        <v>0</v>
      </c>
      <c r="X201" s="18">
        <f t="shared" si="173"/>
        <v>0</v>
      </c>
      <c r="Y201" s="19">
        <f>MARZO!AA201</f>
        <v>0</v>
      </c>
      <c r="Z201" s="364">
        <v>0</v>
      </c>
      <c r="AA201" s="18">
        <f t="shared" si="174"/>
        <v>0</v>
      </c>
      <c r="AB201" s="19">
        <f>MARZO!AD201</f>
        <v>0</v>
      </c>
      <c r="AC201" s="364">
        <v>0</v>
      </c>
      <c r="AD201" s="18">
        <f t="shared" si="175"/>
        <v>0</v>
      </c>
      <c r="AE201" s="19">
        <f>MARZO!AG201</f>
        <v>0</v>
      </c>
      <c r="AF201" s="364">
        <v>0</v>
      </c>
      <c r="AG201" s="18">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N202" s="9"/>
      <c r="P202" s="9"/>
      <c r="Q202" s="9"/>
      <c r="R202" s="9"/>
      <c r="S202" s="689" t="str">
        <f>+IF(MARZO!S202=0,"",MARZO!S202)</f>
        <v>4100100-5</v>
      </c>
      <c r="T202" s="665" t="str">
        <f>+IF(MARZO!T202=0,"",MARZO!T202)</f>
        <v>Material para Rayos X</v>
      </c>
      <c r="U202" s="27">
        <f>+ENERO!U202</f>
        <v>0</v>
      </c>
      <c r="V202" s="15">
        <f>MARZO!V202+ABRIL!AL202</f>
        <v>0</v>
      </c>
      <c r="W202" s="15">
        <f>MARZO!W202+ABRIL!AM202</f>
        <v>0</v>
      </c>
      <c r="X202" s="18">
        <f t="shared" si="173"/>
        <v>0</v>
      </c>
      <c r="Y202" s="19">
        <f>MARZO!AA202</f>
        <v>0</v>
      </c>
      <c r="Z202" s="364">
        <v>0</v>
      </c>
      <c r="AA202" s="18">
        <f t="shared" si="174"/>
        <v>0</v>
      </c>
      <c r="AB202" s="19">
        <f>MARZO!AD202</f>
        <v>0</v>
      </c>
      <c r="AC202" s="364">
        <v>0</v>
      </c>
      <c r="AD202" s="18">
        <f t="shared" si="175"/>
        <v>0</v>
      </c>
      <c r="AE202" s="19">
        <f>MARZO!AG202</f>
        <v>0</v>
      </c>
      <c r="AF202" s="364">
        <v>0</v>
      </c>
      <c r="AG202" s="18">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N203" s="9"/>
      <c r="P203" s="9"/>
      <c r="Q203" s="9"/>
      <c r="R203" s="9"/>
      <c r="S203" s="689" t="str">
        <f>+IF(MARZO!S203=0,"",MARZO!S203)</f>
        <v>4100100-6</v>
      </c>
      <c r="T203" s="665" t="str">
        <f>+IF(MARZO!T203=0,"",MARZO!T203)</f>
        <v/>
      </c>
      <c r="U203" s="27">
        <f>+ENERO!U203</f>
        <v>0</v>
      </c>
      <c r="V203" s="15">
        <f>MARZO!V203+ABRIL!AL203</f>
        <v>0</v>
      </c>
      <c r="W203" s="15">
        <f>MARZO!W203+ABRIL!AM203</f>
        <v>0</v>
      </c>
      <c r="X203" s="18">
        <f t="shared" si="173"/>
        <v>0</v>
      </c>
      <c r="Y203" s="19">
        <f>MARZO!AA203</f>
        <v>0</v>
      </c>
      <c r="Z203" s="364">
        <v>0</v>
      </c>
      <c r="AA203" s="18">
        <f t="shared" si="174"/>
        <v>0</v>
      </c>
      <c r="AB203" s="19">
        <f>MARZO!AD203</f>
        <v>0</v>
      </c>
      <c r="AC203" s="364">
        <v>0</v>
      </c>
      <c r="AD203" s="18">
        <f t="shared" si="175"/>
        <v>0</v>
      </c>
      <c r="AE203" s="19">
        <f>MARZO!AG203</f>
        <v>0</v>
      </c>
      <c r="AF203" s="364">
        <v>0</v>
      </c>
      <c r="AG203" s="18">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N204" s="9"/>
      <c r="P204" s="9"/>
      <c r="Q204" s="9"/>
      <c r="R204" s="9"/>
      <c r="S204" s="689" t="str">
        <f>+IF(MARZO!S204=0,"",MARZO!S204)</f>
        <v>4100100-7</v>
      </c>
      <c r="T204" s="665" t="str">
        <f>+IF(MARZO!T204=0,"",MARZO!T204)</f>
        <v/>
      </c>
      <c r="U204" s="27">
        <f>+ENERO!U204</f>
        <v>0</v>
      </c>
      <c r="V204" s="15">
        <f>MARZO!V204+ABRIL!AL204</f>
        <v>0</v>
      </c>
      <c r="W204" s="15">
        <f>MARZO!W204+ABRIL!AM204</f>
        <v>0</v>
      </c>
      <c r="X204" s="18">
        <f t="shared" si="173"/>
        <v>0</v>
      </c>
      <c r="Y204" s="19">
        <f>MARZO!AA204</f>
        <v>0</v>
      </c>
      <c r="Z204" s="364">
        <v>0</v>
      </c>
      <c r="AA204" s="18">
        <f t="shared" si="174"/>
        <v>0</v>
      </c>
      <c r="AB204" s="19">
        <f>MARZO!AD204</f>
        <v>0</v>
      </c>
      <c r="AC204" s="364">
        <v>0</v>
      </c>
      <c r="AD204" s="18">
        <f t="shared" si="175"/>
        <v>0</v>
      </c>
      <c r="AE204" s="19">
        <f>MARZO!AG204</f>
        <v>0</v>
      </c>
      <c r="AF204" s="364">
        <v>0</v>
      </c>
      <c r="AG204" s="18">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N205" s="9"/>
      <c r="P205" s="9"/>
      <c r="Q205" s="9"/>
      <c r="R205" s="9"/>
      <c r="S205" s="688">
        <f>+IF(MARZO!S205=0,"",MARZO!S205)</f>
        <v>4100200</v>
      </c>
      <c r="T205" s="664" t="str">
        <f>+IF(MARZO!T205=0,"",MARZO!T205)</f>
        <v>Gastos Complementarios e Intermedios</v>
      </c>
      <c r="U205" s="27">
        <f t="shared" ref="U205:AJ205" si="180">U206</f>
        <v>1200000000</v>
      </c>
      <c r="V205" s="15">
        <f t="shared" si="180"/>
        <v>0</v>
      </c>
      <c r="W205" s="15">
        <f t="shared" si="180"/>
        <v>0</v>
      </c>
      <c r="X205" s="18">
        <f t="shared" si="180"/>
        <v>1200000000</v>
      </c>
      <c r="Y205" s="19">
        <f t="shared" si="180"/>
        <v>1150557400</v>
      </c>
      <c r="Z205" s="142">
        <f t="shared" si="180"/>
        <v>330000</v>
      </c>
      <c r="AA205" s="18">
        <f t="shared" si="180"/>
        <v>1150887400</v>
      </c>
      <c r="AB205" s="19">
        <f t="shared" si="180"/>
        <v>281268601</v>
      </c>
      <c r="AC205" s="142">
        <f t="shared" si="180"/>
        <v>94326390</v>
      </c>
      <c r="AD205" s="18">
        <f t="shared" si="180"/>
        <v>375594991</v>
      </c>
      <c r="AE205" s="19">
        <f t="shared" si="180"/>
        <v>99859243</v>
      </c>
      <c r="AF205" s="142">
        <f t="shared" si="180"/>
        <v>181739358</v>
      </c>
      <c r="AG205" s="18">
        <f t="shared" si="180"/>
        <v>281598601</v>
      </c>
      <c r="AH205" s="19">
        <f t="shared" si="180"/>
        <v>49112600</v>
      </c>
      <c r="AI205" s="15">
        <f t="shared" si="180"/>
        <v>824405009</v>
      </c>
      <c r="AJ205" s="16">
        <f t="shared" si="180"/>
        <v>918401399</v>
      </c>
      <c r="AK205" s="9"/>
      <c r="AL205" s="29">
        <f>AL206</f>
        <v>0</v>
      </c>
      <c r="AM205" s="26">
        <f>AM206</f>
        <v>0</v>
      </c>
      <c r="AN205" s="9"/>
    </row>
    <row r="206" spans="1:40" s="372" customFormat="1" ht="24.95" customHeight="1">
      <c r="A206" s="734"/>
      <c r="B206" s="644"/>
      <c r="N206" s="9"/>
      <c r="P206" s="9"/>
      <c r="Q206" s="9"/>
      <c r="R206" s="9"/>
      <c r="S206" s="689" t="str">
        <f>+IF(MARZO!S206=0,"",MARZO!S206)</f>
        <v>4100200-1</v>
      </c>
      <c r="T206" s="665" t="str">
        <f>+IF(MARZO!T206=0,"",MARZO!T206)</f>
        <v>Alimentación</v>
      </c>
      <c r="U206" s="27">
        <f>+ENERO!U206</f>
        <v>1200000000</v>
      </c>
      <c r="V206" s="15">
        <f>MARZO!V206+ABRIL!AL206</f>
        <v>0</v>
      </c>
      <c r="W206" s="15">
        <f>MARZO!W206+ABRIL!AM206</f>
        <v>0</v>
      </c>
      <c r="X206" s="18">
        <f>SUM(U206:W206)</f>
        <v>1200000000</v>
      </c>
      <c r="Y206" s="19">
        <f>MARZO!AA206</f>
        <v>1150557400</v>
      </c>
      <c r="Z206" s="364">
        <v>330000</v>
      </c>
      <c r="AA206" s="18">
        <f>SUM(Y206:Z206)</f>
        <v>1150887400</v>
      </c>
      <c r="AB206" s="19">
        <f>MARZO!AD206</f>
        <v>281268601</v>
      </c>
      <c r="AC206" s="364">
        <v>94326390</v>
      </c>
      <c r="AD206" s="18">
        <f>SUM(AB206:AC206)</f>
        <v>375594991</v>
      </c>
      <c r="AE206" s="19">
        <f>MARZO!AG206</f>
        <v>99859243</v>
      </c>
      <c r="AF206" s="364">
        <v>181739358</v>
      </c>
      <c r="AG206" s="18">
        <f>SUM(AE206:AF206)</f>
        <v>281598601</v>
      </c>
      <c r="AH206" s="19">
        <f>X206-AA206</f>
        <v>49112600</v>
      </c>
      <c r="AI206" s="15">
        <f>X206-AD206</f>
        <v>824405009</v>
      </c>
      <c r="AJ206" s="16">
        <f>X206-AG206</f>
        <v>918401399</v>
      </c>
      <c r="AK206" s="9"/>
      <c r="AL206" s="362">
        <v>0</v>
      </c>
      <c r="AM206" s="365">
        <v>0</v>
      </c>
      <c r="AN206" s="9"/>
    </row>
    <row r="207" spans="1:40" s="372" customFormat="1" ht="24.95" customHeight="1" thickBot="1">
      <c r="A207" s="734"/>
      <c r="B207" s="644"/>
      <c r="N207" s="9"/>
      <c r="P207" s="9"/>
      <c r="Q207" s="9"/>
      <c r="R207" s="9"/>
      <c r="S207" s="691">
        <f>+IF(MARZO!S207=0,"",MARZO!S207)</f>
        <v>4199999</v>
      </c>
      <c r="T207" s="670" t="str">
        <f>+IF(MARZO!T207=0,"",MARZO!T207)</f>
        <v>Vigencias Anteriores</v>
      </c>
      <c r="U207" s="133">
        <f>+ENERO!U207</f>
        <v>998630863</v>
      </c>
      <c r="V207" s="121">
        <f>MARZO!V207+ABRIL!AL207</f>
        <v>10000000</v>
      </c>
      <c r="W207" s="121">
        <f>MARZO!W207+ABRIL!AM207</f>
        <v>4337873994</v>
      </c>
      <c r="X207" s="126">
        <f>SUM(U207:W207)</f>
        <v>5346504857</v>
      </c>
      <c r="Y207" s="124">
        <f>MARZO!AA207</f>
        <v>2861189804</v>
      </c>
      <c r="Z207" s="378">
        <v>1954899406</v>
      </c>
      <c r="AA207" s="126">
        <f>SUM(Y207:Z207)</f>
        <v>4816089210</v>
      </c>
      <c r="AB207" s="124">
        <f>MARZO!AD207</f>
        <v>2861189804</v>
      </c>
      <c r="AC207" s="378">
        <v>1954899406</v>
      </c>
      <c r="AD207" s="126">
        <f>SUM(AB207:AC207)</f>
        <v>4816089210</v>
      </c>
      <c r="AE207" s="124">
        <f>MARZO!AG207</f>
        <v>2861189804</v>
      </c>
      <c r="AF207" s="378">
        <v>1954899406</v>
      </c>
      <c r="AG207" s="126">
        <f>SUM(AE207:AF207)</f>
        <v>4816089210</v>
      </c>
      <c r="AH207" s="124">
        <f>X207-AA207</f>
        <v>530415647</v>
      </c>
      <c r="AI207" s="121">
        <f>X207-AD207</f>
        <v>530415647</v>
      </c>
      <c r="AJ207" s="125">
        <f>X207-AG207</f>
        <v>530415647</v>
      </c>
      <c r="AK207" s="9"/>
      <c r="AL207" s="374">
        <v>0</v>
      </c>
      <c r="AM207" s="379">
        <v>0</v>
      </c>
      <c r="AN207" s="9"/>
    </row>
    <row r="208" spans="1:40" s="372" customFormat="1" ht="24.95" customHeight="1">
      <c r="A208" s="734"/>
      <c r="B208" s="644"/>
      <c r="N208" s="9"/>
      <c r="P208" s="9"/>
      <c r="Q208" s="9"/>
      <c r="R208" s="9"/>
      <c r="S208" s="479" t="str">
        <f>+IF(MARZO!S208=0,"",MARZO!S208)</f>
        <v/>
      </c>
      <c r="T208" s="671" t="str">
        <f>+IF(MARZO!T208=0,"",MARZO!T208)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+IF(MARZO!S209=0,"",MARZO!S209)</f>
        <v>5000000</v>
      </c>
      <c r="T209" s="708" t="str">
        <f>+IF(MARZO!T209=0,"",MARZO!T209)</f>
        <v>GASTOS DE COMERCIALIZACION</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462">
        <f t="shared" si="181"/>
        <v>0</v>
      </c>
      <c r="AE209" s="369">
        <f t="shared" si="181"/>
        <v>0</v>
      </c>
      <c r="AF209" s="461">
        <f t="shared" si="181"/>
        <v>0</v>
      </c>
      <c r="AG209" s="462">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N210" s="9"/>
      <c r="P210" s="9"/>
      <c r="Q210" s="9"/>
      <c r="R210" s="9"/>
      <c r="S210" s="687">
        <f>+IF(MARZO!S210=0,"",MARZO!S210)</f>
        <v>5100000</v>
      </c>
      <c r="T210" s="663" t="str">
        <f>+IF(MARZO!T210=0,"",MARZO!T210)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29">
        <f t="shared" si="182"/>
        <v>0</v>
      </c>
      <c r="AE210" s="128">
        <f t="shared" si="182"/>
        <v>0</v>
      </c>
      <c r="AF210" s="122">
        <f t="shared" si="182"/>
        <v>0</v>
      </c>
      <c r="AG210" s="129">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N211" s="9"/>
      <c r="P211" s="9"/>
      <c r="Q211" s="9"/>
      <c r="R211" s="9"/>
      <c r="S211" s="688">
        <f>+IF(MARZO!S211=0,"",MARZO!S211)</f>
        <v>5100100</v>
      </c>
      <c r="T211" s="664" t="str">
        <f>+IF(MARZO!T211=0,"",MARZO!T211)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8">
        <f t="shared" si="183"/>
        <v>0</v>
      </c>
      <c r="AE211" s="19">
        <f t="shared" si="183"/>
        <v>0</v>
      </c>
      <c r="AF211" s="142">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N212" s="9"/>
      <c r="P212" s="9"/>
      <c r="Q212" s="9"/>
      <c r="R212" s="9"/>
      <c r="S212" s="689" t="str">
        <f>+IF(MARZO!S212=0,"",MARZO!S212)</f>
        <v>5100100-1</v>
      </c>
      <c r="T212" s="665" t="str">
        <f>+IF(MARZO!T212=0,"",MARZO!T212)</f>
        <v>Productos Farmaceuticos</v>
      </c>
      <c r="U212" s="27">
        <f>+ENERO!U212</f>
        <v>0</v>
      </c>
      <c r="V212" s="15">
        <f>MARZO!V212+ABRIL!AL212</f>
        <v>0</v>
      </c>
      <c r="W212" s="15">
        <f>MARZO!W212+ABRIL!AM212</f>
        <v>0</v>
      </c>
      <c r="X212" s="18">
        <f t="shared" ref="X212:X218" si="184">SUM(U212:W212)</f>
        <v>0</v>
      </c>
      <c r="Y212" s="19">
        <f>MARZO!AA212</f>
        <v>0</v>
      </c>
      <c r="Z212" s="364">
        <v>0</v>
      </c>
      <c r="AA212" s="18">
        <f t="shared" ref="AA212:AA218" si="185">SUM(Y212:Z212)</f>
        <v>0</v>
      </c>
      <c r="AB212" s="19">
        <f>MARZO!AD212</f>
        <v>0</v>
      </c>
      <c r="AC212" s="364">
        <v>0</v>
      </c>
      <c r="AD212" s="18">
        <f t="shared" ref="AD212:AD218" si="186">SUM(AB212:AC212)</f>
        <v>0</v>
      </c>
      <c r="AE212" s="19">
        <f>MARZO!AG212</f>
        <v>0</v>
      </c>
      <c r="AF212" s="364">
        <v>0</v>
      </c>
      <c r="AG212" s="1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N213" s="9"/>
      <c r="P213" s="9"/>
      <c r="Q213" s="9"/>
      <c r="R213" s="9"/>
      <c r="S213" s="689" t="str">
        <f>+IF(MARZO!S213=0,"",MARZO!S213)</f>
        <v>5100100-2</v>
      </c>
      <c r="T213" s="665" t="str">
        <f>+IF(MARZO!T213=0,"",MARZO!T213)</f>
        <v>Material Médico Quirúrgico</v>
      </c>
      <c r="U213" s="27">
        <f>+ENERO!U213</f>
        <v>0</v>
      </c>
      <c r="V213" s="15">
        <f>MARZO!V213+ABRIL!AL213</f>
        <v>0</v>
      </c>
      <c r="W213" s="15">
        <f>MARZO!W213+ABRIL!AM213</f>
        <v>0</v>
      </c>
      <c r="X213" s="18">
        <f t="shared" si="184"/>
        <v>0</v>
      </c>
      <c r="Y213" s="19">
        <f>MARZO!AA213</f>
        <v>0</v>
      </c>
      <c r="Z213" s="364">
        <v>0</v>
      </c>
      <c r="AA213" s="18">
        <f t="shared" si="185"/>
        <v>0</v>
      </c>
      <c r="AB213" s="19">
        <f>MARZO!AD213</f>
        <v>0</v>
      </c>
      <c r="AC213" s="364">
        <v>0</v>
      </c>
      <c r="AD213" s="18">
        <f t="shared" si="186"/>
        <v>0</v>
      </c>
      <c r="AE213" s="19">
        <f>MARZO!AG213</f>
        <v>0</v>
      </c>
      <c r="AF213" s="364">
        <v>0</v>
      </c>
      <c r="AG213" s="18">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N214" s="9"/>
      <c r="P214" s="9"/>
      <c r="Q214" s="9"/>
      <c r="R214" s="9"/>
      <c r="S214" s="689" t="str">
        <f>+IF(MARZO!S214=0,"",MARZO!S214)</f>
        <v>5100100-3</v>
      </c>
      <c r="T214" s="665" t="str">
        <f>+IF(MARZO!T214=0,"",MARZO!T214)</f>
        <v>Material de Laboratorio</v>
      </c>
      <c r="U214" s="27">
        <f>+ENERO!U214</f>
        <v>0</v>
      </c>
      <c r="V214" s="15">
        <f>MARZO!V214+ABRIL!AL214</f>
        <v>0</v>
      </c>
      <c r="W214" s="15">
        <f>MARZO!W214+ABRIL!AM214</f>
        <v>0</v>
      </c>
      <c r="X214" s="18">
        <f t="shared" si="184"/>
        <v>0</v>
      </c>
      <c r="Y214" s="19">
        <f>MARZO!AA214</f>
        <v>0</v>
      </c>
      <c r="Z214" s="364">
        <v>0</v>
      </c>
      <c r="AA214" s="18">
        <f t="shared" si="185"/>
        <v>0</v>
      </c>
      <c r="AB214" s="19">
        <f>MARZO!AD214</f>
        <v>0</v>
      </c>
      <c r="AC214" s="364">
        <v>0</v>
      </c>
      <c r="AD214" s="18">
        <f t="shared" si="186"/>
        <v>0</v>
      </c>
      <c r="AE214" s="19">
        <f>MARZO!AG214</f>
        <v>0</v>
      </c>
      <c r="AF214" s="364">
        <v>0</v>
      </c>
      <c r="AG214" s="18">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N215" s="9"/>
      <c r="P215" s="9"/>
      <c r="Q215" s="9"/>
      <c r="R215" s="9"/>
      <c r="S215" s="689" t="str">
        <f>+IF(MARZO!S215=0,"",MARZO!S215)</f>
        <v>5100100-4</v>
      </c>
      <c r="T215" s="665" t="str">
        <f>+IF(MARZO!T215=0,"",MARZO!T215)</f>
        <v>Material para Odontologia</v>
      </c>
      <c r="U215" s="27">
        <f>+ENERO!U215</f>
        <v>0</v>
      </c>
      <c r="V215" s="15">
        <f>MARZO!V215+ABRIL!AL215</f>
        <v>0</v>
      </c>
      <c r="W215" s="15">
        <f>MARZO!W215+ABRIL!AM215</f>
        <v>0</v>
      </c>
      <c r="X215" s="18">
        <f t="shared" si="184"/>
        <v>0</v>
      </c>
      <c r="Y215" s="19">
        <f>MARZO!AA215</f>
        <v>0</v>
      </c>
      <c r="Z215" s="364">
        <v>0</v>
      </c>
      <c r="AA215" s="18">
        <f t="shared" si="185"/>
        <v>0</v>
      </c>
      <c r="AB215" s="19">
        <f>MARZO!AD215</f>
        <v>0</v>
      </c>
      <c r="AC215" s="364">
        <v>0</v>
      </c>
      <c r="AD215" s="18">
        <f t="shared" si="186"/>
        <v>0</v>
      </c>
      <c r="AE215" s="19">
        <f>MARZO!AG215</f>
        <v>0</v>
      </c>
      <c r="AF215" s="364">
        <v>0</v>
      </c>
      <c r="AG215" s="18">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N216" s="9"/>
      <c r="P216" s="9"/>
      <c r="Q216" s="9"/>
      <c r="R216" s="9"/>
      <c r="S216" s="689" t="str">
        <f>+IF(MARZO!S216=0,"",MARZO!S216)</f>
        <v>5100100-5</v>
      </c>
      <c r="T216" s="665" t="str">
        <f>+IF(MARZO!T216=0,"",MARZO!T216)</f>
        <v>Material para Rayos X</v>
      </c>
      <c r="U216" s="27">
        <f>+ENERO!U216</f>
        <v>0</v>
      </c>
      <c r="V216" s="15">
        <f>MARZO!V216+ABRIL!AL216</f>
        <v>0</v>
      </c>
      <c r="W216" s="15">
        <f>MARZO!W216+ABRIL!AM216</f>
        <v>0</v>
      </c>
      <c r="X216" s="18">
        <f t="shared" si="184"/>
        <v>0</v>
      </c>
      <c r="Y216" s="19">
        <f>MARZO!AA216</f>
        <v>0</v>
      </c>
      <c r="Z216" s="364">
        <v>0</v>
      </c>
      <c r="AA216" s="18">
        <f t="shared" si="185"/>
        <v>0</v>
      </c>
      <c r="AB216" s="19">
        <f>MARZO!AD216</f>
        <v>0</v>
      </c>
      <c r="AC216" s="364">
        <v>0</v>
      </c>
      <c r="AD216" s="18">
        <f t="shared" si="186"/>
        <v>0</v>
      </c>
      <c r="AE216" s="19">
        <f>MARZO!AG216</f>
        <v>0</v>
      </c>
      <c r="AF216" s="364">
        <v>0</v>
      </c>
      <c r="AG216" s="18">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N217" s="9"/>
      <c r="P217" s="9"/>
      <c r="Q217" s="9"/>
      <c r="R217" s="9"/>
      <c r="S217" s="689" t="str">
        <f>+IF(MARZO!S217=0,"",MARZO!S217)</f>
        <v>5100100-6</v>
      </c>
      <c r="T217" s="665" t="str">
        <f>+IF(MARZO!T217=0,"",MARZO!T217)</f>
        <v>Material aseo personal, etc.</v>
      </c>
      <c r="U217" s="27">
        <f>+ENERO!U217</f>
        <v>0</v>
      </c>
      <c r="V217" s="15">
        <f>MARZO!V217+ABRIL!AL217</f>
        <v>0</v>
      </c>
      <c r="W217" s="15">
        <f>MARZO!W217+ABRIL!AM217</f>
        <v>0</v>
      </c>
      <c r="X217" s="18">
        <f t="shared" si="184"/>
        <v>0</v>
      </c>
      <c r="Y217" s="19">
        <f>MARZO!AA217</f>
        <v>0</v>
      </c>
      <c r="Z217" s="364">
        <v>0</v>
      </c>
      <c r="AA217" s="18">
        <f t="shared" si="185"/>
        <v>0</v>
      </c>
      <c r="AB217" s="19">
        <f>MARZO!AD217</f>
        <v>0</v>
      </c>
      <c r="AC217" s="364">
        <v>0</v>
      </c>
      <c r="AD217" s="18">
        <f t="shared" si="186"/>
        <v>0</v>
      </c>
      <c r="AE217" s="19">
        <f>MARZO!AG217</f>
        <v>0</v>
      </c>
      <c r="AF217" s="364">
        <v>0</v>
      </c>
      <c r="AG217" s="18">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N218" s="9"/>
      <c r="P218" s="9"/>
      <c r="Q218" s="9"/>
      <c r="R218" s="9"/>
      <c r="S218" s="698">
        <f>+IF(MARZO!S218=0,"",MARZO!S218)</f>
        <v>5199999</v>
      </c>
      <c r="T218" s="680" t="str">
        <f>+IF(MARZO!T218=0,"",MARZO!T218)</f>
        <v>Vigencias Anteriores</v>
      </c>
      <c r="U218" s="133">
        <f>+ENERO!U218</f>
        <v>0</v>
      </c>
      <c r="V218" s="121">
        <f>MARZO!V218+ABRIL!AL218</f>
        <v>0</v>
      </c>
      <c r="W218" s="121">
        <f>MARZO!W218+ABRIL!AM218</f>
        <v>0</v>
      </c>
      <c r="X218" s="126">
        <f t="shared" si="184"/>
        <v>0</v>
      </c>
      <c r="Y218" s="124">
        <f>MARZO!AA218</f>
        <v>0</v>
      </c>
      <c r="Z218" s="378">
        <v>0</v>
      </c>
      <c r="AA218" s="126">
        <f t="shared" si="185"/>
        <v>0</v>
      </c>
      <c r="AB218" s="124">
        <f>MARZO!AD218</f>
        <v>0</v>
      </c>
      <c r="AC218" s="378">
        <v>0</v>
      </c>
      <c r="AD218" s="126">
        <f t="shared" si="186"/>
        <v>0</v>
      </c>
      <c r="AE218" s="124">
        <f>MARZO!AG218</f>
        <v>0</v>
      </c>
      <c r="AF218" s="378">
        <v>0</v>
      </c>
      <c r="AG218" s="126">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N219" s="9"/>
      <c r="P219" s="9"/>
      <c r="Q219" s="9"/>
      <c r="R219" s="9"/>
      <c r="S219" s="485" t="str">
        <f>+IF(MARZO!S219=0,"",MARZO!S219)</f>
        <v/>
      </c>
      <c r="T219" s="677" t="str">
        <f>+IF(MARZO!T219=0,"",MARZO!T219)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+IF(MARZO!S220=0,"",MARZO!S220)</f>
        <v>C</v>
      </c>
      <c r="T220" s="659" t="str">
        <f>+IF(MARZO!T220=0,"",MARZO!T220)</f>
        <v xml:space="preserve">SERVICIO DE LA DEUDA </v>
      </c>
      <c r="U220" s="348">
        <f t="shared" ref="U220:AJ220" si="191">U222+U227</f>
        <v>262344980</v>
      </c>
      <c r="V220" s="349">
        <f t="shared" si="191"/>
        <v>0</v>
      </c>
      <c r="W220" s="349">
        <f t="shared" si="191"/>
        <v>27000000</v>
      </c>
      <c r="X220" s="352">
        <f t="shared" si="191"/>
        <v>289344980</v>
      </c>
      <c r="Y220" s="351">
        <f t="shared" si="191"/>
        <v>104229891</v>
      </c>
      <c r="Z220" s="349">
        <f t="shared" si="191"/>
        <v>25834146</v>
      </c>
      <c r="AA220" s="352">
        <f t="shared" si="191"/>
        <v>130064037</v>
      </c>
      <c r="AB220" s="351">
        <f t="shared" si="191"/>
        <v>104229891</v>
      </c>
      <c r="AC220" s="349">
        <f t="shared" si="191"/>
        <v>25834146</v>
      </c>
      <c r="AD220" s="352">
        <f t="shared" si="191"/>
        <v>130064037</v>
      </c>
      <c r="AE220" s="351">
        <f t="shared" si="191"/>
        <v>78209675</v>
      </c>
      <c r="AF220" s="349">
        <f t="shared" si="191"/>
        <v>26020216</v>
      </c>
      <c r="AG220" s="352">
        <f t="shared" si="191"/>
        <v>104229891</v>
      </c>
      <c r="AH220" s="351">
        <f t="shared" si="191"/>
        <v>159280943</v>
      </c>
      <c r="AI220" s="349">
        <f t="shared" si="191"/>
        <v>159280943</v>
      </c>
      <c r="AJ220" s="350">
        <f t="shared" si="191"/>
        <v>185115089</v>
      </c>
      <c r="AK220" s="490"/>
      <c r="AL220" s="351">
        <f>AL222+AL227</f>
        <v>0</v>
      </c>
      <c r="AM220" s="350">
        <f>AM222+AM227</f>
        <v>0</v>
      </c>
      <c r="AN220" s="9"/>
    </row>
    <row r="221" spans="1:40" s="372" customFormat="1" ht="24.95" customHeight="1">
      <c r="A221" s="734"/>
      <c r="B221" s="644"/>
      <c r="N221" s="9"/>
      <c r="P221" s="9"/>
      <c r="Q221" s="9"/>
      <c r="R221" s="9"/>
      <c r="S221" s="356" t="str">
        <f>+IF(MARZO!S221=0,"",MARZO!S221)</f>
        <v/>
      </c>
      <c r="T221" s="678" t="str">
        <f>+IF(MARZO!T221=0,"",MARZO!T221)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+IF(MARZO!S222=0,"",MARZO!S222)</f>
        <v>7001000</v>
      </c>
      <c r="T222" s="663" t="str">
        <f>+IF(MARZO!T222=0,"",MARZO!T222)</f>
        <v>SERVICIO DE LA DEUDA INTERNA</v>
      </c>
      <c r="U222" s="132">
        <f t="shared" ref="U222:AJ222" si="192">SUM(U223:U225)</f>
        <v>262344980</v>
      </c>
      <c r="V222" s="122">
        <f t="shared" si="192"/>
        <v>0</v>
      </c>
      <c r="W222" s="122">
        <f t="shared" si="192"/>
        <v>27000000</v>
      </c>
      <c r="X222" s="129">
        <f t="shared" si="192"/>
        <v>289344980</v>
      </c>
      <c r="Y222" s="128">
        <f t="shared" si="192"/>
        <v>104229891</v>
      </c>
      <c r="Z222" s="122">
        <f t="shared" si="192"/>
        <v>25834146</v>
      </c>
      <c r="AA222" s="129">
        <f t="shared" si="192"/>
        <v>130064037</v>
      </c>
      <c r="AB222" s="128">
        <f t="shared" si="192"/>
        <v>104229891</v>
      </c>
      <c r="AC222" s="122">
        <f t="shared" si="192"/>
        <v>25834146</v>
      </c>
      <c r="AD222" s="129">
        <f t="shared" si="192"/>
        <v>130064037</v>
      </c>
      <c r="AE222" s="128">
        <f t="shared" si="192"/>
        <v>78209675</v>
      </c>
      <c r="AF222" s="122">
        <f t="shared" si="192"/>
        <v>26020216</v>
      </c>
      <c r="AG222" s="129">
        <f t="shared" si="192"/>
        <v>104229891</v>
      </c>
      <c r="AH222" s="128">
        <f t="shared" si="192"/>
        <v>159280943</v>
      </c>
      <c r="AI222" s="122">
        <f t="shared" si="192"/>
        <v>159280943</v>
      </c>
      <c r="AJ222" s="130">
        <f t="shared" si="192"/>
        <v>185115089</v>
      </c>
      <c r="AK222" s="9"/>
      <c r="AL222" s="128">
        <f>SUM(AL223:AL225)</f>
        <v>0</v>
      </c>
      <c r="AM222" s="130">
        <f>SUM(AM223:AM225)</f>
        <v>0</v>
      </c>
      <c r="AN222" s="9"/>
    </row>
    <row r="223" spans="1:40" s="372" customFormat="1" ht="24.95" customHeight="1">
      <c r="A223" s="734"/>
      <c r="B223" s="644"/>
      <c r="N223" s="9"/>
      <c r="P223" s="9"/>
      <c r="Q223" s="9"/>
      <c r="R223" s="9"/>
      <c r="S223" s="688">
        <f>+IF(MARZO!S223=0,"",MARZO!S223)</f>
        <v>7001100</v>
      </c>
      <c r="T223" s="664" t="str">
        <f>+IF(MARZO!T223=0,"",MARZO!T223)</f>
        <v>Amortización deuda Pública Interna</v>
      </c>
      <c r="U223" s="27">
        <f>+ENERO!U223</f>
        <v>250000000</v>
      </c>
      <c r="V223" s="15">
        <f>MARZO!V223+ABRIL!AL223</f>
        <v>0</v>
      </c>
      <c r="W223" s="15">
        <f>MARZO!W223+ABRIL!AM223</f>
        <v>0</v>
      </c>
      <c r="X223" s="18">
        <f>SUM(U223:W223)</f>
        <v>250000000</v>
      </c>
      <c r="Y223" s="19">
        <f>MARZO!AA223</f>
        <v>75000000</v>
      </c>
      <c r="Z223" s="364">
        <v>25000000</v>
      </c>
      <c r="AA223" s="18">
        <f>SUM(Y223:Z223)</f>
        <v>100000000</v>
      </c>
      <c r="AB223" s="19">
        <f>MARZO!AD223</f>
        <v>75000000</v>
      </c>
      <c r="AC223" s="364">
        <v>25000000</v>
      </c>
      <c r="AD223" s="18">
        <f>SUM(AB223:AC223)</f>
        <v>100000000</v>
      </c>
      <c r="AE223" s="19">
        <f>MARZO!AG223</f>
        <v>50000000</v>
      </c>
      <c r="AF223" s="364">
        <v>25000000</v>
      </c>
      <c r="AG223" s="18">
        <f>SUM(AE223:AF223)</f>
        <v>75000000</v>
      </c>
      <c r="AH223" s="19">
        <f>X223-AA223</f>
        <v>150000000</v>
      </c>
      <c r="AI223" s="15">
        <f>X223-AD223</f>
        <v>150000000</v>
      </c>
      <c r="AJ223" s="16">
        <f>X223-AG223</f>
        <v>175000000</v>
      </c>
      <c r="AK223" s="9"/>
      <c r="AL223" s="362">
        <v>0</v>
      </c>
      <c r="AM223" s="365">
        <v>0</v>
      </c>
      <c r="AN223" s="9"/>
    </row>
    <row r="224" spans="1:40" s="372" customFormat="1" ht="24.95" customHeight="1">
      <c r="A224" s="734"/>
      <c r="B224" s="644"/>
      <c r="N224" s="9"/>
      <c r="P224" s="9"/>
      <c r="Q224" s="9"/>
      <c r="R224" s="9"/>
      <c r="S224" s="688">
        <f>+IF(MARZO!S224=0,"",MARZO!S224)</f>
        <v>7001200</v>
      </c>
      <c r="T224" s="664" t="str">
        <f>+IF(MARZO!T224=0,"",MARZO!T224)</f>
        <v>Intereses Comisiones y gastos de la Deuda Pública</v>
      </c>
      <c r="U224" s="27">
        <f>+ENERO!U224</f>
        <v>12344980</v>
      </c>
      <c r="V224" s="15">
        <f>MARZO!V224+ABRIL!AL224</f>
        <v>0</v>
      </c>
      <c r="W224" s="15">
        <f>MARZO!W224+ABRIL!AM224</f>
        <v>0</v>
      </c>
      <c r="X224" s="18">
        <f>SUM(U224:W224)</f>
        <v>12344980</v>
      </c>
      <c r="Y224" s="19">
        <f>MARZO!AA224</f>
        <v>2957237</v>
      </c>
      <c r="Z224" s="364">
        <v>834146</v>
      </c>
      <c r="AA224" s="18">
        <f>SUM(Y224:Z224)</f>
        <v>3791383</v>
      </c>
      <c r="AB224" s="19">
        <f>MARZO!AD224</f>
        <v>2957237</v>
      </c>
      <c r="AC224" s="364">
        <v>834146</v>
      </c>
      <c r="AD224" s="18">
        <f>SUM(AB224:AC224)</f>
        <v>3791383</v>
      </c>
      <c r="AE224" s="19">
        <f>MARZO!AG224</f>
        <v>1937021</v>
      </c>
      <c r="AF224" s="364">
        <v>1020216</v>
      </c>
      <c r="AG224" s="18">
        <f>SUM(AE224:AF224)</f>
        <v>2957237</v>
      </c>
      <c r="AH224" s="19">
        <f>X224-AA224</f>
        <v>8553597</v>
      </c>
      <c r="AI224" s="15">
        <f>X224-AD224</f>
        <v>8553597</v>
      </c>
      <c r="AJ224" s="16">
        <f>X224-AG224</f>
        <v>9387743</v>
      </c>
      <c r="AK224" s="9"/>
      <c r="AL224" s="362">
        <v>0</v>
      </c>
      <c r="AM224" s="365">
        <v>0</v>
      </c>
      <c r="AN224" s="9"/>
    </row>
    <row r="225" spans="1:64" s="372" customFormat="1" ht="24.95" customHeight="1">
      <c r="A225" s="734"/>
      <c r="B225" s="644"/>
      <c r="N225" s="9"/>
      <c r="P225" s="9"/>
      <c r="Q225" s="9"/>
      <c r="R225" s="9"/>
      <c r="S225" s="688">
        <f>+IF(MARZO!S225=0,"",MARZO!S225)</f>
        <v>7001999</v>
      </c>
      <c r="T225" s="664" t="str">
        <f>+IF(MARZO!T225=0,"",MARZO!T225)</f>
        <v>Vigencias Anteriores</v>
      </c>
      <c r="U225" s="27">
        <f>+ENERO!U225</f>
        <v>0</v>
      </c>
      <c r="V225" s="15">
        <f>MARZO!V225+ABRIL!AL225</f>
        <v>0</v>
      </c>
      <c r="W225" s="15">
        <f>MARZO!W225+ABRIL!AM225</f>
        <v>27000000</v>
      </c>
      <c r="X225" s="18">
        <f>SUM(U225:W225)</f>
        <v>27000000</v>
      </c>
      <c r="Y225" s="19">
        <f>MARZO!AA225</f>
        <v>26272654</v>
      </c>
      <c r="Z225" s="364">
        <v>0</v>
      </c>
      <c r="AA225" s="18">
        <f>SUM(Y225:Z225)</f>
        <v>26272654</v>
      </c>
      <c r="AB225" s="19">
        <f>MARZO!AD225</f>
        <v>26272654</v>
      </c>
      <c r="AC225" s="364">
        <v>0</v>
      </c>
      <c r="AD225" s="18">
        <f>SUM(AB225:AC225)</f>
        <v>26272654</v>
      </c>
      <c r="AE225" s="19">
        <f>MARZO!AG225</f>
        <v>26272654</v>
      </c>
      <c r="AF225" s="364">
        <v>0</v>
      </c>
      <c r="AG225" s="18">
        <f>SUM(AE225:AF225)</f>
        <v>26272654</v>
      </c>
      <c r="AH225" s="19">
        <f>X225-AA225</f>
        <v>727346</v>
      </c>
      <c r="AI225" s="15">
        <f>X225-AD225</f>
        <v>727346</v>
      </c>
      <c r="AJ225" s="16">
        <f>X225-AG225</f>
        <v>727346</v>
      </c>
      <c r="AK225" s="9"/>
      <c r="AL225" s="362">
        <v>0</v>
      </c>
      <c r="AM225" s="365">
        <v>0</v>
      </c>
      <c r="AN225" s="9"/>
    </row>
    <row r="226" spans="1:64" s="372" customFormat="1" ht="24.95" customHeight="1">
      <c r="A226" s="734"/>
      <c r="B226" s="644"/>
      <c r="N226" s="9"/>
      <c r="P226" s="9"/>
      <c r="Q226" s="9"/>
      <c r="R226" s="9"/>
      <c r="S226" s="356" t="str">
        <f>+IF(MARZO!S226=0,"",MARZO!S226)</f>
        <v/>
      </c>
      <c r="T226" s="678" t="str">
        <f>+IF(MARZO!T226=0,"",MARZO!T226)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+IF(MARZO!S227=0,"",MARZO!S227)</f>
        <v>7002001</v>
      </c>
      <c r="T227" s="663" t="str">
        <f>+IF(MARZO!T227=0,"",MARZO!T227)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row>
    <row r="228" spans="1:64" s="372" customFormat="1" ht="24.95" customHeight="1">
      <c r="A228" s="734"/>
      <c r="B228" s="644"/>
      <c r="N228" s="9"/>
      <c r="P228" s="9"/>
      <c r="Q228" s="9"/>
      <c r="R228" s="9"/>
      <c r="S228" s="688">
        <f>+IF(MARZO!S228=0,"",MARZO!S228)</f>
        <v>7002100</v>
      </c>
      <c r="T228" s="664" t="str">
        <f>+IF(MARZO!T228=0,"",MARZO!T228)</f>
        <v>Amortización deuda Pública Externa</v>
      </c>
      <c r="U228" s="27">
        <f>+ENERO!U228</f>
        <v>0</v>
      </c>
      <c r="V228" s="15">
        <f>MARZO!V228+ABRIL!AL228</f>
        <v>0</v>
      </c>
      <c r="W228" s="15">
        <f>MARZO!W228+ABRIL!AM228</f>
        <v>0</v>
      </c>
      <c r="X228" s="18">
        <f>SUM(U228:W228)</f>
        <v>0</v>
      </c>
      <c r="Y228" s="19">
        <f>MARZO!AA228</f>
        <v>0</v>
      </c>
      <c r="Z228" s="364">
        <v>0</v>
      </c>
      <c r="AA228" s="18">
        <f>SUM(Y228:Z228)</f>
        <v>0</v>
      </c>
      <c r="AB228" s="19">
        <f>MARZO!AD228</f>
        <v>0</v>
      </c>
      <c r="AC228" s="364">
        <v>0</v>
      </c>
      <c r="AD228" s="18">
        <f>SUM(AB228:AC228)</f>
        <v>0</v>
      </c>
      <c r="AE228" s="19">
        <f>MARZO!AG228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+IF(MARZO!S229=0,"",MARZO!S229)</f>
        <v>7002200</v>
      </c>
      <c r="T229" s="664" t="str">
        <f>+IF(MARZO!T229=0,"",MARZO!T229)</f>
        <v>Intereses Comisiones y gastos de la Deuda Pública</v>
      </c>
      <c r="U229" s="27">
        <f>+ENERO!U229</f>
        <v>0</v>
      </c>
      <c r="V229" s="15">
        <f>MARZO!V229+ABRIL!AL229</f>
        <v>0</v>
      </c>
      <c r="W229" s="15">
        <f>MARZO!W229+ABRIL!AM229</f>
        <v>0</v>
      </c>
      <c r="X229" s="18">
        <f>SUM(U229:W229)</f>
        <v>0</v>
      </c>
      <c r="Y229" s="19">
        <f>MARZO!AA229</f>
        <v>0</v>
      </c>
      <c r="Z229" s="364">
        <v>0</v>
      </c>
      <c r="AA229" s="18">
        <f>SUM(Y229:Z229)</f>
        <v>0</v>
      </c>
      <c r="AB229" s="19">
        <f>MARZO!AD229</f>
        <v>0</v>
      </c>
      <c r="AC229" s="364">
        <v>0</v>
      </c>
      <c r="AD229" s="18">
        <f>SUM(AB229:AC229)</f>
        <v>0</v>
      </c>
      <c r="AE229" s="19">
        <f>MARZO!AG229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+IF(MARZO!S230=0,"",MARZO!S230)</f>
        <v>7002999</v>
      </c>
      <c r="T230" s="670" t="str">
        <f>+IF(MARZO!T230=0,"",MARZO!T230)</f>
        <v>Vigencias Anteriores</v>
      </c>
      <c r="U230" s="133">
        <f>+ENERO!U230</f>
        <v>0</v>
      </c>
      <c r="V230" s="121">
        <f>MARZO!V230+ABRIL!AL230</f>
        <v>0</v>
      </c>
      <c r="W230" s="121">
        <f>MARZO!W230+ABRIL!AM230</f>
        <v>0</v>
      </c>
      <c r="X230" s="126">
        <f>SUM(U230:W230)</f>
        <v>0</v>
      </c>
      <c r="Y230" s="124">
        <f>MARZO!AA230</f>
        <v>0</v>
      </c>
      <c r="Z230" s="378">
        <v>0</v>
      </c>
      <c r="AA230" s="126">
        <f>SUM(Y230:Z230)</f>
        <v>0</v>
      </c>
      <c r="AB230" s="124">
        <f>MARZO!AD230</f>
        <v>0</v>
      </c>
      <c r="AC230" s="378">
        <v>0</v>
      </c>
      <c r="AD230" s="126">
        <f>SUM(AB230:AC230)</f>
        <v>0</v>
      </c>
      <c r="AE230" s="124">
        <f>MARZO!AG230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+IF(MARZO!S231=0,"",MARZO!S231)</f>
        <v/>
      </c>
      <c r="T231" s="671" t="str">
        <f>+IF(MARZO!T231=0,"",MARZO!T231)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+IF(MARZO!S232=0,"",MARZO!S232)</f>
        <v>D</v>
      </c>
      <c r="T232" s="679" t="str">
        <f>+IF(MARZO!T232=0,"",MARZO!T232)</f>
        <v>INVERSION</v>
      </c>
      <c r="U232" s="460">
        <f>U234+U243</f>
        <v>5765730053</v>
      </c>
      <c r="V232" s="461">
        <f t="shared" ref="V232:AJ232" si="194">V234+V243</f>
        <v>0</v>
      </c>
      <c r="W232" s="461">
        <f t="shared" si="194"/>
        <v>18572523310</v>
      </c>
      <c r="X232" s="462">
        <f t="shared" si="194"/>
        <v>24338253363</v>
      </c>
      <c r="Y232" s="369">
        <f t="shared" si="194"/>
        <v>9370193864</v>
      </c>
      <c r="Z232" s="461">
        <f t="shared" si="194"/>
        <v>1615324809</v>
      </c>
      <c r="AA232" s="462">
        <f t="shared" si="194"/>
        <v>10985518673</v>
      </c>
      <c r="AB232" s="369">
        <f t="shared" si="194"/>
        <v>3212106244</v>
      </c>
      <c r="AC232" s="461">
        <f t="shared" si="194"/>
        <v>1622543867</v>
      </c>
      <c r="AD232" s="462">
        <f t="shared" si="194"/>
        <v>4834650111</v>
      </c>
      <c r="AE232" s="369">
        <f t="shared" si="194"/>
        <v>2441609860</v>
      </c>
      <c r="AF232" s="461">
        <f t="shared" si="194"/>
        <v>1544766952</v>
      </c>
      <c r="AG232" s="462">
        <f t="shared" si="194"/>
        <v>3986376812</v>
      </c>
      <c r="AH232" s="369">
        <f t="shared" si="194"/>
        <v>13352734690</v>
      </c>
      <c r="AI232" s="461">
        <f t="shared" si="194"/>
        <v>19503603252</v>
      </c>
      <c r="AJ232" s="370">
        <f t="shared" si="194"/>
        <v>20351876551</v>
      </c>
      <c r="AK232" s="490"/>
      <c r="AL232" s="369">
        <f>AL234+AL243</f>
        <v>0</v>
      </c>
      <c r="AM232" s="370">
        <f>AM234+AM243</f>
        <v>0</v>
      </c>
      <c r="AN232" s="9"/>
    </row>
    <row r="233" spans="1:64" s="372" customFormat="1" ht="24.95" customHeight="1">
      <c r="A233" s="734"/>
      <c r="B233" s="644"/>
      <c r="N233" s="9"/>
      <c r="P233" s="9"/>
      <c r="Q233" s="9"/>
      <c r="R233" s="9"/>
      <c r="S233" s="356" t="str">
        <f>+IF(MARZO!S233=0,"",MARZO!S233)</f>
        <v/>
      </c>
      <c r="T233" s="678" t="str">
        <f>+IF(MARZO!T233=0,"",MARZO!T233)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+IF(MARZO!S234=0,"",MARZO!S234)</f>
        <v>8000000</v>
      </c>
      <c r="T234" s="663" t="str">
        <f>+IF(MARZO!T234=0,"",MARZO!T234)</f>
        <v>Programas de Inversión</v>
      </c>
      <c r="U234" s="132">
        <f>U235</f>
        <v>5265730053</v>
      </c>
      <c r="V234" s="122">
        <f t="shared" ref="V234:AJ234" si="195">V235</f>
        <v>0</v>
      </c>
      <c r="W234" s="122">
        <f t="shared" si="195"/>
        <v>5752626782</v>
      </c>
      <c r="X234" s="129">
        <f t="shared" si="195"/>
        <v>11018356835</v>
      </c>
      <c r="Y234" s="128">
        <f t="shared" si="195"/>
        <v>6094942332</v>
      </c>
      <c r="Z234" s="122">
        <f t="shared" si="195"/>
        <v>36633333</v>
      </c>
      <c r="AA234" s="129">
        <f t="shared" si="195"/>
        <v>6131575665</v>
      </c>
      <c r="AB234" s="128">
        <f t="shared" si="195"/>
        <v>1062694745</v>
      </c>
      <c r="AC234" s="122">
        <f t="shared" si="195"/>
        <v>745673201</v>
      </c>
      <c r="AD234" s="129">
        <f t="shared" si="195"/>
        <v>1808367946</v>
      </c>
      <c r="AE234" s="128">
        <f t="shared" si="195"/>
        <v>1051609232</v>
      </c>
      <c r="AF234" s="122">
        <f t="shared" si="195"/>
        <v>703704702</v>
      </c>
      <c r="AG234" s="129">
        <f t="shared" si="195"/>
        <v>1755313934</v>
      </c>
      <c r="AH234" s="128">
        <f t="shared" si="195"/>
        <v>4886781170</v>
      </c>
      <c r="AI234" s="122">
        <f t="shared" si="195"/>
        <v>9209988889</v>
      </c>
      <c r="AJ234" s="130">
        <f t="shared" si="195"/>
        <v>9263042901</v>
      </c>
      <c r="AK234" s="9"/>
      <c r="AL234" s="128">
        <f>AL235</f>
        <v>0</v>
      </c>
      <c r="AM234" s="130">
        <f>AM235</f>
        <v>0</v>
      </c>
      <c r="AN234" s="9"/>
    </row>
    <row r="235" spans="1:64" s="372" customFormat="1" ht="24.95" customHeight="1">
      <c r="A235" s="734"/>
      <c r="B235" s="644"/>
      <c r="N235" s="9"/>
      <c r="P235" s="9"/>
      <c r="Q235" s="9"/>
      <c r="R235" s="9"/>
      <c r="S235" s="688">
        <f>+IF(MARZO!S235=0,"",MARZO!S235)</f>
        <v>8001000</v>
      </c>
      <c r="T235" s="664" t="str">
        <f>+IF(MARZO!T235=0,"",MARZO!T235)</f>
        <v>Formación Bruta del Capital</v>
      </c>
      <c r="U235" s="27">
        <f t="shared" ref="U235:AJ235" si="196">SUM(U236:U241)</f>
        <v>5265730053</v>
      </c>
      <c r="V235" s="15">
        <f t="shared" si="196"/>
        <v>0</v>
      </c>
      <c r="W235" s="15">
        <f t="shared" si="196"/>
        <v>5752626782</v>
      </c>
      <c r="X235" s="18">
        <f t="shared" si="196"/>
        <v>11018356835</v>
      </c>
      <c r="Y235" s="19">
        <f t="shared" si="196"/>
        <v>6094942332</v>
      </c>
      <c r="Z235" s="142">
        <f t="shared" si="196"/>
        <v>36633333</v>
      </c>
      <c r="AA235" s="18">
        <f t="shared" si="196"/>
        <v>6131575665</v>
      </c>
      <c r="AB235" s="19">
        <f t="shared" si="196"/>
        <v>1062694745</v>
      </c>
      <c r="AC235" s="142">
        <f t="shared" si="196"/>
        <v>745673201</v>
      </c>
      <c r="AD235" s="18">
        <f t="shared" si="196"/>
        <v>1808367946</v>
      </c>
      <c r="AE235" s="19">
        <f t="shared" si="196"/>
        <v>1051609232</v>
      </c>
      <c r="AF235" s="142">
        <f t="shared" si="196"/>
        <v>703704702</v>
      </c>
      <c r="AG235" s="18">
        <f t="shared" si="196"/>
        <v>1755313934</v>
      </c>
      <c r="AH235" s="19">
        <f t="shared" si="196"/>
        <v>4886781170</v>
      </c>
      <c r="AI235" s="15">
        <f t="shared" si="196"/>
        <v>9209988889</v>
      </c>
      <c r="AJ235" s="16">
        <f t="shared" si="196"/>
        <v>9263042901</v>
      </c>
      <c r="AK235" s="9"/>
      <c r="AL235" s="29">
        <f>SUM(AL236:AL241)</f>
        <v>0</v>
      </c>
      <c r="AM235" s="26">
        <f>SUM(AM236:AM241)</f>
        <v>0</v>
      </c>
      <c r="AN235" s="9"/>
    </row>
    <row r="236" spans="1:64" s="372" customFormat="1" ht="24.95" customHeight="1">
      <c r="A236" s="734"/>
      <c r="B236" s="644"/>
      <c r="N236" s="9"/>
      <c r="P236" s="9"/>
      <c r="Q236" s="9"/>
      <c r="R236" s="9"/>
      <c r="S236" s="689" t="str">
        <f>+IF(MARZO!S236=0,"",MARZO!S236)</f>
        <v>8001000-1</v>
      </c>
      <c r="T236" s="665" t="str">
        <f>+IF(MARZO!T236=0,"",MARZO!T236)</f>
        <v>Subprogr.Construc. Remodelac. Adecuación y Apliac.1</v>
      </c>
      <c r="U236" s="27">
        <f>+ENERO!U236</f>
        <v>4765730053</v>
      </c>
      <c r="V236" s="15">
        <f>MARZO!V236+ABRIL!AL236</f>
        <v>0</v>
      </c>
      <c r="W236" s="15">
        <f>MARZO!W236+ABRIL!AM236</f>
        <v>0</v>
      </c>
      <c r="X236" s="18">
        <f t="shared" ref="X236:X241" si="197">SUM(U236:W236)</f>
        <v>4765730053</v>
      </c>
      <c r="Y236" s="19">
        <f>MARZO!AA236</f>
        <v>4727619032</v>
      </c>
      <c r="Z236" s="364">
        <v>36633333</v>
      </c>
      <c r="AA236" s="18">
        <f t="shared" ref="AA236:AA241" si="198">SUM(Y236:Z236)</f>
        <v>4764252365</v>
      </c>
      <c r="AB236" s="19">
        <f>MARZO!AD236</f>
        <v>914654662</v>
      </c>
      <c r="AC236" s="364">
        <v>745673201</v>
      </c>
      <c r="AD236" s="18">
        <f t="shared" ref="AD236:AD241" si="199">SUM(AB236:AC236)</f>
        <v>1660327863</v>
      </c>
      <c r="AE236" s="19">
        <f>MARZO!AG236</f>
        <v>903569149</v>
      </c>
      <c r="AF236" s="364">
        <v>703704702</v>
      </c>
      <c r="AG236" s="18">
        <f t="shared" ref="AG236:AG241" si="200">SUM(AE236:AF236)</f>
        <v>1607273851</v>
      </c>
      <c r="AH236" s="19">
        <f t="shared" ref="AH236:AH241" si="201">X236-AA236</f>
        <v>1477688</v>
      </c>
      <c r="AI236" s="15">
        <f t="shared" ref="AI236:AI241" si="202">X236-AD236</f>
        <v>3105402190</v>
      </c>
      <c r="AJ236" s="16">
        <f t="shared" ref="AJ236:AJ241" si="203">X236-AG236</f>
        <v>3158456202</v>
      </c>
      <c r="AK236" s="9"/>
      <c r="AL236" s="362">
        <v>0</v>
      </c>
      <c r="AM236" s="365">
        <v>0</v>
      </c>
      <c r="AN236" s="9"/>
    </row>
    <row r="237" spans="1:64" s="372" customFormat="1" ht="24.95" customHeight="1">
      <c r="A237" s="734"/>
      <c r="B237" s="644"/>
      <c r="N237" s="9"/>
      <c r="P237" s="9"/>
      <c r="Q237" s="9"/>
      <c r="R237" s="9"/>
      <c r="S237" s="689" t="str">
        <f>+IF(MARZO!S237=0,"",MARZO!S237)</f>
        <v>8001000-2</v>
      </c>
      <c r="T237" s="665" t="str">
        <f>+IF(MARZO!T237=0,"",MARZO!T237)</f>
        <v>Subprogr.Construc. Remodelac. Adecuación y Apliac.2</v>
      </c>
      <c r="U237" s="27">
        <f>+ENERO!U237</f>
        <v>500000000</v>
      </c>
      <c r="V237" s="15">
        <f>MARZO!V237+ABRIL!AL237</f>
        <v>0</v>
      </c>
      <c r="W237" s="15">
        <f>MARZO!W237+ABRIL!AM237</f>
        <v>719283217</v>
      </c>
      <c r="X237" s="18">
        <f t="shared" si="197"/>
        <v>1219283217</v>
      </c>
      <c r="Y237" s="19">
        <f>MARZO!AA237</f>
        <v>1219283217</v>
      </c>
      <c r="Z237" s="364">
        <v>0</v>
      </c>
      <c r="AA237" s="18">
        <f t="shared" si="198"/>
        <v>1219283217</v>
      </c>
      <c r="AB237" s="19">
        <f>MARZO!AD237</f>
        <v>0</v>
      </c>
      <c r="AC237" s="364">
        <v>0</v>
      </c>
      <c r="AD237" s="18">
        <f t="shared" si="199"/>
        <v>0</v>
      </c>
      <c r="AE237" s="19">
        <f>MARZO!AG237</f>
        <v>0</v>
      </c>
      <c r="AF237" s="364">
        <v>0</v>
      </c>
      <c r="AG237" s="18">
        <f t="shared" si="200"/>
        <v>0</v>
      </c>
      <c r="AH237" s="19">
        <f t="shared" si="201"/>
        <v>0</v>
      </c>
      <c r="AI237" s="15">
        <f t="shared" si="202"/>
        <v>1219283217</v>
      </c>
      <c r="AJ237" s="16">
        <f t="shared" si="203"/>
        <v>1219283217</v>
      </c>
      <c r="AK237" s="9"/>
      <c r="AL237" s="362">
        <v>0</v>
      </c>
      <c r="AM237" s="365">
        <v>0</v>
      </c>
      <c r="AN237" s="9"/>
    </row>
    <row r="238" spans="1:64" s="372" customFormat="1" ht="24.95" customHeight="1">
      <c r="A238" s="734"/>
      <c r="B238" s="644"/>
      <c r="N238" s="9"/>
      <c r="P238" s="9"/>
      <c r="Q238" s="9"/>
      <c r="R238" s="9"/>
      <c r="S238" s="689" t="str">
        <f>+IF(MARZO!S238=0,"",MARZO!S238)</f>
        <v>8001000-3</v>
      </c>
      <c r="T238" s="665" t="str">
        <f>+IF(MARZO!T238=0,"",MARZO!T238)</f>
        <v>Subprogr.Construc. Remodelac. Adecuación y Apliac.3</v>
      </c>
      <c r="U238" s="27">
        <f>+ENERO!U238</f>
        <v>0</v>
      </c>
      <c r="V238" s="15">
        <f>MARZO!V238+ABRIL!AL238</f>
        <v>0</v>
      </c>
      <c r="W238" s="15">
        <f>MARZO!W238+ABRIL!AM238</f>
        <v>0</v>
      </c>
      <c r="X238" s="18">
        <f t="shared" si="197"/>
        <v>0</v>
      </c>
      <c r="Y238" s="19">
        <f>MARZO!AA238</f>
        <v>0</v>
      </c>
      <c r="Z238" s="364">
        <v>0</v>
      </c>
      <c r="AA238" s="18">
        <f t="shared" si="198"/>
        <v>0</v>
      </c>
      <c r="AB238" s="19">
        <f>MARZO!AD238</f>
        <v>0</v>
      </c>
      <c r="AC238" s="364">
        <v>0</v>
      </c>
      <c r="AD238" s="18">
        <f t="shared" si="199"/>
        <v>0</v>
      </c>
      <c r="AE238" s="19">
        <f>MARZO!AG238</f>
        <v>0</v>
      </c>
      <c r="AF238" s="364">
        <v>0</v>
      </c>
      <c r="AG238" s="18">
        <f t="shared" si="200"/>
        <v>0</v>
      </c>
      <c r="AH238" s="19">
        <f t="shared" si="201"/>
        <v>0</v>
      </c>
      <c r="AI238" s="15">
        <f t="shared" si="202"/>
        <v>0</v>
      </c>
      <c r="AJ238" s="16">
        <f t="shared" si="203"/>
        <v>0</v>
      </c>
      <c r="AK238" s="9"/>
      <c r="AL238" s="362">
        <v>0</v>
      </c>
      <c r="AM238" s="365">
        <v>0</v>
      </c>
      <c r="AN238" s="9"/>
    </row>
    <row r="239" spans="1:64" s="372" customFormat="1" ht="24.95" customHeight="1">
      <c r="A239" s="734"/>
      <c r="B239" s="644"/>
      <c r="N239" s="9"/>
      <c r="P239" s="9"/>
      <c r="Q239" s="9"/>
      <c r="S239" s="689" t="str">
        <f>+IF(MARZO!S239=0,"",MARZO!S239)</f>
        <v>8001000-4</v>
      </c>
      <c r="T239" s="665" t="str">
        <f>+IF(MARZO!T239=0,"",MARZO!T239)</f>
        <v>Subprogr.Construc. Remodelac. Adecuación y Apliac.4</v>
      </c>
      <c r="U239" s="27">
        <f>+ENERO!U239</f>
        <v>0</v>
      </c>
      <c r="V239" s="15">
        <f>MARZO!V239+ABRIL!AL239</f>
        <v>0</v>
      </c>
      <c r="W239" s="15">
        <f>MARZO!W239+ABRIL!AM239</f>
        <v>0</v>
      </c>
      <c r="X239" s="18">
        <f t="shared" si="197"/>
        <v>0</v>
      </c>
      <c r="Y239" s="19">
        <f>MARZO!AA239</f>
        <v>0</v>
      </c>
      <c r="Z239" s="364">
        <v>0</v>
      </c>
      <c r="AA239" s="18">
        <f t="shared" si="198"/>
        <v>0</v>
      </c>
      <c r="AB239" s="19">
        <f>MARZO!AD239</f>
        <v>0</v>
      </c>
      <c r="AC239" s="364">
        <v>0</v>
      </c>
      <c r="AD239" s="18">
        <f t="shared" si="199"/>
        <v>0</v>
      </c>
      <c r="AE239" s="19">
        <f>MARZO!AG239</f>
        <v>0</v>
      </c>
      <c r="AF239" s="364">
        <v>0</v>
      </c>
      <c r="AG239" s="18">
        <f t="shared" si="200"/>
        <v>0</v>
      </c>
      <c r="AH239" s="19">
        <f t="shared" si="201"/>
        <v>0</v>
      </c>
      <c r="AI239" s="15">
        <f t="shared" si="202"/>
        <v>0</v>
      </c>
      <c r="AJ239" s="16">
        <f t="shared" si="203"/>
        <v>0</v>
      </c>
      <c r="AK239" s="9"/>
      <c r="AL239" s="362">
        <v>0</v>
      </c>
      <c r="AM239" s="365">
        <v>0</v>
      </c>
      <c r="AN239" s="9"/>
    </row>
    <row r="240" spans="1:64" s="372" customFormat="1" ht="24.95" customHeight="1">
      <c r="A240" s="734"/>
      <c r="B240" s="644"/>
      <c r="N240" s="9"/>
      <c r="P240" s="9"/>
      <c r="Q240" s="9"/>
      <c r="S240" s="689" t="str">
        <f>+IF(MARZO!S240=0,"",MARZO!S240)</f>
        <v>8001000-5</v>
      </c>
      <c r="T240" s="665" t="str">
        <f>+IF(MARZO!T240=0,"",MARZO!T240)</f>
        <v>Subprogr.Construc. Remodelac. Adecuación y Apliac.5</v>
      </c>
      <c r="U240" s="27">
        <f>+ENERO!U240</f>
        <v>0</v>
      </c>
      <c r="V240" s="15">
        <f>MARZO!V240+ABRIL!AL240</f>
        <v>0</v>
      </c>
      <c r="W240" s="15">
        <f>MARZO!W240+ABRIL!AM240</f>
        <v>0</v>
      </c>
      <c r="X240" s="18">
        <f t="shared" si="197"/>
        <v>0</v>
      </c>
      <c r="Y240" s="19">
        <f>MARZO!AA240</f>
        <v>0</v>
      </c>
      <c r="Z240" s="364">
        <v>0</v>
      </c>
      <c r="AA240" s="18">
        <f t="shared" si="198"/>
        <v>0</v>
      </c>
      <c r="AB240" s="19">
        <f>MARZO!AD240</f>
        <v>0</v>
      </c>
      <c r="AC240" s="364">
        <v>0</v>
      </c>
      <c r="AD240" s="18">
        <f t="shared" si="199"/>
        <v>0</v>
      </c>
      <c r="AE240" s="19">
        <f>MARZO!AG240</f>
        <v>0</v>
      </c>
      <c r="AF240" s="364">
        <v>0</v>
      </c>
      <c r="AG240" s="18">
        <f t="shared" si="200"/>
        <v>0</v>
      </c>
      <c r="AH240" s="19">
        <f t="shared" si="201"/>
        <v>0</v>
      </c>
      <c r="AI240" s="15">
        <f t="shared" si="202"/>
        <v>0</v>
      </c>
      <c r="AJ240" s="16">
        <f t="shared" si="203"/>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+IF(MARZO!S241=0,"",MARZO!S241)</f>
        <v>8001999</v>
      </c>
      <c r="T241" s="665" t="str">
        <f>+IF(MARZO!T241=0,"",MARZO!T241)</f>
        <v>Vigencias Anteriores</v>
      </c>
      <c r="U241" s="27">
        <f>+ENERO!U241</f>
        <v>0</v>
      </c>
      <c r="V241" s="15">
        <f>MARZO!V241+ABRIL!AL241</f>
        <v>0</v>
      </c>
      <c r="W241" s="15">
        <f>MARZO!W241+ABRIL!AM241</f>
        <v>5033343565</v>
      </c>
      <c r="X241" s="18">
        <f t="shared" si="197"/>
        <v>5033343565</v>
      </c>
      <c r="Y241" s="19">
        <f>MARZO!AA241</f>
        <v>148040083</v>
      </c>
      <c r="Z241" s="364">
        <v>0</v>
      </c>
      <c r="AA241" s="18">
        <f t="shared" si="198"/>
        <v>148040083</v>
      </c>
      <c r="AB241" s="19">
        <f>MARZO!AD241</f>
        <v>148040083</v>
      </c>
      <c r="AC241" s="364">
        <v>0</v>
      </c>
      <c r="AD241" s="18">
        <f t="shared" si="199"/>
        <v>148040083</v>
      </c>
      <c r="AE241" s="19">
        <f>MARZO!AG241</f>
        <v>148040083</v>
      </c>
      <c r="AF241" s="364">
        <v>0</v>
      </c>
      <c r="AG241" s="18">
        <f t="shared" si="200"/>
        <v>148040083</v>
      </c>
      <c r="AH241" s="19">
        <f t="shared" si="201"/>
        <v>4885303482</v>
      </c>
      <c r="AI241" s="15">
        <f t="shared" si="202"/>
        <v>4885303482</v>
      </c>
      <c r="AJ241" s="16">
        <f t="shared" si="203"/>
        <v>4885303482</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+IF(MARZO!S242=0,"",MARZO!S242)</f>
        <v/>
      </c>
      <c r="T242" s="678" t="str">
        <f>+IF(MARZO!T242=0,"",MARZO!T242)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+IF(MARZO!S243=0,"",MARZO!S243)</f>
        <v>8002001</v>
      </c>
      <c r="T243" s="663" t="str">
        <f>+IF(MARZO!T243=0,"",MARZO!T243)</f>
        <v>Gastos Operativos de Inversion   (Programas Especiales)</v>
      </c>
      <c r="U243" s="132">
        <f t="shared" ref="U243:AJ243" si="204">SUM(U244:U256)</f>
        <v>500000000</v>
      </c>
      <c r="V243" s="122">
        <f t="shared" si="204"/>
        <v>0</v>
      </c>
      <c r="W243" s="122">
        <f t="shared" si="204"/>
        <v>12819896528</v>
      </c>
      <c r="X243" s="129">
        <f t="shared" si="204"/>
        <v>13319896528</v>
      </c>
      <c r="Y243" s="128">
        <f t="shared" si="204"/>
        <v>3275251532</v>
      </c>
      <c r="Z243" s="122">
        <f t="shared" si="204"/>
        <v>1578691476</v>
      </c>
      <c r="AA243" s="129">
        <f t="shared" si="204"/>
        <v>4853943008</v>
      </c>
      <c r="AB243" s="128">
        <f t="shared" si="204"/>
        <v>2149411499</v>
      </c>
      <c r="AC243" s="122">
        <f t="shared" si="204"/>
        <v>876870666</v>
      </c>
      <c r="AD243" s="129">
        <f t="shared" si="204"/>
        <v>3026282165</v>
      </c>
      <c r="AE243" s="128">
        <f t="shared" si="204"/>
        <v>1390000628</v>
      </c>
      <c r="AF243" s="122">
        <f t="shared" si="204"/>
        <v>841062250</v>
      </c>
      <c r="AG243" s="129">
        <f t="shared" si="204"/>
        <v>2231062878</v>
      </c>
      <c r="AH243" s="128">
        <f t="shared" si="204"/>
        <v>8465953520</v>
      </c>
      <c r="AI243" s="122">
        <f t="shared" si="204"/>
        <v>10293614363</v>
      </c>
      <c r="AJ243" s="130">
        <f t="shared" si="204"/>
        <v>11088833650</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+IF(MARZO!S244=0,"",MARZO!S244)</f>
        <v>8002100-1</v>
      </c>
      <c r="T244" s="665" t="str">
        <f>+IF(MARZO!T244=0,"",MARZO!T244)</f>
        <v>Fondo de la Vivienda</v>
      </c>
      <c r="U244" s="27">
        <f>+ENERO!U244</f>
        <v>0</v>
      </c>
      <c r="V244" s="15">
        <f>MARZO!V244+ABRIL!AL244</f>
        <v>0</v>
      </c>
      <c r="W244" s="15">
        <f>MARZO!W244+ABRIL!AM244</f>
        <v>0</v>
      </c>
      <c r="X244" s="18">
        <f t="shared" ref="X244:X256" si="205">SUM(U244:W244)</f>
        <v>0</v>
      </c>
      <c r="Y244" s="19">
        <f>MARZO!AA244</f>
        <v>0</v>
      </c>
      <c r="Z244" s="364">
        <v>0</v>
      </c>
      <c r="AA244" s="18">
        <f t="shared" ref="AA244:AA256" si="206">SUM(Y244:Z244)</f>
        <v>0</v>
      </c>
      <c r="AB244" s="19">
        <f>MARZO!AD244</f>
        <v>0</v>
      </c>
      <c r="AC244" s="364">
        <v>0</v>
      </c>
      <c r="AD244" s="18">
        <f t="shared" ref="AD244:AD256" si="207">SUM(AB244:AC244)</f>
        <v>0</v>
      </c>
      <c r="AE244" s="19">
        <f>MARZO!AG244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+IF(MARZO!S245=0,"",MARZO!S245)</f>
        <v>8002100-2</v>
      </c>
      <c r="T245" s="665" t="str">
        <f>+IF(MARZO!T245=0,"",MARZO!T245)</f>
        <v>Programas Especial 01</v>
      </c>
      <c r="U245" s="27">
        <f>+ENERO!U245</f>
        <v>0</v>
      </c>
      <c r="V245" s="15">
        <f>MARZO!V245+ABRIL!AL245</f>
        <v>0</v>
      </c>
      <c r="W245" s="15">
        <f>MARZO!W245+ABRIL!AM245</f>
        <v>152517826</v>
      </c>
      <c r="X245" s="18">
        <f t="shared" si="205"/>
        <v>152517826</v>
      </c>
      <c r="Y245" s="19">
        <f>MARZO!AA245</f>
        <v>0</v>
      </c>
      <c r="Z245" s="364">
        <v>0</v>
      </c>
      <c r="AA245" s="18">
        <f t="shared" si="206"/>
        <v>0</v>
      </c>
      <c r="AB245" s="19">
        <f>MARZO!AD245</f>
        <v>0</v>
      </c>
      <c r="AC245" s="364">
        <v>0</v>
      </c>
      <c r="AD245" s="18">
        <f t="shared" si="207"/>
        <v>0</v>
      </c>
      <c r="AE245" s="19">
        <f>MARZO!AG245</f>
        <v>0</v>
      </c>
      <c r="AF245" s="364">
        <v>0</v>
      </c>
      <c r="AG245" s="18">
        <f t="shared" si="208"/>
        <v>0</v>
      </c>
      <c r="AH245" s="19">
        <f t="shared" si="209"/>
        <v>152517826</v>
      </c>
      <c r="AI245" s="15">
        <f t="shared" si="210"/>
        <v>152517826</v>
      </c>
      <c r="AJ245" s="16">
        <f t="shared" si="211"/>
        <v>152517826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+IF(MARZO!S246=0,"",MARZO!S246)</f>
        <v>8002100-3</v>
      </c>
      <c r="T246" s="665" t="str">
        <f>+IF(MARZO!T246=0,"",MARZO!T246)</f>
        <v>Programas Especial 02</v>
      </c>
      <c r="U246" s="27">
        <f>+ENERO!U246</f>
        <v>0</v>
      </c>
      <c r="V246" s="15">
        <f>MARZO!V246+ABRIL!AL246</f>
        <v>0</v>
      </c>
      <c r="W246" s="15">
        <f>MARZO!W246+ABRIL!AM246</f>
        <v>0</v>
      </c>
      <c r="X246" s="18">
        <f t="shared" si="205"/>
        <v>0</v>
      </c>
      <c r="Y246" s="19">
        <f>MARZO!AA246</f>
        <v>0</v>
      </c>
      <c r="Z246" s="364">
        <v>0</v>
      </c>
      <c r="AA246" s="18">
        <f t="shared" si="206"/>
        <v>0</v>
      </c>
      <c r="AB246" s="19">
        <f>MARZO!AD246</f>
        <v>0</v>
      </c>
      <c r="AC246" s="364">
        <v>0</v>
      </c>
      <c r="AD246" s="18">
        <f t="shared" si="207"/>
        <v>0</v>
      </c>
      <c r="AE246" s="19">
        <f>MARZO!AG246</f>
        <v>0</v>
      </c>
      <c r="AF246" s="364">
        <v>0</v>
      </c>
      <c r="AG246" s="18">
        <f t="shared" si="208"/>
        <v>0</v>
      </c>
      <c r="AH246" s="19">
        <f t="shared" si="209"/>
        <v>0</v>
      </c>
      <c r="AI246" s="15">
        <f t="shared" si="210"/>
        <v>0</v>
      </c>
      <c r="AJ246" s="16">
        <f t="shared" si="211"/>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+IF(MARZO!S247=0,"",MARZO!S247)</f>
        <v>8002100-4</v>
      </c>
      <c r="T247" s="665" t="str">
        <f>+IF(MARZO!T247=0,"",MARZO!T247)</f>
        <v>Programas Especial 03</v>
      </c>
      <c r="U247" s="27">
        <f>+ENERO!U247</f>
        <v>0</v>
      </c>
      <c r="V247" s="15">
        <f>MARZO!V247+ABRIL!AL247</f>
        <v>0</v>
      </c>
      <c r="W247" s="15">
        <f>MARZO!W247+ABRIL!AM247</f>
        <v>193911300</v>
      </c>
      <c r="X247" s="18">
        <f t="shared" si="205"/>
        <v>193911300</v>
      </c>
      <c r="Y247" s="19">
        <f>MARZO!AA247</f>
        <v>125960100</v>
      </c>
      <c r="Z247" s="364">
        <v>7728000</v>
      </c>
      <c r="AA247" s="18">
        <f t="shared" si="206"/>
        <v>133688100</v>
      </c>
      <c r="AB247" s="19">
        <f>MARZO!AD247</f>
        <v>27183100</v>
      </c>
      <c r="AC247" s="364">
        <v>21839000</v>
      </c>
      <c r="AD247" s="18">
        <f t="shared" si="207"/>
        <v>49022100</v>
      </c>
      <c r="AE247" s="19">
        <f>MARZO!AG247</f>
        <v>27183100</v>
      </c>
      <c r="AF247" s="364">
        <v>21839000</v>
      </c>
      <c r="AG247" s="18">
        <f t="shared" si="208"/>
        <v>49022100</v>
      </c>
      <c r="AH247" s="19">
        <f t="shared" si="209"/>
        <v>60223200</v>
      </c>
      <c r="AI247" s="15">
        <f t="shared" si="210"/>
        <v>144889200</v>
      </c>
      <c r="AJ247" s="16">
        <f t="shared" si="211"/>
        <v>144889200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+IF(MARZO!S248=0,"",MARZO!S248)</f>
        <v>8002100-5</v>
      </c>
      <c r="T248" s="665" t="str">
        <f>+IF(MARZO!T248=0,"",MARZO!T248)</f>
        <v>Programas Especial 04</v>
      </c>
      <c r="U248" s="27">
        <f>+ENERO!U248</f>
        <v>500000000</v>
      </c>
      <c r="V248" s="15">
        <f>MARZO!V248+ABRIL!AL248</f>
        <v>0</v>
      </c>
      <c r="W248" s="15">
        <f>MARZO!W248+ABRIL!AM248</f>
        <v>2619976000</v>
      </c>
      <c r="X248" s="18">
        <f t="shared" si="205"/>
        <v>3119976000</v>
      </c>
      <c r="Y248" s="19">
        <f>MARZO!AA248</f>
        <v>1749148195</v>
      </c>
      <c r="Z248" s="364">
        <v>430819283</v>
      </c>
      <c r="AA248" s="18">
        <f t="shared" si="206"/>
        <v>2179967478</v>
      </c>
      <c r="AB248" s="19">
        <f>MARZO!AD248</f>
        <v>1660443495</v>
      </c>
      <c r="AC248" s="364">
        <v>504227678</v>
      </c>
      <c r="AD248" s="18">
        <f t="shared" si="207"/>
        <v>2164671173</v>
      </c>
      <c r="AE248" s="19">
        <f>MARZO!AG248</f>
        <v>901032624</v>
      </c>
      <c r="AF248" s="364">
        <v>761052587</v>
      </c>
      <c r="AG248" s="18">
        <f t="shared" si="208"/>
        <v>1662085211</v>
      </c>
      <c r="AH248" s="19">
        <f t="shared" si="209"/>
        <v>940008522</v>
      </c>
      <c r="AI248" s="15">
        <f t="shared" si="210"/>
        <v>955304827</v>
      </c>
      <c r="AJ248" s="16">
        <f t="shared" si="211"/>
        <v>1457890789</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+IF(MARZO!S249=0,"",MARZO!S249)</f>
        <v>8002100-6</v>
      </c>
      <c r="T249" s="665" t="str">
        <f>+IF(MARZO!T249=0,"",MARZO!T249)</f>
        <v>Programas Especial 05</v>
      </c>
      <c r="U249" s="27">
        <f>+ENERO!U249</f>
        <v>0</v>
      </c>
      <c r="V249" s="15">
        <f>MARZO!V249+ABRIL!AL249</f>
        <v>0</v>
      </c>
      <c r="W249" s="15">
        <f>MARZO!W249+ABRIL!AM249</f>
        <v>20000000</v>
      </c>
      <c r="X249" s="18">
        <f t="shared" si="205"/>
        <v>20000000</v>
      </c>
      <c r="Y249" s="19">
        <f>MARZO!AA249</f>
        <v>0</v>
      </c>
      <c r="Z249" s="364">
        <v>0</v>
      </c>
      <c r="AA249" s="18">
        <f t="shared" si="206"/>
        <v>0</v>
      </c>
      <c r="AB249" s="19">
        <f>MARZO!AD249</f>
        <v>0</v>
      </c>
      <c r="AC249" s="364">
        <v>0</v>
      </c>
      <c r="AD249" s="18">
        <f t="shared" si="207"/>
        <v>0</v>
      </c>
      <c r="AE249" s="19">
        <f>MARZO!AG249</f>
        <v>0</v>
      </c>
      <c r="AF249" s="364">
        <v>0</v>
      </c>
      <c r="AG249" s="1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+IF(MARZO!S250=0,"",MARZO!S250)</f>
        <v>8002100-7</v>
      </c>
      <c r="T250" s="665" t="str">
        <f>+IF(MARZO!T250=0,"",MARZO!T250)</f>
        <v>Programas Especial 06</v>
      </c>
      <c r="U250" s="27">
        <f>+ENERO!U250</f>
        <v>0</v>
      </c>
      <c r="V250" s="15">
        <f>MARZO!V250+ABRIL!AL250</f>
        <v>0</v>
      </c>
      <c r="W250" s="15">
        <f>MARZO!W250+ABRIL!AM250</f>
        <v>9358200000</v>
      </c>
      <c r="X250" s="18">
        <f>SUM(U250:W250)</f>
        <v>9358200000</v>
      </c>
      <c r="Y250" s="19">
        <f>MARZO!AA250</f>
        <v>938358333</v>
      </c>
      <c r="Z250" s="364">
        <v>1137281863</v>
      </c>
      <c r="AA250" s="18">
        <f>SUM(Y250:Z250)</f>
        <v>2075640196</v>
      </c>
      <c r="AB250" s="19">
        <f>MARZO!AD250</f>
        <v>0</v>
      </c>
      <c r="AC250" s="364">
        <v>347941658</v>
      </c>
      <c r="AD250" s="18">
        <f>SUM(AB250:AC250)</f>
        <v>347941658</v>
      </c>
      <c r="AE250" s="19">
        <f>MARZO!AG250</f>
        <v>0</v>
      </c>
      <c r="AF250" s="364">
        <v>55308333</v>
      </c>
      <c r="AG250" s="18">
        <f>SUM(AE250:AF250)</f>
        <v>55308333</v>
      </c>
      <c r="AH250" s="19">
        <f>X250-AA250</f>
        <v>7282559804</v>
      </c>
      <c r="AI250" s="15">
        <f>X250-AD250</f>
        <v>9010258342</v>
      </c>
      <c r="AJ250" s="16">
        <f>X250-AG250</f>
        <v>9302891667</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+IF(MARZO!S251=0,"",MARZO!S251)</f>
        <v>8002100-8</v>
      </c>
      <c r="T251" s="665" t="str">
        <f>+IF(MARZO!T251=0,"",MARZO!T251)</f>
        <v>Programas Especial 07</v>
      </c>
      <c r="U251" s="27">
        <f>+ENERO!U251</f>
        <v>0</v>
      </c>
      <c r="V251" s="15">
        <f>MARZO!V251+ABRIL!AL251</f>
        <v>0</v>
      </c>
      <c r="W251" s="15">
        <f>MARZO!W251+ABRIL!AM251</f>
        <v>0</v>
      </c>
      <c r="X251" s="18">
        <f>SUM(U251:W251)</f>
        <v>0</v>
      </c>
      <c r="Y251" s="19">
        <f>MARZO!AA251</f>
        <v>0</v>
      </c>
      <c r="Z251" s="364">
        <v>0</v>
      </c>
      <c r="AA251" s="18">
        <f>SUM(Y251:Z251)</f>
        <v>0</v>
      </c>
      <c r="AB251" s="19">
        <f>MARZO!AD251</f>
        <v>0</v>
      </c>
      <c r="AC251" s="364">
        <v>0</v>
      </c>
      <c r="AD251" s="18">
        <f>SUM(AB251:AC251)</f>
        <v>0</v>
      </c>
      <c r="AE251" s="19">
        <f>MARZO!AG251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+IF(MARZO!S252=0,"",MARZO!S252)</f>
        <v>8002100-9</v>
      </c>
      <c r="T252" s="665" t="str">
        <f>+IF(MARZO!T252=0,"",MARZO!T252)</f>
        <v>Programas Especial 08</v>
      </c>
      <c r="U252" s="27">
        <f>+ENERO!U252</f>
        <v>0</v>
      </c>
      <c r="V252" s="15">
        <f>MARZO!V252+ABRIL!AL252</f>
        <v>0</v>
      </c>
      <c r="W252" s="15">
        <f>MARZO!W252+ABRIL!AM252</f>
        <v>0</v>
      </c>
      <c r="X252" s="18">
        <f>SUM(U252:W252)</f>
        <v>0</v>
      </c>
      <c r="Y252" s="19">
        <f>MARZO!AA252</f>
        <v>0</v>
      </c>
      <c r="Z252" s="364">
        <v>0</v>
      </c>
      <c r="AA252" s="18">
        <f>SUM(Y252:Z252)</f>
        <v>0</v>
      </c>
      <c r="AB252" s="19">
        <f>MARZO!AD252</f>
        <v>0</v>
      </c>
      <c r="AC252" s="364">
        <v>0</v>
      </c>
      <c r="AD252" s="18">
        <f>SUM(AB252:AC252)</f>
        <v>0</v>
      </c>
      <c r="AE252" s="19">
        <f>MARZO!AG252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+IF(MARZO!S253=0,"",MARZO!S253)</f>
        <v>8002100-10</v>
      </c>
      <c r="T253" s="665" t="str">
        <f>+IF(MARZO!T253=0,"",MARZO!T253)</f>
        <v>Programas Especial 09</v>
      </c>
      <c r="U253" s="27">
        <f>+ENERO!U253</f>
        <v>0</v>
      </c>
      <c r="V253" s="15">
        <f>MARZO!V253+ABRIL!AL253</f>
        <v>0</v>
      </c>
      <c r="W253" s="15">
        <f>MARZO!W253+ABRIL!AM253</f>
        <v>0</v>
      </c>
      <c r="X253" s="18">
        <f>SUM(U253:W253)</f>
        <v>0</v>
      </c>
      <c r="Y253" s="19">
        <f>MARZO!AA253</f>
        <v>0</v>
      </c>
      <c r="Z253" s="364">
        <v>0</v>
      </c>
      <c r="AA253" s="18">
        <f>SUM(Y253:Z253)</f>
        <v>0</v>
      </c>
      <c r="AB253" s="19">
        <f>MARZO!AD253</f>
        <v>0</v>
      </c>
      <c r="AC253" s="364">
        <v>0</v>
      </c>
      <c r="AD253" s="18">
        <f>SUM(AB253:AC253)</f>
        <v>0</v>
      </c>
      <c r="AE253" s="19">
        <f>MARZO!AG253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+IF(MARZO!S254=0,"",MARZO!S254)</f>
        <v>8002100-11</v>
      </c>
      <c r="T254" s="665" t="str">
        <f>+IF(MARZO!T254=0,"",MARZO!T254)</f>
        <v>Programas Especial 10</v>
      </c>
      <c r="U254" s="27">
        <f>+ENERO!U254</f>
        <v>0</v>
      </c>
      <c r="V254" s="15">
        <f>MARZO!V254+ABRIL!AL254</f>
        <v>0</v>
      </c>
      <c r="W254" s="15">
        <f>MARZO!W254+ABRIL!AM254</f>
        <v>0</v>
      </c>
      <c r="X254" s="18">
        <f>SUM(U254:W254)</f>
        <v>0</v>
      </c>
      <c r="Y254" s="19">
        <f>MARZO!AA254</f>
        <v>0</v>
      </c>
      <c r="Z254" s="364">
        <v>0</v>
      </c>
      <c r="AA254" s="18">
        <f>SUM(Y254:Z254)</f>
        <v>0</v>
      </c>
      <c r="AB254" s="19">
        <f>MARZO!AD254</f>
        <v>0</v>
      </c>
      <c r="AC254" s="364">
        <v>0</v>
      </c>
      <c r="AD254" s="18">
        <f>SUM(AB254:AC254)</f>
        <v>0</v>
      </c>
      <c r="AE254" s="19">
        <f>MARZO!AG254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+IF(MARZO!S255=0,"",MARZO!S255)</f>
        <v>8002100-12</v>
      </c>
      <c r="T255" s="665" t="str">
        <f>+IF(MARZO!T255=0,"",MARZO!T255)</f>
        <v>Programas Especial 11</v>
      </c>
      <c r="U255" s="27">
        <f>+ENERO!U255</f>
        <v>0</v>
      </c>
      <c r="V255" s="15">
        <f>MARZO!V255+ABRIL!AL255</f>
        <v>0</v>
      </c>
      <c r="W255" s="15">
        <f>MARZO!W255+ABRIL!AM255</f>
        <v>0</v>
      </c>
      <c r="X255" s="18">
        <f t="shared" si="205"/>
        <v>0</v>
      </c>
      <c r="Y255" s="19">
        <f>MARZO!AA255</f>
        <v>0</v>
      </c>
      <c r="Z255" s="364">
        <v>0</v>
      </c>
      <c r="AA255" s="18">
        <f t="shared" si="206"/>
        <v>0</v>
      </c>
      <c r="AB255" s="19">
        <f>MARZO!AD255</f>
        <v>0</v>
      </c>
      <c r="AC255" s="364">
        <v>0</v>
      </c>
      <c r="AD255" s="18">
        <f t="shared" si="207"/>
        <v>0</v>
      </c>
      <c r="AE255" s="19">
        <f>MARZO!AG255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+IF(MARZO!S256=0,"",MARZO!S256)</f>
        <v>8002999</v>
      </c>
      <c r="T256" s="680" t="str">
        <f>+IF(MARZO!T256=0,"",MARZO!T256)</f>
        <v>Vigencias Anteriores</v>
      </c>
      <c r="U256" s="133">
        <f>+ENERO!U256</f>
        <v>0</v>
      </c>
      <c r="V256" s="121">
        <f>MARZO!V256+ABRIL!AL256</f>
        <v>0</v>
      </c>
      <c r="W256" s="121">
        <f>MARZO!W256+ABRIL!AM256</f>
        <v>475291402</v>
      </c>
      <c r="X256" s="126">
        <f t="shared" si="205"/>
        <v>475291402</v>
      </c>
      <c r="Y256" s="124">
        <f>MARZO!AA256</f>
        <v>461784904</v>
      </c>
      <c r="Z256" s="378">
        <v>2862330</v>
      </c>
      <c r="AA256" s="126">
        <f t="shared" si="206"/>
        <v>464647234</v>
      </c>
      <c r="AB256" s="124">
        <f>MARZO!AD256</f>
        <v>461784904</v>
      </c>
      <c r="AC256" s="378">
        <v>2862330</v>
      </c>
      <c r="AD256" s="126">
        <f t="shared" si="207"/>
        <v>464647234</v>
      </c>
      <c r="AE256" s="124">
        <f>MARZO!AG256</f>
        <v>461784904</v>
      </c>
      <c r="AF256" s="378">
        <v>2862330</v>
      </c>
      <c r="AG256" s="126">
        <f t="shared" si="208"/>
        <v>464647234</v>
      </c>
      <c r="AH256" s="124">
        <f t="shared" si="209"/>
        <v>10644168</v>
      </c>
      <c r="AI256" s="121">
        <f t="shared" si="210"/>
        <v>10644168</v>
      </c>
      <c r="AJ256" s="125">
        <f t="shared" si="211"/>
        <v>10644168</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+IF(MARZO!S257=0,"",MARZO!S257)</f>
        <v/>
      </c>
      <c r="T257" s="677" t="str">
        <f>+IF(MARZO!T257=0,"",MARZO!T257)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2">+(D10+D17+D113)-(V10+V193+V220+V232)</f>
        <v>0</v>
      </c>
      <c r="W258" s="330">
        <f t="shared" si="212"/>
        <v>0</v>
      </c>
      <c r="X258" s="330">
        <f t="shared" si="212"/>
        <v>0</v>
      </c>
      <c r="Y258" s="330">
        <f t="shared" si="212"/>
        <v>-14535895741</v>
      </c>
      <c r="Z258" s="330">
        <f t="shared" si="212"/>
        <v>186726327</v>
      </c>
      <c r="AA258" s="330">
        <f t="shared" si="212"/>
        <v>-14349169414</v>
      </c>
      <c r="AB258" s="330">
        <f t="shared" si="212"/>
        <v>-472328335</v>
      </c>
      <c r="AC258" s="330">
        <f t="shared" si="212"/>
        <v>-1870707751.8500004</v>
      </c>
      <c r="AD258" s="330">
        <f t="shared" si="212"/>
        <v>-2343036086.8499985</v>
      </c>
      <c r="AE258" s="330">
        <f t="shared" si="212"/>
        <v>32895834222</v>
      </c>
      <c r="AF258" s="330">
        <f t="shared" si="212"/>
        <v>54227313327.849998</v>
      </c>
      <c r="AG258" s="330">
        <f t="shared" si="212"/>
        <v>-22325760910</v>
      </c>
      <c r="AH258" s="330">
        <f t="shared" si="212"/>
        <v>-32741217190</v>
      </c>
      <c r="AI258" s="330">
        <f t="shared" si="212"/>
        <v>-60015485769</v>
      </c>
      <c r="AJ258" s="768">
        <f t="shared" si="212"/>
        <v>-72533312240</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562</v>
      </c>
      <c r="T260" s="786"/>
      <c r="U260" s="761">
        <f>+U8-U262</f>
        <v>62391028787</v>
      </c>
      <c r="V260" s="761">
        <f t="shared" ref="V260:AJ260" si="213">+V8-V262</f>
        <v>-1110000000</v>
      </c>
      <c r="W260" s="761">
        <f t="shared" si="213"/>
        <v>15482021510</v>
      </c>
      <c r="X260" s="761">
        <f t="shared" si="213"/>
        <v>76763050297</v>
      </c>
      <c r="Y260" s="761">
        <f t="shared" si="213"/>
        <v>46320440439</v>
      </c>
      <c r="Z260" s="761">
        <f t="shared" si="213"/>
        <v>3967789948</v>
      </c>
      <c r="AA260" s="761">
        <f t="shared" si="213"/>
        <v>50288230387</v>
      </c>
      <c r="AB260" s="761">
        <f t="shared" si="213"/>
        <v>16882159070</v>
      </c>
      <c r="AC260" s="761">
        <f t="shared" si="213"/>
        <v>6131802738</v>
      </c>
      <c r="AD260" s="761">
        <f t="shared" si="213"/>
        <v>23013961808</v>
      </c>
      <c r="AE260" s="761">
        <f t="shared" si="213"/>
        <v>5729447511</v>
      </c>
      <c r="AF260" s="761">
        <f t="shared" si="213"/>
        <v>4766687826</v>
      </c>
      <c r="AG260" s="761">
        <f t="shared" si="213"/>
        <v>10496135337</v>
      </c>
      <c r="AH260" s="761">
        <f t="shared" si="213"/>
        <v>26474819910</v>
      </c>
      <c r="AI260" s="761">
        <f t="shared" si="213"/>
        <v>53749088489</v>
      </c>
      <c r="AJ260" s="762">
        <f t="shared" si="213"/>
        <v>66266914960</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563</v>
      </c>
      <c r="T262" s="788"/>
      <c r="U262" s="765">
        <f>+SUMIF($T$8:$T$256,$T$33,U8:U256)</f>
        <v>4029331818</v>
      </c>
      <c r="V262" s="765">
        <f t="shared" ref="V262:AJ262" si="214">+SUMIF($T$8:$T$256,$T$33,V8:V256)</f>
        <v>1110000000</v>
      </c>
      <c r="W262" s="765">
        <f t="shared" si="214"/>
        <v>12956691035</v>
      </c>
      <c r="X262" s="765">
        <f t="shared" si="214"/>
        <v>18096022853</v>
      </c>
      <c r="Y262" s="765">
        <f t="shared" si="214"/>
        <v>8465104871</v>
      </c>
      <c r="Z262" s="765">
        <f t="shared" si="214"/>
        <v>3364520702</v>
      </c>
      <c r="AA262" s="765">
        <f t="shared" si="214"/>
        <v>11829625573</v>
      </c>
      <c r="AB262" s="765">
        <f t="shared" si="214"/>
        <v>8465104871</v>
      </c>
      <c r="AC262" s="765">
        <f t="shared" si="214"/>
        <v>3364520702</v>
      </c>
      <c r="AD262" s="765">
        <f t="shared" si="214"/>
        <v>11829625573</v>
      </c>
      <c r="AE262" s="765">
        <f t="shared" si="214"/>
        <v>8465104871</v>
      </c>
      <c r="AF262" s="765">
        <f t="shared" si="214"/>
        <v>3364520702</v>
      </c>
      <c r="AG262" s="765">
        <f t="shared" si="214"/>
        <v>11829625573</v>
      </c>
      <c r="AH262" s="765">
        <f t="shared" si="214"/>
        <v>6266397280</v>
      </c>
      <c r="AI262" s="765">
        <f t="shared" si="214"/>
        <v>6266397280</v>
      </c>
      <c r="AJ262" s="789">
        <f t="shared" si="214"/>
        <v>6266397280</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28438712545</v>
      </c>
      <c r="X264" s="783">
        <f t="shared" si="215"/>
        <v>94859073150</v>
      </c>
      <c r="Y264" s="783">
        <f t="shared" si="215"/>
        <v>54785545310</v>
      </c>
      <c r="Z264" s="783">
        <f t="shared" si="215"/>
        <v>7332310650</v>
      </c>
      <c r="AA264" s="783">
        <f t="shared" si="215"/>
        <v>62117855960</v>
      </c>
      <c r="AB264" s="783">
        <f t="shared" si="215"/>
        <v>25347263941</v>
      </c>
      <c r="AC264" s="783">
        <f t="shared" si="215"/>
        <v>9496323440</v>
      </c>
      <c r="AD264" s="783">
        <f t="shared" si="215"/>
        <v>34843587381</v>
      </c>
      <c r="AE264" s="783">
        <f t="shared" si="215"/>
        <v>14194552382</v>
      </c>
      <c r="AF264" s="783">
        <f t="shared" si="215"/>
        <v>8131208528</v>
      </c>
      <c r="AG264" s="783">
        <f t="shared" si="215"/>
        <v>22325760910</v>
      </c>
      <c r="AH264" s="783">
        <f t="shared" si="215"/>
        <v>32741217190</v>
      </c>
      <c r="AI264" s="783">
        <f t="shared" si="215"/>
        <v>60015485769</v>
      </c>
      <c r="AJ264" s="784">
        <f t="shared" si="215"/>
        <v>72533312240</v>
      </c>
    </row>
  </sheetData>
  <sheetProtection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8"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S264"/>
  <sheetViews>
    <sheetView showGridLines="0" topLeftCell="U61" zoomScale="84" zoomScaleNormal="84" workbookViewId="0">
      <selection activeCell="AG66" sqref="AG66"/>
    </sheetView>
  </sheetViews>
  <sheetFormatPr baseColWidth="10" defaultColWidth="0" defaultRowHeight="24.95" customHeight="1"/>
  <cols>
    <col min="1" max="1" width="16.85546875" style="735" customWidth="1"/>
    <col min="2" max="2" width="49.85546875" style="645" customWidth="1"/>
    <col min="3" max="3" width="17.7109375" style="262" customWidth="1"/>
    <col min="4" max="4" width="16.140625" style="262" customWidth="1"/>
    <col min="5" max="5" width="14.42578125" style="262" customWidth="1"/>
    <col min="6" max="6" width="20.140625" style="262" bestFit="1" customWidth="1"/>
    <col min="7" max="7" width="17.140625" style="262" customWidth="1"/>
    <col min="8" max="8" width="16.42578125" style="262" customWidth="1"/>
    <col min="9" max="9" width="14.42578125" style="262" customWidth="1"/>
    <col min="10" max="10" width="15.28515625" style="262" customWidth="1"/>
    <col min="11" max="11" width="17.28515625"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28515625" style="681" customWidth="1"/>
    <col min="20" max="20" width="60.140625" style="657" customWidth="1"/>
    <col min="21" max="21" width="18" style="262" customWidth="1"/>
    <col min="22" max="23" width="14.7109375" style="262" customWidth="1"/>
    <col min="24" max="24" width="18.5703125" style="262" customWidth="1"/>
    <col min="25" max="25" width="14.7109375" style="262" customWidth="1"/>
    <col min="26" max="26" width="15.85546875" style="262" bestFit="1" customWidth="1"/>
    <col min="27" max="27" width="17.7109375" style="262" bestFit="1" customWidth="1"/>
    <col min="28" max="28" width="17.28515625" style="262" bestFit="1" customWidth="1"/>
    <col min="29" max="29" width="17" style="262" bestFit="1" customWidth="1"/>
    <col min="30" max="30" width="17.7109375" style="262" bestFit="1" customWidth="1"/>
    <col min="31" max="31" width="17.140625" style="262" bestFit="1" customWidth="1"/>
    <col min="32" max="32" width="17.7109375" style="262" bestFit="1" customWidth="1"/>
    <col min="33" max="34" width="18.42578125" style="262" bestFit="1" customWidth="1"/>
    <col min="35" max="35" width="18" style="262" bestFit="1" customWidth="1"/>
    <col min="36" max="36" width="18.42578125" style="262" bestFit="1" customWidth="1"/>
    <col min="37" max="37" width="8.85546875" style="1" customWidth="1"/>
    <col min="38" max="39" width="23.7109375" style="262" customWidth="1"/>
    <col min="40" max="40" width="4.85546875" style="262" customWidth="1"/>
    <col min="41" max="41" width="12.28515625" style="262" customWidth="1"/>
    <col min="42" max="42" width="53.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5</v>
      </c>
      <c r="AP2" s="270" t="s">
        <v>7</v>
      </c>
      <c r="AQ2" s="271"/>
      <c r="AR2" s="3"/>
      <c r="AS2" s="3"/>
      <c r="AT2" s="3"/>
      <c r="AU2" s="3"/>
      <c r="AV2" s="3"/>
      <c r="AW2" s="3"/>
      <c r="AX2" s="3"/>
      <c r="AY2" s="3"/>
      <c r="AZ2" s="4"/>
      <c r="BB2" s="941" t="s">
        <v>588</v>
      </c>
      <c r="BC2" s="958"/>
      <c r="BD2" s="51" t="s">
        <v>380</v>
      </c>
      <c r="BE2" s="268" t="str">
        <f>+L3</f>
        <v>MAYO</v>
      </c>
      <c r="BF2" s="263"/>
      <c r="BG2" s="941" t="s">
        <v>589</v>
      </c>
      <c r="BH2" s="958"/>
      <c r="BI2" s="958"/>
      <c r="BJ2" s="51" t="s">
        <v>380</v>
      </c>
      <c r="BK2" s="268" t="str">
        <f>+BE2</f>
        <v>MAYO</v>
      </c>
      <c r="BM2" s="941" t="s">
        <v>589</v>
      </c>
      <c r="BN2" s="958"/>
      <c r="BO2" s="958"/>
      <c r="BP2" s="51" t="s">
        <v>380</v>
      </c>
      <c r="BQ2" s="268" t="str">
        <f>+BK2</f>
        <v>MAYO</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361</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MAYO</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2" customHeight="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66" t="str">
        <f>+CONCATENATE("ACUMULADO ",N3)</f>
        <v>ACUMULADO 2019</v>
      </c>
      <c r="BI5" s="967"/>
      <c r="BJ5" s="967"/>
      <c r="BK5" s="968"/>
      <c r="BM5" s="964" t="s">
        <v>32</v>
      </c>
      <c r="BN5" s="298" t="str">
        <f>+CONCATENATE("ACUMULADO ",BQ3)</f>
        <v>ACUMULADO 2019</v>
      </c>
      <c r="BO5" s="299"/>
      <c r="BP5" s="300"/>
      <c r="BQ5" s="301"/>
    </row>
    <row r="6" spans="1:69" ht="24.9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MAYO</v>
      </c>
      <c r="AS6" s="306" t="str">
        <f>AR6</f>
        <v>MAYO</v>
      </c>
      <c r="AT6" s="306" t="str">
        <f>AR6</f>
        <v>MAYO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65"/>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3560118548</v>
      </c>
      <c r="AR7" s="317">
        <f>I22</f>
        <v>1839631356</v>
      </c>
      <c r="AS7" s="317">
        <f>L22</f>
        <v>636627678</v>
      </c>
      <c r="AT7" s="13"/>
      <c r="AU7" s="318">
        <f t="shared" ref="AU7:AU17" si="0">IF(AQ7=0," ",AR7/AQ7)</f>
        <v>0.51673317368419269</v>
      </c>
      <c r="AV7" s="318">
        <f t="shared" ref="AV7:AV17" si="1">IF(AQ7=0," ",AS7/AQ7)</f>
        <v>0.17882204466411494</v>
      </c>
      <c r="AW7" s="317">
        <f>I23/AO$2*12+I24</f>
        <v>3716643837.3999996</v>
      </c>
      <c r="AX7" s="317">
        <f>L23/AO$2*12+L24</f>
        <v>829435010.20000005</v>
      </c>
      <c r="AY7" s="317">
        <f t="shared" ref="AY7:AY16" si="2">AW7-AQ7</f>
        <v>156525289.39999962</v>
      </c>
      <c r="AZ7" s="319">
        <f t="shared" ref="AZ7:AZ16" si="3">AX7-AQ7</f>
        <v>-2730683537.8000002</v>
      </c>
      <c r="BB7" s="320" t="s">
        <v>53</v>
      </c>
      <c r="BC7" s="54">
        <f>F10</f>
        <v>10176865038</v>
      </c>
      <c r="BD7" s="55">
        <f>I10</f>
        <v>10176865038</v>
      </c>
      <c r="BE7" s="56">
        <f>K10</f>
        <v>0</v>
      </c>
      <c r="BF7" s="57"/>
      <c r="BG7" s="91" t="s">
        <v>54</v>
      </c>
      <c r="BH7" s="116">
        <f>+SUM(BH8:BH11)</f>
        <v>45368642562</v>
      </c>
      <c r="BI7" s="116">
        <f>+SUM(BI8:BI11)</f>
        <v>31564869698</v>
      </c>
      <c r="BJ7" s="116">
        <f>+SUM(BJ8:BJ11)</f>
        <v>15599741439</v>
      </c>
      <c r="BK7" s="116">
        <f>+SUM(BK8:BK11)</f>
        <v>2840690868</v>
      </c>
      <c r="BM7" s="61" t="s">
        <v>54</v>
      </c>
      <c r="BN7" s="62">
        <f>BN8+BN15+BN22</f>
        <v>45368642562</v>
      </c>
      <c r="BO7" s="63">
        <f>BO8+BO15+BO22</f>
        <v>31564869698</v>
      </c>
      <c r="BP7" s="63">
        <f>BP8+BP15+BP22</f>
        <v>15599741439</v>
      </c>
      <c r="BQ7" s="64">
        <f>BQ8+BQ15+BQ22</f>
        <v>2840690868</v>
      </c>
    </row>
    <row r="8" spans="1:69" s="9" customFormat="1" ht="24.95" customHeight="1" thickBot="1">
      <c r="A8" s="711">
        <f>+IF(ABRIL!A8=0,"",ABRIL!A8)</f>
        <v>1</v>
      </c>
      <c r="B8" s="618" t="str">
        <f>+IF(ABRIL!B8=0,"",ABRIL!B8)</f>
        <v>INGRESOS</v>
      </c>
      <c r="C8" s="321">
        <f t="shared" ref="C8:N8" si="4">C10+C17+C113</f>
        <v>66420360605</v>
      </c>
      <c r="D8" s="321">
        <f t="shared" si="4"/>
        <v>0</v>
      </c>
      <c r="E8" s="321">
        <f t="shared" si="4"/>
        <v>37181986823</v>
      </c>
      <c r="F8" s="321">
        <f t="shared" si="4"/>
        <v>103602347428</v>
      </c>
      <c r="G8" s="321">
        <f t="shared" si="4"/>
        <v>47768686546</v>
      </c>
      <c r="H8" s="321">
        <f t="shared" si="4"/>
        <v>7190096937</v>
      </c>
      <c r="I8" s="321">
        <f t="shared" si="4"/>
        <v>54958783483</v>
      </c>
      <c r="J8" s="321">
        <f t="shared" si="4"/>
        <v>32500551294.150002</v>
      </c>
      <c r="K8" s="321">
        <f t="shared" si="4"/>
        <v>4624478358.6100006</v>
      </c>
      <c r="L8" s="321">
        <f t="shared" si="4"/>
        <v>37125029652.759995</v>
      </c>
      <c r="M8" s="321">
        <f t="shared" si="4"/>
        <v>48643563945</v>
      </c>
      <c r="N8" s="321">
        <f t="shared" si="4"/>
        <v>66477317775.239998</v>
      </c>
      <c r="O8" s="323"/>
      <c r="P8" s="324">
        <f>P10+P17+P113</f>
        <v>0</v>
      </c>
      <c r="Q8" s="322">
        <f>Q10+Q17+Q113</f>
        <v>8743274278</v>
      </c>
      <c r="S8" s="684" t="str">
        <f>+IF(ABRIL!S8=0,"",ABRIL!S8)</f>
        <v/>
      </c>
      <c r="T8" s="658" t="str">
        <f>+IF(ABRIL!T8=0,"",ABRIL!T8)</f>
        <v>GASTOS</v>
      </c>
      <c r="U8" s="325">
        <f>U10+U193+U220+U232</f>
        <v>66420360605</v>
      </c>
      <c r="V8" s="326">
        <f t="shared" ref="V8:AJ8" si="5">V10+V193+V220+V232</f>
        <v>0</v>
      </c>
      <c r="W8" s="326">
        <f t="shared" si="5"/>
        <v>37181986823</v>
      </c>
      <c r="X8" s="327">
        <f t="shared" si="5"/>
        <v>103602347428</v>
      </c>
      <c r="Y8" s="328">
        <f t="shared" si="5"/>
        <v>62117855960</v>
      </c>
      <c r="Z8" s="326">
        <f t="shared" si="5"/>
        <v>4188273808</v>
      </c>
      <c r="AA8" s="327">
        <f t="shared" si="5"/>
        <v>66306129768</v>
      </c>
      <c r="AB8" s="328">
        <f t="shared" si="5"/>
        <v>34843587381</v>
      </c>
      <c r="AC8" s="326">
        <f t="shared" si="5"/>
        <v>8676358263</v>
      </c>
      <c r="AD8" s="327">
        <f t="shared" si="5"/>
        <v>43519945644</v>
      </c>
      <c r="AE8" s="328">
        <f t="shared" si="5"/>
        <v>22325760910</v>
      </c>
      <c r="AF8" s="326">
        <f t="shared" si="5"/>
        <v>6808585015</v>
      </c>
      <c r="AG8" s="327">
        <f t="shared" si="5"/>
        <v>29134345925</v>
      </c>
      <c r="AH8" s="328">
        <f t="shared" si="5"/>
        <v>37296217660</v>
      </c>
      <c r="AI8" s="326">
        <f t="shared" si="5"/>
        <v>60082401784</v>
      </c>
      <c r="AJ8" s="329">
        <f t="shared" si="5"/>
        <v>74468001503</v>
      </c>
      <c r="AL8" s="330">
        <f>AL10+AL193+AL220+AL232</f>
        <v>0</v>
      </c>
      <c r="AM8" s="331">
        <f>AM10+AM193+AM220+AM232</f>
        <v>8743274278</v>
      </c>
      <c r="AO8" s="21"/>
      <c r="AP8" s="11" t="s">
        <v>56</v>
      </c>
      <c r="AQ8" s="12">
        <f>F25</f>
        <v>39759102891</v>
      </c>
      <c r="AR8" s="12">
        <f>I25</f>
        <v>23119949432</v>
      </c>
      <c r="AS8" s="12">
        <f>L25</f>
        <v>12957219923</v>
      </c>
      <c r="AT8" s="13"/>
      <c r="AU8" s="332">
        <f t="shared" si="0"/>
        <v>0.58150078223302937</v>
      </c>
      <c r="AV8" s="332">
        <f t="shared" si="1"/>
        <v>0.32589316611399294</v>
      </c>
      <c r="AW8" s="12">
        <f>I26/AO$2*12+I27</f>
        <v>44755762596</v>
      </c>
      <c r="AX8" s="12">
        <f>L26/AO$2*12+L27</f>
        <v>20365211774.400002</v>
      </c>
      <c r="AY8" s="12">
        <f t="shared" si="2"/>
        <v>4996659705</v>
      </c>
      <c r="AZ8" s="333">
        <f t="shared" si="3"/>
        <v>-19393891116.599998</v>
      </c>
      <c r="BB8" s="140" t="s">
        <v>57</v>
      </c>
      <c r="BC8" s="65">
        <f>BC9+BC19</f>
        <v>81575883736</v>
      </c>
      <c r="BD8" s="66">
        <f>BD9+BD19</f>
        <v>32861001719</v>
      </c>
      <c r="BE8" s="67">
        <f>BE9+BE19</f>
        <v>4442145855.9200001</v>
      </c>
      <c r="BF8" s="57"/>
      <c r="BG8" s="68" t="s">
        <v>58</v>
      </c>
      <c r="BH8" s="69">
        <f>BN9+BN13</f>
        <v>10996915508</v>
      </c>
      <c r="BI8" s="69">
        <f>BO9+BO13</f>
        <v>1891254308</v>
      </c>
      <c r="BJ8" s="69">
        <f>BP9+BP13</f>
        <v>1891254308</v>
      </c>
      <c r="BK8" s="69">
        <f>BQ9+BQ13</f>
        <v>394719162</v>
      </c>
      <c r="BM8" s="71" t="s">
        <v>59</v>
      </c>
      <c r="BN8" s="72">
        <f>BN9+BN14+BN13</f>
        <v>33464468891</v>
      </c>
      <c r="BO8" s="69">
        <f>BO9+BO14+BO13</f>
        <v>23766372901</v>
      </c>
      <c r="BP8" s="69">
        <f>BP9+BP14+BP13</f>
        <v>10988964789</v>
      </c>
      <c r="BQ8" s="70">
        <f>BQ9+BQ14+BQ13</f>
        <v>1902976505</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10928050263</v>
      </c>
      <c r="AR9" s="12">
        <f>I28+I75</f>
        <v>6857778512</v>
      </c>
      <c r="AS9" s="12">
        <f>L28+L75</f>
        <v>2568637110</v>
      </c>
      <c r="AT9" s="13"/>
      <c r="AU9" s="340">
        <f t="shared" si="0"/>
        <v>0.62753907119360031</v>
      </c>
      <c r="AV9" s="340">
        <f t="shared" si="1"/>
        <v>0.23504989894646131</v>
      </c>
      <c r="AW9" s="341">
        <f>(I30+I33+I36+I76)/AO$2*12+I31+I34+I37+I38+I39+I40+I77</f>
        <v>13566384718.400002</v>
      </c>
      <c r="AX9" s="341">
        <f>(L30+L33+L36+L76)/AO$2*12+L31+L34+L37+L38+L39+L40+L77</f>
        <v>3272445353.5999999</v>
      </c>
      <c r="AY9" s="341">
        <f t="shared" si="2"/>
        <v>2638334455.4000015</v>
      </c>
      <c r="AZ9" s="342">
        <f t="shared" si="3"/>
        <v>-7655604909.3999996</v>
      </c>
      <c r="BB9" s="343" t="s">
        <v>412</v>
      </c>
      <c r="BC9" s="73">
        <f>BC10+BC18</f>
        <v>81477711613</v>
      </c>
      <c r="BD9" s="74">
        <f>BD10+BD18</f>
        <v>32807860548</v>
      </c>
      <c r="BE9" s="75">
        <f>BE10+BE18</f>
        <v>4440020113.9200001</v>
      </c>
      <c r="BF9" s="76"/>
      <c r="BG9" s="77" t="s">
        <v>62</v>
      </c>
      <c r="BH9" s="78">
        <f t="shared" ref="BH9:BK10" si="6">BN14</f>
        <v>22467553383</v>
      </c>
      <c r="BI9" s="78">
        <f t="shared" si="6"/>
        <v>21875118593</v>
      </c>
      <c r="BJ9" s="78">
        <f t="shared" si="6"/>
        <v>9097710481</v>
      </c>
      <c r="BK9" s="78">
        <f t="shared" si="6"/>
        <v>1508257343</v>
      </c>
      <c r="BM9" s="137" t="s">
        <v>63</v>
      </c>
      <c r="BN9" s="80">
        <f>SUM(BN10:BN12)</f>
        <v>7082685503</v>
      </c>
      <c r="BO9" s="78">
        <f>SUM(BO10:BO12)</f>
        <v>1480828605</v>
      </c>
      <c r="BP9" s="78">
        <f>SUM(BP10:BP12)</f>
        <v>1480828605</v>
      </c>
      <c r="BQ9" s="79">
        <f>SUM(BQ10:BQ12)</f>
        <v>298598853</v>
      </c>
    </row>
    <row r="10" spans="1:69" s="9" customFormat="1" ht="24.95" customHeight="1">
      <c r="A10" s="712">
        <f>+IF(ABRIL!A10=0,"",ABRIL!A10)</f>
        <v>10</v>
      </c>
      <c r="B10" s="620" t="str">
        <f>+IF(ABRIL!B10=0,"",ABRIL!B10)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346">
        <f t="shared" si="7"/>
        <v>10176865038</v>
      </c>
      <c r="J10" s="174">
        <f t="shared" si="7"/>
        <v>10176865038</v>
      </c>
      <c r="K10" s="344">
        <f t="shared" si="7"/>
        <v>0</v>
      </c>
      <c r="L10" s="175">
        <f t="shared" si="7"/>
        <v>10176865038</v>
      </c>
      <c r="M10" s="174">
        <f t="shared" si="7"/>
        <v>0</v>
      </c>
      <c r="N10" s="175">
        <f t="shared" si="7"/>
        <v>0</v>
      </c>
      <c r="O10" s="13"/>
      <c r="P10" s="174">
        <f>SUM(P12:P15)</f>
        <v>0</v>
      </c>
      <c r="Q10" s="175">
        <f>SUM(Q12:Q15)</f>
        <v>0</v>
      </c>
      <c r="S10" s="347" t="str">
        <f>+IF(ABRIL!S10=0,"",ABRIL!S10)</f>
        <v>A</v>
      </c>
      <c r="T10" s="659" t="str">
        <f>+IF(ABRIL!T10=0,"",ABRIL!T10)</f>
        <v>GASTOS DE FUNCIONAMIENTO</v>
      </c>
      <c r="U10" s="348">
        <f>U12+U110+U170</f>
        <v>50109343517</v>
      </c>
      <c r="V10" s="349">
        <f t="shared" ref="V10:AJ10" si="8">V12+V110+V170</f>
        <v>-1300000000</v>
      </c>
      <c r="W10" s="349">
        <f t="shared" si="8"/>
        <v>3823182074</v>
      </c>
      <c r="X10" s="352">
        <f t="shared" si="8"/>
        <v>52632525591</v>
      </c>
      <c r="Y10" s="351">
        <f t="shared" si="8"/>
        <v>36142480912</v>
      </c>
      <c r="Z10" s="349">
        <f t="shared" si="8"/>
        <v>2243179555</v>
      </c>
      <c r="AA10" s="352">
        <f t="shared" si="8"/>
        <v>38385660467</v>
      </c>
      <c r="AB10" s="351">
        <f t="shared" si="8"/>
        <v>18299328863</v>
      </c>
      <c r="AC10" s="349">
        <f t="shared" si="8"/>
        <v>4121203345</v>
      </c>
      <c r="AD10" s="352">
        <f t="shared" si="8"/>
        <v>22420532208</v>
      </c>
      <c r="AE10" s="351">
        <f t="shared" si="8"/>
        <v>11359184692</v>
      </c>
      <c r="AF10" s="349">
        <f t="shared" si="8"/>
        <v>3286905245</v>
      </c>
      <c r="AG10" s="352">
        <f t="shared" si="8"/>
        <v>14646089937</v>
      </c>
      <c r="AH10" s="351">
        <f t="shared" si="8"/>
        <v>14246865124</v>
      </c>
      <c r="AI10" s="349">
        <f t="shared" si="8"/>
        <v>30211993383</v>
      </c>
      <c r="AJ10" s="350">
        <f t="shared" si="8"/>
        <v>37986435654</v>
      </c>
      <c r="AL10" s="353">
        <f>AL12+AL110+AL170</f>
        <v>-1000000000</v>
      </c>
      <c r="AM10" s="354">
        <f>AM12+AM110+AM170</f>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65494812540</v>
      </c>
      <c r="BD10" s="74">
        <f>BD11+BD12+BD13+BD14+BD16+BD17+BD15</f>
        <v>29453416126</v>
      </c>
      <c r="BE10" s="75">
        <f>BE11+BE12+BE13+BE14+BE16+BE17+BE15</f>
        <v>4440020113.9200001</v>
      </c>
      <c r="BF10" s="76"/>
      <c r="BG10" s="68" t="s">
        <v>66</v>
      </c>
      <c r="BH10" s="81">
        <f t="shared" si="6"/>
        <v>10635819527</v>
      </c>
      <c r="BI10" s="81">
        <f t="shared" si="6"/>
        <v>7363848600</v>
      </c>
      <c r="BJ10" s="81">
        <f t="shared" si="6"/>
        <v>4176128453</v>
      </c>
      <c r="BK10" s="81">
        <f t="shared" si="6"/>
        <v>859251449</v>
      </c>
      <c r="BM10" s="134" t="s">
        <v>425</v>
      </c>
      <c r="BN10" s="83">
        <f>X17+X66</f>
        <v>5223004812</v>
      </c>
      <c r="BO10" s="81">
        <f>AA17+AA66</f>
        <v>1351132398</v>
      </c>
      <c r="BP10" s="81">
        <f>AD17+AD66</f>
        <v>1351132398</v>
      </c>
      <c r="BQ10" s="82">
        <f>AF17+AF66</f>
        <v>271548212</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11" t="s">
        <v>522</v>
      </c>
      <c r="AQ11" s="12">
        <f>F88</f>
        <v>222386275</v>
      </c>
      <c r="AR11" s="12">
        <f>I88</f>
        <v>131092295</v>
      </c>
      <c r="AS11" s="12">
        <f>L88</f>
        <v>131092295</v>
      </c>
      <c r="AT11" s="361">
        <f>AO2/12</f>
        <v>0.41666666666666669</v>
      </c>
      <c r="AU11" s="340">
        <f t="shared" si="0"/>
        <v>0.58948015114691765</v>
      </c>
      <c r="AV11" s="340">
        <f t="shared" si="1"/>
        <v>0.58948015114691765</v>
      </c>
      <c r="AW11" s="341">
        <f>I88</f>
        <v>131092295</v>
      </c>
      <c r="AX11" s="341">
        <f>L88</f>
        <v>131092295</v>
      </c>
      <c r="AY11" s="341">
        <f t="shared" si="2"/>
        <v>-91293980</v>
      </c>
      <c r="AZ11" s="342">
        <f t="shared" si="3"/>
        <v>-91293980</v>
      </c>
      <c r="BB11" s="355" t="s">
        <v>414</v>
      </c>
      <c r="BC11" s="73">
        <f>F26</f>
        <v>32167564656</v>
      </c>
      <c r="BD11" s="74">
        <f>I26</f>
        <v>15454152260</v>
      </c>
      <c r="BE11" s="75">
        <f>K26</f>
        <v>2144510080</v>
      </c>
      <c r="BF11" s="76"/>
      <c r="BG11" s="68" t="s">
        <v>67</v>
      </c>
      <c r="BH11" s="84">
        <f>BN22</f>
        <v>1268354144</v>
      </c>
      <c r="BI11" s="84">
        <f>BO22</f>
        <v>434648197</v>
      </c>
      <c r="BJ11" s="84">
        <f>BP22</f>
        <v>434648197</v>
      </c>
      <c r="BK11" s="84">
        <f>BQ22</f>
        <v>78462914</v>
      </c>
      <c r="BM11" s="135" t="s">
        <v>426</v>
      </c>
      <c r="BN11" s="86">
        <f>X18+X67</f>
        <v>336902465</v>
      </c>
      <c r="BO11" s="84">
        <f>AA18+AA67</f>
        <v>47028088</v>
      </c>
      <c r="BP11" s="84">
        <f>AD18+AD67</f>
        <v>47028088</v>
      </c>
      <c r="BQ11" s="85">
        <f>AF18+AF67</f>
        <v>10856098</v>
      </c>
    </row>
    <row r="12" spans="1:69" s="9" customFormat="1" ht="24.95" customHeight="1">
      <c r="A12" s="593">
        <f>+IF(ABRIL!A12=0,"",ABRIL!A12)</f>
        <v>1001</v>
      </c>
      <c r="B12" s="621" t="str">
        <f>+IF(ABRIL!B12=0,"",ABRIL!B12)</f>
        <v>Bienestar Social (Caja, Bancos, Inversiones Tempor.) a Dic-31-2018</v>
      </c>
      <c r="C12" s="655">
        <f>+ENERO!C12</f>
        <v>0</v>
      </c>
      <c r="D12" s="363">
        <f>ABRIL!D12+MAYO!P12</f>
        <v>0</v>
      </c>
      <c r="E12" s="363">
        <f>ABRIL!E12+MAYO!Q12</f>
        <v>0</v>
      </c>
      <c r="F12" s="143">
        <f>SUM(C12:E12)</f>
        <v>0</v>
      </c>
      <c r="G12" s="216">
        <f>ABRIL!I12</f>
        <v>0</v>
      </c>
      <c r="H12" s="364">
        <v>0</v>
      </c>
      <c r="I12" s="143">
        <f>SUM(G12:H12)</f>
        <v>0</v>
      </c>
      <c r="J12" s="216">
        <f>ABRIL!L12</f>
        <v>0</v>
      </c>
      <c r="K12" s="131">
        <f>+H12</f>
        <v>0</v>
      </c>
      <c r="L12" s="143">
        <f>SUM(J12:K12)</f>
        <v>0</v>
      </c>
      <c r="M12" s="216">
        <f>F12-I12</f>
        <v>0</v>
      </c>
      <c r="N12" s="143">
        <f>F12-L12</f>
        <v>0</v>
      </c>
      <c r="O12" s="284"/>
      <c r="P12" s="362">
        <v>0</v>
      </c>
      <c r="Q12" s="365">
        <v>0</v>
      </c>
      <c r="S12" s="685">
        <f>+IF(ABRIL!S12=0,"",ABRIL!S12)</f>
        <v>1000000</v>
      </c>
      <c r="T12" s="661" t="str">
        <f>+IF(ABRIL!T12=0,"",ABRIL!T12)</f>
        <v>GASTOS DE PERSONAL</v>
      </c>
      <c r="U12" s="366">
        <f t="shared" ref="U12:AJ12" si="9">U14+U63</f>
        <v>36893269846</v>
      </c>
      <c r="V12" s="367">
        <f t="shared" si="9"/>
        <v>0</v>
      </c>
      <c r="W12" s="367">
        <f t="shared" si="9"/>
        <v>1873182074</v>
      </c>
      <c r="X12" s="368">
        <f t="shared" si="9"/>
        <v>38766451920</v>
      </c>
      <c r="Y12" s="353">
        <f t="shared" si="9"/>
        <v>27263391961</v>
      </c>
      <c r="Z12" s="367">
        <f t="shared" si="9"/>
        <v>1599892495</v>
      </c>
      <c r="AA12" s="368">
        <f t="shared" si="9"/>
        <v>28863284456</v>
      </c>
      <c r="AB12" s="353">
        <f t="shared" si="9"/>
        <v>13384783027</v>
      </c>
      <c r="AC12" s="367">
        <f t="shared" si="9"/>
        <v>2701093317</v>
      </c>
      <c r="AD12" s="368">
        <f t="shared" si="9"/>
        <v>16085876344</v>
      </c>
      <c r="AE12" s="353">
        <f t="shared" si="9"/>
        <v>8014592213</v>
      </c>
      <c r="AF12" s="367">
        <f t="shared" si="9"/>
        <v>2121287372</v>
      </c>
      <c r="AG12" s="368">
        <f t="shared" si="9"/>
        <v>10135879585</v>
      </c>
      <c r="AH12" s="353">
        <f t="shared" si="9"/>
        <v>9903167464</v>
      </c>
      <c r="AI12" s="367">
        <f t="shared" si="9"/>
        <v>22680575576</v>
      </c>
      <c r="AJ12" s="354">
        <f t="shared" si="9"/>
        <v>28630572335</v>
      </c>
      <c r="AK12" s="10"/>
      <c r="AL12" s="369">
        <f>AL14+AL63</f>
        <v>0</v>
      </c>
      <c r="AM12" s="370">
        <f>AM14+AM63</f>
        <v>0</v>
      </c>
      <c r="AO12" s="360"/>
      <c r="AP12" s="14"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3087894380</v>
      </c>
      <c r="BD12" s="74">
        <f>I23</f>
        <v>1340723201</v>
      </c>
      <c r="BE12" s="75">
        <f>K23</f>
        <v>201646</v>
      </c>
      <c r="BF12" s="76"/>
      <c r="BG12" s="371" t="s">
        <v>383</v>
      </c>
      <c r="BH12" s="84">
        <f>BN25</f>
        <v>12995718637</v>
      </c>
      <c r="BI12" s="15">
        <f>BO25</f>
        <v>11157970883</v>
      </c>
      <c r="BJ12" s="84">
        <f>BP25</f>
        <v>8270718510</v>
      </c>
      <c r="BK12" s="84">
        <f>BQ25</f>
        <v>812292127</v>
      </c>
      <c r="BM12" s="136" t="s">
        <v>427</v>
      </c>
      <c r="BN12" s="86">
        <f>X16+X65-X81-X33-BN10-BN11</f>
        <v>1522778226</v>
      </c>
      <c r="BO12" s="84">
        <f>AA16+AA65-AA81-AA33-BO10-BO11</f>
        <v>82668119</v>
      </c>
      <c r="BP12" s="84">
        <f>AD16+AD65-AD81-AD33-BP10-BP11</f>
        <v>82668119</v>
      </c>
      <c r="BQ12" s="85">
        <f>AF16+AF65-AF81-AF33-BQ10-BQ11</f>
        <v>16194543</v>
      </c>
    </row>
    <row r="13" spans="1:69" s="9" customFormat="1" ht="24.95" customHeight="1">
      <c r="A13" s="593">
        <f>+IF(ABRIL!A13=0,"",ABRIL!A13)</f>
        <v>1002</v>
      </c>
      <c r="B13" s="621" t="str">
        <f>+IF(ABRIL!B13=0,"",ABRIL!B13)</f>
        <v>Fondo Vivienda (Caja, Bancos, Inversiones Tempor.) a Dic-31-2018</v>
      </c>
      <c r="C13" s="655">
        <f>+ENERO!C13</f>
        <v>0</v>
      </c>
      <c r="D13" s="363">
        <f>ABRIL!D13+MAYO!P13</f>
        <v>0</v>
      </c>
      <c r="E13" s="363">
        <f>ABRIL!E13+MAYO!Q13</f>
        <v>0</v>
      </c>
      <c r="F13" s="143">
        <f>SUM(C13:E13)</f>
        <v>0</v>
      </c>
      <c r="G13" s="216">
        <f>ABRIL!I13</f>
        <v>0</v>
      </c>
      <c r="H13" s="364">
        <v>0</v>
      </c>
      <c r="I13" s="143">
        <f>SUM(G13:H13)</f>
        <v>0</v>
      </c>
      <c r="J13" s="216">
        <f>ABRIL!L13</f>
        <v>0</v>
      </c>
      <c r="K13" s="131">
        <f>+H13</f>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14"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5018623207</v>
      </c>
      <c r="BE13" s="89">
        <f>+K30+K33+K36+K38+K39+K40</f>
        <v>111106207</v>
      </c>
      <c r="BF13" s="90"/>
      <c r="BG13" s="91" t="s">
        <v>70</v>
      </c>
      <c r="BH13" s="84">
        <f t="shared" ref="BH13:BK15" si="10">BN29</f>
        <v>26829618396</v>
      </c>
      <c r="BI13" s="84">
        <f t="shared" si="10"/>
        <v>10835161168</v>
      </c>
      <c r="BJ13" s="84">
        <f t="shared" si="10"/>
        <v>6901357676</v>
      </c>
      <c r="BK13" s="84">
        <f t="shared" si="10"/>
        <v>2340642343</v>
      </c>
      <c r="BM13" s="139" t="s">
        <v>428</v>
      </c>
      <c r="BN13" s="83">
        <f>X43-X55+X57-X61+X90-X102+X104-X108</f>
        <v>3914230005</v>
      </c>
      <c r="BO13" s="81">
        <f>AA43-AA55+AA57-AA61+AA90-AA102+AA104-AA108</f>
        <v>410425703</v>
      </c>
      <c r="BP13" s="81">
        <f>AD43-AD55+AD57-AD61+AD90-AD102+AD104-AD108</f>
        <v>410425703</v>
      </c>
      <c r="BQ13" s="82">
        <f>AF43-AF55+AF57-AF61+AF90-AF102+AF104-AF108</f>
        <v>96120309</v>
      </c>
    </row>
    <row r="14" spans="1:69" s="9" customFormat="1" ht="24.95" customHeight="1">
      <c r="A14" s="593">
        <f>+IF(ABRIL!A14=0,"",ABRIL!A14)</f>
        <v>1003</v>
      </c>
      <c r="B14" s="621" t="str">
        <f>+IF(ABRIL!B14=0,"",ABRIL!B14)</f>
        <v>Fondos Comunes y Especiales (Caja, Bancos, Invers. Tempor.) a Dic-31-2018</v>
      </c>
      <c r="C14" s="655">
        <f>+ENERO!C14</f>
        <v>4565434734</v>
      </c>
      <c r="D14" s="363">
        <f>ABRIL!D14+MAYO!P14</f>
        <v>0</v>
      </c>
      <c r="E14" s="363">
        <f>ABRIL!E14+MAYO!Q14</f>
        <v>5318248230</v>
      </c>
      <c r="F14" s="143">
        <f>SUM(C14:E14)</f>
        <v>9883682964</v>
      </c>
      <c r="G14" s="216">
        <f>ABRIL!I14</f>
        <v>9883682964</v>
      </c>
      <c r="H14" s="364">
        <v>0</v>
      </c>
      <c r="I14" s="143">
        <f>SUM(G14:H14)</f>
        <v>9883682964</v>
      </c>
      <c r="J14" s="216">
        <f>ABRIL!L14</f>
        <v>9883682964</v>
      </c>
      <c r="K14" s="131">
        <f>+H14</f>
        <v>0</v>
      </c>
      <c r="L14" s="143">
        <f>SUM(J14:K14)</f>
        <v>9883682964</v>
      </c>
      <c r="M14" s="216">
        <f>F14-I14</f>
        <v>0</v>
      </c>
      <c r="N14" s="143">
        <f>F14-L14</f>
        <v>0</v>
      </c>
      <c r="O14" s="372"/>
      <c r="P14" s="362">
        <v>0</v>
      </c>
      <c r="Q14" s="365">
        <v>0</v>
      </c>
      <c r="S14" s="686">
        <f>+IF(ABRIL!S14=0,"",ABRIL!S14)</f>
        <v>1010000</v>
      </c>
      <c r="T14" s="662" t="str">
        <f>+IF(ABRIL!T14=0,"",ABRIL!T14)</f>
        <v>Gastos de Administración</v>
      </c>
      <c r="U14" s="132">
        <f t="shared" ref="U14:AJ14" si="11">U16+U35+U43+U57</f>
        <v>6899222078</v>
      </c>
      <c r="V14" s="122">
        <f t="shared" si="11"/>
        <v>72498932</v>
      </c>
      <c r="W14" s="122">
        <f t="shared" si="11"/>
        <v>220000000</v>
      </c>
      <c r="X14" s="129">
        <f t="shared" si="11"/>
        <v>7191721010</v>
      </c>
      <c r="Y14" s="128">
        <f t="shared" si="11"/>
        <v>5023365708</v>
      </c>
      <c r="Z14" s="122">
        <f t="shared" si="11"/>
        <v>183002318</v>
      </c>
      <c r="AA14" s="129">
        <f t="shared" si="11"/>
        <v>5206368026</v>
      </c>
      <c r="AB14" s="128">
        <f t="shared" si="11"/>
        <v>2528378222</v>
      </c>
      <c r="AC14" s="122">
        <f t="shared" si="11"/>
        <v>482937395</v>
      </c>
      <c r="AD14" s="129">
        <f t="shared" si="11"/>
        <v>3011315617</v>
      </c>
      <c r="AE14" s="128">
        <f t="shared" si="11"/>
        <v>2019533017</v>
      </c>
      <c r="AF14" s="122">
        <f t="shared" si="11"/>
        <v>482570257</v>
      </c>
      <c r="AG14" s="129">
        <f t="shared" si="11"/>
        <v>2502103274</v>
      </c>
      <c r="AH14" s="128">
        <f t="shared" si="11"/>
        <v>1985352984</v>
      </c>
      <c r="AI14" s="122">
        <f t="shared" si="11"/>
        <v>4180405393</v>
      </c>
      <c r="AJ14" s="130">
        <f t="shared" si="11"/>
        <v>4689617736</v>
      </c>
      <c r="AK14" s="10"/>
      <c r="AL14" s="128">
        <f>AL16+AL35+AL43+AL57</f>
        <v>79000000</v>
      </c>
      <c r="AM14" s="130">
        <f>AM16+AM35+AM43+AM57</f>
        <v>0</v>
      </c>
      <c r="AO14" s="21"/>
      <c r="AP14" s="11" t="s">
        <v>73</v>
      </c>
      <c r="AQ14" s="12">
        <f>F19-AQ7-AQ8-AQ9-AQ10-AQ11-AQ12-AQ13</f>
        <v>22671459911</v>
      </c>
      <c r="AR14" s="12">
        <f>I19-AR7-AR8-AR9-AR10-AR11-AR12-AR13</f>
        <v>9299476156</v>
      </c>
      <c r="AS14" s="12">
        <f>L19-AS7-AS8-AS9-AS10-AS11-AS12-AS13</f>
        <v>7157436504.7599983</v>
      </c>
      <c r="AT14" s="372"/>
      <c r="AU14" s="340">
        <f t="shared" si="0"/>
        <v>0.41018426658478985</v>
      </c>
      <c r="AV14" s="340">
        <f t="shared" si="1"/>
        <v>0.31570249700978764</v>
      </c>
      <c r="AW14" s="341">
        <f>(I41+I46+I49+I52+I55+I58+I61+I64+I67+I70+I73+I78+I81+I82+I83+I85+I94+I104)/AO$2*12+I47+I50+I53+I56+I59+I62+I65+I68+I71+I74</f>
        <v>28029798255.800003</v>
      </c>
      <c r="AX14" s="341">
        <f>(L41+L46+L49+L52+L55+L58+L61+L64+L67+L70+L73+L78+L81+L82+L83+L85+L94+L104)/AO$2*12+L47+L50+L53+L56+L59+L62+L65+L68+L71+L74</f>
        <v>22800488077.257999</v>
      </c>
      <c r="AY14" s="341">
        <f t="shared" si="2"/>
        <v>5358338344.8000031</v>
      </c>
      <c r="AZ14" s="342">
        <f t="shared" si="3"/>
        <v>129028166.25799942</v>
      </c>
      <c r="BB14" s="373" t="s">
        <v>417</v>
      </c>
      <c r="BC14" s="92">
        <f>+F64</f>
        <v>8371510292</v>
      </c>
      <c r="BD14" s="93">
        <f>+I64</f>
        <v>2776246154</v>
      </c>
      <c r="BE14" s="94">
        <f>K64</f>
        <v>328972730.92000002</v>
      </c>
      <c r="BF14" s="95"/>
      <c r="BG14" s="91" t="s">
        <v>74</v>
      </c>
      <c r="BH14" s="81">
        <f t="shared" si="10"/>
        <v>262344980</v>
      </c>
      <c r="BI14" s="81">
        <f t="shared" si="10"/>
        <v>129376915</v>
      </c>
      <c r="BJ14" s="81">
        <f t="shared" si="10"/>
        <v>129376915</v>
      </c>
      <c r="BK14" s="81">
        <f t="shared" si="10"/>
        <v>25834146</v>
      </c>
      <c r="BM14" s="138" t="s">
        <v>424</v>
      </c>
      <c r="BN14" s="86">
        <f>X35-X41+X83-X88</f>
        <v>22467553383</v>
      </c>
      <c r="BO14" s="84">
        <f>AA35-AA41+AA83-AA88</f>
        <v>21875118593</v>
      </c>
      <c r="BP14" s="84">
        <f>AD35-AD41+AD83-AD88</f>
        <v>9097710481</v>
      </c>
      <c r="BQ14" s="85">
        <f>AF35-AF41+AF83-AF88</f>
        <v>1508257343</v>
      </c>
    </row>
    <row r="15" spans="1:69" s="9" customFormat="1" ht="24.95" customHeight="1" thickBot="1">
      <c r="A15" s="594">
        <f>+IF(ABRIL!A15=0,"",ABRIL!A15)</f>
        <v>1004</v>
      </c>
      <c r="B15" s="621" t="str">
        <f>+IF(ABRIL!B15=0,"",ABRIL!B15)</f>
        <v>Cesantias Ley 50/1990 a Dic-31-2018</v>
      </c>
      <c r="C15" s="759">
        <f>+ENERO!C15</f>
        <v>280000000</v>
      </c>
      <c r="D15" s="375">
        <f>ABRIL!D15+MAYO!P15</f>
        <v>0</v>
      </c>
      <c r="E15" s="375">
        <f>ABRIL!E15+MAYO!Q15</f>
        <v>13182074</v>
      </c>
      <c r="F15" s="376">
        <f>SUM(C15:E15)</f>
        <v>293182074</v>
      </c>
      <c r="G15" s="377">
        <f>ABRIL!I15</f>
        <v>293182074</v>
      </c>
      <c r="H15" s="378">
        <v>0</v>
      </c>
      <c r="I15" s="376">
        <f>SUM(G15:H15)</f>
        <v>293182074</v>
      </c>
      <c r="J15" s="377">
        <f>ABRIL!L15</f>
        <v>293182074</v>
      </c>
      <c r="K15" s="165">
        <f>+H15</f>
        <v>0</v>
      </c>
      <c r="L15" s="376">
        <f>SUM(J15:K15)</f>
        <v>293182074</v>
      </c>
      <c r="M15" s="377">
        <f>F15-I15</f>
        <v>0</v>
      </c>
      <c r="N15" s="376">
        <f>F15-L15</f>
        <v>0</v>
      </c>
      <c r="O15" s="372"/>
      <c r="P15" s="374">
        <v>0</v>
      </c>
      <c r="Q15" s="379">
        <v>0</v>
      </c>
      <c r="S15" s="356" t="str">
        <f>+IF(ABRIL!S15=0,"",ABRIL!S15)</f>
        <v/>
      </c>
      <c r="T15" s="678" t="str">
        <f>+IF(ABRIL!T15=0,"",ABRIL!T15)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203293306</v>
      </c>
      <c r="AR15" s="12">
        <f>I113</f>
        <v>126405101</v>
      </c>
      <c r="AS15" s="12">
        <f>L113</f>
        <v>126405101</v>
      </c>
      <c r="AT15" s="13"/>
      <c r="AU15" s="340">
        <f t="shared" si="0"/>
        <v>0.62178683345333563</v>
      </c>
      <c r="AV15" s="340">
        <f t="shared" si="1"/>
        <v>0.62178683345333563</v>
      </c>
      <c r="AW15" s="12">
        <f>+AR15</f>
        <v>126405101</v>
      </c>
      <c r="AX15" s="12">
        <f>+AS15</f>
        <v>126405101</v>
      </c>
      <c r="AY15" s="12">
        <f t="shared" si="2"/>
        <v>-76888205</v>
      </c>
      <c r="AZ15" s="333">
        <f t="shared" si="3"/>
        <v>-76888205</v>
      </c>
      <c r="BA15" s="372"/>
      <c r="BB15" s="373" t="s">
        <v>77</v>
      </c>
      <c r="BC15" s="92">
        <f>F46+F49</f>
        <v>130489617</v>
      </c>
      <c r="BD15" s="93">
        <f>I46+I49</f>
        <v>374740935</v>
      </c>
      <c r="BE15" s="94">
        <f>K46+K49</f>
        <v>0</v>
      </c>
      <c r="BF15" s="95"/>
      <c r="BG15" s="91" t="s">
        <v>78</v>
      </c>
      <c r="BH15" s="81">
        <f t="shared" si="10"/>
        <v>18146022853</v>
      </c>
      <c r="BI15" s="81">
        <f t="shared" si="10"/>
        <v>12618751104</v>
      </c>
      <c r="BJ15" s="81">
        <f t="shared" si="10"/>
        <v>12618751104</v>
      </c>
      <c r="BK15" s="81">
        <f t="shared" si="10"/>
        <v>789125531</v>
      </c>
      <c r="BM15" s="71" t="s">
        <v>66</v>
      </c>
      <c r="BN15" s="83">
        <f>SUM(BN16:BN21)</f>
        <v>10635819527</v>
      </c>
      <c r="BO15" s="81">
        <f>SUM(BO16:BO21)</f>
        <v>7363848600</v>
      </c>
      <c r="BP15" s="81">
        <f>SUM(BP16:BP21)</f>
        <v>4176128453</v>
      </c>
      <c r="BQ15" s="82">
        <f>SUM(BQ16:BQ21)</f>
        <v>859251449</v>
      </c>
    </row>
    <row r="16" spans="1:69" s="9" customFormat="1" ht="24.95" customHeight="1" thickBot="1">
      <c r="A16" s="713" t="str">
        <f>+IF(ABRIL!A16=0,"",ABRIL!A16)</f>
        <v/>
      </c>
      <c r="B16" s="622" t="str">
        <f>+IF(ABRIL!B16=0,"",ABRIL!B16)</f>
        <v/>
      </c>
      <c r="C16" s="380"/>
      <c r="D16" s="380"/>
      <c r="E16" s="380"/>
      <c r="F16" s="380"/>
      <c r="G16" s="380"/>
      <c r="H16" s="380"/>
      <c r="I16" s="380"/>
      <c r="J16" s="380"/>
      <c r="K16" s="380"/>
      <c r="L16" s="380"/>
      <c r="M16" s="380"/>
      <c r="N16" s="381"/>
      <c r="O16" s="372"/>
      <c r="P16" s="382"/>
      <c r="Q16" s="383"/>
      <c r="S16" s="687">
        <f>+IF(ABRIL!S16=0,"",ABRIL!S16)</f>
        <v>1010100</v>
      </c>
      <c r="T16" s="663" t="str">
        <f>+IF(ABRIL!T16=0,"",ABRIL!T16)</f>
        <v>Servicios Personales Asociados a Nómina</v>
      </c>
      <c r="U16" s="132">
        <f t="shared" ref="U16:AJ16" si="12">SUM(U17:U20)+U33</f>
        <v>1868719642</v>
      </c>
      <c r="V16" s="122">
        <f t="shared" si="12"/>
        <v>-120000000</v>
      </c>
      <c r="W16" s="122">
        <f t="shared" si="12"/>
        <v>120000000</v>
      </c>
      <c r="X16" s="129">
        <f t="shared" si="12"/>
        <v>1868719642</v>
      </c>
      <c r="Y16" s="128">
        <f t="shared" si="12"/>
        <v>441026376</v>
      </c>
      <c r="Z16" s="122">
        <f t="shared" si="12"/>
        <v>105824678</v>
      </c>
      <c r="AA16" s="129">
        <f t="shared" si="12"/>
        <v>546851054</v>
      </c>
      <c r="AB16" s="128">
        <f t="shared" si="12"/>
        <v>441026376</v>
      </c>
      <c r="AC16" s="122">
        <f t="shared" si="12"/>
        <v>105824678</v>
      </c>
      <c r="AD16" s="129">
        <f t="shared" si="12"/>
        <v>546851054</v>
      </c>
      <c r="AE16" s="128">
        <f t="shared" si="12"/>
        <v>441026376</v>
      </c>
      <c r="AF16" s="122">
        <f t="shared" si="12"/>
        <v>105824678</v>
      </c>
      <c r="AG16" s="129">
        <f t="shared" si="12"/>
        <v>546851054</v>
      </c>
      <c r="AH16" s="128">
        <f t="shared" si="12"/>
        <v>1321868588</v>
      </c>
      <c r="AI16" s="122">
        <f t="shared" si="12"/>
        <v>1321868588</v>
      </c>
      <c r="AJ16" s="130">
        <f t="shared" si="12"/>
        <v>1321868588</v>
      </c>
      <c r="AK16" s="10"/>
      <c r="AL16" s="128">
        <f>SUM(AL17:AL20)+AL33</f>
        <v>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76"/>
      <c r="BG16" s="91" t="s">
        <v>82</v>
      </c>
      <c r="BH16" s="96">
        <f>BH7+BH12+BH13+BH14+BH15</f>
        <v>103602347428</v>
      </c>
      <c r="BI16" s="96">
        <f>BI7+BI12+BI13+BI14+BI15</f>
        <v>66306129768</v>
      </c>
      <c r="BJ16" s="96">
        <f>BJ7+BJ12+BJ13+BJ14+BJ15</f>
        <v>43519945644</v>
      </c>
      <c r="BK16" s="96">
        <f>BK7+BK12+BK13+BK14+BK15</f>
        <v>6808585015</v>
      </c>
      <c r="BM16" s="137" t="s">
        <v>83</v>
      </c>
      <c r="BN16" s="83">
        <f>X114-X121+X147-X148-X153</f>
        <v>1140000000</v>
      </c>
      <c r="BO16" s="81">
        <f>AA114-AA121+AA147-AA148-AA153</f>
        <v>594826221</v>
      </c>
      <c r="BP16" s="81">
        <f>AD114-AD121+AD147-AD148-AD153</f>
        <v>514434484</v>
      </c>
      <c r="BQ16" s="82">
        <f>AF114-AF121+AF147-AF148-AF153</f>
        <v>26851236</v>
      </c>
    </row>
    <row r="17" spans="1:70" s="372" customFormat="1" ht="24.95" customHeight="1" thickBot="1">
      <c r="A17" s="712">
        <f>+IF(ABRIL!A17=0,"",ABRIL!A17)</f>
        <v>11</v>
      </c>
      <c r="B17" s="623" t="str">
        <f>+IF(ABRIL!B17=0,"",ABRIL!B17)</f>
        <v>INGRESOS  CORRIENTES</v>
      </c>
      <c r="C17" s="324">
        <f>C19+C94+C104</f>
        <v>61374630552</v>
      </c>
      <c r="D17" s="321">
        <f t="shared" ref="D17:Q17" si="13">D19+D94+D104</f>
        <v>0</v>
      </c>
      <c r="E17" s="321">
        <f t="shared" si="13"/>
        <v>31847558532</v>
      </c>
      <c r="F17" s="321">
        <f t="shared" si="13"/>
        <v>93222189084</v>
      </c>
      <c r="G17" s="321">
        <f t="shared" si="13"/>
        <v>37517690772</v>
      </c>
      <c r="H17" s="321">
        <f t="shared" si="13"/>
        <v>7137822572</v>
      </c>
      <c r="I17" s="321">
        <f t="shared" si="13"/>
        <v>44655513344</v>
      </c>
      <c r="J17" s="321">
        <f t="shared" si="13"/>
        <v>22249555520.150002</v>
      </c>
      <c r="K17" s="321">
        <f t="shared" si="13"/>
        <v>4572203993.6100006</v>
      </c>
      <c r="L17" s="321">
        <f t="shared" si="13"/>
        <v>26821759513.759998</v>
      </c>
      <c r="M17" s="321">
        <f t="shared" si="13"/>
        <v>48566675740</v>
      </c>
      <c r="N17" s="322">
        <f t="shared" si="13"/>
        <v>66400429570.239998</v>
      </c>
      <c r="P17" s="174">
        <f t="shared" si="13"/>
        <v>0</v>
      </c>
      <c r="Q17" s="175">
        <f t="shared" si="13"/>
        <v>8743274278</v>
      </c>
      <c r="R17" s="9"/>
      <c r="S17" s="688">
        <f>+IF(ABRIL!S17=0,"",ABRIL!S17)</f>
        <v>1010101</v>
      </c>
      <c r="T17" s="664" t="str">
        <f>+IF(ABRIL!T17=0,"",ABRIL!T17)</f>
        <v>Sueldos del Personal de nómina</v>
      </c>
      <c r="U17" s="27">
        <f>+ENERO!U17</f>
        <v>1519896974</v>
      </c>
      <c r="V17" s="15">
        <f>ABRIL!V17+MAYO!AL17</f>
        <v>0</v>
      </c>
      <c r="W17" s="15">
        <f>ABRIL!W17+MAYO!AM17</f>
        <v>0</v>
      </c>
      <c r="X17" s="18">
        <f>SUM(U17:W17)</f>
        <v>1519896974</v>
      </c>
      <c r="Y17" s="19">
        <f>ABRIL!AA17</f>
        <v>416431559</v>
      </c>
      <c r="Z17" s="364">
        <v>103406743</v>
      </c>
      <c r="AA17" s="18">
        <f>SUM(Y17:Z17)</f>
        <v>519838302</v>
      </c>
      <c r="AB17" s="19">
        <f>ABRIL!AD17</f>
        <v>416431559</v>
      </c>
      <c r="AC17" s="364">
        <v>103406743</v>
      </c>
      <c r="AD17" s="18">
        <f>SUM(AB17:AC17)</f>
        <v>519838302</v>
      </c>
      <c r="AE17" s="19">
        <f>ABRIL!AG17</f>
        <v>416431559</v>
      </c>
      <c r="AF17" s="364">
        <v>103406743</v>
      </c>
      <c r="AG17" s="18">
        <f>SUM(AE17:AF17)</f>
        <v>519838302</v>
      </c>
      <c r="AH17" s="19">
        <f>X17-AA17</f>
        <v>1000058672</v>
      </c>
      <c r="AI17" s="15">
        <f>X17-AD17</f>
        <v>1000058672</v>
      </c>
      <c r="AJ17" s="16">
        <f>X17-AG17</f>
        <v>1000058672</v>
      </c>
      <c r="AK17" s="9"/>
      <c r="AL17" s="362">
        <v>0</v>
      </c>
      <c r="AM17" s="365">
        <v>0</v>
      </c>
      <c r="AN17" s="9"/>
      <c r="AO17" s="339"/>
      <c r="AP17" s="389" t="s">
        <v>85</v>
      </c>
      <c r="AQ17" s="390">
        <f>SUM(AQ7:AQ16)</f>
        <v>87521276232</v>
      </c>
      <c r="AR17" s="391">
        <f>SUM(AR7:AR16)</f>
        <v>51551197890</v>
      </c>
      <c r="AS17" s="392">
        <f>SUM(AS7:AS16)</f>
        <v>33754283649.759998</v>
      </c>
      <c r="AT17" s="393"/>
      <c r="AU17" s="391">
        <f t="shared" si="0"/>
        <v>0.58901332463833034</v>
      </c>
      <c r="AV17" s="391">
        <f t="shared" si="1"/>
        <v>0.38566946350604719</v>
      </c>
      <c r="AW17" s="394">
        <f>SUM(AX7:AX16)</f>
        <v>57701942649.458</v>
      </c>
      <c r="AX17" s="394">
        <f>SUM(AX7:AX16)</f>
        <v>57701942649.458</v>
      </c>
      <c r="AY17" s="394">
        <f>SUM(AY7:AY16)</f>
        <v>12981675609.600004</v>
      </c>
      <c r="AZ17" s="395">
        <f>SUM(AZ7:AZ16)</f>
        <v>-29819333582.541996</v>
      </c>
      <c r="BA17" s="9"/>
      <c r="BB17" s="355" t="s">
        <v>419</v>
      </c>
      <c r="BC17" s="73">
        <f>F41+F52+F55+F58+F61+F67+F70+F73+F76+F79+F82+F86+F87+F88+F89+F90+F91</f>
        <v>12784992455</v>
      </c>
      <c r="BD17" s="74">
        <f>I41+I52+I55+I58+I61+I67+I70+I73+I76+I79+I82+I86+I87+I88+I89+I90+I91</f>
        <v>4488930369</v>
      </c>
      <c r="BE17" s="75">
        <f>K41+K52+K55+K58+K61+K67+K70+K73+K76+K79+K82+K86+K87+K88+K89+K90+K91</f>
        <v>1855229450</v>
      </c>
      <c r="BF17" s="76"/>
      <c r="BG17" s="98" t="s">
        <v>86</v>
      </c>
      <c r="BH17" s="99">
        <f>BC23-BH16</f>
        <v>-103602347428</v>
      </c>
      <c r="BI17" s="99"/>
      <c r="BJ17" s="99"/>
      <c r="BK17" s="99"/>
      <c r="BM17" s="137" t="s">
        <v>434</v>
      </c>
      <c r="BN17" s="83">
        <f>X123-X126-X139+X155-X156-X167-X168</f>
        <v>5034712263</v>
      </c>
      <c r="BO17" s="81">
        <f>AA123-AA126-AA139+AA155-AA156-AA167-AA168</f>
        <v>4144733064</v>
      </c>
      <c r="BP17" s="81">
        <f>AD123-AD126-AD139+AD155-AD156-AD167-AD168</f>
        <v>2033578996</v>
      </c>
      <c r="BQ17" s="82">
        <f>AF123-AF126-AF139+AF155-AF156-AF167-AF168</f>
        <v>550398011</v>
      </c>
      <c r="BR17" s="9"/>
    </row>
    <row r="18" spans="1:70" s="9" customFormat="1" ht="24.95" customHeight="1" thickBot="1">
      <c r="A18" s="593" t="str">
        <f>+IF(ABRIL!A18=0,"",ABRIL!A18)</f>
        <v/>
      </c>
      <c r="B18" s="624" t="str">
        <f>+IF(ABRIL!B18=0,"",ABRIL!B18)</f>
        <v/>
      </c>
      <c r="C18" s="284"/>
      <c r="D18" s="284"/>
      <c r="E18" s="284"/>
      <c r="F18" s="284"/>
      <c r="G18" s="284"/>
      <c r="H18" s="284"/>
      <c r="I18" s="284"/>
      <c r="J18" s="284"/>
      <c r="K18" s="284"/>
      <c r="L18" s="284"/>
      <c r="M18" s="284"/>
      <c r="N18" s="453"/>
      <c r="P18" s="397"/>
      <c r="Q18" s="396"/>
      <c r="S18" s="688">
        <f>+IF(ABRIL!S18=0,"",ABRIL!S18)</f>
        <v>1010102</v>
      </c>
      <c r="T18" s="664" t="str">
        <f>+IF(ABRIL!T18=0,"",ABRIL!T18)</f>
        <v>Horas Extras,Dominic.,Festivos y Rec. Nocturnos</v>
      </c>
      <c r="U18" s="27">
        <f>+ENERO!U18</f>
        <v>7017105</v>
      </c>
      <c r="V18" s="15">
        <f>ABRIL!V18+MAYO!AL18</f>
        <v>0</v>
      </c>
      <c r="W18" s="15">
        <f>ABRIL!W18+MAYO!AM18</f>
        <v>0</v>
      </c>
      <c r="X18" s="18">
        <f>SUM(U18:W18)</f>
        <v>7017105</v>
      </c>
      <c r="Y18" s="19">
        <f>ABRIL!AA18</f>
        <v>2789899</v>
      </c>
      <c r="Z18" s="364">
        <v>927699</v>
      </c>
      <c r="AA18" s="18">
        <f>SUM(Y18:Z18)</f>
        <v>3717598</v>
      </c>
      <c r="AB18" s="19">
        <f>ABRIL!AD18</f>
        <v>2789899</v>
      </c>
      <c r="AC18" s="364">
        <v>927699</v>
      </c>
      <c r="AD18" s="18">
        <f>SUM(AB18:AC18)</f>
        <v>3717598</v>
      </c>
      <c r="AE18" s="19">
        <f>ABRIL!AG18</f>
        <v>2789899</v>
      </c>
      <c r="AF18" s="364">
        <v>927699</v>
      </c>
      <c r="AG18" s="18">
        <f>SUM(AE18:AF18)</f>
        <v>3717598</v>
      </c>
      <c r="AH18" s="19">
        <f>X18-AA18</f>
        <v>3299507</v>
      </c>
      <c r="AI18" s="15">
        <f>X18-AD18</f>
        <v>3299507</v>
      </c>
      <c r="AJ18" s="16">
        <f>X18-AG18</f>
        <v>3299507</v>
      </c>
      <c r="AL18" s="362">
        <v>0</v>
      </c>
      <c r="AM18" s="365">
        <v>0</v>
      </c>
      <c r="AO18" s="21"/>
      <c r="AP18" s="284" t="s">
        <v>51</v>
      </c>
      <c r="AQ18" s="284"/>
      <c r="AR18" s="284"/>
      <c r="AS18" s="284"/>
      <c r="AT18" s="284"/>
      <c r="AU18" s="284"/>
      <c r="AV18" s="284"/>
      <c r="AW18" s="284"/>
      <c r="AX18" s="284"/>
      <c r="AY18" s="284"/>
      <c r="AZ18" s="284"/>
      <c r="BA18" s="372"/>
      <c r="BB18" s="373" t="s">
        <v>420</v>
      </c>
      <c r="BC18" s="73">
        <f>+F95+F96+F97+F99</f>
        <v>15982899073</v>
      </c>
      <c r="BD18" s="74">
        <f>+I95+I96+I97+I99</f>
        <v>3354444422</v>
      </c>
      <c r="BE18" s="75">
        <f>+K95+K96+K97+K99</f>
        <v>0</v>
      </c>
      <c r="BF18" s="95"/>
      <c r="BM18" s="137" t="s">
        <v>87</v>
      </c>
      <c r="BN18" s="83">
        <f>X148+X156</f>
        <v>3194025000</v>
      </c>
      <c r="BO18" s="81">
        <f>AA148+AA156</f>
        <v>2150713003</v>
      </c>
      <c r="BP18" s="81">
        <f>AD148+AD156</f>
        <v>1154538661</v>
      </c>
      <c r="BQ18" s="82">
        <f>AF148+AF156</f>
        <v>211466982</v>
      </c>
      <c r="BR18" s="372"/>
    </row>
    <row r="19" spans="1:70" s="9" customFormat="1" ht="24.95" customHeight="1" thickBot="1">
      <c r="A19" s="714">
        <f>+IF(ABRIL!A19=0,"",ABRIL!A19)</f>
        <v>113</v>
      </c>
      <c r="B19" s="625" t="str">
        <f>+IF(ABRIL!B19=0,"",ABRIL!B19)</f>
        <v>VENTA DE SERVICIOS</v>
      </c>
      <c r="C19" s="324">
        <f t="shared" ref="C19:N19" si="14">C21+C85</f>
        <v>53293559356</v>
      </c>
      <c r="D19" s="321">
        <f t="shared" si="14"/>
        <v>0</v>
      </c>
      <c r="E19" s="321">
        <f t="shared" si="14"/>
        <v>23847558532</v>
      </c>
      <c r="F19" s="322">
        <f t="shared" si="14"/>
        <v>77141117888</v>
      </c>
      <c r="G19" s="324">
        <f t="shared" si="14"/>
        <v>34119598799</v>
      </c>
      <c r="H19" s="321">
        <f t="shared" si="14"/>
        <v>7128328952</v>
      </c>
      <c r="I19" s="322">
        <f t="shared" si="14"/>
        <v>41247927751</v>
      </c>
      <c r="J19" s="324">
        <f t="shared" si="14"/>
        <v>18880935259.150002</v>
      </c>
      <c r="K19" s="321">
        <f t="shared" si="14"/>
        <v>4570078251.6100006</v>
      </c>
      <c r="L19" s="322">
        <f t="shared" si="14"/>
        <v>23451013510.759998</v>
      </c>
      <c r="M19" s="324">
        <f t="shared" si="14"/>
        <v>35893190137</v>
      </c>
      <c r="N19" s="322">
        <f t="shared" si="14"/>
        <v>53690104377.239998</v>
      </c>
      <c r="O19" s="372"/>
      <c r="P19" s="43">
        <f>P21+P85</f>
        <v>0</v>
      </c>
      <c r="Q19" s="45">
        <f>Q21+Q85</f>
        <v>743274278</v>
      </c>
      <c r="S19" s="688">
        <f>+IF(ABRIL!S19=0,"",ABRIL!S19)</f>
        <v>1010103</v>
      </c>
      <c r="T19" s="664" t="str">
        <f>+IF(ABRIL!T19=0,"",ABRIL!T19)</f>
        <v>Prima Técnica</v>
      </c>
      <c r="U19" s="27">
        <f>+ENERO!U19</f>
        <v>0</v>
      </c>
      <c r="V19" s="15">
        <f>ABRIL!V19+MAYO!AL19</f>
        <v>0</v>
      </c>
      <c r="W19" s="15">
        <f>ABRIL!W19+MAYO!AM19</f>
        <v>0</v>
      </c>
      <c r="X19" s="18">
        <f>SUM(U19:W19)</f>
        <v>0</v>
      </c>
      <c r="Y19" s="19">
        <f>ABRIL!AA19</f>
        <v>0</v>
      </c>
      <c r="Z19" s="364">
        <v>0</v>
      </c>
      <c r="AA19" s="18">
        <f>SUM(Y19:Z19)</f>
        <v>0</v>
      </c>
      <c r="AB19" s="19">
        <f>ABRIL!AD19</f>
        <v>0</v>
      </c>
      <c r="AC19" s="364">
        <v>0</v>
      </c>
      <c r="AD19" s="18">
        <f>SUM(AB19:AC19)</f>
        <v>0</v>
      </c>
      <c r="AE19" s="19">
        <f>ABRIL!AG19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98172123</v>
      </c>
      <c r="BD19" s="93">
        <f>+I105+I106+I107+I108+I109+I110+I98+I100+I101</f>
        <v>53141171</v>
      </c>
      <c r="BE19" s="94">
        <f>+K105+K106+K107+K108+K109+K110+K98+K100+K101</f>
        <v>2125742</v>
      </c>
      <c r="BF19" s="57"/>
      <c r="BG19" s="372"/>
      <c r="BH19" s="372">
        <f>BN33</f>
        <v>0</v>
      </c>
      <c r="BI19" s="372"/>
      <c r="BJ19" s="372"/>
      <c r="BK19" s="372"/>
      <c r="BM19" s="137" t="s">
        <v>94</v>
      </c>
      <c r="BN19" s="83">
        <f>X126+X167</f>
        <v>740000000</v>
      </c>
      <c r="BO19" s="81">
        <f>AA126+AA167</f>
        <v>326523710</v>
      </c>
      <c r="BP19" s="81">
        <f>AD126+AD167</f>
        <v>326523710</v>
      </c>
      <c r="BQ19" s="82">
        <f>AF126+AF167</f>
        <v>53054480</v>
      </c>
    </row>
    <row r="20" spans="1:70" s="412" customFormat="1" ht="24.95" customHeight="1" thickBot="1">
      <c r="A20" s="593" t="str">
        <f>+IF(ABRIL!A20=0,"",ABRIL!A20)</f>
        <v/>
      </c>
      <c r="B20" s="626" t="str">
        <f>+IF(ABRIL!B20=0,"",ABRIL!B20)</f>
        <v/>
      </c>
      <c r="C20" s="284"/>
      <c r="D20" s="284"/>
      <c r="E20" s="284"/>
      <c r="F20" s="284"/>
      <c r="G20" s="284"/>
      <c r="H20" s="284"/>
      <c r="I20" s="284"/>
      <c r="J20" s="284"/>
      <c r="K20" s="284"/>
      <c r="L20" s="284"/>
      <c r="M20" s="284"/>
      <c r="N20" s="453"/>
      <c r="O20" s="9"/>
      <c r="P20" s="397"/>
      <c r="Q20" s="396"/>
      <c r="R20" s="9"/>
      <c r="S20" s="688">
        <f>+IF(ABRIL!S20=0,"",ABRIL!S20)</f>
        <v>1010104</v>
      </c>
      <c r="T20" s="664" t="str">
        <f>+IF(ABRIL!T20=0,"",ABRIL!T20)</f>
        <v>Otros</v>
      </c>
      <c r="U20" s="27">
        <f t="shared" ref="U20:AJ20" si="15">SUM(U21:U32)</f>
        <v>341805563</v>
      </c>
      <c r="V20" s="15">
        <f t="shared" si="15"/>
        <v>0</v>
      </c>
      <c r="W20" s="15">
        <f t="shared" si="15"/>
        <v>0</v>
      </c>
      <c r="X20" s="18">
        <f t="shared" si="15"/>
        <v>341805563</v>
      </c>
      <c r="Y20" s="19">
        <f t="shared" si="15"/>
        <v>21804918</v>
      </c>
      <c r="Z20" s="142">
        <f t="shared" si="15"/>
        <v>1490236</v>
      </c>
      <c r="AA20" s="18">
        <f t="shared" si="15"/>
        <v>23295154</v>
      </c>
      <c r="AB20" s="19">
        <f t="shared" si="15"/>
        <v>21804918</v>
      </c>
      <c r="AC20" s="142">
        <f t="shared" si="15"/>
        <v>1490236</v>
      </c>
      <c r="AD20" s="18">
        <f t="shared" si="15"/>
        <v>23295154</v>
      </c>
      <c r="AE20" s="19">
        <f t="shared" si="15"/>
        <v>21804918</v>
      </c>
      <c r="AF20" s="142">
        <f t="shared" si="15"/>
        <v>1490236</v>
      </c>
      <c r="AG20" s="18">
        <f t="shared" si="15"/>
        <v>23295154</v>
      </c>
      <c r="AH20" s="19">
        <f t="shared" si="15"/>
        <v>318510409</v>
      </c>
      <c r="AI20" s="15">
        <f t="shared" si="15"/>
        <v>318510409</v>
      </c>
      <c r="AJ20" s="16">
        <f t="shared" si="15"/>
        <v>318510409</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203293306</v>
      </c>
      <c r="BD20" s="66">
        <f>+I115+I117+I119+I120+I121+I123+I124</f>
        <v>126405101</v>
      </c>
      <c r="BE20" s="67">
        <f>+K115+K117+K119+K120+K121+K123+K124</f>
        <v>52274365</v>
      </c>
      <c r="BF20" s="57"/>
      <c r="BG20" s="372"/>
      <c r="BH20" s="372">
        <f>BH19-BH16</f>
        <v>-103602347428</v>
      </c>
      <c r="BI20" s="372"/>
      <c r="BJ20" s="372"/>
      <c r="BK20" s="372"/>
      <c r="BL20" s="372"/>
      <c r="BM20" s="139" t="s">
        <v>429</v>
      </c>
      <c r="BN20" s="83">
        <f>+X141-X143</f>
        <v>527082264</v>
      </c>
      <c r="BO20" s="81">
        <f>+AA141-AA143</f>
        <v>147052602</v>
      </c>
      <c r="BP20" s="81">
        <f>+AD141-AD143</f>
        <v>147052602</v>
      </c>
      <c r="BQ20" s="82">
        <f>+AF141-AF143</f>
        <v>17480740</v>
      </c>
      <c r="BR20" s="9"/>
    </row>
    <row r="21" spans="1:70" s="412" customFormat="1" ht="24.95" customHeight="1" thickBot="1">
      <c r="A21" s="715">
        <f>+IF(ABRIL!A21=0,"",ABRIL!A21)</f>
        <v>11301</v>
      </c>
      <c r="B21" s="627" t="str">
        <f>+IF(ABRIL!B21=0,"",ABRIL!B21)</f>
        <v>Venta de Servicios de Salud</v>
      </c>
      <c r="C21" s="174">
        <f t="shared" ref="C21:N21" si="16">C22+C25+C28+C41+C42+C45+C48+C51+C54+C57+C60+C63+C66+C69+C72+C75+C78+C81</f>
        <v>53293559356</v>
      </c>
      <c r="D21" s="344">
        <f t="shared" si="16"/>
        <v>0</v>
      </c>
      <c r="E21" s="344">
        <f t="shared" si="16"/>
        <v>11646996257</v>
      </c>
      <c r="F21" s="344">
        <f t="shared" si="16"/>
        <v>64940555613</v>
      </c>
      <c r="G21" s="344">
        <f t="shared" si="16"/>
        <v>31936566068</v>
      </c>
      <c r="H21" s="344">
        <f t="shared" si="16"/>
        <v>5339381448</v>
      </c>
      <c r="I21" s="344">
        <f t="shared" si="16"/>
        <v>37275947516</v>
      </c>
      <c r="J21" s="344">
        <f t="shared" si="16"/>
        <v>16697902528.15</v>
      </c>
      <c r="K21" s="344">
        <f t="shared" si="16"/>
        <v>2781130747.6100001</v>
      </c>
      <c r="L21" s="344">
        <f t="shared" si="16"/>
        <v>19479033275.759998</v>
      </c>
      <c r="M21" s="344">
        <f t="shared" si="16"/>
        <v>27664608097</v>
      </c>
      <c r="N21" s="175">
        <f t="shared" si="16"/>
        <v>45461522337.239998</v>
      </c>
      <c r="O21" s="372"/>
      <c r="P21" s="43">
        <f>P22+P25+P28+P41+P42+P45+P48+P51+P54+P57+P60+P63+P66+P69+P72+P75+P78+P81</f>
        <v>0</v>
      </c>
      <c r="Q21" s="45">
        <f>Q22+Q25+Q28+Q41+Q42+Q45+Q48+Q51+Q54+Q57+Q60+Q63+Q66+Q69+Q72+Q75+Q78+Q81</f>
        <v>743274278</v>
      </c>
      <c r="R21" s="9"/>
      <c r="S21" s="689" t="str">
        <f>+IF(ABRIL!S21=0,"",ABRIL!S21)</f>
        <v>1010104-1</v>
      </c>
      <c r="T21" s="665" t="str">
        <f>+IF(ABRIL!T21=0,"",ABRIL!T21)</f>
        <v xml:space="preserve">Prima de Navidad </v>
      </c>
      <c r="U21" s="27">
        <f>+ENERO!U21</f>
        <v>142096948</v>
      </c>
      <c r="V21" s="15">
        <f>ABRIL!V21+MAYO!AL21</f>
        <v>0</v>
      </c>
      <c r="W21" s="15">
        <f>ABRIL!W21+MAYO!AM21</f>
        <v>0</v>
      </c>
      <c r="X21" s="18">
        <f t="shared" ref="X21:X33" si="17">SUM(U21:W21)</f>
        <v>142096948</v>
      </c>
      <c r="Y21" s="19">
        <f>ABRIL!AA21</f>
        <v>105221</v>
      </c>
      <c r="Z21" s="364">
        <v>0</v>
      </c>
      <c r="AA21" s="18">
        <f t="shared" ref="AA21:AA33" si="18">SUM(Y21:Z21)</f>
        <v>105221</v>
      </c>
      <c r="AB21" s="19">
        <f>ABRIL!AD21</f>
        <v>105221</v>
      </c>
      <c r="AC21" s="364">
        <v>0</v>
      </c>
      <c r="AD21" s="18">
        <f t="shared" ref="AD21:AD33" si="19">SUM(AB21:AC21)</f>
        <v>105221</v>
      </c>
      <c r="AE21" s="19">
        <f>ABRIL!AG21</f>
        <v>105221</v>
      </c>
      <c r="AF21" s="364">
        <v>0</v>
      </c>
      <c r="AG21" s="18">
        <f t="shared" ref="AG21:AG33" si="20">SUM(AE21:AF21)</f>
        <v>105221</v>
      </c>
      <c r="AH21" s="19">
        <f t="shared" ref="AH21:AH33" si="21">X21-AA21</f>
        <v>141991727</v>
      </c>
      <c r="AI21" s="15">
        <f t="shared" ref="AI21:AI33" si="22">X21-AD21</f>
        <v>141991727</v>
      </c>
      <c r="AJ21" s="16">
        <f t="shared" ref="AJ21:AJ33" si="23">X21-AG21</f>
        <v>141991727</v>
      </c>
      <c r="AK21" s="9"/>
      <c r="AL21" s="362">
        <v>0</v>
      </c>
      <c r="AM21" s="365">
        <v>0</v>
      </c>
      <c r="AN21" s="9"/>
      <c r="AO21" s="339"/>
      <c r="AP21" s="413"/>
      <c r="AQ21" s="414"/>
      <c r="AR21" s="415" t="str">
        <f>AR6</f>
        <v>MAYO</v>
      </c>
      <c r="AS21" s="416" t="str">
        <f>AR6</f>
        <v>MAYO</v>
      </c>
      <c r="AT21" s="415" t="str">
        <f>AR6</f>
        <v>MAYO</v>
      </c>
      <c r="AU21" s="415" t="s">
        <v>44</v>
      </c>
      <c r="AV21" s="415" t="s">
        <v>22</v>
      </c>
      <c r="AW21" s="417"/>
      <c r="AX21" s="417"/>
      <c r="AY21" s="415" t="s">
        <v>44</v>
      </c>
      <c r="AZ21" s="418" t="s">
        <v>22</v>
      </c>
      <c r="BA21" s="9"/>
      <c r="BB21" s="101" t="s">
        <v>422</v>
      </c>
      <c r="BC21" s="65">
        <f>SUMIF($B8:B122,$B24,F8:F122)+F122</f>
        <v>11646305348</v>
      </c>
      <c r="BD21" s="66">
        <f>SUMIF($B8:B122,$B24,I8:I122)+I122</f>
        <v>11794511625</v>
      </c>
      <c r="BE21" s="67">
        <f>SUMIF($B8:B122,$B24,K8:K122)+K122</f>
        <v>130058137.69</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+IF(ABRIL!A22=0,"",ABRIL!A22)</f>
        <v>1130101</v>
      </c>
      <c r="B22" s="628" t="str">
        <f>+IF(ABRIL!B22=0,"",ABRIL!B22)</f>
        <v>EPS - REGIMEN CONTRIBUTIVO</v>
      </c>
      <c r="C22" s="43">
        <f t="shared" ref="C22:N22" si="24">SUM(C23:C24)</f>
        <v>3087894380</v>
      </c>
      <c r="D22" s="44">
        <f t="shared" si="24"/>
        <v>0</v>
      </c>
      <c r="E22" s="44">
        <f t="shared" si="24"/>
        <v>472224168</v>
      </c>
      <c r="F22" s="44">
        <f t="shared" si="24"/>
        <v>3560118548</v>
      </c>
      <c r="G22" s="44">
        <f t="shared" si="24"/>
        <v>1637071733</v>
      </c>
      <c r="H22" s="44">
        <f t="shared" si="24"/>
        <v>202559623</v>
      </c>
      <c r="I22" s="44">
        <f t="shared" si="24"/>
        <v>1839631356</v>
      </c>
      <c r="J22" s="44">
        <f t="shared" si="24"/>
        <v>609742045</v>
      </c>
      <c r="K22" s="44">
        <f t="shared" si="24"/>
        <v>26885633</v>
      </c>
      <c r="L22" s="44">
        <f t="shared" si="24"/>
        <v>636627678</v>
      </c>
      <c r="M22" s="44">
        <f t="shared" si="24"/>
        <v>1720487192</v>
      </c>
      <c r="N22" s="45">
        <f t="shared" si="24"/>
        <v>2923490870</v>
      </c>
      <c r="P22" s="43">
        <f>SUM(P23:P24)</f>
        <v>0</v>
      </c>
      <c r="Q22" s="45">
        <f>SUM(Q23:Q24)</f>
        <v>52632787</v>
      </c>
      <c r="S22" s="689" t="str">
        <f>+IF(ABRIL!S22=0,"",ABRIL!S22)</f>
        <v>1010104-2</v>
      </c>
      <c r="T22" s="665" t="str">
        <f>+IF(ABRIL!T22=0,"",ABRIL!T22)</f>
        <v>Prima de Vacaciones</v>
      </c>
      <c r="U22" s="27">
        <f>+ENERO!U22</f>
        <v>72708845</v>
      </c>
      <c r="V22" s="15">
        <f>ABRIL!V22+MAYO!AL22</f>
        <v>0</v>
      </c>
      <c r="W22" s="15">
        <f>ABRIL!W22+MAYO!AM22</f>
        <v>0</v>
      </c>
      <c r="X22" s="18">
        <f t="shared" si="17"/>
        <v>72708845</v>
      </c>
      <c r="Y22" s="19">
        <f>ABRIL!AA22</f>
        <v>7256037</v>
      </c>
      <c r="Z22" s="364">
        <v>0</v>
      </c>
      <c r="AA22" s="18">
        <f t="shared" si="18"/>
        <v>7256037</v>
      </c>
      <c r="AB22" s="19">
        <f>ABRIL!AD22</f>
        <v>7256037</v>
      </c>
      <c r="AC22" s="364">
        <v>0</v>
      </c>
      <c r="AD22" s="18">
        <f t="shared" si="19"/>
        <v>7256037</v>
      </c>
      <c r="AE22" s="19">
        <f>ABRIL!AG22</f>
        <v>7256037</v>
      </c>
      <c r="AF22" s="364">
        <v>0</v>
      </c>
      <c r="AG22" s="18">
        <f t="shared" si="20"/>
        <v>7256037</v>
      </c>
      <c r="AH22" s="19">
        <f t="shared" si="21"/>
        <v>65452808</v>
      </c>
      <c r="AI22" s="15">
        <f t="shared" si="22"/>
        <v>65452808</v>
      </c>
      <c r="AJ22" s="16">
        <f t="shared" si="23"/>
        <v>65452808</v>
      </c>
      <c r="AL22" s="362">
        <v>0</v>
      </c>
      <c r="AM22" s="365">
        <v>0</v>
      </c>
      <c r="AO22" s="21"/>
      <c r="AP22" s="419" t="s">
        <v>104</v>
      </c>
      <c r="AQ22" s="420">
        <f>X17+X66</f>
        <v>5223004812</v>
      </c>
      <c r="AR22" s="420">
        <f>AD17+AD66</f>
        <v>1351132398</v>
      </c>
      <c r="AS22" s="420">
        <f>AG17+AG66</f>
        <v>1351132398</v>
      </c>
      <c r="AT22" s="421"/>
      <c r="AU22" s="422">
        <f t="shared" ref="AU22:AU32" si="25">IF(AQ22=0," ",AR22/AQ22)</f>
        <v>0.25868871399385568</v>
      </c>
      <c r="AV22" s="422">
        <f t="shared" ref="AV22:AV32" si="26">IF(AQ22=0," ",AS22/AQ22)</f>
        <v>0.25868871399385568</v>
      </c>
      <c r="AW22" s="423">
        <f>AR22/$AO$2*12</f>
        <v>3242717755.2000003</v>
      </c>
      <c r="AX22" s="423">
        <f>AS22/$AO$2*12</f>
        <v>3242717755.2000003</v>
      </c>
      <c r="AY22" s="423">
        <f t="shared" ref="AY22:AY31" si="27">AQ22-AW22</f>
        <v>1980287056.7999997</v>
      </c>
      <c r="AZ22" s="424">
        <f t="shared" ref="AZ22:AZ31" si="28">AQ22-AX22</f>
        <v>1980287056.7999997</v>
      </c>
      <c r="BA22" s="372"/>
      <c r="BB22" s="102" t="s">
        <v>109</v>
      </c>
      <c r="BC22" s="103">
        <f>BC7+BC8+BC20+BC21</f>
        <v>103602347428</v>
      </c>
      <c r="BD22" s="104">
        <f>BD7+BD8+BD20+BD21</f>
        <v>54958783483</v>
      </c>
      <c r="BE22" s="105">
        <f>BE7+BE8+BE20+BE21</f>
        <v>4624478358.6099997</v>
      </c>
      <c r="BF22" s="57"/>
      <c r="BG22" s="372"/>
      <c r="BH22" s="372"/>
      <c r="BI22" s="372"/>
      <c r="BJ22" s="372"/>
      <c r="BK22" s="372"/>
      <c r="BM22" s="71" t="s">
        <v>67</v>
      </c>
      <c r="BN22" s="83">
        <f>BN23+BN24</f>
        <v>1268354144</v>
      </c>
      <c r="BO22" s="81">
        <f>BO23+BO24</f>
        <v>434648197</v>
      </c>
      <c r="BP22" s="81">
        <f>BP23+BP24</f>
        <v>434648197</v>
      </c>
      <c r="BQ22" s="82">
        <f>BQ23+BQ24</f>
        <v>78462914</v>
      </c>
      <c r="BR22" s="372"/>
    </row>
    <row r="23" spans="1:70" s="412" customFormat="1" ht="24.95" customHeight="1">
      <c r="A23" s="593" t="str">
        <f>+IF(ABRIL!A23=0,"",ABRIL!A23)</f>
        <v>1130101-1</v>
      </c>
      <c r="B23" s="629" t="str">
        <f>+CONCATENATE("Vigencia ",INSTRUCCIONES!$F$3)</f>
        <v>Vigencia 2019</v>
      </c>
      <c r="C23" s="655">
        <f>+ENERO!C23</f>
        <v>3087894380</v>
      </c>
      <c r="D23" s="363">
        <f>ABRIL!D23+MAYO!P23</f>
        <v>0</v>
      </c>
      <c r="E23" s="363">
        <f>ABRIL!E23+MAYO!Q23</f>
        <v>0</v>
      </c>
      <c r="F23" s="363">
        <f>SUM(C23:E23)</f>
        <v>3087894380</v>
      </c>
      <c r="G23" s="363">
        <f>ABRIL!I23</f>
        <v>1164847565</v>
      </c>
      <c r="H23" s="364">
        <v>175875636</v>
      </c>
      <c r="I23" s="363">
        <f>SUM(G23:H23)</f>
        <v>1340723201</v>
      </c>
      <c r="J23" s="363">
        <f>ABRIL!L23</f>
        <v>137517877</v>
      </c>
      <c r="K23" s="364">
        <v>201646</v>
      </c>
      <c r="L23" s="363">
        <f>SUM(J23:K23)</f>
        <v>137719523</v>
      </c>
      <c r="M23" s="363">
        <f>F23-I23</f>
        <v>1747171179</v>
      </c>
      <c r="N23" s="143">
        <f>F23-L23</f>
        <v>2950174857</v>
      </c>
      <c r="O23" s="9"/>
      <c r="P23" s="362">
        <v>0</v>
      </c>
      <c r="Q23" s="365">
        <v>0</v>
      </c>
      <c r="R23" s="9"/>
      <c r="S23" s="689" t="str">
        <f>+IF(ABRIL!S23=0,"",ABRIL!S23)</f>
        <v>1010104-3</v>
      </c>
      <c r="T23" s="665" t="str">
        <f>+IF(ABRIL!T23=0,"",ABRIL!T23)</f>
        <v>Bonificación  por servicios prestados</v>
      </c>
      <c r="U23" s="27">
        <f>+ENERO!U23</f>
        <v>44330324</v>
      </c>
      <c r="V23" s="15">
        <f>ABRIL!V23+MAYO!AL23</f>
        <v>0</v>
      </c>
      <c r="W23" s="15">
        <f>ABRIL!W23+MAYO!AM23</f>
        <v>0</v>
      </c>
      <c r="X23" s="18">
        <f t="shared" si="17"/>
        <v>44330324</v>
      </c>
      <c r="Y23" s="19">
        <f>ABRIL!AA23</f>
        <v>12696613</v>
      </c>
      <c r="Z23" s="364">
        <v>1393204</v>
      </c>
      <c r="AA23" s="18">
        <f t="shared" si="18"/>
        <v>14089817</v>
      </c>
      <c r="AB23" s="19">
        <f>ABRIL!AD23</f>
        <v>12696613</v>
      </c>
      <c r="AC23" s="364">
        <v>1393204</v>
      </c>
      <c r="AD23" s="18">
        <f t="shared" si="19"/>
        <v>14089817</v>
      </c>
      <c r="AE23" s="19">
        <f>ABRIL!AG23</f>
        <v>12696613</v>
      </c>
      <c r="AF23" s="364">
        <v>1393204</v>
      </c>
      <c r="AG23" s="18">
        <f t="shared" si="20"/>
        <v>14089817</v>
      </c>
      <c r="AH23" s="19">
        <f t="shared" si="21"/>
        <v>30240507</v>
      </c>
      <c r="AI23" s="15">
        <f t="shared" si="22"/>
        <v>30240507</v>
      </c>
      <c r="AJ23" s="16">
        <f t="shared" si="23"/>
        <v>30240507</v>
      </c>
      <c r="AK23" s="9"/>
      <c r="AL23" s="362">
        <v>0</v>
      </c>
      <c r="AM23" s="365">
        <v>0</v>
      </c>
      <c r="AN23" s="9"/>
      <c r="AO23" s="360"/>
      <c r="AP23" s="425" t="s">
        <v>108</v>
      </c>
      <c r="AQ23" s="426">
        <f>X16+X65-AQ22</f>
        <v>1859680691</v>
      </c>
      <c r="AR23" s="426">
        <f>AD16+AD65-AR22</f>
        <v>129696207</v>
      </c>
      <c r="AS23" s="426">
        <f>AG16+AG65-AS22</f>
        <v>129696207</v>
      </c>
      <c r="AT23" s="317"/>
      <c r="AU23" s="332">
        <f t="shared" si="25"/>
        <v>6.9741116110776463E-2</v>
      </c>
      <c r="AV23" s="332">
        <f t="shared" si="26"/>
        <v>6.9741116110776463E-2</v>
      </c>
      <c r="AW23" s="426">
        <f>(AR23-AD21-AD22-AD23-AD25-AD30-AD33-AD70-AD71-AD72-AD74-AD78-AD81)/$AO$2*12+AX22/12*2.5+AD30+AD33+AD78+AD81</f>
        <v>809026773.39999998</v>
      </c>
      <c r="AX23" s="426">
        <f>(AS23-AG21-AG22-AG23-AG25-AG30-AG33-AG70-AG71-AG72-AG74-AG78-AG81)/$AO$2*12+AX22/12*2.5+AG30+AG33+AG78+AG81</f>
        <v>809026773.39999998</v>
      </c>
      <c r="AY23" s="426">
        <f t="shared" si="27"/>
        <v>1050653917.6</v>
      </c>
      <c r="AZ23" s="46">
        <f t="shared" si="28"/>
        <v>1050653917.6</v>
      </c>
      <c r="BA23" s="372"/>
      <c r="BF23" s="372"/>
      <c r="BG23" s="372"/>
      <c r="BH23" s="372"/>
      <c r="BI23" s="372"/>
      <c r="BJ23" s="372"/>
      <c r="BK23" s="372"/>
      <c r="BL23" s="372"/>
      <c r="BM23" s="137" t="s">
        <v>105</v>
      </c>
      <c r="BN23" s="83">
        <f>X177</f>
        <v>965336472</v>
      </c>
      <c r="BO23" s="81">
        <f>AA177</f>
        <v>305245689</v>
      </c>
      <c r="BP23" s="81">
        <f>AD177</f>
        <v>305245689</v>
      </c>
      <c r="BQ23" s="82">
        <f>AF177</f>
        <v>59753470</v>
      </c>
      <c r="BR23" s="9"/>
    </row>
    <row r="24" spans="1:70" s="412" customFormat="1" ht="24.95" customHeight="1">
      <c r="A24" s="593" t="str">
        <f>+IF(ABRIL!A24=0,"",ABRIL!A24)</f>
        <v>1130101-2</v>
      </c>
      <c r="B24" s="629" t="str">
        <f>+IF(ABRIL!B24=0,"",ABRIL!B24)</f>
        <v>Vigencia Anterior</v>
      </c>
      <c r="C24" s="655">
        <f>+ENERO!C24</f>
        <v>0</v>
      </c>
      <c r="D24" s="363">
        <f>ABRIL!D24+MAYO!P24</f>
        <v>0</v>
      </c>
      <c r="E24" s="363">
        <f>ABRIL!E24+MAYO!Q24</f>
        <v>472224168</v>
      </c>
      <c r="F24" s="363">
        <f>SUM(C24:E24)</f>
        <v>472224168</v>
      </c>
      <c r="G24" s="363">
        <f>ABRIL!I24</f>
        <v>472224168</v>
      </c>
      <c r="H24" s="364">
        <v>26683987</v>
      </c>
      <c r="I24" s="363">
        <f>SUM(G24:H24)</f>
        <v>498908155</v>
      </c>
      <c r="J24" s="363">
        <f>ABRIL!L24</f>
        <v>472224168</v>
      </c>
      <c r="K24" s="364">
        <v>26683987</v>
      </c>
      <c r="L24" s="363">
        <f>SUM(J24:K24)</f>
        <v>498908155</v>
      </c>
      <c r="M24" s="363">
        <f>F24-I24</f>
        <v>-26683987</v>
      </c>
      <c r="N24" s="143">
        <f>F24-L24</f>
        <v>-26683987</v>
      </c>
      <c r="O24" s="372"/>
      <c r="P24" s="362">
        <v>0</v>
      </c>
      <c r="Q24" s="365">
        <v>52632787</v>
      </c>
      <c r="R24" s="9"/>
      <c r="S24" s="689" t="str">
        <f>+IF(ABRIL!S24=0,"",ABRIL!S24)</f>
        <v>1010104-4</v>
      </c>
      <c r="T24" s="665" t="str">
        <f>+IF(ABRIL!T24=0,"",ABRIL!T24)</f>
        <v>Prima de Servicios</v>
      </c>
      <c r="U24" s="27">
        <f>+ENERO!U24</f>
        <v>67115850</v>
      </c>
      <c r="V24" s="15">
        <f>ABRIL!V24+MAYO!AL24</f>
        <v>0</v>
      </c>
      <c r="W24" s="15">
        <f>ABRIL!W24+MAYO!AM24</f>
        <v>0</v>
      </c>
      <c r="X24" s="18">
        <f t="shared" si="17"/>
        <v>67115850</v>
      </c>
      <c r="Y24" s="19">
        <f>ABRIL!AA24</f>
        <v>507152</v>
      </c>
      <c r="Z24" s="364">
        <v>0</v>
      </c>
      <c r="AA24" s="18">
        <f t="shared" si="18"/>
        <v>507152</v>
      </c>
      <c r="AB24" s="19">
        <f>ABRIL!AD24</f>
        <v>507152</v>
      </c>
      <c r="AC24" s="364">
        <v>0</v>
      </c>
      <c r="AD24" s="18">
        <f t="shared" si="19"/>
        <v>507152</v>
      </c>
      <c r="AE24" s="19">
        <f>ABRIL!AG24</f>
        <v>507152</v>
      </c>
      <c r="AF24" s="364">
        <v>0</v>
      </c>
      <c r="AG24" s="18">
        <f t="shared" si="20"/>
        <v>507152</v>
      </c>
      <c r="AH24" s="19">
        <f t="shared" si="21"/>
        <v>66608698</v>
      </c>
      <c r="AI24" s="15">
        <f t="shared" si="22"/>
        <v>66608698</v>
      </c>
      <c r="AJ24" s="16">
        <f t="shared" si="23"/>
        <v>66608698</v>
      </c>
      <c r="AK24" s="9"/>
      <c r="AL24" s="362">
        <v>0</v>
      </c>
      <c r="AM24" s="365">
        <v>0</v>
      </c>
      <c r="AN24" s="9"/>
      <c r="AO24" s="360"/>
      <c r="AP24" s="405" t="s">
        <v>113</v>
      </c>
      <c r="AQ24" s="421">
        <f>X35+X83</f>
        <v>27476354338</v>
      </c>
      <c r="AR24" s="421">
        <f>AD35+AD83</f>
        <v>13901439962</v>
      </c>
      <c r="AS24" s="421">
        <f>AG35+AG83</f>
        <v>7977079343</v>
      </c>
      <c r="AT24" s="421"/>
      <c r="AU24" s="363">
        <f t="shared" si="25"/>
        <v>0.50594193796570042</v>
      </c>
      <c r="AV24" s="363">
        <f t="shared" si="26"/>
        <v>0.29032524638713225</v>
      </c>
      <c r="AW24" s="363">
        <f>(AR24-AD41-AD88)/$AO$2*12+AD41+AD88</f>
        <v>26638234635.400002</v>
      </c>
      <c r="AX24" s="363">
        <f>(AS24-AG41-AG88)/$AO$2*12+AG41+AG88</f>
        <v>12419769149.799999</v>
      </c>
      <c r="AY24" s="363">
        <f t="shared" si="27"/>
        <v>838119702.59999847</v>
      </c>
      <c r="AZ24" s="143">
        <f t="shared" si="28"/>
        <v>15056585188.200001</v>
      </c>
      <c r="BA24" s="9"/>
      <c r="BB24" s="427"/>
      <c r="BC24" s="372"/>
      <c r="BD24" s="372"/>
      <c r="BE24" s="372"/>
      <c r="BF24" s="372"/>
      <c r="BG24" s="372"/>
      <c r="BH24" s="372"/>
      <c r="BI24" s="372"/>
      <c r="BJ24" s="372"/>
      <c r="BK24" s="372"/>
      <c r="BL24" s="372"/>
      <c r="BM24" s="137" t="s">
        <v>110</v>
      </c>
      <c r="BN24" s="83">
        <f>X170-X177-X174-X183-X191</f>
        <v>303017672</v>
      </c>
      <c r="BO24" s="81">
        <f>AA170-AA177-AA174-AA183-AA191</f>
        <v>129402508</v>
      </c>
      <c r="BP24" s="81">
        <f>AD170-AD177-AD174-AD183-AD191</f>
        <v>129402508</v>
      </c>
      <c r="BQ24" s="82">
        <f>AF170-AF177-AF174-AF183-AF191</f>
        <v>18709444</v>
      </c>
      <c r="BR24" s="372"/>
    </row>
    <row r="25" spans="1:70" s="372" customFormat="1" ht="24.95" customHeight="1">
      <c r="A25" s="714">
        <f>+IF(ABRIL!A25=0,"",ABRIL!A25)</f>
        <v>1130102</v>
      </c>
      <c r="B25" s="628" t="str">
        <f>+IF(ABRIL!B25=0,"",ABRIL!B25)</f>
        <v>ARS - REGIMEN SUBSIDIADO</v>
      </c>
      <c r="C25" s="43">
        <f t="shared" ref="C25:N25" si="29">SUM(C26:C27)</f>
        <v>32167564656</v>
      </c>
      <c r="D25" s="44">
        <f t="shared" si="29"/>
        <v>0</v>
      </c>
      <c r="E25" s="44">
        <f t="shared" si="29"/>
        <v>7591538235</v>
      </c>
      <c r="F25" s="44">
        <f t="shared" si="29"/>
        <v>39759102891</v>
      </c>
      <c r="G25" s="44">
        <f t="shared" si="29"/>
        <v>19350391533</v>
      </c>
      <c r="H25" s="44">
        <f t="shared" si="29"/>
        <v>3769557899</v>
      </c>
      <c r="I25" s="44">
        <f t="shared" si="29"/>
        <v>23119949432</v>
      </c>
      <c r="J25" s="44">
        <f t="shared" si="29"/>
        <v>10741182684</v>
      </c>
      <c r="K25" s="44">
        <f t="shared" si="29"/>
        <v>2216037239</v>
      </c>
      <c r="L25" s="44">
        <f t="shared" si="29"/>
        <v>12957219923</v>
      </c>
      <c r="M25" s="44">
        <f t="shared" si="29"/>
        <v>16639153459</v>
      </c>
      <c r="N25" s="45">
        <f t="shared" si="29"/>
        <v>26801882968</v>
      </c>
      <c r="P25" s="43">
        <f>SUM(P26:P27)</f>
        <v>0</v>
      </c>
      <c r="Q25" s="45">
        <f>SUM(Q26:Q27)</f>
        <v>400547309</v>
      </c>
      <c r="R25" s="9"/>
      <c r="S25" s="689" t="str">
        <f>+IF(ABRIL!S25=0,"",ABRIL!S25)</f>
        <v>1010104-5</v>
      </c>
      <c r="T25" s="665" t="str">
        <f>+IF(ABRIL!T25=0,"",ABRIL!T25)</f>
        <v>Bonificación Convencional</v>
      </c>
      <c r="U25" s="27">
        <f>+ENERO!U25</f>
        <v>0</v>
      </c>
      <c r="V25" s="15">
        <f>ABRIL!V25+MAYO!AL25</f>
        <v>0</v>
      </c>
      <c r="W25" s="15">
        <f>ABRIL!W25+MAYO!AM25</f>
        <v>0</v>
      </c>
      <c r="X25" s="18">
        <f t="shared" si="17"/>
        <v>0</v>
      </c>
      <c r="Y25" s="19">
        <f>ABRIL!AA25</f>
        <v>0</v>
      </c>
      <c r="Z25" s="364">
        <v>0</v>
      </c>
      <c r="AA25" s="18">
        <f t="shared" si="18"/>
        <v>0</v>
      </c>
      <c r="AB25" s="19">
        <f>ABRIL!AD25</f>
        <v>0</v>
      </c>
      <c r="AC25" s="364">
        <v>0</v>
      </c>
      <c r="AD25" s="18">
        <f t="shared" si="19"/>
        <v>0</v>
      </c>
      <c r="AE25" s="19">
        <f>ABRIL!AG25</f>
        <v>0</v>
      </c>
      <c r="AF25" s="364">
        <v>0</v>
      </c>
      <c r="AG25" s="18">
        <f t="shared" si="20"/>
        <v>0</v>
      </c>
      <c r="AH25" s="19">
        <f t="shared" si="21"/>
        <v>0</v>
      </c>
      <c r="AI25" s="15">
        <f t="shared" si="22"/>
        <v>0</v>
      </c>
      <c r="AJ25" s="16">
        <f t="shared" si="23"/>
        <v>0</v>
      </c>
      <c r="AK25" s="9"/>
      <c r="AL25" s="362">
        <v>0</v>
      </c>
      <c r="AM25" s="365">
        <v>0</v>
      </c>
      <c r="AN25" s="9"/>
      <c r="AO25" s="21"/>
      <c r="AP25" s="428" t="s">
        <v>116</v>
      </c>
      <c r="AQ25" s="363">
        <f>X43+X57+X90+X104</f>
        <v>4207412079</v>
      </c>
      <c r="AR25" s="363">
        <f>AD43+AD57+AD90+AD104</f>
        <v>703607777</v>
      </c>
      <c r="AS25" s="363">
        <f>AG43+AG57+AG90+AG104</f>
        <v>677971637</v>
      </c>
      <c r="AT25" s="421"/>
      <c r="AU25" s="363">
        <f t="shared" si="25"/>
        <v>0.16723053596576415</v>
      </c>
      <c r="AV25" s="363">
        <f t="shared" si="26"/>
        <v>0.16113744607614888</v>
      </c>
      <c r="AW25" s="363">
        <f>(AR25-AD55-AD61-AD102-AD108)/$AO$2*12+AD55+AD61+AD102+AD108</f>
        <v>1278203761.1999998</v>
      </c>
      <c r="AX25" s="363">
        <f>(AS25-AG55-AG61-AG102-AG108)/$AO$2*12+AG55+AG61+AG102+AG108</f>
        <v>1216677025.1999998</v>
      </c>
      <c r="AY25" s="363">
        <f t="shared" si="27"/>
        <v>2929208317.8000002</v>
      </c>
      <c r="AZ25" s="143">
        <f t="shared" si="28"/>
        <v>2990735053.8000002</v>
      </c>
      <c r="BM25" s="140" t="s">
        <v>430</v>
      </c>
      <c r="BN25" s="106">
        <f>+SUM(BN26:BN28)</f>
        <v>12995718637</v>
      </c>
      <c r="BO25" s="107">
        <f>+SUM(BO26:BO28)</f>
        <v>11157970883</v>
      </c>
      <c r="BP25" s="107">
        <f>+SUM(BP26:BP28)</f>
        <v>8270718510</v>
      </c>
      <c r="BQ25" s="108">
        <f>+SUM(BQ26:BQ28)</f>
        <v>812292127</v>
      </c>
    </row>
    <row r="26" spans="1:70" s="9" customFormat="1" ht="24.95" customHeight="1">
      <c r="A26" s="593" t="str">
        <f>+IF(ABRIL!A26=0,"",ABRIL!A26)</f>
        <v>1130102-1</v>
      </c>
      <c r="B26" s="629" t="str">
        <f>+CONCATENATE("Vigencia ",INSTRUCCIONES!$F$3)</f>
        <v>Vigencia 2019</v>
      </c>
      <c r="C26" s="655">
        <f>+ENERO!C26</f>
        <v>32167564656</v>
      </c>
      <c r="D26" s="363">
        <f>ABRIL!D26+MAYO!P26</f>
        <v>0</v>
      </c>
      <c r="E26" s="363">
        <f>ABRIL!E26+MAYO!Q26</f>
        <v>0</v>
      </c>
      <c r="F26" s="363">
        <f>SUM(C26:E26)</f>
        <v>32167564656</v>
      </c>
      <c r="G26" s="363">
        <f>ABRIL!I26</f>
        <v>11756121520</v>
      </c>
      <c r="H26" s="364">
        <v>3698030740</v>
      </c>
      <c r="I26" s="363">
        <f>SUM(G26:H26)</f>
        <v>15454152260</v>
      </c>
      <c r="J26" s="363">
        <f>ABRIL!L26</f>
        <v>3146912671</v>
      </c>
      <c r="K26" s="364">
        <v>2144510080</v>
      </c>
      <c r="L26" s="363">
        <f>SUM(J26:K26)</f>
        <v>5291422751</v>
      </c>
      <c r="M26" s="363">
        <f>F26-I26</f>
        <v>16713412396</v>
      </c>
      <c r="N26" s="143">
        <f>F26-L26</f>
        <v>26876141905</v>
      </c>
      <c r="P26" s="362">
        <v>0</v>
      </c>
      <c r="Q26" s="365">
        <v>0</v>
      </c>
      <c r="S26" s="689" t="str">
        <f>+IF(ABRIL!S26=0,"",ABRIL!S26)</f>
        <v>1010104-6</v>
      </c>
      <c r="T26" s="665" t="str">
        <f>+IF(ABRIL!T26=0,"",ABRIL!T26)</f>
        <v>Auxilio de Transporte</v>
      </c>
      <c r="U26" s="27">
        <f>+ENERO!U26</f>
        <v>7017105</v>
      </c>
      <c r="V26" s="15">
        <f>ABRIL!V26+MAYO!AL26</f>
        <v>0</v>
      </c>
      <c r="W26" s="15">
        <f>ABRIL!W26+MAYO!AM26</f>
        <v>0</v>
      </c>
      <c r="X26" s="18">
        <f t="shared" si="17"/>
        <v>7017105</v>
      </c>
      <c r="Y26" s="19">
        <f>ABRIL!AA26</f>
        <v>313737</v>
      </c>
      <c r="Z26" s="364">
        <v>97032</v>
      </c>
      <c r="AA26" s="18">
        <f t="shared" si="18"/>
        <v>410769</v>
      </c>
      <c r="AB26" s="19">
        <f>ABRIL!AD26</f>
        <v>313737</v>
      </c>
      <c r="AC26" s="364">
        <v>97032</v>
      </c>
      <c r="AD26" s="18">
        <f t="shared" si="19"/>
        <v>410769</v>
      </c>
      <c r="AE26" s="19">
        <f>ABRIL!AG26</f>
        <v>313737</v>
      </c>
      <c r="AF26" s="364">
        <v>97032</v>
      </c>
      <c r="AG26" s="18">
        <f t="shared" si="20"/>
        <v>410769</v>
      </c>
      <c r="AH26" s="19">
        <f t="shared" si="21"/>
        <v>6606336</v>
      </c>
      <c r="AI26" s="15">
        <f t="shared" si="22"/>
        <v>6606336</v>
      </c>
      <c r="AJ26" s="16">
        <f t="shared" si="23"/>
        <v>6606336</v>
      </c>
      <c r="AL26" s="362">
        <v>0</v>
      </c>
      <c r="AM26" s="365">
        <v>0</v>
      </c>
      <c r="AO26" s="21"/>
      <c r="AP26" s="429" t="s">
        <v>120</v>
      </c>
      <c r="AQ26" s="317">
        <f>X110</f>
        <v>12597719527</v>
      </c>
      <c r="AR26" s="317">
        <f>AD110</f>
        <v>5900007667</v>
      </c>
      <c r="AS26" s="317">
        <f>AG110</f>
        <v>4075562155</v>
      </c>
      <c r="AT26" s="361">
        <f>AO2/12</f>
        <v>0.41666666666666669</v>
      </c>
      <c r="AU26" s="332">
        <f t="shared" si="25"/>
        <v>0.46833934144627032</v>
      </c>
      <c r="AV26" s="332">
        <f t="shared" si="26"/>
        <v>0.32351586699998136</v>
      </c>
      <c r="AW26" s="426">
        <f>(AR26-AD121-AD139-AD143-AD153-AD168)/$AO$2*12+AD121+AD139+AD143+AD153+AD168</f>
        <v>11746587501.200001</v>
      </c>
      <c r="AX26" s="426">
        <f>(AS26-AG121-AG139-AG143-AG153-AG168)/$AO$2*12+AG121+AG139+AG143+AG153+AG168</f>
        <v>7367918272.3999996</v>
      </c>
      <c r="AY26" s="426">
        <f t="shared" si="27"/>
        <v>851132025.79999924</v>
      </c>
      <c r="AZ26" s="46">
        <f t="shared" si="28"/>
        <v>5229801254.6000004</v>
      </c>
      <c r="BA26" s="372"/>
      <c r="BB26" s="372"/>
      <c r="BC26" s="372"/>
      <c r="BD26" s="372"/>
      <c r="BE26" s="372"/>
      <c r="BF26" s="372"/>
      <c r="BG26" s="372"/>
      <c r="BH26" s="372"/>
      <c r="BI26" s="372"/>
      <c r="BJ26" s="372"/>
      <c r="BK26" s="372"/>
      <c r="BM26" s="109" t="s">
        <v>431</v>
      </c>
      <c r="BN26" s="86">
        <f>+X198+X212</f>
        <v>5233274278</v>
      </c>
      <c r="BO26" s="84">
        <f>+AA198+AA212</f>
        <v>4462744982</v>
      </c>
      <c r="BP26" s="84">
        <f>+AD198+AD212</f>
        <v>3578339100</v>
      </c>
      <c r="BQ26" s="85">
        <f>+AF198+AF212</f>
        <v>273946045</v>
      </c>
      <c r="BR26" s="372"/>
    </row>
    <row r="27" spans="1:70" s="412" customFormat="1" ht="24.95" customHeight="1">
      <c r="A27" s="593" t="str">
        <f>+IF(ABRIL!A27=0,"",ABRIL!A27)</f>
        <v>1130102-2</v>
      </c>
      <c r="B27" s="629" t="str">
        <f>+IF(ABRIL!B27=0,"",ABRIL!B27)</f>
        <v>Vigencia Anterior</v>
      </c>
      <c r="C27" s="655">
        <f>+ENERO!C27</f>
        <v>0</v>
      </c>
      <c r="D27" s="363">
        <f>ABRIL!D27+MAYO!P27</f>
        <v>0</v>
      </c>
      <c r="E27" s="363">
        <f>ABRIL!E27+MAYO!Q27</f>
        <v>7591538235</v>
      </c>
      <c r="F27" s="363">
        <f>SUM(C27:E27)</f>
        <v>7591538235</v>
      </c>
      <c r="G27" s="363">
        <f>ABRIL!I27</f>
        <v>7594270013</v>
      </c>
      <c r="H27" s="824">
        <v>71527159</v>
      </c>
      <c r="I27" s="363">
        <f>SUM(G27:H27)</f>
        <v>7665797172</v>
      </c>
      <c r="J27" s="363">
        <f>ABRIL!L27</f>
        <v>7594270013</v>
      </c>
      <c r="K27" s="364">
        <v>71527159</v>
      </c>
      <c r="L27" s="363">
        <f>SUM(J27:K27)</f>
        <v>7665797172</v>
      </c>
      <c r="M27" s="363">
        <f>F27-I27</f>
        <v>-74258937</v>
      </c>
      <c r="N27" s="143">
        <f>F27-L27</f>
        <v>-74258937</v>
      </c>
      <c r="O27" s="372"/>
      <c r="P27" s="362">
        <v>0</v>
      </c>
      <c r="Q27" s="365">
        <v>400547309</v>
      </c>
      <c r="R27" s="9"/>
      <c r="S27" s="689" t="str">
        <f>+IF(ABRIL!S27=0,"",ABRIL!S27)</f>
        <v>1010104-7</v>
      </c>
      <c r="T27" s="665" t="str">
        <f>+IF(ABRIL!T27=0,"",ABRIL!T27)</f>
        <v>Auxilio de Alimentación</v>
      </c>
      <c r="U27" s="27">
        <f>+ENERO!U27</f>
        <v>92622</v>
      </c>
      <c r="V27" s="15">
        <f>ABRIL!V27+MAYO!AL27</f>
        <v>0</v>
      </c>
      <c r="W27" s="15">
        <f>ABRIL!W27+MAYO!AM27</f>
        <v>0</v>
      </c>
      <c r="X27" s="18">
        <f t="shared" si="17"/>
        <v>92622</v>
      </c>
      <c r="Y27" s="19">
        <f>ABRIL!AA27</f>
        <v>0</v>
      </c>
      <c r="Z27" s="364">
        <v>0</v>
      </c>
      <c r="AA27" s="18">
        <f t="shared" si="18"/>
        <v>0</v>
      </c>
      <c r="AB27" s="19">
        <f>ABRIL!AD27</f>
        <v>0</v>
      </c>
      <c r="AC27" s="364">
        <v>0</v>
      </c>
      <c r="AD27" s="18">
        <f t="shared" si="19"/>
        <v>0</v>
      </c>
      <c r="AE27" s="19">
        <f>ABRIL!AG27</f>
        <v>0</v>
      </c>
      <c r="AF27" s="364">
        <v>0</v>
      </c>
      <c r="AG27" s="18">
        <f t="shared" si="20"/>
        <v>0</v>
      </c>
      <c r="AH27" s="825">
        <f t="shared" si="21"/>
        <v>92622</v>
      </c>
      <c r="AI27" s="15">
        <f t="shared" si="22"/>
        <v>92622</v>
      </c>
      <c r="AJ27" s="16">
        <f t="shared" si="23"/>
        <v>92622</v>
      </c>
      <c r="AK27" s="9"/>
      <c r="AL27" s="362">
        <v>0</v>
      </c>
      <c r="AM27" s="365">
        <v>0</v>
      </c>
      <c r="AN27" s="9"/>
      <c r="AO27" s="339"/>
      <c r="AP27" s="428" t="s">
        <v>123</v>
      </c>
      <c r="AQ27" s="363">
        <f>X170</f>
        <v>1268354144</v>
      </c>
      <c r="AR27" s="363">
        <f>AD170</f>
        <v>434648197</v>
      </c>
      <c r="AS27" s="363">
        <f>AG170</f>
        <v>434648197</v>
      </c>
      <c r="AT27" s="421"/>
      <c r="AU27" s="363">
        <f t="shared" si="25"/>
        <v>0.34268677960025651</v>
      </c>
      <c r="AV27" s="363">
        <f t="shared" si="26"/>
        <v>0.34268677960025651</v>
      </c>
      <c r="AW27" s="363">
        <f>(AR27-AD174-AD183-AD191)/$AO$2*12+AD174+AD183+AD191</f>
        <v>1043155672.8000001</v>
      </c>
      <c r="AX27" s="363">
        <f>(AS27-AG174-AG183-AG191)/$AO$2*12+AG174+AG183+AG191</f>
        <v>1043155672.8000001</v>
      </c>
      <c r="AY27" s="363">
        <f t="shared" si="27"/>
        <v>225198471.19999993</v>
      </c>
      <c r="AZ27" s="143">
        <f t="shared" si="28"/>
        <v>225198471.19999993</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+IF(ABRIL!A28=0,"",ABRIL!A28)</f>
        <v>1130103</v>
      </c>
      <c r="B28" s="605" t="str">
        <f>+IF(ABRIL!B28=0,"",ABRIL!B28)</f>
        <v>SUBSIDIO A LA OFERTA- ATENCION PERSONAS POBRES NO CUBIERTOS CON SUBSIDIO A LA DEMANDA</v>
      </c>
      <c r="C28" s="43">
        <f>C29+C32+C35+C38+C39+C40</f>
        <v>8952361140</v>
      </c>
      <c r="D28" s="44">
        <f>+D29+D32+D35+D38+D39+D40</f>
        <v>0</v>
      </c>
      <c r="E28" s="44">
        <f>+E29+E32+E35+E38+E39+E40</f>
        <v>1624039533</v>
      </c>
      <c r="F28" s="44">
        <f>+F29+F32+F35+F38+F39+F40</f>
        <v>10576400673</v>
      </c>
      <c r="G28" s="44">
        <f t="shared" ref="G28:N28" si="30">G29+G32+G35+G38+G39+G40</f>
        <v>5429815597</v>
      </c>
      <c r="H28" s="44">
        <f t="shared" si="30"/>
        <v>1212847143</v>
      </c>
      <c r="I28" s="44">
        <f t="shared" si="30"/>
        <v>6642662740</v>
      </c>
      <c r="J28" s="44">
        <f t="shared" si="30"/>
        <v>2363026223</v>
      </c>
      <c r="K28" s="44">
        <f t="shared" si="30"/>
        <v>111106207</v>
      </c>
      <c r="L28" s="44">
        <f t="shared" si="30"/>
        <v>2474132430</v>
      </c>
      <c r="M28" s="44">
        <f t="shared" si="30"/>
        <v>3933737933</v>
      </c>
      <c r="N28" s="45">
        <f t="shared" si="30"/>
        <v>8102268243</v>
      </c>
      <c r="O28" s="372"/>
      <c r="P28" s="43">
        <f>P29+P32+P35+P38+P39+P940</f>
        <v>0</v>
      </c>
      <c r="Q28" s="45">
        <f>Q29+Q32+Q35+Q38+Q39+Q40</f>
        <v>720058</v>
      </c>
      <c r="R28" s="9"/>
      <c r="S28" s="689" t="str">
        <f>+IF(ABRIL!S28=0,"",ABRIL!S28)</f>
        <v>1010104-8</v>
      </c>
      <c r="T28" s="665" t="str">
        <f>+IF(ABRIL!T28=0,"",ABRIL!T28)</f>
        <v>Indemnizaciones por Vacaciones o Supresión de Cargos por Reestructuración</v>
      </c>
      <c r="U28" s="27">
        <f>+ENERO!U28</f>
        <v>0</v>
      </c>
      <c r="V28" s="15">
        <f>ABRIL!V28+MAYO!AL28</f>
        <v>0</v>
      </c>
      <c r="W28" s="15">
        <f>ABRIL!W28+MAYO!AM28</f>
        <v>0</v>
      </c>
      <c r="X28" s="18">
        <f t="shared" si="17"/>
        <v>0</v>
      </c>
      <c r="Y28" s="19">
        <f>ABRIL!AA28</f>
        <v>0</v>
      </c>
      <c r="Z28" s="364">
        <v>0</v>
      </c>
      <c r="AA28" s="18">
        <f t="shared" si="18"/>
        <v>0</v>
      </c>
      <c r="AB28" s="19">
        <f>ABRIL!AD28</f>
        <v>0</v>
      </c>
      <c r="AC28" s="364">
        <v>0</v>
      </c>
      <c r="AD28" s="18">
        <f t="shared" si="19"/>
        <v>0</v>
      </c>
      <c r="AE28" s="19">
        <f>ABRIL!AG28</f>
        <v>0</v>
      </c>
      <c r="AF28" s="364">
        <v>0</v>
      </c>
      <c r="AG28" s="18">
        <f t="shared" si="20"/>
        <v>0</v>
      </c>
      <c r="AH28" s="19">
        <f t="shared" si="21"/>
        <v>0</v>
      </c>
      <c r="AI28" s="15">
        <f t="shared" si="22"/>
        <v>0</v>
      </c>
      <c r="AJ28" s="16">
        <f t="shared" si="23"/>
        <v>0</v>
      </c>
      <c r="AK28" s="9"/>
      <c r="AL28" s="362">
        <v>0</v>
      </c>
      <c r="AM28" s="365">
        <v>0</v>
      </c>
      <c r="AN28" s="9"/>
      <c r="AO28" s="339"/>
      <c r="AP28" s="777" t="s">
        <v>566</v>
      </c>
      <c r="AQ28" s="363">
        <f>X195</f>
        <v>18342223494</v>
      </c>
      <c r="AR28" s="363">
        <f>AD195</f>
        <v>13429718874</v>
      </c>
      <c r="AS28" s="363">
        <f>AG195</f>
        <v>8031172796</v>
      </c>
      <c r="AT28" s="421"/>
      <c r="AU28" s="363">
        <f t="shared" si="25"/>
        <v>0.7321750756331723</v>
      </c>
      <c r="AV28" s="363">
        <f t="shared" si="26"/>
        <v>0.4378516486088565</v>
      </c>
      <c r="AW28" s="363">
        <f>(AR28-AD207)/$AO$2*12+AD207</f>
        <v>25008724788</v>
      </c>
      <c r="AX28" s="363">
        <f>(AS28-AG207)/$AO$2*12+AG207</f>
        <v>12052214200.799999</v>
      </c>
      <c r="AY28" s="363">
        <f t="shared" si="27"/>
        <v>-6666501294</v>
      </c>
      <c r="AZ28" s="143">
        <f t="shared" si="28"/>
        <v>6290009293.2000008</v>
      </c>
      <c r="BA28" s="372"/>
      <c r="BB28" s="372"/>
      <c r="BC28" s="372"/>
      <c r="BD28" s="372"/>
      <c r="BE28" s="372"/>
      <c r="BF28" s="372"/>
      <c r="BG28" s="372"/>
      <c r="BH28" s="372"/>
      <c r="BI28" s="372"/>
      <c r="BJ28" s="372"/>
      <c r="BK28" s="372"/>
      <c r="BL28" s="372"/>
      <c r="BM28" s="71" t="s">
        <v>433</v>
      </c>
      <c r="BN28" s="83">
        <f>+X196-X198-X207</f>
        <v>7762444359</v>
      </c>
      <c r="BO28" s="81">
        <f>+AA196-AA198-AA207</f>
        <v>6695225901</v>
      </c>
      <c r="BP28" s="81">
        <f>+AD196-AD198-AD207</f>
        <v>4692379410</v>
      </c>
      <c r="BQ28" s="82">
        <f>+AF196-AF198-AF207</f>
        <v>538346082</v>
      </c>
      <c r="BR28" s="9"/>
    </row>
    <row r="29" spans="1:70" s="9" customFormat="1" ht="24.95" customHeight="1">
      <c r="A29" s="593" t="str">
        <f>+IF(ABRIL!A29=0,"",ABRIL!A29)</f>
        <v>1130103-1</v>
      </c>
      <c r="B29" s="630" t="str">
        <f>+IF(ABRIL!B29=0,"",ABRIL!B29)</f>
        <v>Prestación de Servicios de salud  1er Nivel</v>
      </c>
      <c r="C29" s="19">
        <f t="shared" ref="C29:N29" si="31">SUM(C30:C31)</f>
        <v>0</v>
      </c>
      <c r="D29" s="15">
        <f t="shared" si="31"/>
        <v>0</v>
      </c>
      <c r="E29" s="15">
        <f t="shared" si="31"/>
        <v>0</v>
      </c>
      <c r="F29" s="15">
        <f t="shared" si="31"/>
        <v>0</v>
      </c>
      <c r="G29" s="15">
        <f t="shared" si="31"/>
        <v>0</v>
      </c>
      <c r="H29" s="15">
        <f t="shared" si="31"/>
        <v>0</v>
      </c>
      <c r="I29" s="15">
        <f t="shared" si="31"/>
        <v>0</v>
      </c>
      <c r="J29" s="15">
        <f t="shared" si="31"/>
        <v>0</v>
      </c>
      <c r="K29" s="15">
        <f t="shared" si="31"/>
        <v>0</v>
      </c>
      <c r="L29" s="15">
        <f t="shared" si="31"/>
        <v>0</v>
      </c>
      <c r="M29" s="15">
        <f t="shared" si="31"/>
        <v>0</v>
      </c>
      <c r="N29" s="16">
        <f t="shared" si="31"/>
        <v>0</v>
      </c>
      <c r="O29" s="372"/>
      <c r="P29" s="144">
        <f>SUM(P30:P31)</f>
        <v>0</v>
      </c>
      <c r="Q29" s="145">
        <f>SUM(Q30:Q31)</f>
        <v>0</v>
      </c>
      <c r="S29" s="689" t="str">
        <f>+IF(ABRIL!S29=0,"",ABRIL!S29)</f>
        <v>1010104-9</v>
      </c>
      <c r="T29" s="665" t="str">
        <f>+IF(ABRIL!T29=0,"",ABRIL!T29)</f>
        <v>Bonificación Especial por Recreación</v>
      </c>
      <c r="U29" s="27">
        <f>+ENERO!U29</f>
        <v>8443869</v>
      </c>
      <c r="V29" s="15">
        <f>ABRIL!V29+MAYO!AL29</f>
        <v>0</v>
      </c>
      <c r="W29" s="15">
        <f>ABRIL!W29+MAYO!AM29</f>
        <v>0</v>
      </c>
      <c r="X29" s="18">
        <f t="shared" si="17"/>
        <v>8443869</v>
      </c>
      <c r="Y29" s="19">
        <f>ABRIL!AA29</f>
        <v>926158</v>
      </c>
      <c r="Z29" s="364">
        <v>0</v>
      </c>
      <c r="AA29" s="18">
        <f t="shared" si="18"/>
        <v>926158</v>
      </c>
      <c r="AB29" s="19">
        <f>ABRIL!AD29</f>
        <v>926158</v>
      </c>
      <c r="AC29" s="364">
        <v>0</v>
      </c>
      <c r="AD29" s="18">
        <f t="shared" si="19"/>
        <v>926158</v>
      </c>
      <c r="AE29" s="19">
        <f>ABRIL!AG29</f>
        <v>926158</v>
      </c>
      <c r="AF29" s="364">
        <v>0</v>
      </c>
      <c r="AG29" s="18">
        <f t="shared" si="20"/>
        <v>926158</v>
      </c>
      <c r="AH29" s="19">
        <f t="shared" si="21"/>
        <v>7517711</v>
      </c>
      <c r="AI29" s="15">
        <f t="shared" si="22"/>
        <v>7517711</v>
      </c>
      <c r="AJ29" s="16">
        <f t="shared" si="23"/>
        <v>7517711</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26829618396</v>
      </c>
      <c r="BO29" s="107">
        <f>AA232-AA256-AA241</f>
        <v>10835161168</v>
      </c>
      <c r="BP29" s="107">
        <f>AD232-AD256-AD241</f>
        <v>6901357676</v>
      </c>
      <c r="BQ29" s="108">
        <f>AF232-AF256-AF241</f>
        <v>2340642343</v>
      </c>
      <c r="BR29" s="372"/>
    </row>
    <row r="30" spans="1:70" s="412" customFormat="1" ht="24.95" customHeight="1">
      <c r="A30" s="593" t="str">
        <f>+IF(ABRIL!A30=0,"",ABRIL!A30)</f>
        <v>1130103-1-1</v>
      </c>
      <c r="B30" s="629" t="str">
        <f>+CONCATENATE("Vigencia ",INSTRUCCIONES!$F$3)</f>
        <v>Vigencia 2019</v>
      </c>
      <c r="C30" s="655">
        <f>+ENERO!C30</f>
        <v>0</v>
      </c>
      <c r="D30" s="363">
        <f>ABRIL!D30+MAYO!P30</f>
        <v>0</v>
      </c>
      <c r="E30" s="363">
        <f>ABRIL!E30+MAYO!Q30</f>
        <v>0</v>
      </c>
      <c r="F30" s="363">
        <f>SUM(C30:E30)</f>
        <v>0</v>
      </c>
      <c r="G30" s="363">
        <f>ABRIL!I30</f>
        <v>0</v>
      </c>
      <c r="H30" s="364">
        <v>0</v>
      </c>
      <c r="I30" s="454">
        <f>SUM(G30:H30)</f>
        <v>0</v>
      </c>
      <c r="J30" s="363">
        <f>ABRIL!L30</f>
        <v>0</v>
      </c>
      <c r="K30" s="364">
        <v>0</v>
      </c>
      <c r="L30" s="454">
        <f>SUM(J30:K30)</f>
        <v>0</v>
      </c>
      <c r="M30" s="363">
        <f>F30-I30</f>
        <v>0</v>
      </c>
      <c r="N30" s="143">
        <f>F30-L30</f>
        <v>0</v>
      </c>
      <c r="O30" s="9"/>
      <c r="P30" s="362">
        <v>0</v>
      </c>
      <c r="Q30" s="365">
        <v>0</v>
      </c>
      <c r="R30" s="9"/>
      <c r="S30" s="689" t="str">
        <f>+IF(ABRIL!S30=0,"",ABRIL!S30)</f>
        <v>1010104-10</v>
      </c>
      <c r="T30" s="665" t="str">
        <f>+IF(ABRIL!T30=0,"",ABRIL!T30)</f>
        <v>Gastos de Representación</v>
      </c>
      <c r="U30" s="27">
        <f>+ENERO!U30</f>
        <v>0</v>
      </c>
      <c r="V30" s="15">
        <f>ABRIL!V30+MAYO!AL30</f>
        <v>0</v>
      </c>
      <c r="W30" s="15">
        <f>ABRIL!W30+MAYO!AM30</f>
        <v>0</v>
      </c>
      <c r="X30" s="18">
        <f t="shared" si="17"/>
        <v>0</v>
      </c>
      <c r="Y30" s="19">
        <f>ABRIL!AA30</f>
        <v>0</v>
      </c>
      <c r="Z30" s="364">
        <v>0</v>
      </c>
      <c r="AA30" s="18">
        <f t="shared" si="18"/>
        <v>0</v>
      </c>
      <c r="AB30" s="19">
        <f>ABRIL!AD30</f>
        <v>0</v>
      </c>
      <c r="AC30" s="364">
        <v>0</v>
      </c>
      <c r="AD30" s="18">
        <f t="shared" si="19"/>
        <v>0</v>
      </c>
      <c r="AE30" s="19">
        <f>ABRIL!AG30</f>
        <v>0</v>
      </c>
      <c r="AF30" s="364">
        <v>0</v>
      </c>
      <c r="AG30" s="18">
        <f t="shared" si="20"/>
        <v>0</v>
      </c>
      <c r="AH30" s="19">
        <f t="shared" si="21"/>
        <v>0</v>
      </c>
      <c r="AI30" s="15">
        <f t="shared" si="22"/>
        <v>0</v>
      </c>
      <c r="AJ30" s="16">
        <f t="shared" si="23"/>
        <v>0</v>
      </c>
      <c r="AK30" s="9"/>
      <c r="AL30" s="362">
        <v>0</v>
      </c>
      <c r="AM30" s="365">
        <v>0</v>
      </c>
      <c r="AN30" s="9"/>
      <c r="AO30" s="360" t="s">
        <v>51</v>
      </c>
      <c r="AP30" s="428" t="s">
        <v>130</v>
      </c>
      <c r="AQ30" s="363">
        <f>X220+X232</f>
        <v>32627598343</v>
      </c>
      <c r="AR30" s="363">
        <f>AD220+AD232</f>
        <v>7669694562</v>
      </c>
      <c r="AS30" s="363">
        <f>AG220+AG232</f>
        <v>6457083192</v>
      </c>
      <c r="AT30" s="421"/>
      <c r="AU30" s="363">
        <f t="shared" si="25"/>
        <v>0.23506770193048776</v>
      </c>
      <c r="AV30" s="363">
        <f t="shared" si="26"/>
        <v>0.19790249726993214</v>
      </c>
      <c r="AW30" s="363">
        <f>(AR30-AD225-AD230-AD241-AD256)/$AO$2*12+AD225+AD230+AD241+AD256</f>
        <v>17512722989.400002</v>
      </c>
      <c r="AX30" s="363">
        <f>(AS30-AG225-AG230-AG241-AG256)/$AO$2*12+AG225+AG230+AG241+AG256</f>
        <v>14602455701.400002</v>
      </c>
      <c r="AY30" s="363">
        <f t="shared" si="27"/>
        <v>15114875353.599998</v>
      </c>
      <c r="AZ30" s="143">
        <f t="shared" si="28"/>
        <v>18025142641.599998</v>
      </c>
      <c r="BA30" s="372"/>
      <c r="BG30" s="372"/>
      <c r="BH30" s="372"/>
      <c r="BI30" s="372"/>
      <c r="BJ30" s="372"/>
      <c r="BK30" s="372"/>
      <c r="BL30" s="372"/>
      <c r="BM30" s="110" t="s">
        <v>74</v>
      </c>
      <c r="BN30" s="106">
        <f>X220-X225-X230</f>
        <v>262344980</v>
      </c>
      <c r="BO30" s="107">
        <f>AA220-AA225-AA230</f>
        <v>129376915</v>
      </c>
      <c r="BP30" s="107">
        <f>AD220-AD225-AD230</f>
        <v>129376915</v>
      </c>
      <c r="BQ30" s="108">
        <f>AF220-AF225-AF230</f>
        <v>25834146</v>
      </c>
      <c r="BR30" s="372"/>
    </row>
    <row r="31" spans="1:70" s="412" customFormat="1" ht="24.95" customHeight="1">
      <c r="A31" s="593" t="str">
        <f>+IF(ABRIL!A31=0,"",ABRIL!A31)</f>
        <v>1130103-1-2</v>
      </c>
      <c r="B31" s="629" t="str">
        <f>+IF(ABRIL!B31=0,"",ABRIL!B31)</f>
        <v>Vigencia Anterior</v>
      </c>
      <c r="C31" s="655">
        <f>+ENERO!C31</f>
        <v>0</v>
      </c>
      <c r="D31" s="363">
        <f>ABRIL!D31+MAYO!P31</f>
        <v>0</v>
      </c>
      <c r="E31" s="363">
        <f>ABRIL!E31+MAYO!Q31</f>
        <v>0</v>
      </c>
      <c r="F31" s="363">
        <f>SUM(C31:E31)</f>
        <v>0</v>
      </c>
      <c r="G31" s="363">
        <f>ABRIL!I31</f>
        <v>0</v>
      </c>
      <c r="H31" s="364">
        <v>0</v>
      </c>
      <c r="I31" s="363">
        <f>SUM(G31:H31)</f>
        <v>0</v>
      </c>
      <c r="J31" s="363">
        <f>ABRIL!L31</f>
        <v>0</v>
      </c>
      <c r="K31" s="364">
        <v>0</v>
      </c>
      <c r="L31" s="363">
        <f>SUM(J31:K31)</f>
        <v>0</v>
      </c>
      <c r="M31" s="363">
        <f>F31-I31</f>
        <v>0</v>
      </c>
      <c r="N31" s="143">
        <f>F31-L31</f>
        <v>0</v>
      </c>
      <c r="O31" s="372"/>
      <c r="P31" s="362">
        <v>0</v>
      </c>
      <c r="Q31" s="365">
        <v>0</v>
      </c>
      <c r="R31" s="9"/>
      <c r="S31" s="689" t="str">
        <f>+IF(ABRIL!S31=0,"",ABRIL!S31)</f>
        <v>1010104-11</v>
      </c>
      <c r="T31" s="665" t="str">
        <f>+IF(ABRIL!T31=0,"",ABRIL!T31)</f>
        <v/>
      </c>
      <c r="U31" s="27">
        <f>+ENERO!U31</f>
        <v>0</v>
      </c>
      <c r="V31" s="15">
        <f>ABRIL!V31+MAYO!AL31</f>
        <v>0</v>
      </c>
      <c r="W31" s="15">
        <f>ABRIL!W31+MAYO!AM31</f>
        <v>0</v>
      </c>
      <c r="X31" s="18">
        <f t="shared" si="17"/>
        <v>0</v>
      </c>
      <c r="Y31" s="19">
        <f>ABRIL!AA31</f>
        <v>0</v>
      </c>
      <c r="Z31" s="364">
        <v>0</v>
      </c>
      <c r="AA31" s="18">
        <f t="shared" si="18"/>
        <v>0</v>
      </c>
      <c r="AB31" s="19">
        <f>ABRIL!AD31</f>
        <v>0</v>
      </c>
      <c r="AC31" s="364">
        <v>0</v>
      </c>
      <c r="AD31" s="18">
        <f t="shared" si="19"/>
        <v>0</v>
      </c>
      <c r="AE31" s="19">
        <f>ABRIL!AG31</f>
        <v>0</v>
      </c>
      <c r="AF31" s="364">
        <v>0</v>
      </c>
      <c r="AG31" s="18">
        <f t="shared" si="20"/>
        <v>0</v>
      </c>
      <c r="AH31" s="19">
        <f t="shared" si="21"/>
        <v>0</v>
      </c>
      <c r="AI31" s="15">
        <f t="shared" si="22"/>
        <v>0</v>
      </c>
      <c r="AJ31" s="16">
        <f t="shared" si="23"/>
        <v>0</v>
      </c>
      <c r="AK31" s="9"/>
      <c r="AL31" s="362">
        <v>0</v>
      </c>
      <c r="AM31" s="365">
        <v>0</v>
      </c>
      <c r="AN31" s="9"/>
      <c r="AO31" s="339"/>
      <c r="AP31" s="405" t="s">
        <v>133</v>
      </c>
      <c r="AQ31" s="421">
        <f>X258</f>
        <v>0</v>
      </c>
      <c r="AR31" s="421">
        <f>AD258</f>
        <v>-6394915991.2400055</v>
      </c>
      <c r="AS31" s="421">
        <f>AG258</f>
        <v>-29134345925</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18146022853</v>
      </c>
      <c r="BO31" s="107">
        <f>AA33+AA41+AA55+AA61+AA81+AA88+AA102+AA108+AA121+AA139+AA143+AA153+AA168+AA174+AA183+AA191+AA207+AA218+AA230+AA241+AA256+AA225</f>
        <v>12618751104</v>
      </c>
      <c r="BP31" s="107">
        <f>AD33+AD41+AD55+AD61+AD81+AD88+AD102+AD108+AD121+AD139+AD143+AD153+AD168+AD174+AD183+AD191+AD207+AD218+AD230+AD241+AD256+AD225</f>
        <v>12618751104</v>
      </c>
      <c r="BQ31" s="108">
        <f>AF33+AF41+AF55+AF61+AF81+AF88+AF102+AF108+AF121+AF139+AF143+AF153+AF168+AF174+AF183+AF191+AF207+AF218+AF230+AF241+AF256+AF225</f>
        <v>789125531</v>
      </c>
      <c r="BR31" s="9"/>
    </row>
    <row r="32" spans="1:70" s="9" customFormat="1" ht="24.95" customHeight="1" thickBot="1">
      <c r="A32" s="593" t="str">
        <f>+IF(ABRIL!A32=0,"",ABRIL!A32)</f>
        <v>1130103-2</v>
      </c>
      <c r="B32" s="630" t="str">
        <f>+IF(ABRIL!B32=0,"",ABRIL!B32)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72"/>
      <c r="P32" s="144">
        <f>SUM(P33:P34)</f>
        <v>0</v>
      </c>
      <c r="Q32" s="145">
        <f>SUM(Q33:Q34)</f>
        <v>0</v>
      </c>
      <c r="S32" s="689" t="str">
        <f>+IF(ABRIL!S32=0,"",ABRIL!S32)</f>
        <v>1010104-12</v>
      </c>
      <c r="T32" s="665" t="str">
        <f>+IF(ABRIL!T32=0,"",ABRIL!T32)</f>
        <v/>
      </c>
      <c r="U32" s="27">
        <f>+ENERO!U32</f>
        <v>0</v>
      </c>
      <c r="V32" s="15">
        <f>ABRIL!V32+MAYO!AL32</f>
        <v>0</v>
      </c>
      <c r="W32" s="15">
        <f>ABRIL!W32+MAYO!AM32</f>
        <v>0</v>
      </c>
      <c r="X32" s="18">
        <f t="shared" si="17"/>
        <v>0</v>
      </c>
      <c r="Y32" s="19">
        <f>ABRIL!AA32</f>
        <v>0</v>
      </c>
      <c r="Z32" s="364">
        <v>0</v>
      </c>
      <c r="AA32" s="18">
        <f t="shared" si="18"/>
        <v>0</v>
      </c>
      <c r="AB32" s="19">
        <f>ABRIL!AD32</f>
        <v>0</v>
      </c>
      <c r="AC32" s="364">
        <v>0</v>
      </c>
      <c r="AD32" s="18">
        <f t="shared" si="19"/>
        <v>0</v>
      </c>
      <c r="AE32" s="19">
        <f>ABRIL!AG32</f>
        <v>0</v>
      </c>
      <c r="AF32" s="364">
        <v>0</v>
      </c>
      <c r="AG32" s="18">
        <f t="shared" si="20"/>
        <v>0</v>
      </c>
      <c r="AH32" s="19">
        <f t="shared" si="21"/>
        <v>0</v>
      </c>
      <c r="AI32" s="15">
        <f t="shared" si="22"/>
        <v>0</v>
      </c>
      <c r="AJ32" s="16">
        <f t="shared" si="23"/>
        <v>0</v>
      </c>
      <c r="AL32" s="362">
        <v>0</v>
      </c>
      <c r="AM32" s="365">
        <v>0</v>
      </c>
      <c r="AO32" s="21"/>
      <c r="AP32" s="430" t="s">
        <v>138</v>
      </c>
      <c r="AQ32" s="385">
        <f>SUM(AQ22:AQ31)</f>
        <v>103602347428</v>
      </c>
      <c r="AR32" s="385">
        <f>SUM(AR22:AR31)</f>
        <v>37125029652.759995</v>
      </c>
      <c r="AS32" s="385">
        <f>SUM(AS22:AS31)</f>
        <v>0</v>
      </c>
      <c r="AT32" s="431"/>
      <c r="AU32" s="432">
        <f t="shared" si="25"/>
        <v>0.35834158756451528</v>
      </c>
      <c r="AV32" s="432">
        <f t="shared" si="26"/>
        <v>0</v>
      </c>
      <c r="AW32" s="341">
        <f>SUM(AW22:AW31)</f>
        <v>87279373876.600006</v>
      </c>
      <c r="AX32" s="341">
        <f>SUM(AX22:AX31)</f>
        <v>52753934551</v>
      </c>
      <c r="AY32" s="341">
        <f>SUM(AY22:AY31)</f>
        <v>16322973551.399996</v>
      </c>
      <c r="AZ32" s="342">
        <f>SUM(AZ22:AZ31)</f>
        <v>50848412877</v>
      </c>
      <c r="BA32" s="372"/>
      <c r="BB32" s="412"/>
      <c r="BC32" s="412"/>
      <c r="BD32" s="412"/>
      <c r="BE32" s="412"/>
      <c r="BF32" s="412"/>
      <c r="BG32" s="372"/>
      <c r="BH32" s="372"/>
      <c r="BI32" s="372"/>
      <c r="BJ32" s="372"/>
      <c r="BK32" s="372"/>
      <c r="BM32" s="110" t="s">
        <v>134</v>
      </c>
      <c r="BN32" s="106">
        <f>+BN7+BN25+BN29+BN30+BN31</f>
        <v>103602347428</v>
      </c>
      <c r="BO32" s="107">
        <f>+BO7+BO25+BO29+BO30+BO31</f>
        <v>66306129768</v>
      </c>
      <c r="BP32" s="107">
        <f>+BP7+BP25+BP29+BP30+BP31</f>
        <v>43519945644</v>
      </c>
      <c r="BQ32" s="108">
        <f>+BQ7+BQ25+BQ29+BQ30+BQ31</f>
        <v>6808585015</v>
      </c>
      <c r="BR32" s="372"/>
    </row>
    <row r="33" spans="1:70" s="412" customFormat="1" ht="24.95" customHeight="1" thickBot="1">
      <c r="A33" s="593" t="str">
        <f>+IF(ABRIL!A33=0,"",ABRIL!A33)</f>
        <v>1130103-2-1</v>
      </c>
      <c r="B33" s="629" t="str">
        <f>+CONCATENATE("Vigencia ",INSTRUCCIONES!$F$3)</f>
        <v>Vigencia 2019</v>
      </c>
      <c r="C33" s="655">
        <f>+ENERO!C33</f>
        <v>0</v>
      </c>
      <c r="D33" s="363">
        <f>ABRIL!D33+MAYO!P33</f>
        <v>0</v>
      </c>
      <c r="E33" s="363">
        <f>ABRIL!E33+MAYO!Q33</f>
        <v>0</v>
      </c>
      <c r="F33" s="363">
        <f>SUM(C33:E33)</f>
        <v>0</v>
      </c>
      <c r="G33" s="363">
        <f>ABRIL!I33</f>
        <v>0</v>
      </c>
      <c r="H33" s="364">
        <v>0</v>
      </c>
      <c r="I33" s="363">
        <f>SUM(G33:H33)</f>
        <v>0</v>
      </c>
      <c r="J33" s="363">
        <f>ABRIL!L33</f>
        <v>0</v>
      </c>
      <c r="K33" s="364">
        <v>0</v>
      </c>
      <c r="L33" s="363">
        <f>SUM(J33:K33)</f>
        <v>0</v>
      </c>
      <c r="M33" s="363">
        <f>F33-I33</f>
        <v>0</v>
      </c>
      <c r="N33" s="143">
        <f>F33-L33</f>
        <v>0</v>
      </c>
      <c r="O33" s="9"/>
      <c r="P33" s="362">
        <v>0</v>
      </c>
      <c r="Q33" s="365">
        <v>0</v>
      </c>
      <c r="R33" s="9"/>
      <c r="S33" s="688">
        <f>+IF(ABRIL!S33=0,"",ABRIL!S33)</f>
        <v>1010199</v>
      </c>
      <c r="T33" s="664" t="str">
        <f>+IF(ABRIL!T33=0,"",ABRIL!T33)</f>
        <v>Vigencias Anteriores</v>
      </c>
      <c r="U33" s="27">
        <f>+ENERO!U33</f>
        <v>0</v>
      </c>
      <c r="V33" s="15">
        <f>ABRIL!V33+MAYO!AL33</f>
        <v>-120000000</v>
      </c>
      <c r="W33" s="15">
        <f>ABRIL!W33+MAYO!AM33</f>
        <v>120000000</v>
      </c>
      <c r="X33" s="18">
        <f t="shared" si="17"/>
        <v>0</v>
      </c>
      <c r="Y33" s="19">
        <f>ABRIL!AA33</f>
        <v>0</v>
      </c>
      <c r="Z33" s="364">
        <v>0</v>
      </c>
      <c r="AA33" s="18">
        <f t="shared" si="18"/>
        <v>0</v>
      </c>
      <c r="AB33" s="19">
        <f>ABRIL!AD33</f>
        <v>0</v>
      </c>
      <c r="AC33" s="364">
        <v>0</v>
      </c>
      <c r="AD33" s="18">
        <f t="shared" si="19"/>
        <v>0</v>
      </c>
      <c r="AE33" s="19">
        <f>ABRIL!AG33</f>
        <v>0</v>
      </c>
      <c r="AF33" s="364">
        <v>0</v>
      </c>
      <c r="AG33" s="1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-11347346285</v>
      </c>
      <c r="BP33" s="113">
        <f>AD258</f>
        <v>-6394915991.2400055</v>
      </c>
      <c r="BQ33" s="114">
        <f>AF258</f>
        <v>59668732760.239998</v>
      </c>
      <c r="BR33" s="372"/>
    </row>
    <row r="34" spans="1:70" s="412" customFormat="1" ht="24.95" customHeight="1" thickBot="1">
      <c r="A34" s="593" t="str">
        <f>+IF(ABRIL!A34=0,"",ABRIL!A34)</f>
        <v>1130103-2-2</v>
      </c>
      <c r="B34" s="629" t="str">
        <f>+IF(ABRIL!B34=0,"",ABRIL!B34)</f>
        <v>Vigencia Anterior</v>
      </c>
      <c r="C34" s="655">
        <f>+ENERO!C34</f>
        <v>0</v>
      </c>
      <c r="D34" s="363">
        <f>ABRIL!D34+MAYO!P34</f>
        <v>0</v>
      </c>
      <c r="E34" s="363">
        <f>ABRIL!E34+MAYO!Q34</f>
        <v>0</v>
      </c>
      <c r="F34" s="363">
        <f>SUM(C34:E34)</f>
        <v>0</v>
      </c>
      <c r="G34" s="363">
        <f>ABRIL!I34</f>
        <v>0</v>
      </c>
      <c r="H34" s="364">
        <v>0</v>
      </c>
      <c r="I34" s="363">
        <f>SUM(G34:H34)</f>
        <v>0</v>
      </c>
      <c r="J34" s="363">
        <f>ABRIL!L34</f>
        <v>0</v>
      </c>
      <c r="K34" s="364">
        <v>0</v>
      </c>
      <c r="L34" s="363">
        <f>SUM(J34:K34)</f>
        <v>0</v>
      </c>
      <c r="M34" s="363">
        <f>F34-I34</f>
        <v>0</v>
      </c>
      <c r="N34" s="143">
        <f>F34-L34</f>
        <v>0</v>
      </c>
      <c r="O34" s="372"/>
      <c r="P34" s="362">
        <v>0</v>
      </c>
      <c r="Q34" s="365">
        <v>0</v>
      </c>
      <c r="R34" s="9"/>
      <c r="S34" s="356" t="str">
        <f>+IF(ABRIL!S34=0,"",ABRIL!S34)</f>
        <v/>
      </c>
      <c r="T34" s="678" t="str">
        <f>+IF(ABRIL!T34=0,"",ABRIL!T34)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+IF(ABRIL!A35=0,"",ABRIL!A35)</f>
        <v>1130103-3</v>
      </c>
      <c r="B35" s="630" t="str">
        <f>+IF(ABRIL!B35=0,"",ABRIL!B35)</f>
        <v>Prestación de Servicios de salud  3o. Nivel</v>
      </c>
      <c r="C35" s="19">
        <f t="shared" ref="C35:N35" si="33">SUM(C36:C37)</f>
        <v>7627600802</v>
      </c>
      <c r="D35" s="15">
        <f t="shared" si="33"/>
        <v>0</v>
      </c>
      <c r="E35" s="15">
        <f t="shared" si="33"/>
        <v>1624039533</v>
      </c>
      <c r="F35" s="15">
        <f t="shared" si="33"/>
        <v>9251640335</v>
      </c>
      <c r="G35" s="15">
        <f t="shared" si="33"/>
        <v>5098625512</v>
      </c>
      <c r="H35" s="15">
        <f t="shared" si="33"/>
        <v>1102450448</v>
      </c>
      <c r="I35" s="15">
        <f t="shared" si="33"/>
        <v>6201075960</v>
      </c>
      <c r="J35" s="15">
        <f t="shared" si="33"/>
        <v>2031836138</v>
      </c>
      <c r="K35" s="15">
        <f t="shared" si="33"/>
        <v>709512</v>
      </c>
      <c r="L35" s="15">
        <f t="shared" si="33"/>
        <v>2032545650</v>
      </c>
      <c r="M35" s="15">
        <f t="shared" si="33"/>
        <v>3050564375</v>
      </c>
      <c r="N35" s="16">
        <f t="shared" si="33"/>
        <v>7219094685</v>
      </c>
      <c r="P35" s="144">
        <f>SUM(P36:P37)</f>
        <v>0</v>
      </c>
      <c r="Q35" s="145">
        <f>SUM(Q36:Q37)</f>
        <v>720058</v>
      </c>
      <c r="R35" s="9"/>
      <c r="S35" s="687">
        <f>+IF(ABRIL!S35=0,"",ABRIL!S35)</f>
        <v>1010200</v>
      </c>
      <c r="T35" s="663" t="str">
        <f>+IF(ABRIL!T35=0,"",ABRIL!T35)</f>
        <v>Servicios Personales Indirectos</v>
      </c>
      <c r="U35" s="132">
        <f t="shared" ref="U35:AJ35" si="34">SUM(U36:U41)</f>
        <v>4253886796</v>
      </c>
      <c r="V35" s="122">
        <f t="shared" si="34"/>
        <v>190000000</v>
      </c>
      <c r="W35" s="122">
        <f t="shared" si="34"/>
        <v>100000000</v>
      </c>
      <c r="X35" s="129">
        <f t="shared" si="34"/>
        <v>4543886796</v>
      </c>
      <c r="Y35" s="128">
        <f t="shared" si="34"/>
        <v>4399159259</v>
      </c>
      <c r="Z35" s="122">
        <f t="shared" si="34"/>
        <v>53528116</v>
      </c>
      <c r="AA35" s="129">
        <f t="shared" si="34"/>
        <v>4452687375</v>
      </c>
      <c r="AB35" s="128">
        <f t="shared" si="34"/>
        <v>1904171773</v>
      </c>
      <c r="AC35" s="122">
        <f t="shared" si="34"/>
        <v>353463193</v>
      </c>
      <c r="AD35" s="129">
        <f t="shared" si="34"/>
        <v>2257634966</v>
      </c>
      <c r="AE35" s="128">
        <f t="shared" si="34"/>
        <v>1404960978</v>
      </c>
      <c r="AF35" s="122">
        <f t="shared" si="34"/>
        <v>352947465</v>
      </c>
      <c r="AG35" s="129">
        <f t="shared" si="34"/>
        <v>1757908443</v>
      </c>
      <c r="AH35" s="128">
        <f t="shared" si="34"/>
        <v>91199421</v>
      </c>
      <c r="AI35" s="122">
        <f t="shared" si="34"/>
        <v>2286251830</v>
      </c>
      <c r="AJ35" s="130">
        <f t="shared" si="34"/>
        <v>2785978353</v>
      </c>
      <c r="AK35" s="9"/>
      <c r="AL35" s="128">
        <f>SUM(AL36:AL41)</f>
        <v>70000000</v>
      </c>
      <c r="AM35" s="130">
        <f>SUM(AM36:AM41)</f>
        <v>0</v>
      </c>
      <c r="AN35" s="9"/>
      <c r="AO35" s="339"/>
      <c r="AP35" s="440"/>
      <c r="AQ35" s="282"/>
      <c r="AR35" s="441"/>
      <c r="AS35" s="441"/>
      <c r="AT35" s="441"/>
      <c r="AU35" s="442">
        <f>AR17-AR32</f>
        <v>14426168237.240005</v>
      </c>
      <c r="AV35" s="443">
        <f>AS17-AR32</f>
        <v>-3370746002.9999962</v>
      </c>
      <c r="AW35" s="443" t="s">
        <v>151</v>
      </c>
      <c r="AX35" s="444"/>
      <c r="AY35" s="443">
        <f>AY17+AY32</f>
        <v>29304649161</v>
      </c>
      <c r="AZ35" s="445">
        <f>AZ17+AY32</f>
        <v>-13496360031.142</v>
      </c>
      <c r="BB35" s="412"/>
      <c r="BC35" s="412"/>
      <c r="BD35" s="412"/>
      <c r="BE35" s="412"/>
      <c r="BF35" s="412"/>
    </row>
    <row r="36" spans="1:70" s="372" customFormat="1" ht="24.95" customHeight="1" thickBot="1">
      <c r="A36" s="593" t="str">
        <f>+IF(ABRIL!A36=0,"",ABRIL!A36)</f>
        <v>1130103-3-1</v>
      </c>
      <c r="B36" s="629" t="str">
        <f>+CONCATENATE("Vigencia ",INSTRUCCIONES!$F$3)</f>
        <v>Vigencia 2019</v>
      </c>
      <c r="C36" s="655">
        <f>+ENERO!C36</f>
        <v>7627600802</v>
      </c>
      <c r="D36" s="363">
        <f>ABRIL!D36+MAYO!P36</f>
        <v>0</v>
      </c>
      <c r="E36" s="363">
        <f>ABRIL!E36+MAYO!Q36</f>
        <v>0</v>
      </c>
      <c r="F36" s="363">
        <f t="shared" ref="F36:F41" si="35">SUM(C36:E36)</f>
        <v>7627600802</v>
      </c>
      <c r="G36" s="363">
        <f>ABRIL!I36</f>
        <v>3474585979</v>
      </c>
      <c r="H36" s="364">
        <v>1102450448</v>
      </c>
      <c r="I36" s="363">
        <f t="shared" ref="I36:I41" si="36">SUM(G36:H36)</f>
        <v>4577036427</v>
      </c>
      <c r="J36" s="363">
        <f>ABRIL!L36</f>
        <v>407796605</v>
      </c>
      <c r="K36" s="364">
        <v>709512</v>
      </c>
      <c r="L36" s="363">
        <f t="shared" ref="L36:L41" si="37">SUM(J36:K36)</f>
        <v>408506117</v>
      </c>
      <c r="M36" s="363">
        <f t="shared" ref="M36:M41" si="38">F36-I36</f>
        <v>3050564375</v>
      </c>
      <c r="N36" s="143">
        <f t="shared" ref="N36:N41" si="39">F36-L36</f>
        <v>7219094685</v>
      </c>
      <c r="O36" s="9"/>
      <c r="P36" s="362">
        <v>0</v>
      </c>
      <c r="Q36" s="365">
        <v>0</v>
      </c>
      <c r="R36" s="9"/>
      <c r="S36" s="688" t="str">
        <f>+IF(ABRIL!S36=0,"",ABRIL!S36)</f>
        <v>1010200-1</v>
      </c>
      <c r="T36" s="664" t="str">
        <f>+IF(ABRIL!T36=0,"",ABRIL!T36)</f>
        <v>Remuneración y Honorarios por Servicios Técnicos y Profesionales</v>
      </c>
      <c r="U36" s="27">
        <f>+ENERO!U36</f>
        <v>1270340000</v>
      </c>
      <c r="V36" s="15">
        <f>ABRIL!V36+MAYO!AL36</f>
        <v>70000000</v>
      </c>
      <c r="W36" s="15">
        <f>ABRIL!W36+MAYO!AM36</f>
        <v>100000000</v>
      </c>
      <c r="X36" s="18">
        <f t="shared" ref="X36:X41" si="40">SUM(U36:W36)</f>
        <v>1440340000</v>
      </c>
      <c r="Y36" s="19">
        <f>ABRIL!AA36</f>
        <v>1333280200</v>
      </c>
      <c r="Z36" s="364">
        <v>52700000</v>
      </c>
      <c r="AA36" s="18">
        <f t="shared" ref="AA36:AA41" si="41">SUM(Y36:Z36)</f>
        <v>1385980200</v>
      </c>
      <c r="AB36" s="19">
        <f>ABRIL!AD36</f>
        <v>492429481</v>
      </c>
      <c r="AC36" s="364">
        <v>120106400</v>
      </c>
      <c r="AD36" s="18">
        <f t="shared" ref="AD36:AD41" si="42">SUM(AB36:AC36)</f>
        <v>612535881</v>
      </c>
      <c r="AE36" s="19">
        <f>ABRIL!AG36</f>
        <v>449218000</v>
      </c>
      <c r="AF36" s="364">
        <v>120268000</v>
      </c>
      <c r="AG36" s="18">
        <f t="shared" ref="AG36:AG41" si="43">SUM(AE36:AF36)</f>
        <v>569486000</v>
      </c>
      <c r="AH36" s="19">
        <f t="shared" ref="AH36:AH41" si="44">X36-AA36</f>
        <v>54359800</v>
      </c>
      <c r="AI36" s="15">
        <f t="shared" ref="AI36:AI41" si="45">X36-AD36</f>
        <v>827804119</v>
      </c>
      <c r="AJ36" s="16">
        <f t="shared" ref="AJ36:AJ41" si="46">X36-AG36</f>
        <v>870854000</v>
      </c>
      <c r="AK36" s="9"/>
      <c r="AL36" s="362">
        <v>70000000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+IF(ABRIL!A37=0,"",ABRIL!A37)</f>
        <v>1130103-3-2</v>
      </c>
      <c r="B37" s="629" t="str">
        <f>+IF(ABRIL!B37=0,"",ABRIL!B37)</f>
        <v>Vigencia Anterior</v>
      </c>
      <c r="C37" s="655">
        <f>+ENERO!C37</f>
        <v>0</v>
      </c>
      <c r="D37" s="363">
        <f>ABRIL!D37+MAYO!P37</f>
        <v>0</v>
      </c>
      <c r="E37" s="363">
        <f>ABRIL!E37+MAYO!Q37</f>
        <v>1624039533</v>
      </c>
      <c r="F37" s="363">
        <f t="shared" si="35"/>
        <v>1624039533</v>
      </c>
      <c r="G37" s="363">
        <f>ABRIL!I37</f>
        <v>1624039533</v>
      </c>
      <c r="H37" s="364">
        <v>0</v>
      </c>
      <c r="I37" s="363">
        <f t="shared" si="36"/>
        <v>1624039533</v>
      </c>
      <c r="J37" s="363">
        <f>ABRIL!L37</f>
        <v>1624039533</v>
      </c>
      <c r="K37" s="364">
        <v>0</v>
      </c>
      <c r="L37" s="363">
        <f t="shared" si="37"/>
        <v>1624039533</v>
      </c>
      <c r="M37" s="363">
        <f t="shared" si="38"/>
        <v>0</v>
      </c>
      <c r="N37" s="143">
        <f t="shared" si="39"/>
        <v>0</v>
      </c>
      <c r="P37" s="362">
        <v>0</v>
      </c>
      <c r="Q37" s="365">
        <v>720058</v>
      </c>
      <c r="R37" s="9"/>
      <c r="S37" s="688" t="str">
        <f>+IF(ABRIL!S37=0,"",ABRIL!S37)</f>
        <v>1010200-2</v>
      </c>
      <c r="T37" s="664" t="str">
        <f>+IF(ABRIL!T37=0,"",ABRIL!T37)</f>
        <v>Personal Supernumerario</v>
      </c>
      <c r="U37" s="27">
        <f>+ENERO!U37</f>
        <v>0</v>
      </c>
      <c r="V37" s="15">
        <f>ABRIL!V37+MAYO!AL37</f>
        <v>0</v>
      </c>
      <c r="W37" s="15">
        <f>ABRIL!W37+MAYO!AM37</f>
        <v>0</v>
      </c>
      <c r="X37" s="18">
        <f t="shared" si="40"/>
        <v>0</v>
      </c>
      <c r="Y37" s="19">
        <f>ABRIL!AA37</f>
        <v>0</v>
      </c>
      <c r="Z37" s="364">
        <v>0</v>
      </c>
      <c r="AA37" s="18">
        <f t="shared" si="41"/>
        <v>0</v>
      </c>
      <c r="AB37" s="19">
        <f>ABRIL!AD37</f>
        <v>0</v>
      </c>
      <c r="AC37" s="364">
        <v>0</v>
      </c>
      <c r="AD37" s="18">
        <f t="shared" si="42"/>
        <v>0</v>
      </c>
      <c r="AE37" s="19">
        <f>ABRIL!AG37</f>
        <v>0</v>
      </c>
      <c r="AF37" s="364">
        <v>0</v>
      </c>
      <c r="AG37" s="18">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+IF(ABRIL!A38=0,"",ABRIL!A38)</f>
        <v>1130103-4</v>
      </c>
      <c r="B38" s="631" t="str">
        <f>+IF(ABRIL!B38=0,"",ABRIL!B38)</f>
        <v xml:space="preserve"> Aportes Patronales  1o. Nivel</v>
      </c>
      <c r="C38" s="655">
        <f>+ENERO!C38</f>
        <v>0</v>
      </c>
      <c r="D38" s="363">
        <f>ABRIL!D38+MAYO!P38</f>
        <v>0</v>
      </c>
      <c r="E38" s="363">
        <f>ABRIL!E38+MAYO!Q38</f>
        <v>0</v>
      </c>
      <c r="F38" s="363">
        <f t="shared" si="35"/>
        <v>0</v>
      </c>
      <c r="G38" s="363">
        <f>ABRIL!I38</f>
        <v>0</v>
      </c>
      <c r="H38" s="364">
        <v>0</v>
      </c>
      <c r="I38" s="363">
        <f t="shared" si="36"/>
        <v>0</v>
      </c>
      <c r="J38" s="363">
        <f>ABRIL!L38</f>
        <v>0</v>
      </c>
      <c r="K38" s="364">
        <v>0</v>
      </c>
      <c r="L38" s="363">
        <f t="shared" si="37"/>
        <v>0</v>
      </c>
      <c r="M38" s="363">
        <f t="shared" si="38"/>
        <v>0</v>
      </c>
      <c r="N38" s="143">
        <f t="shared" si="39"/>
        <v>0</v>
      </c>
      <c r="O38" s="515"/>
      <c r="P38" s="362">
        <v>0</v>
      </c>
      <c r="Q38" s="365">
        <v>0</v>
      </c>
      <c r="R38" s="9"/>
      <c r="S38" s="688" t="str">
        <f>+IF(ABRIL!S38=0,"",ABRIL!S38)</f>
        <v>1010200-3</v>
      </c>
      <c r="T38" s="664" t="str">
        <f>+IF(ABRIL!T38=0,"",ABRIL!T38)</f>
        <v>Honorarios de la Junta Directiva</v>
      </c>
      <c r="U38" s="27">
        <f>+ENERO!U38</f>
        <v>5000000</v>
      </c>
      <c r="V38" s="15">
        <f>ABRIL!V38+MAYO!AL38</f>
        <v>0</v>
      </c>
      <c r="W38" s="15">
        <f>ABRIL!W38+MAYO!AM38</f>
        <v>0</v>
      </c>
      <c r="X38" s="18">
        <f t="shared" si="40"/>
        <v>5000000</v>
      </c>
      <c r="Y38" s="19">
        <f>ABRIL!AA38</f>
        <v>1656232</v>
      </c>
      <c r="Z38" s="364">
        <v>828116</v>
      </c>
      <c r="AA38" s="18">
        <f t="shared" si="41"/>
        <v>2484348</v>
      </c>
      <c r="AB38" s="19">
        <f>ABRIL!AD38</f>
        <v>1656232</v>
      </c>
      <c r="AC38" s="364">
        <v>414058</v>
      </c>
      <c r="AD38" s="18">
        <f t="shared" si="42"/>
        <v>2070290</v>
      </c>
      <c r="AE38" s="19">
        <f>ABRIL!AG38</f>
        <v>1656232</v>
      </c>
      <c r="AF38" s="364">
        <v>414058</v>
      </c>
      <c r="AG38" s="18">
        <f t="shared" si="43"/>
        <v>2070290</v>
      </c>
      <c r="AH38" s="19">
        <f t="shared" si="44"/>
        <v>2515652</v>
      </c>
      <c r="AI38" s="15">
        <f t="shared" si="45"/>
        <v>2929710</v>
      </c>
      <c r="AJ38" s="16">
        <f t="shared" si="46"/>
        <v>2929710</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+IF(ABRIL!A39=0,"",ABRIL!A39)</f>
        <v>1130103-5</v>
      </c>
      <c r="B39" s="631" t="str">
        <f>+IF(ABRIL!B39=0,"",ABRIL!B39)</f>
        <v xml:space="preserve"> Aportes Patronales  2o. Nivel</v>
      </c>
      <c r="C39" s="655">
        <f>+ENERO!C39</f>
        <v>0</v>
      </c>
      <c r="D39" s="363">
        <f>ABRIL!D39+MAYO!P39</f>
        <v>0</v>
      </c>
      <c r="E39" s="363">
        <f>ABRIL!E39+MAYO!Q39</f>
        <v>0</v>
      </c>
      <c r="F39" s="363">
        <f t="shared" si="35"/>
        <v>0</v>
      </c>
      <c r="G39" s="363">
        <f>ABRIL!I39</f>
        <v>0</v>
      </c>
      <c r="H39" s="364">
        <v>0</v>
      </c>
      <c r="I39" s="363">
        <f t="shared" si="36"/>
        <v>0</v>
      </c>
      <c r="J39" s="363">
        <f>ABRIL!L39</f>
        <v>0</v>
      </c>
      <c r="K39" s="364">
        <v>0</v>
      </c>
      <c r="L39" s="363">
        <f t="shared" si="37"/>
        <v>0</v>
      </c>
      <c r="M39" s="363">
        <f t="shared" si="38"/>
        <v>0</v>
      </c>
      <c r="N39" s="143">
        <f t="shared" si="39"/>
        <v>0</v>
      </c>
      <c r="O39" s="515"/>
      <c r="P39" s="362">
        <v>0</v>
      </c>
      <c r="Q39" s="365">
        <v>0</v>
      </c>
      <c r="R39" s="9"/>
      <c r="S39" s="688" t="str">
        <f>+IF(ABRIL!S39=0,"",ABRIL!S39)</f>
        <v>1010200-4</v>
      </c>
      <c r="T39" s="664" t="str">
        <f>+IF(ABRIL!T39=0,"",ABRIL!T39)</f>
        <v>Otros Honorarios</v>
      </c>
      <c r="U39" s="27">
        <f>+ENERO!U39</f>
        <v>2589745841</v>
      </c>
      <c r="V39" s="15">
        <f>ABRIL!V39+MAYO!AL39</f>
        <v>0</v>
      </c>
      <c r="W39" s="15">
        <f>ABRIL!W39+MAYO!AM39</f>
        <v>0</v>
      </c>
      <c r="X39" s="18">
        <f t="shared" si="40"/>
        <v>2589745841</v>
      </c>
      <c r="Y39" s="19">
        <f>ABRIL!AA39</f>
        <v>2589745626</v>
      </c>
      <c r="Z39" s="364">
        <v>0</v>
      </c>
      <c r="AA39" s="18">
        <f t="shared" si="41"/>
        <v>2589745626</v>
      </c>
      <c r="AB39" s="19">
        <f>ABRIL!AD39</f>
        <v>935608859</v>
      </c>
      <c r="AC39" s="364">
        <v>232942735</v>
      </c>
      <c r="AD39" s="18">
        <f t="shared" si="42"/>
        <v>1168551594</v>
      </c>
      <c r="AE39" s="19">
        <f>ABRIL!AG39</f>
        <v>479609545</v>
      </c>
      <c r="AF39" s="364">
        <v>232265407</v>
      </c>
      <c r="AG39" s="18">
        <f t="shared" si="43"/>
        <v>711874952</v>
      </c>
      <c r="AH39" s="19">
        <f t="shared" si="44"/>
        <v>215</v>
      </c>
      <c r="AI39" s="15">
        <f t="shared" si="45"/>
        <v>1421194247</v>
      </c>
      <c r="AJ39" s="16">
        <f t="shared" si="46"/>
        <v>1877870889</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+IF(ABRIL!A40=0,"",ABRIL!A40)</f>
        <v>1130103-6</v>
      </c>
      <c r="B40" s="631" t="str">
        <f>+IF(ABRIL!B40=0,"",ABRIL!B40)</f>
        <v xml:space="preserve"> Aportes Patronales  3er. Nivel</v>
      </c>
      <c r="C40" s="655">
        <f>+ENERO!C40</f>
        <v>1324760338</v>
      </c>
      <c r="D40" s="363">
        <f>ABRIL!D40+MAYO!P40</f>
        <v>0</v>
      </c>
      <c r="E40" s="363">
        <f>ABRIL!E40+MAYO!Q40</f>
        <v>0</v>
      </c>
      <c r="F40" s="363">
        <f t="shared" si="35"/>
        <v>1324760338</v>
      </c>
      <c r="G40" s="363">
        <f>ABRIL!I40</f>
        <v>331190085</v>
      </c>
      <c r="H40" s="364">
        <v>110396695</v>
      </c>
      <c r="I40" s="363">
        <f t="shared" si="36"/>
        <v>441586780</v>
      </c>
      <c r="J40" s="363">
        <f>ABRIL!L40</f>
        <v>331190085</v>
      </c>
      <c r="K40" s="364">
        <v>110396695</v>
      </c>
      <c r="L40" s="363">
        <f t="shared" si="37"/>
        <v>441586780</v>
      </c>
      <c r="M40" s="363">
        <f t="shared" si="38"/>
        <v>883173558</v>
      </c>
      <c r="N40" s="143">
        <f t="shared" si="39"/>
        <v>883173558</v>
      </c>
      <c r="O40" s="515"/>
      <c r="P40" s="362">
        <v>0</v>
      </c>
      <c r="Q40" s="365">
        <v>0</v>
      </c>
      <c r="R40" s="9"/>
      <c r="S40" s="688" t="str">
        <f>+IF(ABRIL!S40=0,"",ABRIL!S40)</f>
        <v>1010200-5</v>
      </c>
      <c r="T40" s="664" t="str">
        <f>+IF(ABRIL!T40=0,"",ABRIL!T40)</f>
        <v>Certificación, Habilitación y Acreditación</v>
      </c>
      <c r="U40" s="27">
        <f>+ENERO!U40</f>
        <v>0</v>
      </c>
      <c r="V40" s="15">
        <f>ABRIL!V40+MAYO!AL40</f>
        <v>0</v>
      </c>
      <c r="W40" s="15">
        <f>ABRIL!W40+MAYO!AM40</f>
        <v>0</v>
      </c>
      <c r="X40" s="18">
        <f t="shared" si="40"/>
        <v>0</v>
      </c>
      <c r="Y40" s="19">
        <f>ABRIL!AA40</f>
        <v>0</v>
      </c>
      <c r="Z40" s="364">
        <v>0</v>
      </c>
      <c r="AA40" s="18">
        <f t="shared" si="41"/>
        <v>0</v>
      </c>
      <c r="AB40" s="19">
        <f>ABRIL!AD40</f>
        <v>0</v>
      </c>
      <c r="AC40" s="364">
        <v>0</v>
      </c>
      <c r="AD40" s="18">
        <f t="shared" si="42"/>
        <v>0</v>
      </c>
      <c r="AE40" s="19">
        <f>ABRIL!AG40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+IF(ABRIL!A41=0,"",ABRIL!A41)</f>
        <v>1130104</v>
      </c>
      <c r="B41" s="628" t="str">
        <f>+IF(MARZO!B41=0,"",MARZO!B41)</f>
        <v>SUBSIDIO A LA OFERTA- ACTIVIDADES NO POS-S</v>
      </c>
      <c r="C41" s="655">
        <f>+ENERO!C41</f>
        <v>0</v>
      </c>
      <c r="D41" s="122">
        <f>ABRIL!D41+MAYO!P41</f>
        <v>0</v>
      </c>
      <c r="E41" s="122">
        <f>ABRIL!E41+MAYO!Q41</f>
        <v>0</v>
      </c>
      <c r="F41" s="122">
        <f t="shared" si="35"/>
        <v>0</v>
      </c>
      <c r="G41" s="122">
        <f>ABRIL!I41</f>
        <v>0</v>
      </c>
      <c r="H41" s="364">
        <v>0</v>
      </c>
      <c r="I41" s="122">
        <f t="shared" si="36"/>
        <v>0</v>
      </c>
      <c r="J41" s="122">
        <f>ABRIL!L41</f>
        <v>0</v>
      </c>
      <c r="K41" s="364">
        <v>0</v>
      </c>
      <c r="L41" s="122">
        <f t="shared" si="37"/>
        <v>0</v>
      </c>
      <c r="M41" s="122">
        <f t="shared" si="38"/>
        <v>0</v>
      </c>
      <c r="N41" s="130">
        <f t="shared" si="39"/>
        <v>0</v>
      </c>
      <c r="O41" s="372"/>
      <c r="P41" s="364">
        <v>0</v>
      </c>
      <c r="Q41" s="365">
        <v>0</v>
      </c>
      <c r="R41" s="9"/>
      <c r="S41" s="688">
        <f>+IF(ABRIL!S41=0,"",ABRIL!S41)</f>
        <v>1010299</v>
      </c>
      <c r="T41" s="664" t="str">
        <f>+IF(ABRIL!T41=0,"",ABRIL!T41)</f>
        <v>Vigencias Anteriores</v>
      </c>
      <c r="U41" s="27">
        <f>+ENERO!U41</f>
        <v>388800955</v>
      </c>
      <c r="V41" s="15">
        <f>ABRIL!V41+MAYO!AL41</f>
        <v>120000000</v>
      </c>
      <c r="W41" s="15">
        <f>ABRIL!W41+MAYO!AM41</f>
        <v>0</v>
      </c>
      <c r="X41" s="18">
        <f t="shared" si="40"/>
        <v>508800955</v>
      </c>
      <c r="Y41" s="19">
        <f>ABRIL!AA41</f>
        <v>474477201</v>
      </c>
      <c r="Z41" s="364">
        <v>0</v>
      </c>
      <c r="AA41" s="18">
        <f t="shared" si="41"/>
        <v>474477201</v>
      </c>
      <c r="AB41" s="19">
        <f>ABRIL!AD41</f>
        <v>474477201</v>
      </c>
      <c r="AC41" s="364">
        <v>0</v>
      </c>
      <c r="AD41" s="18">
        <f t="shared" si="42"/>
        <v>474477201</v>
      </c>
      <c r="AE41" s="19">
        <f>ABRIL!AG41</f>
        <v>474477201</v>
      </c>
      <c r="AF41" s="364">
        <v>0</v>
      </c>
      <c r="AG41" s="1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+IF(ABRIL!A42=0,"",ABRIL!A42)</f>
        <v>1130106</v>
      </c>
      <c r="B42" s="628" t="str">
        <f>+IF(ABRIL!B42=0,"",ABRIL!B42)</f>
        <v>SALUD PUBLICA - PLAN DE INTERVENCIONES COLECTIVAS</v>
      </c>
      <c r="C42" s="43">
        <f t="shared" ref="C42:N42" si="47">SUM(C43:C44)</f>
        <v>0</v>
      </c>
      <c r="D42" s="44">
        <f t="shared" si="47"/>
        <v>0</v>
      </c>
      <c r="E42" s="44">
        <f t="shared" si="47"/>
        <v>0</v>
      </c>
      <c r="F42" s="44">
        <f t="shared" si="47"/>
        <v>0</v>
      </c>
      <c r="G42" s="44">
        <f t="shared" si="47"/>
        <v>0</v>
      </c>
      <c r="H42" s="44">
        <f t="shared" si="47"/>
        <v>0</v>
      </c>
      <c r="I42" s="44">
        <f t="shared" si="47"/>
        <v>0</v>
      </c>
      <c r="J42" s="44">
        <f t="shared" si="47"/>
        <v>0</v>
      </c>
      <c r="K42" s="44">
        <f t="shared" si="47"/>
        <v>0</v>
      </c>
      <c r="L42" s="44">
        <f t="shared" si="47"/>
        <v>0</v>
      </c>
      <c r="M42" s="44">
        <f t="shared" si="47"/>
        <v>0</v>
      </c>
      <c r="N42" s="45">
        <f t="shared" si="47"/>
        <v>0</v>
      </c>
      <c r="P42" s="43">
        <f>SUM(P43:P44)</f>
        <v>0</v>
      </c>
      <c r="Q42" s="45">
        <f>SUM(Q43:Q44)</f>
        <v>0</v>
      </c>
      <c r="R42" s="9"/>
      <c r="S42" s="356" t="str">
        <f>+IF(ABRIL!S42=0,"",ABRIL!S42)</f>
        <v/>
      </c>
      <c r="T42" s="678" t="str">
        <f>+IF(ABRIL!T42=0,"",ABRIL!T42)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+IF(ABRIL!A43=0,"",ABRIL!A43)</f>
        <v>1130106-1</v>
      </c>
      <c r="B43" s="629" t="str">
        <f>+CONCATENATE("Vigencia ",INSTRUCCIONES!$F$3)</f>
        <v>Vigencia 2019</v>
      </c>
      <c r="C43" s="655">
        <f>+ENERO!C43</f>
        <v>0</v>
      </c>
      <c r="D43" s="363">
        <f>ABRIL!D43+MAYO!P43</f>
        <v>0</v>
      </c>
      <c r="E43" s="363">
        <f>ABRIL!E43+MAYO!Q43</f>
        <v>0</v>
      </c>
      <c r="F43" s="363">
        <f>SUM(C43:E43)</f>
        <v>0</v>
      </c>
      <c r="G43" s="363">
        <f>ABRIL!I43</f>
        <v>0</v>
      </c>
      <c r="H43" s="364">
        <v>0</v>
      </c>
      <c r="I43" s="363">
        <f>SUM(G43:H43)</f>
        <v>0</v>
      </c>
      <c r="J43" s="363">
        <f>ABRIL!L43</f>
        <v>0</v>
      </c>
      <c r="K43" s="364">
        <v>0</v>
      </c>
      <c r="L43" s="363">
        <f>SUM(J43:K43)</f>
        <v>0</v>
      </c>
      <c r="M43" s="363">
        <f>F43-I43</f>
        <v>0</v>
      </c>
      <c r="N43" s="143">
        <f>F43-L43</f>
        <v>0</v>
      </c>
      <c r="O43" s="372"/>
      <c r="P43" s="362">
        <v>0</v>
      </c>
      <c r="Q43" s="365">
        <v>0</v>
      </c>
      <c r="R43" s="9"/>
      <c r="S43" s="687">
        <f>+IF(ABRIL!S43=0,"",ABRIL!S43)</f>
        <v>1010300</v>
      </c>
      <c r="T43" s="663" t="str">
        <f>+IF(ABRIL!T43=0,"",ABRIL!T43)</f>
        <v>Contribuciones Inherentes nómina al Sector Privado</v>
      </c>
      <c r="U43" s="132">
        <f t="shared" ref="U43:AJ43" si="48">U44+U49+U55</f>
        <v>682314446</v>
      </c>
      <c r="V43" s="122">
        <f t="shared" si="48"/>
        <v>2498932</v>
      </c>
      <c r="W43" s="122">
        <f t="shared" si="48"/>
        <v>0</v>
      </c>
      <c r="X43" s="129">
        <f t="shared" si="48"/>
        <v>684813378</v>
      </c>
      <c r="Y43" s="128">
        <f t="shared" si="48"/>
        <v>161439173</v>
      </c>
      <c r="Z43" s="122">
        <f t="shared" si="48"/>
        <v>18379624</v>
      </c>
      <c r="AA43" s="129">
        <f t="shared" si="48"/>
        <v>179818797</v>
      </c>
      <c r="AB43" s="128">
        <f t="shared" si="48"/>
        <v>161439173</v>
      </c>
      <c r="AC43" s="122">
        <f t="shared" si="48"/>
        <v>18379624</v>
      </c>
      <c r="AD43" s="129">
        <f t="shared" si="48"/>
        <v>179818797</v>
      </c>
      <c r="AE43" s="128">
        <f t="shared" si="48"/>
        <v>157157213</v>
      </c>
      <c r="AF43" s="122">
        <f t="shared" si="48"/>
        <v>18445664</v>
      </c>
      <c r="AG43" s="129">
        <f t="shared" si="48"/>
        <v>175602877</v>
      </c>
      <c r="AH43" s="128">
        <f t="shared" si="48"/>
        <v>504994581</v>
      </c>
      <c r="AI43" s="122">
        <f t="shared" si="48"/>
        <v>504994581</v>
      </c>
      <c r="AJ43" s="130">
        <f t="shared" si="48"/>
        <v>509210501</v>
      </c>
      <c r="AK43" s="9"/>
      <c r="AL43" s="128">
        <f>AL44+AL49+AL55</f>
        <v>9000000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+IF(ABRIL!A44=0,"",ABRIL!A44)</f>
        <v>1130106-2</v>
      </c>
      <c r="B44" s="629" t="str">
        <f>+IF(ABRIL!B44=0,"",ABRIL!B44)</f>
        <v>Vigencia Anterior</v>
      </c>
      <c r="C44" s="655">
        <f>+ENERO!C44</f>
        <v>0</v>
      </c>
      <c r="D44" s="363">
        <f>ABRIL!D44+MAYO!P44</f>
        <v>0</v>
      </c>
      <c r="E44" s="363">
        <f>ABRIL!E44+MAYO!Q44</f>
        <v>0</v>
      </c>
      <c r="F44" s="363">
        <f>SUM(C44:E44)</f>
        <v>0</v>
      </c>
      <c r="G44" s="363">
        <f>ABRIL!I44</f>
        <v>0</v>
      </c>
      <c r="H44" s="364">
        <v>0</v>
      </c>
      <c r="I44" s="363">
        <f>SUM(G44:H44)</f>
        <v>0</v>
      </c>
      <c r="J44" s="363">
        <f>ABRIL!L44</f>
        <v>0</v>
      </c>
      <c r="K44" s="364">
        <v>0</v>
      </c>
      <c r="L44" s="363">
        <f>SUM(J44:K44)</f>
        <v>0</v>
      </c>
      <c r="M44" s="363">
        <f>F44-I44</f>
        <v>0</v>
      </c>
      <c r="N44" s="143">
        <f>F44-L44</f>
        <v>0</v>
      </c>
      <c r="O44" s="372"/>
      <c r="P44" s="362">
        <v>0</v>
      </c>
      <c r="Q44" s="365">
        <v>0</v>
      </c>
      <c r="R44" s="9"/>
      <c r="S44" s="688">
        <f>+IF(ABRIL!S44=0,"",ABRIL!S44)</f>
        <v>1010301</v>
      </c>
      <c r="T44" s="664" t="str">
        <f>+IF(ABRIL!T44=0,"",ABRIL!T44)</f>
        <v>Contribuciones - SGP - Aportes Patronales - Cuenta Maestra</v>
      </c>
      <c r="U44" s="27">
        <f t="shared" ref="U44:AJ44" si="49">SUM(U45:U48)</f>
        <v>224699564</v>
      </c>
      <c r="V44" s="15">
        <f t="shared" si="49"/>
        <v>9000000</v>
      </c>
      <c r="W44" s="15">
        <f t="shared" si="49"/>
        <v>0</v>
      </c>
      <c r="X44" s="18">
        <f t="shared" si="49"/>
        <v>233699564</v>
      </c>
      <c r="Y44" s="19">
        <f t="shared" si="49"/>
        <v>42547521</v>
      </c>
      <c r="Z44" s="142">
        <f t="shared" si="49"/>
        <v>14163704</v>
      </c>
      <c r="AA44" s="18">
        <f t="shared" si="49"/>
        <v>56711225</v>
      </c>
      <c r="AB44" s="19">
        <f t="shared" si="49"/>
        <v>42547521</v>
      </c>
      <c r="AC44" s="142">
        <f t="shared" si="49"/>
        <v>14163704</v>
      </c>
      <c r="AD44" s="18">
        <f t="shared" si="49"/>
        <v>56711225</v>
      </c>
      <c r="AE44" s="19">
        <f t="shared" si="49"/>
        <v>42547521</v>
      </c>
      <c r="AF44" s="142">
        <f t="shared" si="49"/>
        <v>14163704</v>
      </c>
      <c r="AG44" s="18">
        <f t="shared" si="49"/>
        <v>56711225</v>
      </c>
      <c r="AH44" s="19">
        <f t="shared" si="49"/>
        <v>176988339</v>
      </c>
      <c r="AI44" s="15">
        <f t="shared" si="49"/>
        <v>176988339</v>
      </c>
      <c r="AJ44" s="16">
        <f t="shared" si="49"/>
        <v>176988339</v>
      </c>
      <c r="AK44" s="9"/>
      <c r="AL44" s="29">
        <f>SUM(AL45:AL48)</f>
        <v>9000000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+IF(ABRIL!A45=0,"",ABRIL!A45)</f>
        <v>1130107</v>
      </c>
      <c r="B45" s="628" t="str">
        <f>+IF(ABRIL!B45=0,"",ABRIL!B45)</f>
        <v>MINSALUD-FOSYGA-RECLAMACIONES ECAT</v>
      </c>
      <c r="C45" s="43">
        <f t="shared" ref="C45:N45" si="50">SUM(C46:C47)</f>
        <v>130489617</v>
      </c>
      <c r="D45" s="44">
        <f t="shared" si="50"/>
        <v>0</v>
      </c>
      <c r="E45" s="44">
        <f t="shared" si="50"/>
        <v>0</v>
      </c>
      <c r="F45" s="44">
        <f t="shared" si="50"/>
        <v>130489617</v>
      </c>
      <c r="G45" s="44">
        <f t="shared" si="50"/>
        <v>311229535</v>
      </c>
      <c r="H45" s="44">
        <f t="shared" si="50"/>
        <v>69075679</v>
      </c>
      <c r="I45" s="44">
        <f t="shared" si="50"/>
        <v>380305214</v>
      </c>
      <c r="J45" s="44">
        <f t="shared" si="50"/>
        <v>5564279</v>
      </c>
      <c r="K45" s="44">
        <f t="shared" si="50"/>
        <v>0</v>
      </c>
      <c r="L45" s="44">
        <f t="shared" si="50"/>
        <v>5564279</v>
      </c>
      <c r="M45" s="44">
        <f t="shared" si="50"/>
        <v>-249815597</v>
      </c>
      <c r="N45" s="45">
        <f t="shared" si="50"/>
        <v>124925338</v>
      </c>
      <c r="P45" s="43">
        <f>SUM(P46:P47)</f>
        <v>0</v>
      </c>
      <c r="Q45" s="45">
        <f>SUM(Q46:Q47)</f>
        <v>0</v>
      </c>
      <c r="R45" s="9"/>
      <c r="S45" s="689" t="str">
        <f>+IF(ABRIL!S45=0,"",ABRIL!S45)</f>
        <v>1010301-1</v>
      </c>
      <c r="T45" s="665" t="str">
        <f>+IF(ABRIL!T45=0,"",ABRIL!T45)</f>
        <v>E.P.S. - Aportes cuenta maestra</v>
      </c>
      <c r="U45" s="27">
        <f>+ENERO!U45</f>
        <v>56701284</v>
      </c>
      <c r="V45" s="15">
        <f>ABRIL!V45+MAYO!AL45</f>
        <v>0</v>
      </c>
      <c r="W45" s="15">
        <f>ABRIL!W45+MAYO!AM45</f>
        <v>0</v>
      </c>
      <c r="X45" s="18">
        <f>SUM(U45:W45)</f>
        <v>56701284</v>
      </c>
      <c r="Y45" s="19">
        <f>ABRIL!AA45</f>
        <v>17812749</v>
      </c>
      <c r="Z45" s="364">
        <v>6064360</v>
      </c>
      <c r="AA45" s="18">
        <f>SUM(Y45:Z45)</f>
        <v>23877109</v>
      </c>
      <c r="AB45" s="19">
        <f>ABRIL!AD45</f>
        <v>17812749</v>
      </c>
      <c r="AC45" s="364">
        <v>6064360</v>
      </c>
      <c r="AD45" s="18">
        <f>SUM(AB45:AC45)</f>
        <v>23877109</v>
      </c>
      <c r="AE45" s="19">
        <f>ABRIL!AG45</f>
        <v>17812749</v>
      </c>
      <c r="AF45" s="364">
        <v>6064360</v>
      </c>
      <c r="AG45" s="18">
        <f>SUM(AE45:AF45)</f>
        <v>23877109</v>
      </c>
      <c r="AH45" s="19">
        <f>X45-AA45</f>
        <v>32824175</v>
      </c>
      <c r="AI45" s="15">
        <f>X45-AD45</f>
        <v>32824175</v>
      </c>
      <c r="AJ45" s="16">
        <f>X45-AG45</f>
        <v>32824175</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+IF(ABRIL!A46=0,"",ABRIL!A46)</f>
        <v>1130107-1</v>
      </c>
      <c r="B46" s="629" t="str">
        <f>+CONCATENATE("Vigencia ",INSTRUCCIONES!$F$3)</f>
        <v>Vigencia 2019</v>
      </c>
      <c r="C46" s="655">
        <f>+ENERO!C46</f>
        <v>130489617</v>
      </c>
      <c r="D46" s="363">
        <f>ABRIL!D46+MAYO!P46</f>
        <v>0</v>
      </c>
      <c r="E46" s="363">
        <f>ABRIL!E46+MAYO!Q46</f>
        <v>0</v>
      </c>
      <c r="F46" s="363">
        <f>SUM(C46:E46)</f>
        <v>130489617</v>
      </c>
      <c r="G46" s="363">
        <f>ABRIL!I46</f>
        <v>305665256</v>
      </c>
      <c r="H46" s="364">
        <v>69075679</v>
      </c>
      <c r="I46" s="363">
        <f>SUM(G46:H46)</f>
        <v>374740935</v>
      </c>
      <c r="J46" s="363">
        <f>ABRIL!L46</f>
        <v>0</v>
      </c>
      <c r="K46" s="364">
        <v>0</v>
      </c>
      <c r="L46" s="363">
        <f>SUM(J46:K46)</f>
        <v>0</v>
      </c>
      <c r="M46" s="363">
        <f>F46-I46</f>
        <v>-244251318</v>
      </c>
      <c r="N46" s="143">
        <f>F46-L46</f>
        <v>130489617</v>
      </c>
      <c r="O46" s="372"/>
      <c r="P46" s="362">
        <v>0</v>
      </c>
      <c r="Q46" s="365">
        <v>0</v>
      </c>
      <c r="R46" s="9"/>
      <c r="S46" s="689" t="str">
        <f>+IF(ABRIL!S46=0,"",ABRIL!S46)</f>
        <v>1010301-2</v>
      </c>
      <c r="T46" s="665" t="str">
        <f>+IF(ABRIL!T46=0,"",ABRIL!T46)</f>
        <v>Fondos pensionales - Aportes cuenta maestra</v>
      </c>
      <c r="U46" s="27">
        <f>+ENERO!U46</f>
        <v>77319919</v>
      </c>
      <c r="V46" s="15">
        <f>ABRIL!V46+MAYO!AL46</f>
        <v>0</v>
      </c>
      <c r="W46" s="15">
        <f>ABRIL!W46+MAYO!AM46</f>
        <v>0</v>
      </c>
      <c r="X46" s="18">
        <f>SUM(U46:W46)</f>
        <v>77319919</v>
      </c>
      <c r="Y46" s="19">
        <f>ABRIL!AA46</f>
        <v>22088372</v>
      </c>
      <c r="Z46" s="364">
        <v>7230904</v>
      </c>
      <c r="AA46" s="18">
        <f>SUM(Y46:Z46)</f>
        <v>29319276</v>
      </c>
      <c r="AB46" s="19">
        <f>ABRIL!AD46</f>
        <v>22088372</v>
      </c>
      <c r="AC46" s="364">
        <v>7230904</v>
      </c>
      <c r="AD46" s="18">
        <f>SUM(AB46:AC46)</f>
        <v>29319276</v>
      </c>
      <c r="AE46" s="19">
        <f>ABRIL!AG46</f>
        <v>22088372</v>
      </c>
      <c r="AF46" s="364">
        <v>7230904</v>
      </c>
      <c r="AG46" s="18">
        <f>SUM(AE46:AF46)</f>
        <v>29319276</v>
      </c>
      <c r="AH46" s="19">
        <f>X46-AA46</f>
        <v>48000643</v>
      </c>
      <c r="AI46" s="15">
        <f>X46-AD46</f>
        <v>48000643</v>
      </c>
      <c r="AJ46" s="16">
        <f>X46-AG46</f>
        <v>48000643</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+IF(ABRIL!A47=0,"",ABRIL!A47)</f>
        <v>1130107-2</v>
      </c>
      <c r="B47" s="629" t="str">
        <f>+IF(ABRIL!B47=0,"",ABRIL!B47)</f>
        <v>Vigencia Anterior</v>
      </c>
      <c r="C47" s="655">
        <f>+ENERO!C47</f>
        <v>0</v>
      </c>
      <c r="D47" s="363">
        <f>ABRIL!D47+MAYO!P47</f>
        <v>0</v>
      </c>
      <c r="E47" s="363">
        <f>ABRIL!E47+MAYO!Q47</f>
        <v>0</v>
      </c>
      <c r="F47" s="363">
        <f>SUM(C47:E47)</f>
        <v>0</v>
      </c>
      <c r="G47" s="363">
        <f>ABRIL!I47</f>
        <v>5564279</v>
      </c>
      <c r="H47" s="364">
        <v>0</v>
      </c>
      <c r="I47" s="363">
        <f>SUM(G47:H47)</f>
        <v>5564279</v>
      </c>
      <c r="J47" s="363">
        <f>ABRIL!L47</f>
        <v>5564279</v>
      </c>
      <c r="K47" s="364">
        <v>0</v>
      </c>
      <c r="L47" s="363">
        <f>SUM(J47:K47)</f>
        <v>5564279</v>
      </c>
      <c r="M47" s="363">
        <f>F47-I47</f>
        <v>-5564279</v>
      </c>
      <c r="N47" s="143">
        <f>F47-L47</f>
        <v>-5564279</v>
      </c>
      <c r="O47" s="372"/>
      <c r="P47" s="362">
        <v>0</v>
      </c>
      <c r="Q47" s="365">
        <v>0</v>
      </c>
      <c r="R47" s="9"/>
      <c r="S47" s="689" t="str">
        <f>+IF(ABRIL!S47=0,"",ABRIL!S47)</f>
        <v>1010301-3</v>
      </c>
      <c r="T47" s="665" t="str">
        <f>+IF(ABRIL!T47=0,"",ABRIL!T47)</f>
        <v>Fondos de cesantías - Aportes cuenta maestra</v>
      </c>
      <c r="U47" s="27">
        <f>+ENERO!U47</f>
        <v>87698777</v>
      </c>
      <c r="V47" s="15">
        <f>ABRIL!V47+MAYO!AL47</f>
        <v>0</v>
      </c>
      <c r="W47" s="15">
        <f>ABRIL!W47+MAYO!AM47</f>
        <v>0</v>
      </c>
      <c r="X47" s="18">
        <f>SUM(U47:W47)</f>
        <v>87698777</v>
      </c>
      <c r="Y47" s="19">
        <f>ABRIL!AA47</f>
        <v>0</v>
      </c>
      <c r="Z47" s="364">
        <v>0</v>
      </c>
      <c r="AA47" s="18">
        <f>SUM(Y47:Z47)</f>
        <v>0</v>
      </c>
      <c r="AB47" s="19">
        <f>ABRIL!AD47</f>
        <v>0</v>
      </c>
      <c r="AC47" s="364">
        <v>0</v>
      </c>
      <c r="AD47" s="18">
        <f>SUM(AB47:AC47)</f>
        <v>0</v>
      </c>
      <c r="AE47" s="19">
        <f>ABRIL!AG47</f>
        <v>0</v>
      </c>
      <c r="AF47" s="364">
        <v>0</v>
      </c>
      <c r="AG47" s="18">
        <f>SUM(AE47:AF47)</f>
        <v>0</v>
      </c>
      <c r="AH47" s="19">
        <f>X47-AA47</f>
        <v>87698777</v>
      </c>
      <c r="AI47" s="15">
        <f>X47-AD47</f>
        <v>87698777</v>
      </c>
      <c r="AJ47" s="16">
        <f>X47-AG47</f>
        <v>87698777</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+IF(ABRIL!A48=0,"",ABRIL!A48)</f>
        <v>1130108</v>
      </c>
      <c r="B48" s="628" t="str">
        <f>+IF(ABRIL!B48=0,"",ABRIL!B48)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689" t="str">
        <f>+IF(ABRIL!S48=0,"",ABRIL!S48)</f>
        <v>1010301-4</v>
      </c>
      <c r="T48" s="665" t="str">
        <f>+IF(ABRIL!T48=0,"",ABRIL!T48)</f>
        <v>Riesgos laborales - Aportes cuenta maestra</v>
      </c>
      <c r="U48" s="27">
        <f>+ENERO!U48</f>
        <v>2979584</v>
      </c>
      <c r="V48" s="15">
        <f>ABRIL!V48+MAYO!AL48</f>
        <v>9000000</v>
      </c>
      <c r="W48" s="15">
        <f>ABRIL!W48+MAYO!AM48</f>
        <v>0</v>
      </c>
      <c r="X48" s="18">
        <f>SUM(U48:W48)</f>
        <v>11979584</v>
      </c>
      <c r="Y48" s="19">
        <f>ABRIL!AA48</f>
        <v>2646400</v>
      </c>
      <c r="Z48" s="364">
        <v>868440</v>
      </c>
      <c r="AA48" s="18">
        <f>SUM(Y48:Z48)</f>
        <v>3514840</v>
      </c>
      <c r="AB48" s="19">
        <f>ABRIL!AD48</f>
        <v>2646400</v>
      </c>
      <c r="AC48" s="364">
        <v>868440</v>
      </c>
      <c r="AD48" s="18">
        <f>SUM(AB48:AC48)</f>
        <v>3514840</v>
      </c>
      <c r="AE48" s="19">
        <f>ABRIL!AG48</f>
        <v>2646400</v>
      </c>
      <c r="AF48" s="364">
        <v>868440</v>
      </c>
      <c r="AG48" s="18">
        <f>SUM(AE48:AF48)</f>
        <v>3514840</v>
      </c>
      <c r="AH48" s="19">
        <f>X48-AA48</f>
        <v>8464744</v>
      </c>
      <c r="AI48" s="15">
        <f>X48-AD48</f>
        <v>8464744</v>
      </c>
      <c r="AJ48" s="16">
        <f>X48-AG48</f>
        <v>8464744</v>
      </c>
      <c r="AK48" s="9"/>
      <c r="AL48" s="362">
        <v>9000000</v>
      </c>
      <c r="AM48" s="365">
        <v>0</v>
      </c>
      <c r="AN48" s="9"/>
      <c r="AO48" s="284"/>
      <c r="AP48" s="284"/>
      <c r="AQ48" s="284"/>
      <c r="AR48" s="284"/>
      <c r="AS48" s="284"/>
      <c r="AT48" s="284"/>
      <c r="AU48" s="284"/>
      <c r="AV48" s="284"/>
      <c r="AW48" s="284"/>
      <c r="AX48" s="284"/>
      <c r="AY48" s="284"/>
      <c r="AZ48" s="284"/>
    </row>
    <row r="49" spans="1:70" s="412" customFormat="1" ht="24.95" customHeight="1">
      <c r="A49" s="593" t="str">
        <f>+IF(ABRIL!A49=0,"",ABRIL!A49)</f>
        <v>1130108-1</v>
      </c>
      <c r="B49" s="629" t="str">
        <f>+CONCATENATE("Vigencia ",INSTRUCCIONES!$F$3)</f>
        <v>Vigencia 2019</v>
      </c>
      <c r="C49" s="655">
        <f>+ENERO!C49</f>
        <v>0</v>
      </c>
      <c r="D49" s="363">
        <f>ABRIL!D49+MAYO!P49</f>
        <v>0</v>
      </c>
      <c r="E49" s="363">
        <f>ABRIL!E49+MAYO!Q49</f>
        <v>0</v>
      </c>
      <c r="F49" s="363">
        <f>SUM(C49:E49)</f>
        <v>0</v>
      </c>
      <c r="G49" s="363">
        <f>ABRIL!I49</f>
        <v>0</v>
      </c>
      <c r="H49" s="364">
        <v>0</v>
      </c>
      <c r="I49" s="363">
        <f>SUM(G49:H49)</f>
        <v>0</v>
      </c>
      <c r="J49" s="363">
        <f>ABRIL!L49</f>
        <v>0</v>
      </c>
      <c r="K49" s="364">
        <v>0</v>
      </c>
      <c r="L49" s="363">
        <f>SUM(J49:K49)</f>
        <v>0</v>
      </c>
      <c r="M49" s="363">
        <f>F49-I49</f>
        <v>0</v>
      </c>
      <c r="N49" s="143">
        <f>F49-L49</f>
        <v>0</v>
      </c>
      <c r="O49" s="372"/>
      <c r="P49" s="362">
        <v>0</v>
      </c>
      <c r="Q49" s="365">
        <v>0</v>
      </c>
      <c r="R49" s="9"/>
      <c r="S49" s="688">
        <f>+IF(ABRIL!S49=0,"",ABRIL!S49)</f>
        <v>1010302</v>
      </c>
      <c r="T49" s="664" t="str">
        <f>+IF(ABRIL!T49=0,"",ABRIL!T49)</f>
        <v>Contribuciones - Otros</v>
      </c>
      <c r="U49" s="27">
        <f t="shared" ref="U49:AJ49" si="52">SUM(U50:U54)</f>
        <v>349614882</v>
      </c>
      <c r="V49" s="15">
        <f t="shared" si="52"/>
        <v>0</v>
      </c>
      <c r="W49" s="15">
        <f t="shared" si="52"/>
        <v>0</v>
      </c>
      <c r="X49" s="18">
        <f t="shared" si="52"/>
        <v>349614882</v>
      </c>
      <c r="Y49" s="19">
        <f t="shared" si="52"/>
        <v>17392720</v>
      </c>
      <c r="Z49" s="142">
        <f t="shared" si="52"/>
        <v>4215920</v>
      </c>
      <c r="AA49" s="18">
        <f t="shared" si="52"/>
        <v>21608640</v>
      </c>
      <c r="AB49" s="19">
        <f t="shared" si="52"/>
        <v>17392720</v>
      </c>
      <c r="AC49" s="142">
        <f t="shared" si="52"/>
        <v>4215920</v>
      </c>
      <c r="AD49" s="18">
        <f t="shared" si="52"/>
        <v>21608640</v>
      </c>
      <c r="AE49" s="19">
        <f t="shared" si="52"/>
        <v>13110760</v>
      </c>
      <c r="AF49" s="142">
        <f t="shared" si="52"/>
        <v>4281960</v>
      </c>
      <c r="AG49" s="18">
        <f t="shared" si="52"/>
        <v>17392720</v>
      </c>
      <c r="AH49" s="19">
        <f t="shared" si="52"/>
        <v>328006242</v>
      </c>
      <c r="AI49" s="15">
        <f t="shared" si="52"/>
        <v>328006242</v>
      </c>
      <c r="AJ49" s="16">
        <f t="shared" si="52"/>
        <v>332222162</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+IF(ABRIL!A50=0,"",ABRIL!A50)</f>
        <v>1130108-2</v>
      </c>
      <c r="B50" s="629" t="str">
        <f>+IF(ABRIL!B50=0,"",ABRIL!B50)</f>
        <v>Vigencia Anterior</v>
      </c>
      <c r="C50" s="655">
        <f>+ENERO!C50</f>
        <v>0</v>
      </c>
      <c r="D50" s="363">
        <f>ABRIL!D50+MAYO!P50</f>
        <v>0</v>
      </c>
      <c r="E50" s="363">
        <f>ABRIL!E50+MAYO!Q50</f>
        <v>0</v>
      </c>
      <c r="F50" s="363">
        <f>SUM(C50:E50)</f>
        <v>0</v>
      </c>
      <c r="G50" s="363">
        <f>ABRIL!I50</f>
        <v>0</v>
      </c>
      <c r="H50" s="364">
        <v>0</v>
      </c>
      <c r="I50" s="363">
        <f>SUM(G50:H50)</f>
        <v>0</v>
      </c>
      <c r="J50" s="363">
        <f>ABRIL!L50</f>
        <v>0</v>
      </c>
      <c r="K50" s="364">
        <v>0</v>
      </c>
      <c r="L50" s="363">
        <f>SUM(J50:K50)</f>
        <v>0</v>
      </c>
      <c r="M50" s="363">
        <f>F50-I50</f>
        <v>0</v>
      </c>
      <c r="N50" s="143">
        <f>F50-L50</f>
        <v>0</v>
      </c>
      <c r="O50" s="372"/>
      <c r="P50" s="362">
        <v>0</v>
      </c>
      <c r="Q50" s="365">
        <v>0</v>
      </c>
      <c r="R50" s="9"/>
      <c r="S50" s="689" t="str">
        <f>+IF(ABRIL!S50=0,"",ABRIL!S50)</f>
        <v>1010302-1</v>
      </c>
      <c r="T50" s="665" t="str">
        <f>+IF(ABRIL!T50=0,"",ABRIL!T50)</f>
        <v>Aportes a E.P.S. - recursos propios</v>
      </c>
      <c r="U50" s="27">
        <f>+ENERO!U50</f>
        <v>79647420</v>
      </c>
      <c r="V50" s="15">
        <f>ABRIL!V50+MAYO!AL50</f>
        <v>0</v>
      </c>
      <c r="W50" s="15">
        <f>ABRIL!W50+MAYO!AM50</f>
        <v>0</v>
      </c>
      <c r="X50" s="18">
        <f t="shared" ref="X50:X55" si="53">SUM(U50:W50)</f>
        <v>79647420</v>
      </c>
      <c r="Y50" s="19">
        <f>ABRIL!AA50</f>
        <v>0</v>
      </c>
      <c r="Z50" s="364">
        <v>0</v>
      </c>
      <c r="AA50" s="18">
        <f t="shared" ref="AA50:AA55" si="54">SUM(Y50:Z50)</f>
        <v>0</v>
      </c>
      <c r="AB50" s="19">
        <f>ABRIL!AD50</f>
        <v>0</v>
      </c>
      <c r="AC50" s="364">
        <v>0</v>
      </c>
      <c r="AD50" s="18">
        <f t="shared" ref="AD50:AD55" si="55">SUM(AB50:AC50)</f>
        <v>0</v>
      </c>
      <c r="AE50" s="19">
        <f>ABRIL!AG50</f>
        <v>0</v>
      </c>
      <c r="AF50" s="364">
        <v>0</v>
      </c>
      <c r="AG50" s="18">
        <f t="shared" ref="AG50:AG55" si="56">SUM(AE50:AF50)</f>
        <v>0</v>
      </c>
      <c r="AH50" s="19">
        <f t="shared" ref="AH50:AH55" si="57">X50-AA50</f>
        <v>79647420</v>
      </c>
      <c r="AI50" s="15">
        <f t="shared" ref="AI50:AI55" si="58">X50-AD50</f>
        <v>79647420</v>
      </c>
      <c r="AJ50" s="16">
        <f t="shared" ref="AJ50:AJ55" si="59">X50-AG50</f>
        <v>79647420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+IF(ABRIL!A51=0,"",ABRIL!A51)</f>
        <v>1130109</v>
      </c>
      <c r="B51" s="628" t="str">
        <f>+IF(ABRIL!B51=0,"",ABRIL!B51)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689" t="str">
        <f>+IF(ABRIL!S51=0,"",ABRIL!S51)</f>
        <v>1010302-2</v>
      </c>
      <c r="T51" s="665" t="str">
        <f>+IF(ABRIL!T51=0,"",ABRIL!T51)</f>
        <v>Aportes Fondos Pensionales - recursos propios</v>
      </c>
      <c r="U51" s="27">
        <f>+ENERO!U51</f>
        <v>115172321</v>
      </c>
      <c r="V51" s="15">
        <f>ABRIL!V51+MAYO!AL51</f>
        <v>0</v>
      </c>
      <c r="W51" s="15">
        <f>ABRIL!W51+MAYO!AM51</f>
        <v>0</v>
      </c>
      <c r="X51" s="18">
        <f t="shared" si="53"/>
        <v>115172321</v>
      </c>
      <c r="Y51" s="19">
        <f>ABRIL!AA51</f>
        <v>0</v>
      </c>
      <c r="Z51" s="364">
        <v>0</v>
      </c>
      <c r="AA51" s="18">
        <f t="shared" si="54"/>
        <v>0</v>
      </c>
      <c r="AB51" s="19">
        <f>ABRIL!AD51</f>
        <v>0</v>
      </c>
      <c r="AC51" s="364">
        <v>0</v>
      </c>
      <c r="AD51" s="18">
        <f t="shared" si="55"/>
        <v>0</v>
      </c>
      <c r="AE51" s="19">
        <f>ABRIL!AG51</f>
        <v>0</v>
      </c>
      <c r="AF51" s="364">
        <v>0</v>
      </c>
      <c r="AG51" s="18">
        <f t="shared" si="56"/>
        <v>0</v>
      </c>
      <c r="AH51" s="19">
        <f t="shared" si="57"/>
        <v>115172321</v>
      </c>
      <c r="AI51" s="15">
        <f t="shared" si="58"/>
        <v>115172321</v>
      </c>
      <c r="AJ51" s="16">
        <f t="shared" si="59"/>
        <v>115172321</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+IF(ABRIL!A52=0,"",ABRIL!A52)</f>
        <v>1130109-1</v>
      </c>
      <c r="B52" s="629" t="str">
        <f>+CONCATENATE("Vigencia ",INSTRUCCIONES!$F$3)</f>
        <v>Vigencia 2019</v>
      </c>
      <c r="C52" s="655">
        <f>+ENERO!C52</f>
        <v>0</v>
      </c>
      <c r="D52" s="363">
        <f>ABRIL!D52+MAYO!P52</f>
        <v>0</v>
      </c>
      <c r="E52" s="363">
        <f>ABRIL!E52+MAYO!Q52</f>
        <v>0</v>
      </c>
      <c r="F52" s="363">
        <f>SUM(C52:E52)</f>
        <v>0</v>
      </c>
      <c r="G52" s="363">
        <f>ABRIL!I52</f>
        <v>0</v>
      </c>
      <c r="H52" s="364">
        <v>0</v>
      </c>
      <c r="I52" s="363">
        <f>SUM(G52:H52)</f>
        <v>0</v>
      </c>
      <c r="J52" s="363">
        <f>ABRIL!L52</f>
        <v>0</v>
      </c>
      <c r="K52" s="364">
        <v>0</v>
      </c>
      <c r="L52" s="363">
        <f>SUM(J52:K52)</f>
        <v>0</v>
      </c>
      <c r="M52" s="363">
        <f>F52-I52</f>
        <v>0</v>
      </c>
      <c r="N52" s="143">
        <f>F52-L52</f>
        <v>0</v>
      </c>
      <c r="O52" s="372"/>
      <c r="P52" s="362">
        <v>0</v>
      </c>
      <c r="Q52" s="365">
        <v>0</v>
      </c>
      <c r="R52" s="9"/>
      <c r="S52" s="689" t="str">
        <f>+IF(ABRIL!S52=0,"",ABRIL!S52)</f>
        <v>1010302-3</v>
      </c>
      <c r="T52" s="665" t="str">
        <f>+IF(ABRIL!T52=0,"",ABRIL!T52)</f>
        <v>Aportes a Fondos de Cesantia - recursos propios</v>
      </c>
      <c r="U52" s="27">
        <f>+ENERO!U52</f>
        <v>73960356</v>
      </c>
      <c r="V52" s="15">
        <f>ABRIL!V52+MAYO!AL52</f>
        <v>0</v>
      </c>
      <c r="W52" s="15">
        <f>ABRIL!W52+MAYO!AM52</f>
        <v>0</v>
      </c>
      <c r="X52" s="18">
        <f t="shared" si="53"/>
        <v>73960356</v>
      </c>
      <c r="Y52" s="19">
        <f>ABRIL!AA52</f>
        <v>0</v>
      </c>
      <c r="Z52" s="364">
        <v>0</v>
      </c>
      <c r="AA52" s="18">
        <f t="shared" si="54"/>
        <v>0</v>
      </c>
      <c r="AB52" s="19">
        <f>ABRIL!AD52</f>
        <v>0</v>
      </c>
      <c r="AC52" s="364">
        <v>0</v>
      </c>
      <c r="AD52" s="18">
        <f t="shared" si="55"/>
        <v>0</v>
      </c>
      <c r="AE52" s="19">
        <f>ABRIL!AG52</f>
        <v>0</v>
      </c>
      <c r="AF52" s="364">
        <v>0</v>
      </c>
      <c r="AG52" s="18">
        <f t="shared" si="56"/>
        <v>0</v>
      </c>
      <c r="AH52" s="19">
        <f t="shared" si="57"/>
        <v>73960356</v>
      </c>
      <c r="AI52" s="15">
        <f t="shared" si="58"/>
        <v>73960356</v>
      </c>
      <c r="AJ52" s="16">
        <f t="shared" si="59"/>
        <v>73960356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+IF(ABRIL!A53=0,"",ABRIL!A53)</f>
        <v>1130109-2</v>
      </c>
      <c r="B53" s="629" t="str">
        <f>+IF(ABRIL!B53=0,"",ABRIL!B53)</f>
        <v>Vigencia Anterior</v>
      </c>
      <c r="C53" s="655">
        <f>+ENERO!C53</f>
        <v>0</v>
      </c>
      <c r="D53" s="363">
        <f>ABRIL!D53+MAYO!P53</f>
        <v>0</v>
      </c>
      <c r="E53" s="363">
        <f>ABRIL!E53+MAYO!Q53</f>
        <v>0</v>
      </c>
      <c r="F53" s="363">
        <f>SUM(C53:E53)</f>
        <v>0</v>
      </c>
      <c r="G53" s="363">
        <f>ABRIL!I53</f>
        <v>0</v>
      </c>
      <c r="H53" s="364">
        <v>0</v>
      </c>
      <c r="I53" s="363">
        <f>SUM(G53:H53)</f>
        <v>0</v>
      </c>
      <c r="J53" s="363">
        <f>ABRIL!L53</f>
        <v>0</v>
      </c>
      <c r="K53" s="364">
        <v>0</v>
      </c>
      <c r="L53" s="363">
        <f>SUM(J53:K53)</f>
        <v>0</v>
      </c>
      <c r="M53" s="363">
        <f>F53-I53</f>
        <v>0</v>
      </c>
      <c r="N53" s="143">
        <f>F53-L53</f>
        <v>0</v>
      </c>
      <c r="O53" s="372"/>
      <c r="P53" s="362">
        <v>0</v>
      </c>
      <c r="Q53" s="365">
        <v>0</v>
      </c>
      <c r="R53" s="9"/>
      <c r="S53" s="689" t="str">
        <f>+IF(ABRIL!S53=0,"",ABRIL!S53)</f>
        <v>1010302-4</v>
      </c>
      <c r="T53" s="665" t="str">
        <f>+IF(ABRIL!T53=0,"",ABRIL!T53)</f>
        <v>Aporte a ARL. - recursos propios</v>
      </c>
      <c r="U53" s="27">
        <f>+ENERO!U53</f>
        <v>5393830</v>
      </c>
      <c r="V53" s="15">
        <f>ABRIL!V53+MAYO!AL53</f>
        <v>0</v>
      </c>
      <c r="W53" s="15">
        <f>ABRIL!W53+MAYO!AM53</f>
        <v>0</v>
      </c>
      <c r="X53" s="18">
        <f t="shared" si="53"/>
        <v>5393830</v>
      </c>
      <c r="Y53" s="19">
        <f>ABRIL!AA53</f>
        <v>0</v>
      </c>
      <c r="Z53" s="364">
        <v>0</v>
      </c>
      <c r="AA53" s="18">
        <f t="shared" si="54"/>
        <v>0</v>
      </c>
      <c r="AB53" s="19">
        <f>ABRIL!AD53</f>
        <v>0</v>
      </c>
      <c r="AC53" s="364">
        <v>0</v>
      </c>
      <c r="AD53" s="18">
        <f t="shared" si="55"/>
        <v>0</v>
      </c>
      <c r="AE53" s="19">
        <f>ABRIL!AG53</f>
        <v>0</v>
      </c>
      <c r="AF53" s="364">
        <v>0</v>
      </c>
      <c r="AG53" s="1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+IF(ABRIL!A54=0,"",ABRIL!A54)</f>
        <v>1130110</v>
      </c>
      <c r="B54" s="628" t="str">
        <f>+IF(ABRIL!B54=0,"",ABRIL!B54)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689" t="str">
        <f>+IF(ABRIL!S54=0,"",ABRIL!S54)</f>
        <v>1010302-5</v>
      </c>
      <c r="T54" s="665" t="str">
        <f>+IF(ABRIL!T54=0,"",ABRIL!T54)</f>
        <v>Aporte a Caja Compensación Familiar</v>
      </c>
      <c r="U54" s="27">
        <f>+ENERO!U54</f>
        <v>75440955</v>
      </c>
      <c r="V54" s="15">
        <f>ABRIL!V54+MAYO!AL54</f>
        <v>0</v>
      </c>
      <c r="W54" s="15">
        <f>ABRIL!W54+MAYO!AM54</f>
        <v>0</v>
      </c>
      <c r="X54" s="18">
        <f t="shared" si="53"/>
        <v>75440955</v>
      </c>
      <c r="Y54" s="19">
        <f>ABRIL!AA54</f>
        <v>17392720</v>
      </c>
      <c r="Z54" s="364">
        <v>4215920</v>
      </c>
      <c r="AA54" s="18">
        <f t="shared" si="54"/>
        <v>21608640</v>
      </c>
      <c r="AB54" s="19">
        <f>ABRIL!AD54</f>
        <v>17392720</v>
      </c>
      <c r="AC54" s="364">
        <v>4215920</v>
      </c>
      <c r="AD54" s="18">
        <f t="shared" si="55"/>
        <v>21608640</v>
      </c>
      <c r="AE54" s="19">
        <f>ABRIL!AG54</f>
        <v>13110760</v>
      </c>
      <c r="AF54" s="364">
        <v>4281960</v>
      </c>
      <c r="AG54" s="18">
        <f t="shared" si="56"/>
        <v>17392720</v>
      </c>
      <c r="AH54" s="19">
        <f t="shared" si="57"/>
        <v>53832315</v>
      </c>
      <c r="AI54" s="15">
        <f t="shared" si="58"/>
        <v>53832315</v>
      </c>
      <c r="AJ54" s="16">
        <f t="shared" si="59"/>
        <v>58048235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+IF(ABRIL!A55=0,"",ABRIL!A55)</f>
        <v>1130110-1</v>
      </c>
      <c r="B55" s="629" t="str">
        <f>+CONCATENATE("Vigencia ",INSTRUCCIONES!$F$3)</f>
        <v>Vigencia 2019</v>
      </c>
      <c r="C55" s="655">
        <f>+ENERO!C55</f>
        <v>0</v>
      </c>
      <c r="D55" s="363">
        <f>ABRIL!D55+MAYO!P55</f>
        <v>0</v>
      </c>
      <c r="E55" s="363">
        <f>ABRIL!E55+MAYO!Q55</f>
        <v>0</v>
      </c>
      <c r="F55" s="363">
        <f>SUM(C55:E55)</f>
        <v>0</v>
      </c>
      <c r="G55" s="363">
        <f>ABRIL!I55</f>
        <v>0</v>
      </c>
      <c r="H55" s="364">
        <v>0</v>
      </c>
      <c r="I55" s="363">
        <f>SUM(G55:H55)</f>
        <v>0</v>
      </c>
      <c r="J55" s="363">
        <f>ABRIL!L55</f>
        <v>0</v>
      </c>
      <c r="K55" s="364">
        <v>0</v>
      </c>
      <c r="L55" s="363">
        <f>SUM(J55:K55)</f>
        <v>0</v>
      </c>
      <c r="M55" s="363">
        <f>F55-I55</f>
        <v>0</v>
      </c>
      <c r="N55" s="143">
        <f>F55-L55</f>
        <v>0</v>
      </c>
      <c r="O55" s="372"/>
      <c r="P55" s="362">
        <v>0</v>
      </c>
      <c r="Q55" s="365">
        <v>0</v>
      </c>
      <c r="R55" s="9"/>
      <c r="S55" s="688">
        <f>+IF(ABRIL!S55=0,"",ABRIL!S55)</f>
        <v>1010399</v>
      </c>
      <c r="T55" s="664" t="str">
        <f>+IF(ABRIL!T55=0,"",ABRIL!T55)</f>
        <v>Vigencias Anteriores</v>
      </c>
      <c r="U55" s="27">
        <f>+ENERO!U55</f>
        <v>108000000</v>
      </c>
      <c r="V55" s="15">
        <f>ABRIL!V55+MAYO!AL55</f>
        <v>-6501068</v>
      </c>
      <c r="W55" s="15">
        <f>ABRIL!W55+MAYO!AM55</f>
        <v>0</v>
      </c>
      <c r="X55" s="18">
        <f t="shared" si="53"/>
        <v>101498932</v>
      </c>
      <c r="Y55" s="19">
        <f>ABRIL!AA55</f>
        <v>101498932</v>
      </c>
      <c r="Z55" s="364">
        <v>0</v>
      </c>
      <c r="AA55" s="18">
        <f t="shared" si="54"/>
        <v>101498932</v>
      </c>
      <c r="AB55" s="19">
        <f>ABRIL!AD55</f>
        <v>101498932</v>
      </c>
      <c r="AC55" s="364">
        <v>0</v>
      </c>
      <c r="AD55" s="18">
        <f t="shared" si="55"/>
        <v>101498932</v>
      </c>
      <c r="AE55" s="19">
        <f>ABRIL!AG55</f>
        <v>101498932</v>
      </c>
      <c r="AF55" s="364">
        <v>0</v>
      </c>
      <c r="AG55" s="1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+IF(ABRIL!A56=0,"",ABRIL!A56)</f>
        <v>1130110-2</v>
      </c>
      <c r="B56" s="629" t="str">
        <f>+IF(ABRIL!B56=0,"",ABRIL!B56)</f>
        <v>Vigencia Anterior</v>
      </c>
      <c r="C56" s="655">
        <f>+ENERO!C56</f>
        <v>0</v>
      </c>
      <c r="D56" s="363">
        <f>ABRIL!D56+MAYO!P56</f>
        <v>0</v>
      </c>
      <c r="E56" s="363">
        <f>ABRIL!E56+MAYO!Q56</f>
        <v>0</v>
      </c>
      <c r="F56" s="363">
        <f>SUM(C56:E56)</f>
        <v>0</v>
      </c>
      <c r="G56" s="363">
        <f>ABRIL!I56</f>
        <v>0</v>
      </c>
      <c r="H56" s="364">
        <v>0</v>
      </c>
      <c r="I56" s="363">
        <f>SUM(G56:H56)</f>
        <v>0</v>
      </c>
      <c r="J56" s="363">
        <f>ABRIL!L56</f>
        <v>0</v>
      </c>
      <c r="K56" s="364">
        <v>0</v>
      </c>
      <c r="L56" s="363">
        <f>SUM(J56:K56)</f>
        <v>0</v>
      </c>
      <c r="M56" s="363">
        <f>F56-I56</f>
        <v>0</v>
      </c>
      <c r="N56" s="143">
        <f>F56-L56</f>
        <v>0</v>
      </c>
      <c r="O56" s="372"/>
      <c r="P56" s="362">
        <v>0</v>
      </c>
      <c r="Q56" s="365">
        <v>0</v>
      </c>
      <c r="R56" s="9"/>
      <c r="S56" s="356" t="str">
        <f>+IF(ABRIL!S56=0,"",ABRIL!S56)</f>
        <v/>
      </c>
      <c r="T56" s="678" t="str">
        <f>+IF(ABRIL!T56=0,"",ABRIL!T56)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+IF(ABRIL!A57=0,"",ABRIL!A57)</f>
        <v>1130111</v>
      </c>
      <c r="B57" s="628" t="str">
        <f>+IF(ABRIL!B57=0,"",ABRIL!B57)</f>
        <v>IPS PRIVADAS</v>
      </c>
      <c r="C57" s="43">
        <f t="shared" ref="C57:N57" si="62">SUM(C58:C59)</f>
        <v>205713</v>
      </c>
      <c r="D57" s="44">
        <f t="shared" si="62"/>
        <v>0</v>
      </c>
      <c r="E57" s="44">
        <f t="shared" si="62"/>
        <v>0</v>
      </c>
      <c r="F57" s="44">
        <f t="shared" si="62"/>
        <v>205713</v>
      </c>
      <c r="G57" s="44">
        <f t="shared" si="62"/>
        <v>1082341</v>
      </c>
      <c r="H57" s="44">
        <f t="shared" si="62"/>
        <v>-1082341</v>
      </c>
      <c r="I57" s="44">
        <f t="shared" si="62"/>
        <v>0</v>
      </c>
      <c r="J57" s="44">
        <f t="shared" si="62"/>
        <v>0</v>
      </c>
      <c r="K57" s="44">
        <f t="shared" si="62"/>
        <v>0</v>
      </c>
      <c r="L57" s="44">
        <f t="shared" si="62"/>
        <v>0</v>
      </c>
      <c r="M57" s="44">
        <f t="shared" si="62"/>
        <v>205713</v>
      </c>
      <c r="N57" s="45">
        <f t="shared" si="62"/>
        <v>205713</v>
      </c>
      <c r="P57" s="43">
        <f>SUM(P58:P59)</f>
        <v>0</v>
      </c>
      <c r="Q57" s="45">
        <f>SUM(Q58:Q59)</f>
        <v>0</v>
      </c>
      <c r="R57" s="9"/>
      <c r="S57" s="687">
        <f>+IF(ABRIL!S57=0,"",ABRIL!S57)</f>
        <v>1010400</v>
      </c>
      <c r="T57" s="663" t="str">
        <f>+IF(ABRIL!T57=0,"",ABRIL!T57)</f>
        <v>Contribuciones Inherentes nómina del Sector Publico</v>
      </c>
      <c r="U57" s="132">
        <f t="shared" ref="U57:AJ57" si="63">U58+U61</f>
        <v>94301194</v>
      </c>
      <c r="V57" s="122">
        <f t="shared" si="63"/>
        <v>0</v>
      </c>
      <c r="W57" s="122">
        <f t="shared" si="63"/>
        <v>0</v>
      </c>
      <c r="X57" s="129">
        <f t="shared" si="63"/>
        <v>94301194</v>
      </c>
      <c r="Y57" s="128">
        <f t="shared" si="63"/>
        <v>21740900</v>
      </c>
      <c r="Z57" s="122">
        <f t="shared" si="63"/>
        <v>5269900</v>
      </c>
      <c r="AA57" s="129">
        <f t="shared" si="63"/>
        <v>27010800</v>
      </c>
      <c r="AB57" s="128">
        <f t="shared" si="63"/>
        <v>21740900</v>
      </c>
      <c r="AC57" s="122">
        <f t="shared" si="63"/>
        <v>5269900</v>
      </c>
      <c r="AD57" s="129">
        <f t="shared" si="63"/>
        <v>27010800</v>
      </c>
      <c r="AE57" s="128">
        <f t="shared" si="63"/>
        <v>16388450</v>
      </c>
      <c r="AF57" s="122">
        <f t="shared" si="63"/>
        <v>5352450</v>
      </c>
      <c r="AG57" s="129">
        <f t="shared" si="63"/>
        <v>21740900</v>
      </c>
      <c r="AH57" s="128">
        <f t="shared" si="63"/>
        <v>67290394</v>
      </c>
      <c r="AI57" s="122">
        <f t="shared" si="63"/>
        <v>67290394</v>
      </c>
      <c r="AJ57" s="130">
        <f t="shared" si="63"/>
        <v>72560294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+IF(ABRIL!A58=0,"",ABRIL!A58)</f>
        <v>1130111-1</v>
      </c>
      <c r="B58" s="629" t="str">
        <f>+CONCATENATE("Vigencia ",INSTRUCCIONES!$F$3)</f>
        <v>Vigencia 2019</v>
      </c>
      <c r="C58" s="655">
        <f>+ENERO!C58</f>
        <v>205713</v>
      </c>
      <c r="D58" s="363">
        <f>ABRIL!D58+MAYO!P58</f>
        <v>0</v>
      </c>
      <c r="E58" s="363">
        <f>ABRIL!E58+MAYO!Q58</f>
        <v>0</v>
      </c>
      <c r="F58" s="363">
        <f>SUM(C58:E58)</f>
        <v>205713</v>
      </c>
      <c r="G58" s="363">
        <f>ABRIL!I58</f>
        <v>1082341</v>
      </c>
      <c r="H58" s="364">
        <v>-1082341</v>
      </c>
      <c r="I58" s="363">
        <f>SUM(G58:H58)</f>
        <v>0</v>
      </c>
      <c r="J58" s="363">
        <f>ABRIL!L58</f>
        <v>0</v>
      </c>
      <c r="K58" s="364">
        <v>0</v>
      </c>
      <c r="L58" s="363">
        <f>SUM(J58:K58)</f>
        <v>0</v>
      </c>
      <c r="M58" s="363">
        <f>F58-I58</f>
        <v>205713</v>
      </c>
      <c r="N58" s="143">
        <f>F58-L58</f>
        <v>205713</v>
      </c>
      <c r="O58" s="372"/>
      <c r="P58" s="362">
        <v>0</v>
      </c>
      <c r="Q58" s="365">
        <v>0</v>
      </c>
      <c r="R58" s="9"/>
      <c r="S58" s="688">
        <f>+IF(ABRIL!S58=0,"",ABRIL!S58)</f>
        <v>1010402</v>
      </c>
      <c r="T58" s="664" t="str">
        <f>+IF(ABRIL!T58=0,"",ABRIL!T58)</f>
        <v>Contribuciones - Otros</v>
      </c>
      <c r="U58" s="27">
        <f t="shared" ref="U58:AJ58" si="64">SUM(U59:U60)</f>
        <v>94301194</v>
      </c>
      <c r="V58" s="15">
        <f t="shared" si="64"/>
        <v>0</v>
      </c>
      <c r="W58" s="15">
        <f t="shared" si="64"/>
        <v>0</v>
      </c>
      <c r="X58" s="18">
        <f t="shared" si="64"/>
        <v>94301194</v>
      </c>
      <c r="Y58" s="19">
        <f t="shared" si="64"/>
        <v>21740900</v>
      </c>
      <c r="Z58" s="142">
        <f t="shared" si="64"/>
        <v>5269900</v>
      </c>
      <c r="AA58" s="18">
        <f t="shared" si="64"/>
        <v>27010800</v>
      </c>
      <c r="AB58" s="19">
        <f t="shared" si="64"/>
        <v>21740900</v>
      </c>
      <c r="AC58" s="142">
        <f t="shared" si="64"/>
        <v>5269900</v>
      </c>
      <c r="AD58" s="18">
        <f t="shared" si="64"/>
        <v>27010800</v>
      </c>
      <c r="AE58" s="19">
        <f t="shared" si="64"/>
        <v>16388450</v>
      </c>
      <c r="AF58" s="142">
        <f t="shared" si="64"/>
        <v>5352450</v>
      </c>
      <c r="AG58" s="18">
        <f t="shared" si="64"/>
        <v>21740900</v>
      </c>
      <c r="AH58" s="19">
        <f t="shared" si="64"/>
        <v>67290394</v>
      </c>
      <c r="AI58" s="15">
        <f t="shared" si="64"/>
        <v>67290394</v>
      </c>
      <c r="AJ58" s="16">
        <f t="shared" si="64"/>
        <v>72560294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+IF(ABRIL!A59=0,"",ABRIL!A59)</f>
        <v>1130111-2</v>
      </c>
      <c r="B59" s="629" t="str">
        <f>+IF(ABRIL!B59=0,"",ABRIL!B59)</f>
        <v>Vigencia Anterior</v>
      </c>
      <c r="C59" s="655">
        <f>+ENERO!C59</f>
        <v>0</v>
      </c>
      <c r="D59" s="363">
        <f>ABRIL!D59+MAYO!P59</f>
        <v>0</v>
      </c>
      <c r="E59" s="363">
        <f>ABRIL!E59+MAYO!Q59</f>
        <v>0</v>
      </c>
      <c r="F59" s="363">
        <f>SUM(C59:E59)</f>
        <v>0</v>
      </c>
      <c r="G59" s="363">
        <f>ABRIL!I59</f>
        <v>0</v>
      </c>
      <c r="H59" s="364">
        <v>0</v>
      </c>
      <c r="I59" s="363">
        <f>SUM(G59:H59)</f>
        <v>0</v>
      </c>
      <c r="J59" s="363">
        <f>ABRIL!L59</f>
        <v>0</v>
      </c>
      <c r="K59" s="364">
        <v>0</v>
      </c>
      <c r="L59" s="363">
        <f>SUM(J59:K59)</f>
        <v>0</v>
      </c>
      <c r="M59" s="363">
        <f>F59-I59</f>
        <v>0</v>
      </c>
      <c r="N59" s="143">
        <f>F59-L59</f>
        <v>0</v>
      </c>
      <c r="O59" s="372"/>
      <c r="P59" s="362">
        <v>0</v>
      </c>
      <c r="Q59" s="365">
        <v>0</v>
      </c>
      <c r="R59" s="9"/>
      <c r="S59" s="689" t="str">
        <f>+IF(ABRIL!S59=0,"",ABRIL!S59)</f>
        <v>1010402-1</v>
      </c>
      <c r="T59" s="664" t="str">
        <f>+IF(ABRIL!T59=0,"",ABRIL!T59)</f>
        <v>S.E.N.A.</v>
      </c>
      <c r="U59" s="27">
        <f>+ENERO!U59</f>
        <v>37720478</v>
      </c>
      <c r="V59" s="15">
        <f>ABRIL!V59+MAYO!AL59</f>
        <v>0</v>
      </c>
      <c r="W59" s="15">
        <f>ABRIL!W59+MAYO!AM59</f>
        <v>0</v>
      </c>
      <c r="X59" s="18">
        <f>SUM(U59:W59)</f>
        <v>37720478</v>
      </c>
      <c r="Y59" s="19">
        <f>ABRIL!AA59</f>
        <v>8696360</v>
      </c>
      <c r="Z59" s="364">
        <v>2107960</v>
      </c>
      <c r="AA59" s="18">
        <f>SUM(Y59:Z59)</f>
        <v>10804320</v>
      </c>
      <c r="AB59" s="19">
        <f>ABRIL!AD59</f>
        <v>8696360</v>
      </c>
      <c r="AC59" s="364">
        <v>2107960</v>
      </c>
      <c r="AD59" s="18">
        <f>SUM(AB59:AC59)</f>
        <v>10804320</v>
      </c>
      <c r="AE59" s="19">
        <f>ABRIL!AG59</f>
        <v>6555380</v>
      </c>
      <c r="AF59" s="364">
        <v>2140980</v>
      </c>
      <c r="AG59" s="18">
        <f>SUM(AE59:AF59)</f>
        <v>8696360</v>
      </c>
      <c r="AH59" s="19">
        <f>X59-AA59</f>
        <v>26916158</v>
      </c>
      <c r="AI59" s="15">
        <f>X59-AD59</f>
        <v>26916158</v>
      </c>
      <c r="AJ59" s="16">
        <f>X59-AG59</f>
        <v>29024118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+IF(ABRIL!A60=0,"",ABRIL!A60)</f>
        <v>1130112</v>
      </c>
      <c r="B60" s="628" t="str">
        <f>+IF(ABRIL!B60=0,"",ABRIL!B60)</f>
        <v>IPS PUBLICAS</v>
      </c>
      <c r="C60" s="43">
        <f t="shared" ref="C60:N60" si="65">SUM(C61:C62)</f>
        <v>0</v>
      </c>
      <c r="D60" s="44">
        <f t="shared" si="65"/>
        <v>0</v>
      </c>
      <c r="E60" s="44">
        <f t="shared" si="65"/>
        <v>1707354</v>
      </c>
      <c r="F60" s="44">
        <f t="shared" si="65"/>
        <v>1707354</v>
      </c>
      <c r="G60" s="44">
        <f t="shared" si="65"/>
        <v>2249955</v>
      </c>
      <c r="H60" s="44">
        <f t="shared" si="65"/>
        <v>51680</v>
      </c>
      <c r="I60" s="44">
        <f t="shared" si="65"/>
        <v>2301635</v>
      </c>
      <c r="J60" s="44">
        <f t="shared" si="65"/>
        <v>2249955</v>
      </c>
      <c r="K60" s="44">
        <f t="shared" si="65"/>
        <v>51680</v>
      </c>
      <c r="L60" s="44">
        <f t="shared" si="65"/>
        <v>2301635</v>
      </c>
      <c r="M60" s="44">
        <f t="shared" si="65"/>
        <v>-594281</v>
      </c>
      <c r="N60" s="45">
        <f t="shared" si="65"/>
        <v>-594281</v>
      </c>
      <c r="P60" s="43">
        <f>SUM(P61:P62)</f>
        <v>0</v>
      </c>
      <c r="Q60" s="45">
        <f>SUM(Q61:Q62)</f>
        <v>1707354</v>
      </c>
      <c r="R60" s="9"/>
      <c r="S60" s="689" t="str">
        <f>+IF(ABRIL!S60=0,"",ABRIL!S60)</f>
        <v>1010402-2</v>
      </c>
      <c r="T60" s="664" t="str">
        <f>+IF(ABRIL!T60=0,"",ABRIL!T60)</f>
        <v>I.C.B.F.</v>
      </c>
      <c r="U60" s="27">
        <f>+ENERO!U60</f>
        <v>56580716</v>
      </c>
      <c r="V60" s="15">
        <f>ABRIL!V60+MAYO!AL60</f>
        <v>0</v>
      </c>
      <c r="W60" s="15">
        <f>ABRIL!W60+MAYO!AM60</f>
        <v>0</v>
      </c>
      <c r="X60" s="18">
        <f>SUM(U60:W60)</f>
        <v>56580716</v>
      </c>
      <c r="Y60" s="19">
        <f>ABRIL!AA60</f>
        <v>13044540</v>
      </c>
      <c r="Z60" s="364">
        <v>3161940</v>
      </c>
      <c r="AA60" s="18">
        <f>SUM(Y60:Z60)</f>
        <v>16206480</v>
      </c>
      <c r="AB60" s="19">
        <f>ABRIL!AD60</f>
        <v>13044540</v>
      </c>
      <c r="AC60" s="364">
        <v>3161940</v>
      </c>
      <c r="AD60" s="18">
        <f>SUM(AB60:AC60)</f>
        <v>16206480</v>
      </c>
      <c r="AE60" s="19">
        <f>ABRIL!AG60</f>
        <v>9833070</v>
      </c>
      <c r="AF60" s="364">
        <v>3211470</v>
      </c>
      <c r="AG60" s="18">
        <f>SUM(AE60:AF60)</f>
        <v>13044540</v>
      </c>
      <c r="AH60" s="19">
        <f>X60-AA60</f>
        <v>40374236</v>
      </c>
      <c r="AI60" s="15">
        <f>X60-AD60</f>
        <v>40374236</v>
      </c>
      <c r="AJ60" s="16">
        <f>X60-AG60</f>
        <v>43536176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+IF(ABRIL!A61=0,"",ABRIL!A61)</f>
        <v>1130112-1</v>
      </c>
      <c r="B61" s="629" t="str">
        <f>+CONCATENATE("Vigencia ",INSTRUCCIONES!$F$3)</f>
        <v>Vigencia 2019</v>
      </c>
      <c r="C61" s="655">
        <f>+ENERO!C61</f>
        <v>0</v>
      </c>
      <c r="D61" s="363">
        <f>ABRIL!D61+MAYO!P61</f>
        <v>0</v>
      </c>
      <c r="E61" s="363">
        <f>ABRIL!E61+MAYO!Q61</f>
        <v>0</v>
      </c>
      <c r="F61" s="363">
        <f>SUM(C61:E61)</f>
        <v>0</v>
      </c>
      <c r="G61" s="363">
        <f>ABRIL!I61</f>
        <v>386045</v>
      </c>
      <c r="H61" s="364">
        <v>51680</v>
      </c>
      <c r="I61" s="454">
        <f>SUM(G61:H61)</f>
        <v>437725</v>
      </c>
      <c r="J61" s="363">
        <f>ABRIL!L61</f>
        <v>386045</v>
      </c>
      <c r="K61" s="364">
        <v>51680</v>
      </c>
      <c r="L61" s="454">
        <f>SUM(J61:K61)</f>
        <v>437725</v>
      </c>
      <c r="M61" s="363">
        <f>F61-I61</f>
        <v>-437725</v>
      </c>
      <c r="N61" s="143">
        <f>F61-L61</f>
        <v>-437725</v>
      </c>
      <c r="O61" s="372"/>
      <c r="P61" s="362">
        <v>0</v>
      </c>
      <c r="Q61" s="365">
        <v>0</v>
      </c>
      <c r="R61" s="9"/>
      <c r="S61" s="688">
        <f>+IF(ABRIL!S61=0,"",ABRIL!S61)</f>
        <v>1010499</v>
      </c>
      <c r="T61" s="664" t="str">
        <f>+IF(ABRIL!T61=0,"",ABRIL!T61)</f>
        <v>Vigencias Anteriores</v>
      </c>
      <c r="U61" s="27">
        <f>+ENERO!U61</f>
        <v>0</v>
      </c>
      <c r="V61" s="15">
        <f>ABRIL!V61+MAYO!AL61</f>
        <v>0</v>
      </c>
      <c r="W61" s="15">
        <f>ABRIL!W61+MAYO!AM61</f>
        <v>0</v>
      </c>
      <c r="X61" s="18">
        <f>SUM(U61:W61)</f>
        <v>0</v>
      </c>
      <c r="Y61" s="19">
        <f>ABRIL!AA61</f>
        <v>0</v>
      </c>
      <c r="Z61" s="364">
        <v>0</v>
      </c>
      <c r="AA61" s="18">
        <f>SUM(Y61:Z61)</f>
        <v>0</v>
      </c>
      <c r="AB61" s="19">
        <f>ABRIL!AD61</f>
        <v>0</v>
      </c>
      <c r="AC61" s="364">
        <v>0</v>
      </c>
      <c r="AD61" s="18">
        <f>SUM(AB61:AC61)</f>
        <v>0</v>
      </c>
      <c r="AE61" s="19">
        <f>ABRIL!AG61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+IF(ABRIL!A62=0,"",ABRIL!A62)</f>
        <v>1130112-2</v>
      </c>
      <c r="B62" s="629" t="str">
        <f>+IF(ABRIL!B62=0,"",ABRIL!B62)</f>
        <v>Vigencia Anterior</v>
      </c>
      <c r="C62" s="655">
        <f>+ENERO!C62</f>
        <v>0</v>
      </c>
      <c r="D62" s="363">
        <f>ABRIL!D62+MAYO!P62</f>
        <v>0</v>
      </c>
      <c r="E62" s="363">
        <f>ABRIL!E62+MAYO!Q62</f>
        <v>1707354</v>
      </c>
      <c r="F62" s="363">
        <f>SUM(C62:E62)</f>
        <v>1707354</v>
      </c>
      <c r="G62" s="363">
        <f>ABRIL!I62</f>
        <v>1863910</v>
      </c>
      <c r="H62" s="364">
        <v>0</v>
      </c>
      <c r="I62" s="363">
        <f>SUM(G62:H62)</f>
        <v>1863910</v>
      </c>
      <c r="J62" s="363">
        <f>ABRIL!L62</f>
        <v>1863910</v>
      </c>
      <c r="K62" s="364">
        <v>0</v>
      </c>
      <c r="L62" s="363">
        <f>SUM(J62:K62)</f>
        <v>1863910</v>
      </c>
      <c r="M62" s="363">
        <f>F62-I62</f>
        <v>-156556</v>
      </c>
      <c r="N62" s="143">
        <f>F62-L62</f>
        <v>-156556</v>
      </c>
      <c r="O62" s="372"/>
      <c r="P62" s="362">
        <v>0</v>
      </c>
      <c r="Q62" s="365">
        <v>1707354</v>
      </c>
      <c r="R62" s="9"/>
      <c r="S62" s="356" t="str">
        <f>+IF(ABRIL!S62=0,"",ABRIL!S62)</f>
        <v/>
      </c>
      <c r="T62" s="678" t="str">
        <f>+IF(ABRIL!T62=0,"",ABRIL!T62)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+IF(ABRIL!A63=0,"",ABRIL!A63)</f>
        <v>1130113</v>
      </c>
      <c r="B63" s="628" t="str">
        <f>+IF(ABRIL!B63=0,"",ABRIL!B63)</f>
        <v>COMPAÑIAS DE SEGUROS  - ACCIDENTES DE TRANSITO (SOAT)</v>
      </c>
      <c r="C63" s="43">
        <f t="shared" ref="C63:N63" si="66">SUM(C64:C65)</f>
        <v>8371510292</v>
      </c>
      <c r="D63" s="44">
        <f t="shared" si="66"/>
        <v>0</v>
      </c>
      <c r="E63" s="44">
        <f t="shared" si="66"/>
        <v>1819891126</v>
      </c>
      <c r="F63" s="44">
        <f t="shared" si="66"/>
        <v>10191401418</v>
      </c>
      <c r="G63" s="44">
        <f t="shared" si="66"/>
        <v>4609472835</v>
      </c>
      <c r="H63" s="44">
        <f t="shared" si="66"/>
        <v>13242314</v>
      </c>
      <c r="I63" s="44">
        <f t="shared" si="66"/>
        <v>4622715149</v>
      </c>
      <c r="J63" s="44">
        <f t="shared" si="66"/>
        <v>2587585003.1500001</v>
      </c>
      <c r="K63" s="44">
        <f t="shared" si="66"/>
        <v>349670359.92000002</v>
      </c>
      <c r="L63" s="44">
        <f t="shared" si="66"/>
        <v>2937255363.0699997</v>
      </c>
      <c r="M63" s="44">
        <f t="shared" si="66"/>
        <v>5568686269</v>
      </c>
      <c r="N63" s="45">
        <f t="shared" si="66"/>
        <v>7254146054.9300003</v>
      </c>
      <c r="P63" s="43">
        <f>SUM(P64:P65)</f>
        <v>0</v>
      </c>
      <c r="Q63" s="45">
        <f>SUM(Q64:Q65)</f>
        <v>169957828</v>
      </c>
      <c r="R63" s="9"/>
      <c r="S63" s="686">
        <f>+IF(ABRIL!S63=0,"",ABRIL!S63)</f>
        <v>1020010</v>
      </c>
      <c r="T63" s="662" t="str">
        <f>+IF(ABRIL!T63=0,"",ABRIL!T63)</f>
        <v>Gastos de Operación</v>
      </c>
      <c r="U63" s="132">
        <f t="shared" ref="U63:AJ63" si="67">U65+U83+U90+U104</f>
        <v>29994047768</v>
      </c>
      <c r="V63" s="122">
        <f t="shared" si="67"/>
        <v>-72498932</v>
      </c>
      <c r="W63" s="122">
        <f t="shared" si="67"/>
        <v>1653182074</v>
      </c>
      <c r="X63" s="129">
        <f t="shared" si="67"/>
        <v>31574730910</v>
      </c>
      <c r="Y63" s="128">
        <f t="shared" si="67"/>
        <v>22240026253</v>
      </c>
      <c r="Z63" s="122">
        <f t="shared" si="67"/>
        <v>1416890177</v>
      </c>
      <c r="AA63" s="129">
        <f t="shared" si="67"/>
        <v>23656916430</v>
      </c>
      <c r="AB63" s="128">
        <f t="shared" si="67"/>
        <v>10856404805</v>
      </c>
      <c r="AC63" s="122">
        <f t="shared" si="67"/>
        <v>2218155922</v>
      </c>
      <c r="AD63" s="129">
        <f t="shared" si="67"/>
        <v>13074560727</v>
      </c>
      <c r="AE63" s="128">
        <f t="shared" si="67"/>
        <v>5995059196</v>
      </c>
      <c r="AF63" s="122">
        <f t="shared" si="67"/>
        <v>1638717115</v>
      </c>
      <c r="AG63" s="129">
        <f t="shared" si="67"/>
        <v>7633776311</v>
      </c>
      <c r="AH63" s="128">
        <f t="shared" si="67"/>
        <v>7917814480</v>
      </c>
      <c r="AI63" s="122">
        <f t="shared" si="67"/>
        <v>18500170183</v>
      </c>
      <c r="AJ63" s="130">
        <f t="shared" si="67"/>
        <v>23940954599</v>
      </c>
      <c r="AK63" s="9"/>
      <c r="AL63" s="128">
        <f>AL65+AL83+AL90+AL104</f>
        <v>-79000000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+IF(ABRIL!A64=0,"",ABRIL!A64)</f>
        <v>1130113-1</v>
      </c>
      <c r="B64" s="629" t="str">
        <f>+CONCATENATE("Vigencia ",INSTRUCCIONES!$F$3)</f>
        <v>Vigencia 2019</v>
      </c>
      <c r="C64" s="655">
        <f>+ENERO!C64</f>
        <v>8371510292</v>
      </c>
      <c r="D64" s="363">
        <f>ABRIL!D64+MAYO!P64</f>
        <v>0</v>
      </c>
      <c r="E64" s="363">
        <f>ABRIL!E64+MAYO!Q64</f>
        <v>0</v>
      </c>
      <c r="F64" s="363">
        <f>SUM(C64:E64)</f>
        <v>8371510292</v>
      </c>
      <c r="G64" s="363">
        <f>ABRIL!I64</f>
        <v>2783701469</v>
      </c>
      <c r="H64" s="364">
        <v>-7455315</v>
      </c>
      <c r="I64" s="363">
        <f>SUM(G64:H64)</f>
        <v>2776246154</v>
      </c>
      <c r="J64" s="363">
        <f>ABRIL!L64</f>
        <v>761813637.14999998</v>
      </c>
      <c r="K64" s="364">
        <v>328972730.92000002</v>
      </c>
      <c r="L64" s="363">
        <f>SUM(J64:K64)</f>
        <v>1090786368.0699999</v>
      </c>
      <c r="M64" s="363">
        <f>F64-I64</f>
        <v>5595264138</v>
      </c>
      <c r="N64" s="143">
        <f>F64-L64</f>
        <v>7280723923.9300003</v>
      </c>
      <c r="O64" s="372"/>
      <c r="P64" s="362">
        <v>0</v>
      </c>
      <c r="Q64" s="365">
        <v>0</v>
      </c>
      <c r="R64" s="9"/>
      <c r="S64" s="356" t="str">
        <f>+IF(ABRIL!S64=0,"",ABRIL!S64)</f>
        <v/>
      </c>
      <c r="T64" s="678" t="str">
        <f>+IF(ABRIL!T64=0,"",ABRIL!T64)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+IF(ABRIL!A65=0,"",ABRIL!A65)</f>
        <v>1130113-2</v>
      </c>
      <c r="B65" s="629" t="str">
        <f>+IF(ABRIL!B65=0,"",ABRIL!B65)</f>
        <v>Vigencia Anterior</v>
      </c>
      <c r="C65" s="655">
        <f>+ENERO!C65</f>
        <v>0</v>
      </c>
      <c r="D65" s="363">
        <f>ABRIL!D65+MAYO!P65</f>
        <v>0</v>
      </c>
      <c r="E65" s="363">
        <f>ABRIL!E65+MAYO!Q65</f>
        <v>1819891126</v>
      </c>
      <c r="F65" s="363">
        <f>SUM(C65:E65)</f>
        <v>1819891126</v>
      </c>
      <c r="G65" s="363">
        <f>ABRIL!I65</f>
        <v>1825771366</v>
      </c>
      <c r="H65" s="824">
        <v>20697629</v>
      </c>
      <c r="I65" s="363">
        <f>SUM(G65:H65)</f>
        <v>1846468995</v>
      </c>
      <c r="J65" s="363">
        <f>ABRIL!L65</f>
        <v>1825771366</v>
      </c>
      <c r="K65" s="364">
        <v>20697629</v>
      </c>
      <c r="L65" s="363">
        <f>SUM(J65:K65)</f>
        <v>1846468995</v>
      </c>
      <c r="M65" s="363">
        <f>F65-I65</f>
        <v>-26577869</v>
      </c>
      <c r="N65" s="143">
        <f>F65-L65</f>
        <v>-26577869</v>
      </c>
      <c r="O65" s="372"/>
      <c r="P65" s="362">
        <v>0</v>
      </c>
      <c r="Q65" s="365">
        <v>169957828</v>
      </c>
      <c r="R65" s="9"/>
      <c r="S65" s="687">
        <f>+IF(ABRIL!S65=0,"",ABRIL!S65)</f>
        <v>1020100</v>
      </c>
      <c r="T65" s="663" t="str">
        <f>+IF(ABRIL!T65=0,"",ABRIL!T65)</f>
        <v>Servicios Personales Asociados a Nómina</v>
      </c>
      <c r="U65" s="132">
        <f t="shared" ref="U65:AJ65" si="68">SUM(U66:U69)+U81</f>
        <v>5283965861</v>
      </c>
      <c r="V65" s="122">
        <f t="shared" si="68"/>
        <v>-70000000</v>
      </c>
      <c r="W65" s="122">
        <f t="shared" si="68"/>
        <v>0</v>
      </c>
      <c r="X65" s="129">
        <f t="shared" si="68"/>
        <v>5213965861</v>
      </c>
      <c r="Y65" s="128">
        <f t="shared" si="68"/>
        <v>741203376</v>
      </c>
      <c r="Z65" s="122">
        <f t="shared" si="68"/>
        <v>192774175</v>
      </c>
      <c r="AA65" s="129">
        <f t="shared" si="68"/>
        <v>933977551</v>
      </c>
      <c r="AB65" s="128">
        <f t="shared" si="68"/>
        <v>741203376</v>
      </c>
      <c r="AC65" s="122">
        <f t="shared" si="68"/>
        <v>192774175</v>
      </c>
      <c r="AD65" s="129">
        <f t="shared" si="68"/>
        <v>933977551</v>
      </c>
      <c r="AE65" s="128">
        <f t="shared" si="68"/>
        <v>741203376</v>
      </c>
      <c r="AF65" s="122">
        <f t="shared" si="68"/>
        <v>192774175</v>
      </c>
      <c r="AG65" s="129">
        <f t="shared" si="68"/>
        <v>933977551</v>
      </c>
      <c r="AH65" s="128">
        <f t="shared" si="68"/>
        <v>4279988310</v>
      </c>
      <c r="AI65" s="122">
        <f t="shared" si="68"/>
        <v>4279988310</v>
      </c>
      <c r="AJ65" s="130">
        <f t="shared" si="68"/>
        <v>4279988310</v>
      </c>
      <c r="AK65" s="9"/>
      <c r="AL65" s="128">
        <f>SUM(AL66:AL69)+AL81</f>
        <v>-70000000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+IF(ABRIL!A66=0,"",ABRIL!A66)</f>
        <v>1130114</v>
      </c>
      <c r="B66" s="628" t="str">
        <f>+IF(ABRIL!B66=0,"",ABRIL!B66)</f>
        <v xml:space="preserve">COMPAÑIAS DE SEGUROS  - PLANES DE SALUD  </v>
      </c>
      <c r="C66" s="43">
        <f t="shared" ref="C66:N66" si="69">SUM(C67:C68)</f>
        <v>11965775</v>
      </c>
      <c r="D66" s="44">
        <f t="shared" si="69"/>
        <v>0</v>
      </c>
      <c r="E66" s="44">
        <f t="shared" si="69"/>
        <v>0</v>
      </c>
      <c r="F66" s="44">
        <f t="shared" si="69"/>
        <v>11965775</v>
      </c>
      <c r="G66" s="44">
        <f t="shared" si="69"/>
        <v>37895422</v>
      </c>
      <c r="H66" s="44">
        <f t="shared" si="69"/>
        <v>1435166</v>
      </c>
      <c r="I66" s="44">
        <f t="shared" si="69"/>
        <v>39330588</v>
      </c>
      <c r="J66" s="44">
        <f t="shared" si="69"/>
        <v>0</v>
      </c>
      <c r="K66" s="44">
        <f t="shared" si="69"/>
        <v>0</v>
      </c>
      <c r="L66" s="44">
        <f t="shared" si="69"/>
        <v>0</v>
      </c>
      <c r="M66" s="44">
        <f t="shared" si="69"/>
        <v>-27364813</v>
      </c>
      <c r="N66" s="45">
        <f t="shared" si="69"/>
        <v>11965775</v>
      </c>
      <c r="P66" s="43">
        <f>SUM(P67:P68)</f>
        <v>0</v>
      </c>
      <c r="Q66" s="45">
        <f>SUM(Q67:Q68)</f>
        <v>0</v>
      </c>
      <c r="R66" s="9"/>
      <c r="S66" s="688">
        <f>+IF(ABRIL!S66=0,"",ABRIL!S66)</f>
        <v>1020101</v>
      </c>
      <c r="T66" s="664" t="str">
        <f>+IF(ABRIL!T66=0,"",ABRIL!T66)</f>
        <v>Sueldos del Personal de nómina</v>
      </c>
      <c r="U66" s="27">
        <f>+ENERO!U66</f>
        <v>3773107838</v>
      </c>
      <c r="V66" s="15">
        <f>ABRIL!V66+MAYO!AL66</f>
        <v>-70000000</v>
      </c>
      <c r="W66" s="15">
        <f>ABRIL!W66+MAYO!AM66</f>
        <v>0</v>
      </c>
      <c r="X66" s="18">
        <f>SUM(U66:W66)</f>
        <v>3703107838</v>
      </c>
      <c r="Y66" s="19">
        <f>ABRIL!AA66</f>
        <v>663152627</v>
      </c>
      <c r="Z66" s="364">
        <v>168141469</v>
      </c>
      <c r="AA66" s="18">
        <f>SUM(Y66:Z66)</f>
        <v>831294096</v>
      </c>
      <c r="AB66" s="19">
        <f>ABRIL!AD66</f>
        <v>663152627</v>
      </c>
      <c r="AC66" s="364">
        <v>168141469</v>
      </c>
      <c r="AD66" s="18">
        <f>SUM(AB66:AC66)</f>
        <v>831294096</v>
      </c>
      <c r="AE66" s="19">
        <f>ABRIL!AG66</f>
        <v>663152627</v>
      </c>
      <c r="AF66" s="364">
        <v>168141469</v>
      </c>
      <c r="AG66" s="18">
        <f>SUM(AE66:AF66)</f>
        <v>831294096</v>
      </c>
      <c r="AH66" s="19">
        <f>X66-AA66</f>
        <v>2871813742</v>
      </c>
      <c r="AI66" s="15">
        <f>X66-AD66</f>
        <v>2871813742</v>
      </c>
      <c r="AJ66" s="16">
        <f>X66-AG66</f>
        <v>2871813742</v>
      </c>
      <c r="AK66" s="9"/>
      <c r="AL66" s="362">
        <v>-70000000</v>
      </c>
      <c r="AM66" s="365">
        <v>0</v>
      </c>
      <c r="AN66" s="9"/>
      <c r="AO66" s="284"/>
      <c r="AP66" s="284"/>
      <c r="AQ66" s="284"/>
      <c r="AR66" s="284"/>
      <c r="AS66" s="284"/>
      <c r="AT66" s="284"/>
      <c r="AU66" s="284"/>
      <c r="AV66" s="284"/>
      <c r="AW66" s="284"/>
      <c r="AX66" s="284"/>
      <c r="AY66" s="284"/>
      <c r="AZ66" s="284"/>
    </row>
    <row r="67" spans="1:70" s="412" customFormat="1" ht="24.95" customHeight="1">
      <c r="A67" s="593" t="str">
        <f>+IF(ABRIL!A67=0,"",ABRIL!A67)</f>
        <v>1130114-1</v>
      </c>
      <c r="B67" s="629" t="str">
        <f>+CONCATENATE("Vigencia ",INSTRUCCIONES!$F$3)</f>
        <v>Vigencia 2019</v>
      </c>
      <c r="C67" s="655">
        <f>+ENERO!C67</f>
        <v>11965775</v>
      </c>
      <c r="D67" s="363">
        <f>ABRIL!D67+MAYO!P67</f>
        <v>0</v>
      </c>
      <c r="E67" s="363">
        <f>ABRIL!E67+MAYO!Q67</f>
        <v>0</v>
      </c>
      <c r="F67" s="363">
        <f>SUM(C67:E67)</f>
        <v>11965775</v>
      </c>
      <c r="G67" s="363">
        <f>ABRIL!I67</f>
        <v>37895422</v>
      </c>
      <c r="H67" s="364">
        <v>1435166</v>
      </c>
      <c r="I67" s="363">
        <f>SUM(G67:H67)</f>
        <v>39330588</v>
      </c>
      <c r="J67" s="363">
        <f>ABRIL!L67</f>
        <v>0</v>
      </c>
      <c r="K67" s="364">
        <v>0</v>
      </c>
      <c r="L67" s="363">
        <f>SUM(J67:K67)</f>
        <v>0</v>
      </c>
      <c r="M67" s="363">
        <f>F67-I67</f>
        <v>-27364813</v>
      </c>
      <c r="N67" s="143">
        <f>F67-L67</f>
        <v>11965775</v>
      </c>
      <c r="O67" s="372"/>
      <c r="P67" s="362">
        <v>0</v>
      </c>
      <c r="Q67" s="365">
        <v>0</v>
      </c>
      <c r="R67" s="9"/>
      <c r="S67" s="688">
        <f>+IF(ABRIL!S67=0,"",ABRIL!S67)</f>
        <v>1020102</v>
      </c>
      <c r="T67" s="664" t="str">
        <f>+IF(ABRIL!T67=0,"",ABRIL!T67)</f>
        <v>Horas Extras,Dominic.,Festivos y Rec. Nocturnos</v>
      </c>
      <c r="U67" s="27">
        <f>+ENERO!U67</f>
        <v>329885360</v>
      </c>
      <c r="V67" s="15">
        <f>ABRIL!V67+MAYO!AL67</f>
        <v>0</v>
      </c>
      <c r="W67" s="15">
        <f>ABRIL!W67+MAYO!AM67</f>
        <v>0</v>
      </c>
      <c r="X67" s="18">
        <f>SUM(U67:W67)</f>
        <v>329885360</v>
      </c>
      <c r="Y67" s="19">
        <f>ABRIL!AA67</f>
        <v>33382091</v>
      </c>
      <c r="Z67" s="364">
        <v>9928399</v>
      </c>
      <c r="AA67" s="18">
        <f>SUM(Y67:Z67)</f>
        <v>43310490</v>
      </c>
      <c r="AB67" s="19">
        <f>ABRIL!AD67</f>
        <v>33382091</v>
      </c>
      <c r="AC67" s="364">
        <v>9928399</v>
      </c>
      <c r="AD67" s="18">
        <f>SUM(AB67:AC67)</f>
        <v>43310490</v>
      </c>
      <c r="AE67" s="19">
        <f>ABRIL!AG67</f>
        <v>33382091</v>
      </c>
      <c r="AF67" s="364">
        <v>9928399</v>
      </c>
      <c r="AG67" s="18">
        <f>SUM(AE67:AF67)</f>
        <v>43310490</v>
      </c>
      <c r="AH67" s="19">
        <f>X67-AA67</f>
        <v>286574870</v>
      </c>
      <c r="AI67" s="15">
        <f>X67-AD67</f>
        <v>286574870</v>
      </c>
      <c r="AJ67" s="16">
        <f>X67-AG67</f>
        <v>286574870</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+IF(ABRIL!A68=0,"",ABRIL!A68)</f>
        <v>1130114-2</v>
      </c>
      <c r="B68" s="629" t="str">
        <f>+IF(ABRIL!B68=0,"",ABRIL!B68)</f>
        <v>Vigencia Anterior</v>
      </c>
      <c r="C68" s="655">
        <f>+ENERO!C68</f>
        <v>0</v>
      </c>
      <c r="D68" s="363">
        <f>ABRIL!D68+MAYO!P68</f>
        <v>0</v>
      </c>
      <c r="E68" s="363">
        <f>ABRIL!E68+MAYO!Q68</f>
        <v>0</v>
      </c>
      <c r="F68" s="363">
        <f>SUM(C68:E68)</f>
        <v>0</v>
      </c>
      <c r="G68" s="363">
        <f>ABRIL!I68</f>
        <v>0</v>
      </c>
      <c r="H68" s="364">
        <v>0</v>
      </c>
      <c r="I68" s="363">
        <f>SUM(G68:H68)</f>
        <v>0</v>
      </c>
      <c r="J68" s="363">
        <f>ABRIL!L68</f>
        <v>0</v>
      </c>
      <c r="K68" s="364">
        <v>0</v>
      </c>
      <c r="L68" s="363">
        <f>SUM(J68:K68)</f>
        <v>0</v>
      </c>
      <c r="M68" s="363">
        <f>F68-I68</f>
        <v>0</v>
      </c>
      <c r="N68" s="143">
        <f>F68-L68</f>
        <v>0</v>
      </c>
      <c r="O68" s="372"/>
      <c r="P68" s="362">
        <v>0</v>
      </c>
      <c r="Q68" s="365">
        <v>0</v>
      </c>
      <c r="R68" s="9"/>
      <c r="S68" s="688">
        <f>+IF(ABRIL!S68=0,"",ABRIL!S68)</f>
        <v>1020103</v>
      </c>
      <c r="T68" s="664" t="str">
        <f>+IF(ABRIL!T68=0,"",ABRIL!T68)</f>
        <v>Prima Técnica</v>
      </c>
      <c r="U68" s="27">
        <f>+ENERO!U68</f>
        <v>0</v>
      </c>
      <c r="V68" s="15">
        <f>ABRIL!V68+MAYO!AL68</f>
        <v>0</v>
      </c>
      <c r="W68" s="15">
        <f>ABRIL!W68+MAYO!AM68</f>
        <v>0</v>
      </c>
      <c r="X68" s="18">
        <f>SUM(U68:W68)</f>
        <v>0</v>
      </c>
      <c r="Y68" s="19">
        <f>ABRIL!AA68</f>
        <v>0</v>
      </c>
      <c r="Z68" s="364">
        <v>0</v>
      </c>
      <c r="AA68" s="18">
        <f>SUM(Y68:Z68)</f>
        <v>0</v>
      </c>
      <c r="AB68" s="19">
        <f>ABRIL!AD68</f>
        <v>0</v>
      </c>
      <c r="AC68" s="364">
        <v>0</v>
      </c>
      <c r="AD68" s="18">
        <f>SUM(AB68:AC68)</f>
        <v>0</v>
      </c>
      <c r="AE68" s="19">
        <f>ABRIL!AG68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+IF(ABRIL!A69=0,"",ABRIL!A69)</f>
        <v>1130115</v>
      </c>
      <c r="B69" s="628" t="str">
        <f>+IF(ABRIL!B69=0,"",ABRIL!B69)</f>
        <v>ENTIDADES DE REGIMEN ESPECIAL (Magisterio, Fuerza Pca.)</v>
      </c>
      <c r="C69" s="43">
        <f t="shared" ref="C69:N69" si="70">SUM(C70:C71)</f>
        <v>8401952</v>
      </c>
      <c r="D69" s="44">
        <f t="shared" si="70"/>
        <v>0</v>
      </c>
      <c r="E69" s="44">
        <f t="shared" si="70"/>
        <v>122569168</v>
      </c>
      <c r="F69" s="44">
        <f t="shared" si="70"/>
        <v>130971120</v>
      </c>
      <c r="G69" s="44">
        <f t="shared" si="70"/>
        <v>145957551</v>
      </c>
      <c r="H69" s="44">
        <f t="shared" si="70"/>
        <v>3651116</v>
      </c>
      <c r="I69" s="44">
        <f t="shared" si="70"/>
        <v>149608667</v>
      </c>
      <c r="J69" s="44">
        <f t="shared" si="70"/>
        <v>140153761</v>
      </c>
      <c r="K69" s="44">
        <f t="shared" si="70"/>
        <v>618418</v>
      </c>
      <c r="L69" s="44">
        <f t="shared" si="70"/>
        <v>140772179</v>
      </c>
      <c r="M69" s="44">
        <f t="shared" si="70"/>
        <v>-18637547</v>
      </c>
      <c r="N69" s="45">
        <f t="shared" si="70"/>
        <v>-9801059</v>
      </c>
      <c r="P69" s="43">
        <f>SUM(P70:P71)</f>
        <v>0</v>
      </c>
      <c r="Q69" s="45">
        <f>SUM(Q70:Q71)</f>
        <v>117708942</v>
      </c>
      <c r="R69" s="9"/>
      <c r="S69" s="688">
        <f>+IF(ABRIL!S69=0,"",ABRIL!S69)</f>
        <v>1020104</v>
      </c>
      <c r="T69" s="664" t="str">
        <f>+IF(ABRIL!T69=0,"",ABRIL!T69)</f>
        <v>Otros</v>
      </c>
      <c r="U69" s="27">
        <f t="shared" ref="U69:AJ69" si="71">SUM(U70:U80)</f>
        <v>1180972663</v>
      </c>
      <c r="V69" s="15">
        <f t="shared" si="71"/>
        <v>0</v>
      </c>
      <c r="W69" s="15">
        <f t="shared" si="71"/>
        <v>0</v>
      </c>
      <c r="X69" s="18">
        <f t="shared" si="71"/>
        <v>1180972663</v>
      </c>
      <c r="Y69" s="19">
        <f t="shared" si="71"/>
        <v>44668658</v>
      </c>
      <c r="Z69" s="142">
        <f t="shared" si="71"/>
        <v>14704307</v>
      </c>
      <c r="AA69" s="18">
        <f t="shared" si="71"/>
        <v>59372965</v>
      </c>
      <c r="AB69" s="19">
        <f t="shared" si="71"/>
        <v>44668658</v>
      </c>
      <c r="AC69" s="142">
        <f t="shared" si="71"/>
        <v>14704307</v>
      </c>
      <c r="AD69" s="18">
        <f t="shared" si="71"/>
        <v>59372965</v>
      </c>
      <c r="AE69" s="19">
        <f t="shared" si="71"/>
        <v>44668658</v>
      </c>
      <c r="AF69" s="142">
        <f t="shared" si="71"/>
        <v>14704307</v>
      </c>
      <c r="AG69" s="18">
        <f t="shared" si="71"/>
        <v>59372965</v>
      </c>
      <c r="AH69" s="19">
        <f t="shared" si="71"/>
        <v>1121599698</v>
      </c>
      <c r="AI69" s="15">
        <f t="shared" si="71"/>
        <v>1121599698</v>
      </c>
      <c r="AJ69" s="16">
        <f t="shared" si="71"/>
        <v>1121599698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+IF(ABRIL!A70=0,"",ABRIL!A70)</f>
        <v>1130115-1</v>
      </c>
      <c r="B70" s="629" t="str">
        <f>+CONCATENATE("Vigencia ",INSTRUCCIONES!$F$3)</f>
        <v>Vigencia 2019</v>
      </c>
      <c r="C70" s="655">
        <f>+ENERO!C70</f>
        <v>8401952</v>
      </c>
      <c r="D70" s="363">
        <f>ABRIL!D70+MAYO!P70</f>
        <v>0</v>
      </c>
      <c r="E70" s="363">
        <f>ABRIL!E70+MAYO!Q70</f>
        <v>690909</v>
      </c>
      <c r="F70" s="363">
        <f>SUM(C70:E70)</f>
        <v>9092861</v>
      </c>
      <c r="G70" s="363">
        <f>ABRIL!I70</f>
        <v>24079292</v>
      </c>
      <c r="H70" s="364">
        <v>3032698</v>
      </c>
      <c r="I70" s="454">
        <f>SUM(G70:H70)</f>
        <v>27111990</v>
      </c>
      <c r="J70" s="363">
        <f>ABRIL!L70</f>
        <v>18275502</v>
      </c>
      <c r="K70" s="364">
        <v>0</v>
      </c>
      <c r="L70" s="454">
        <f>SUM(J70:K70)</f>
        <v>18275502</v>
      </c>
      <c r="M70" s="363">
        <f>F70-I70</f>
        <v>-18019129</v>
      </c>
      <c r="N70" s="143">
        <f>F70-L70</f>
        <v>-9182641</v>
      </c>
      <c r="O70" s="372"/>
      <c r="P70" s="362">
        <v>0</v>
      </c>
      <c r="Q70" s="365">
        <v>0</v>
      </c>
      <c r="R70" s="9"/>
      <c r="S70" s="689" t="str">
        <f>+IF(ABRIL!S70=0,"",ABRIL!S70)</f>
        <v>1020104-1</v>
      </c>
      <c r="T70" s="665" t="str">
        <f>+IF(ABRIL!T70=0,"",ABRIL!T70)</f>
        <v xml:space="preserve">Prima de Navidad </v>
      </c>
      <c r="U70" s="27">
        <f>+ENERO!U70</f>
        <v>352482456</v>
      </c>
      <c r="V70" s="15">
        <f>ABRIL!V70+MAYO!AL70</f>
        <v>0</v>
      </c>
      <c r="W70" s="15">
        <f>ABRIL!W70+MAYO!AM70</f>
        <v>0</v>
      </c>
      <c r="X70" s="18">
        <f t="shared" ref="X70:X81" si="72">SUM(U70:W70)</f>
        <v>352482456</v>
      </c>
      <c r="Y70" s="19">
        <f>ABRIL!AA70</f>
        <v>500303</v>
      </c>
      <c r="Z70" s="364">
        <v>661029</v>
      </c>
      <c r="AA70" s="18">
        <f t="shared" ref="AA70:AA81" si="73">SUM(Y70:Z70)</f>
        <v>1161332</v>
      </c>
      <c r="AB70" s="19">
        <f>ABRIL!AD70</f>
        <v>500303</v>
      </c>
      <c r="AC70" s="364">
        <v>661029</v>
      </c>
      <c r="AD70" s="18">
        <f t="shared" ref="AD70:AD81" si="74">SUM(AB70:AC70)</f>
        <v>1161332</v>
      </c>
      <c r="AE70" s="19">
        <f>ABRIL!AG70</f>
        <v>500303</v>
      </c>
      <c r="AF70" s="364">
        <v>661029</v>
      </c>
      <c r="AG70" s="18">
        <f t="shared" ref="AG70:AG81" si="75">SUM(AE70:AF70)</f>
        <v>1161332</v>
      </c>
      <c r="AH70" s="19">
        <f t="shared" ref="AH70:AH81" si="76">X70-AA70</f>
        <v>351321124</v>
      </c>
      <c r="AI70" s="15">
        <f t="shared" ref="AI70:AI81" si="77">X70-AD70</f>
        <v>351321124</v>
      </c>
      <c r="AJ70" s="16">
        <f t="shared" ref="AJ70:AJ81" si="78">X70-AG70</f>
        <v>351321124</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+IF(ABRIL!A71=0,"",ABRIL!A71)</f>
        <v>1130115-2</v>
      </c>
      <c r="B71" s="629" t="str">
        <f>+IF(ABRIL!B71=0,"",ABRIL!B71)</f>
        <v>Vigencia Anterior</v>
      </c>
      <c r="C71" s="655">
        <f>+ENERO!C71</f>
        <v>0</v>
      </c>
      <c r="D71" s="363">
        <f>ABRIL!D71+MAYO!P71</f>
        <v>0</v>
      </c>
      <c r="E71" s="363">
        <f>ABRIL!E71+MAYO!Q71</f>
        <v>121878259</v>
      </c>
      <c r="F71" s="363">
        <f>SUM(C71:E71)</f>
        <v>121878259</v>
      </c>
      <c r="G71" s="363">
        <f>ABRIL!I71</f>
        <v>121878259</v>
      </c>
      <c r="H71" s="364">
        <v>618418</v>
      </c>
      <c r="I71" s="363">
        <f>SUM(G71:H71)</f>
        <v>122496677</v>
      </c>
      <c r="J71" s="363">
        <f>ABRIL!L71</f>
        <v>121878259</v>
      </c>
      <c r="K71" s="364">
        <v>618418</v>
      </c>
      <c r="L71" s="363">
        <f>SUM(J71:K71)</f>
        <v>122496677</v>
      </c>
      <c r="M71" s="363">
        <f>F71-I71</f>
        <v>-618418</v>
      </c>
      <c r="N71" s="143">
        <f>F71-L71</f>
        <v>-618418</v>
      </c>
      <c r="O71" s="372"/>
      <c r="P71" s="362">
        <v>0</v>
      </c>
      <c r="Q71" s="365">
        <v>117708942</v>
      </c>
      <c r="R71" s="9"/>
      <c r="S71" s="689" t="str">
        <f>+IF(ABRIL!S71=0,"",ABRIL!S71)</f>
        <v>1020104-2</v>
      </c>
      <c r="T71" s="665" t="str">
        <f>+IF(ABRIL!T71=0,"",ABRIL!T71)</f>
        <v>Prima de Vacaciones</v>
      </c>
      <c r="U71" s="27">
        <f>+ENERO!U71</f>
        <v>180248873</v>
      </c>
      <c r="V71" s="15">
        <f>ABRIL!V71+MAYO!AL71</f>
        <v>0</v>
      </c>
      <c r="W71" s="15">
        <f>ABRIL!W71+MAYO!AM71</f>
        <v>0</v>
      </c>
      <c r="X71" s="18">
        <f t="shared" si="72"/>
        <v>180248873</v>
      </c>
      <c r="Y71" s="19">
        <f>ABRIL!AA71</f>
        <v>15465346</v>
      </c>
      <c r="Z71" s="364">
        <v>5461427</v>
      </c>
      <c r="AA71" s="18">
        <f t="shared" si="73"/>
        <v>20926773</v>
      </c>
      <c r="AB71" s="19">
        <f>ABRIL!AD71</f>
        <v>15465346</v>
      </c>
      <c r="AC71" s="364">
        <v>5461427</v>
      </c>
      <c r="AD71" s="18">
        <f t="shared" si="74"/>
        <v>20926773</v>
      </c>
      <c r="AE71" s="19">
        <f>ABRIL!AG71</f>
        <v>15465346</v>
      </c>
      <c r="AF71" s="364">
        <v>5461427</v>
      </c>
      <c r="AG71" s="18">
        <f t="shared" si="75"/>
        <v>20926773</v>
      </c>
      <c r="AH71" s="19">
        <f t="shared" si="76"/>
        <v>159322100</v>
      </c>
      <c r="AI71" s="15">
        <f t="shared" si="77"/>
        <v>159322100</v>
      </c>
      <c r="AJ71" s="16">
        <f t="shared" si="78"/>
        <v>159322100</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+IF(ABRIL!A72=0,"",ABRIL!A72)</f>
        <v>1130116</v>
      </c>
      <c r="B72" s="628" t="str">
        <f>+IF(ABRIL!B72=0,"",ABRIL!B72)</f>
        <v>ADMINISTRADORAS DE RIESGOS LABORALES</v>
      </c>
      <c r="C72" s="43">
        <f t="shared" ref="C72:N72" si="79">SUM(C73:C74)</f>
        <v>2163183</v>
      </c>
      <c r="D72" s="44">
        <f t="shared" si="79"/>
        <v>0</v>
      </c>
      <c r="E72" s="44">
        <f t="shared" si="79"/>
        <v>0</v>
      </c>
      <c r="F72" s="44">
        <f t="shared" si="79"/>
        <v>2163183</v>
      </c>
      <c r="G72" s="44">
        <f t="shared" si="79"/>
        <v>24730052</v>
      </c>
      <c r="H72" s="44">
        <f t="shared" si="79"/>
        <v>8466871</v>
      </c>
      <c r="I72" s="44">
        <f t="shared" si="79"/>
        <v>33196923</v>
      </c>
      <c r="J72" s="44">
        <f t="shared" si="79"/>
        <v>15611658</v>
      </c>
      <c r="K72" s="44">
        <f t="shared" si="79"/>
        <v>7863872.6900000004</v>
      </c>
      <c r="L72" s="44">
        <f t="shared" si="79"/>
        <v>23475530.690000001</v>
      </c>
      <c r="M72" s="44">
        <f t="shared" si="79"/>
        <v>-31033740</v>
      </c>
      <c r="N72" s="45">
        <f t="shared" si="79"/>
        <v>-21312347.690000001</v>
      </c>
      <c r="P72" s="43">
        <f>SUM(P73:P74)</f>
        <v>0</v>
      </c>
      <c r="Q72" s="45">
        <f>SUM(Q73:Q74)</f>
        <v>0</v>
      </c>
      <c r="R72" s="9"/>
      <c r="S72" s="689" t="str">
        <f>+IF(ABRIL!S72=0,"",ABRIL!S72)</f>
        <v>1020104-3</v>
      </c>
      <c r="T72" s="665" t="str">
        <f>+IF(ABRIL!T72=0,"",ABRIL!T72)</f>
        <v>Bonificación  por servicios prestados</v>
      </c>
      <c r="U72" s="27">
        <f>+ENERO!U72</f>
        <v>110048955</v>
      </c>
      <c r="V72" s="15">
        <f>ABRIL!V72+MAYO!AL72</f>
        <v>0</v>
      </c>
      <c r="W72" s="15">
        <f>ABRIL!W72+MAYO!AM72</f>
        <v>0</v>
      </c>
      <c r="X72" s="18">
        <f t="shared" si="72"/>
        <v>110048955</v>
      </c>
      <c r="Y72" s="19">
        <f>ABRIL!AA72</f>
        <v>22899968</v>
      </c>
      <c r="Z72" s="364">
        <v>6117164</v>
      </c>
      <c r="AA72" s="18">
        <f t="shared" si="73"/>
        <v>29017132</v>
      </c>
      <c r="AB72" s="19">
        <f>ABRIL!AD72</f>
        <v>22899968</v>
      </c>
      <c r="AC72" s="364">
        <v>6117164</v>
      </c>
      <c r="AD72" s="18">
        <f t="shared" si="74"/>
        <v>29017132</v>
      </c>
      <c r="AE72" s="19">
        <f>ABRIL!AG72</f>
        <v>22899968</v>
      </c>
      <c r="AF72" s="364">
        <v>6117164</v>
      </c>
      <c r="AG72" s="18">
        <f t="shared" si="75"/>
        <v>29017132</v>
      </c>
      <c r="AH72" s="19">
        <f t="shared" si="76"/>
        <v>81031823</v>
      </c>
      <c r="AI72" s="15">
        <f t="shared" si="77"/>
        <v>81031823</v>
      </c>
      <c r="AJ72" s="16">
        <f t="shared" si="78"/>
        <v>81031823</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+IF(ABRIL!A73=0,"",ABRIL!A73)</f>
        <v>1130116-1</v>
      </c>
      <c r="B73" s="629" t="str">
        <f>+CONCATENATE("Vigencia ",INSTRUCCIONES!$F$3)</f>
        <v>Vigencia 2019</v>
      </c>
      <c r="C73" s="655">
        <f>+ENERO!C73</f>
        <v>2163183</v>
      </c>
      <c r="D73" s="363">
        <f>ABRIL!D73+MAYO!P73</f>
        <v>0</v>
      </c>
      <c r="E73" s="363">
        <f>ABRIL!E73+MAYO!Q73</f>
        <v>0</v>
      </c>
      <c r="F73" s="363">
        <f>SUM(C73:E73)</f>
        <v>2163183</v>
      </c>
      <c r="G73" s="363">
        <f>ABRIL!I73</f>
        <v>22008179</v>
      </c>
      <c r="H73" s="364">
        <v>602998</v>
      </c>
      <c r="I73" s="363">
        <f>SUM(G73:H73)</f>
        <v>22611177</v>
      </c>
      <c r="J73" s="363">
        <f>ABRIL!L73</f>
        <v>12889785</v>
      </c>
      <c r="K73" s="364">
        <v>0</v>
      </c>
      <c r="L73" s="363">
        <f>SUM(J73:K73)</f>
        <v>12889785</v>
      </c>
      <c r="M73" s="363">
        <f>F73-I73</f>
        <v>-20447994</v>
      </c>
      <c r="N73" s="143">
        <f>F73-L73</f>
        <v>-10726602</v>
      </c>
      <c r="O73" s="372"/>
      <c r="P73" s="362">
        <v>0</v>
      </c>
      <c r="Q73" s="365">
        <v>0</v>
      </c>
      <c r="R73" s="9"/>
      <c r="S73" s="689" t="str">
        <f>+IF(ABRIL!S73=0,"",ABRIL!S73)</f>
        <v>1020104-4</v>
      </c>
      <c r="T73" s="665" t="str">
        <f>+IF(ABRIL!T73=0,"",ABRIL!T73)</f>
        <v>Prima de Servicios</v>
      </c>
      <c r="U73" s="27">
        <f>+ENERO!U73</f>
        <v>166383593</v>
      </c>
      <c r="V73" s="15">
        <f>ABRIL!V73+MAYO!AL73</f>
        <v>0</v>
      </c>
      <c r="W73" s="15">
        <f>ABRIL!W73+MAYO!AM73</f>
        <v>0</v>
      </c>
      <c r="X73" s="18">
        <f t="shared" si="72"/>
        <v>166383593</v>
      </c>
      <c r="Y73" s="19">
        <f>ABRIL!AA73</f>
        <v>1728804</v>
      </c>
      <c r="Z73" s="364">
        <v>1280999</v>
      </c>
      <c r="AA73" s="18">
        <f t="shared" si="73"/>
        <v>3009803</v>
      </c>
      <c r="AB73" s="19">
        <f>ABRIL!AD73</f>
        <v>1728804</v>
      </c>
      <c r="AC73" s="364">
        <v>1280999</v>
      </c>
      <c r="AD73" s="18">
        <f t="shared" si="74"/>
        <v>3009803</v>
      </c>
      <c r="AE73" s="19">
        <f>ABRIL!AG73</f>
        <v>1728804</v>
      </c>
      <c r="AF73" s="364">
        <v>1280999</v>
      </c>
      <c r="AG73" s="18">
        <f t="shared" si="75"/>
        <v>3009803</v>
      </c>
      <c r="AH73" s="19">
        <f t="shared" si="76"/>
        <v>163373790</v>
      </c>
      <c r="AI73" s="15">
        <f t="shared" si="77"/>
        <v>163373790</v>
      </c>
      <c r="AJ73" s="16">
        <f t="shared" si="78"/>
        <v>163373790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+IF(ABRIL!A74=0,"",ABRIL!A74)</f>
        <v>1130116-2</v>
      </c>
      <c r="B74" s="629" t="str">
        <f>+IF(ABRIL!B74=0,"",ABRIL!B74)</f>
        <v>Vigencia Anterior</v>
      </c>
      <c r="C74" s="655">
        <f>+ENERO!C74</f>
        <v>0</v>
      </c>
      <c r="D74" s="363">
        <f>ABRIL!D74+MAYO!P74</f>
        <v>0</v>
      </c>
      <c r="E74" s="363">
        <f>ABRIL!E74+MAYO!Q74</f>
        <v>0</v>
      </c>
      <c r="F74" s="363">
        <f>SUM(C74:E74)</f>
        <v>0</v>
      </c>
      <c r="G74" s="363">
        <f>ABRIL!I74</f>
        <v>2721873</v>
      </c>
      <c r="H74" s="364">
        <v>7863873</v>
      </c>
      <c r="I74" s="363">
        <f>SUM(G74:H74)</f>
        <v>10585746</v>
      </c>
      <c r="J74" s="363">
        <f>ABRIL!L74</f>
        <v>2721873</v>
      </c>
      <c r="K74" s="364">
        <v>7863872.6900000004</v>
      </c>
      <c r="L74" s="363">
        <f>SUM(J74:K74)</f>
        <v>10585745.690000001</v>
      </c>
      <c r="M74" s="363">
        <f>F74-I74</f>
        <v>-10585746</v>
      </c>
      <c r="N74" s="143">
        <f>F74-L74</f>
        <v>-10585745.690000001</v>
      </c>
      <c r="O74" s="372"/>
      <c r="P74" s="362">
        <v>0</v>
      </c>
      <c r="Q74" s="365">
        <v>0</v>
      </c>
      <c r="R74" s="9"/>
      <c r="S74" s="689" t="str">
        <f>+IF(ABRIL!S74=0,"",ABRIL!S74)</f>
        <v>1020104-5</v>
      </c>
      <c r="T74" s="665" t="str">
        <f>+IF(ABRIL!T74=0,"",ABRIL!T74)</f>
        <v>Bonificación Convencional</v>
      </c>
      <c r="U74" s="27">
        <f>+ENERO!U74</f>
        <v>20961713</v>
      </c>
      <c r="V74" s="15">
        <f>ABRIL!V74+MAYO!AL74</f>
        <v>0</v>
      </c>
      <c r="W74" s="15">
        <f>ABRIL!W74+MAYO!AM74</f>
        <v>0</v>
      </c>
      <c r="X74" s="18">
        <f t="shared" si="72"/>
        <v>20961713</v>
      </c>
      <c r="Y74" s="19">
        <f>ABRIL!AA74</f>
        <v>0</v>
      </c>
      <c r="Z74" s="364">
        <v>0</v>
      </c>
      <c r="AA74" s="18">
        <f t="shared" si="73"/>
        <v>0</v>
      </c>
      <c r="AB74" s="19">
        <f>ABRIL!AD74</f>
        <v>0</v>
      </c>
      <c r="AC74" s="364">
        <v>0</v>
      </c>
      <c r="AD74" s="18">
        <f t="shared" si="74"/>
        <v>0</v>
      </c>
      <c r="AE74" s="19">
        <f>ABRIL!AG74</f>
        <v>0</v>
      </c>
      <c r="AF74" s="364">
        <v>0</v>
      </c>
      <c r="AG74" s="1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+IF(ABRIL!A75=0,"",ABRIL!A75)</f>
        <v>1130117</v>
      </c>
      <c r="B75" s="628" t="str">
        <f>+IF(ABRIL!B75=0,"",ABRIL!B75)</f>
        <v>CUOTAS DE RECUPERACION</v>
      </c>
      <c r="C75" s="43">
        <f t="shared" ref="C75:N75" si="80">SUM(C76:C77)</f>
        <v>351388967</v>
      </c>
      <c r="D75" s="44">
        <f t="shared" si="80"/>
        <v>0</v>
      </c>
      <c r="E75" s="44">
        <f t="shared" si="80"/>
        <v>260623</v>
      </c>
      <c r="F75" s="44">
        <f t="shared" si="80"/>
        <v>351649590</v>
      </c>
      <c r="G75" s="44">
        <f t="shared" si="80"/>
        <v>187358558</v>
      </c>
      <c r="H75" s="44">
        <f t="shared" si="80"/>
        <v>27757214</v>
      </c>
      <c r="I75" s="44">
        <f t="shared" si="80"/>
        <v>215115772</v>
      </c>
      <c r="J75" s="44">
        <f t="shared" si="80"/>
        <v>78302835</v>
      </c>
      <c r="K75" s="44">
        <f t="shared" si="80"/>
        <v>16201845</v>
      </c>
      <c r="L75" s="44">
        <f t="shared" si="80"/>
        <v>94504680</v>
      </c>
      <c r="M75" s="44">
        <f t="shared" si="80"/>
        <v>136533818</v>
      </c>
      <c r="N75" s="45">
        <f t="shared" si="80"/>
        <v>257144910</v>
      </c>
      <c r="P75" s="43">
        <f>SUM(P76:P77)</f>
        <v>0</v>
      </c>
      <c r="Q75" s="45">
        <f>SUM(Q76:Q77)</f>
        <v>0</v>
      </c>
      <c r="R75" s="9"/>
      <c r="S75" s="689" t="str">
        <f>+IF(ABRIL!S75=0,"",ABRIL!S75)</f>
        <v>1020104-6</v>
      </c>
      <c r="T75" s="665" t="str">
        <f>+IF(ABRIL!T75=0,"",ABRIL!T75)</f>
        <v>Auxilio de Transporte</v>
      </c>
      <c r="U75" s="27">
        <f>+ENERO!U75</f>
        <v>329885360</v>
      </c>
      <c r="V75" s="15">
        <f>ABRIL!V75+MAYO!AL75</f>
        <v>0</v>
      </c>
      <c r="W75" s="15">
        <f>ABRIL!W75+MAYO!AM75</f>
        <v>0</v>
      </c>
      <c r="X75" s="18">
        <f t="shared" si="72"/>
        <v>329885360</v>
      </c>
      <c r="Y75" s="19">
        <f>ABRIL!AA75</f>
        <v>2137938</v>
      </c>
      <c r="Z75" s="364">
        <v>494863</v>
      </c>
      <c r="AA75" s="18">
        <f t="shared" si="73"/>
        <v>2632801</v>
      </c>
      <c r="AB75" s="19">
        <f>ABRIL!AD75</f>
        <v>2137938</v>
      </c>
      <c r="AC75" s="364">
        <v>494863</v>
      </c>
      <c r="AD75" s="18">
        <f t="shared" si="74"/>
        <v>2632801</v>
      </c>
      <c r="AE75" s="19">
        <f>ABRIL!AG75</f>
        <v>2137938</v>
      </c>
      <c r="AF75" s="364">
        <v>494863</v>
      </c>
      <c r="AG75" s="18">
        <f t="shared" si="75"/>
        <v>2632801</v>
      </c>
      <c r="AH75" s="19">
        <f t="shared" si="76"/>
        <v>327252559</v>
      </c>
      <c r="AI75" s="15">
        <f t="shared" si="77"/>
        <v>327252559</v>
      </c>
      <c r="AJ75" s="16">
        <f t="shared" si="78"/>
        <v>327252559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+IF(ABRIL!A76=0,"",ABRIL!A76)</f>
        <v>1130117-1</v>
      </c>
      <c r="B76" s="629" t="str">
        <f>+CONCATENATE("Vigencia ",INSTRUCCIONES!$F$3)</f>
        <v>Vigencia 2019</v>
      </c>
      <c r="C76" s="655">
        <f>+ENERO!C76</f>
        <v>351388967</v>
      </c>
      <c r="D76" s="363">
        <f>ABRIL!D76+MAYO!P76</f>
        <v>0</v>
      </c>
      <c r="E76" s="363">
        <f>ABRIL!E76+MAYO!Q76</f>
        <v>0</v>
      </c>
      <c r="F76" s="363">
        <f t="shared" ref="F76:F83" si="81">SUM(C76:E76)</f>
        <v>351388967</v>
      </c>
      <c r="G76" s="363">
        <f>ABRIL!I76</f>
        <v>187067935</v>
      </c>
      <c r="H76" s="364">
        <v>27757214</v>
      </c>
      <c r="I76" s="363">
        <f t="shared" ref="I76:I83" si="82">SUM(G76:H76)</f>
        <v>214825149</v>
      </c>
      <c r="J76" s="363">
        <f>ABRIL!L76</f>
        <v>78012212</v>
      </c>
      <c r="K76" s="364">
        <v>16201845</v>
      </c>
      <c r="L76" s="363">
        <f t="shared" ref="L76:L83" si="83">SUM(J76:K76)</f>
        <v>94214057</v>
      </c>
      <c r="M76" s="363">
        <f t="shared" ref="M76:M83" si="84">F76-I76</f>
        <v>136563818</v>
      </c>
      <c r="N76" s="143">
        <f t="shared" ref="N76:N83" si="85">F76-L76</f>
        <v>257174910</v>
      </c>
      <c r="O76" s="372"/>
      <c r="P76" s="362">
        <v>0</v>
      </c>
      <c r="Q76" s="365">
        <v>0</v>
      </c>
      <c r="R76" s="9"/>
      <c r="S76" s="689" t="str">
        <f>+IF(ABRIL!S76=0,"",ABRIL!S76)</f>
        <v>1020104-7</v>
      </c>
      <c r="T76" s="665" t="str">
        <f>+IF(ABRIL!T76=0,"",ABRIL!T76)</f>
        <v>Auxilio de Alimentación</v>
      </c>
      <c r="U76" s="27">
        <f>+ENERO!U76</f>
        <v>0</v>
      </c>
      <c r="V76" s="15">
        <f>ABRIL!V76+MAYO!AL76</f>
        <v>0</v>
      </c>
      <c r="W76" s="15">
        <f>ABRIL!W76+MAYO!AM76</f>
        <v>0</v>
      </c>
      <c r="X76" s="18">
        <f t="shared" si="72"/>
        <v>0</v>
      </c>
      <c r="Y76" s="19">
        <f>ABRIL!AA76</f>
        <v>0</v>
      </c>
      <c r="Z76" s="364">
        <v>0</v>
      </c>
      <c r="AA76" s="18">
        <f t="shared" si="73"/>
        <v>0</v>
      </c>
      <c r="AB76" s="19">
        <f>ABRIL!AD76</f>
        <v>0</v>
      </c>
      <c r="AC76" s="364">
        <v>0</v>
      </c>
      <c r="AD76" s="18">
        <f t="shared" si="74"/>
        <v>0</v>
      </c>
      <c r="AE76" s="19">
        <f>ABRIL!AG76</f>
        <v>0</v>
      </c>
      <c r="AF76" s="364">
        <v>0</v>
      </c>
      <c r="AG76" s="1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+IF(ABRIL!A77=0,"",ABRIL!A77)</f>
        <v>1130117-2</v>
      </c>
      <c r="B77" s="629" t="str">
        <f>+IF(ABRIL!B77=0,"",ABRIL!B77)</f>
        <v>Vigencia Anterior</v>
      </c>
      <c r="C77" s="655">
        <f>+ENERO!C77</f>
        <v>0</v>
      </c>
      <c r="D77" s="363">
        <f>ABRIL!D77+MAYO!P77</f>
        <v>0</v>
      </c>
      <c r="E77" s="363">
        <f>ABRIL!E77+MAYO!Q77</f>
        <v>260623</v>
      </c>
      <c r="F77" s="363">
        <f t="shared" si="81"/>
        <v>260623</v>
      </c>
      <c r="G77" s="363">
        <f>ABRIL!I77</f>
        <v>290623</v>
      </c>
      <c r="H77" s="364">
        <v>0</v>
      </c>
      <c r="I77" s="363">
        <f t="shared" si="82"/>
        <v>290623</v>
      </c>
      <c r="J77" s="363">
        <f>ABRIL!L77</f>
        <v>290623</v>
      </c>
      <c r="K77" s="364">
        <v>0</v>
      </c>
      <c r="L77" s="363">
        <f t="shared" si="83"/>
        <v>290623</v>
      </c>
      <c r="M77" s="363">
        <f t="shared" si="84"/>
        <v>-30000</v>
      </c>
      <c r="N77" s="143">
        <f t="shared" si="85"/>
        <v>-30000</v>
      </c>
      <c r="O77" s="372"/>
      <c r="P77" s="362">
        <v>0</v>
      </c>
      <c r="Q77" s="365">
        <v>0</v>
      </c>
      <c r="R77" s="9"/>
      <c r="S77" s="689" t="str">
        <f>+IF(ABRIL!S77=0,"",ABRIL!S77)</f>
        <v>1020104-8</v>
      </c>
      <c r="T77" s="665" t="str">
        <f>+IF(ABRIL!T77=0,"",ABRIL!T77)</f>
        <v>Indemnizaciones por Vacaciones o Supresión de Cargos por Reestructuración</v>
      </c>
      <c r="U77" s="27">
        <f>+ENERO!U77</f>
        <v>0</v>
      </c>
      <c r="V77" s="15">
        <f>ABRIL!V77+MAYO!AL77</f>
        <v>0</v>
      </c>
      <c r="W77" s="15">
        <f>ABRIL!W77+MAYO!AM77</f>
        <v>0</v>
      </c>
      <c r="X77" s="18">
        <f t="shared" si="72"/>
        <v>0</v>
      </c>
      <c r="Y77" s="19">
        <f>ABRIL!AA77</f>
        <v>0</v>
      </c>
      <c r="Z77" s="364">
        <v>0</v>
      </c>
      <c r="AA77" s="18">
        <f t="shared" si="73"/>
        <v>0</v>
      </c>
      <c r="AB77" s="19">
        <f>ABRIL!AD77</f>
        <v>0</v>
      </c>
      <c r="AC77" s="364">
        <v>0</v>
      </c>
      <c r="AD77" s="18">
        <f t="shared" si="74"/>
        <v>0</v>
      </c>
      <c r="AE77" s="19">
        <f>ABRIL!AG77</f>
        <v>0</v>
      </c>
      <c r="AF77" s="364">
        <v>0</v>
      </c>
      <c r="AG77" s="1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+IF(ABRIL!A78=0,"",ABRIL!A78)</f>
        <v>1130118</v>
      </c>
      <c r="B78" s="628" t="str">
        <f>+IF(ABRIL!B78=0,"",ABRIL!B78)</f>
        <v>PARTICULARES   (Venta de Contado)</v>
      </c>
      <c r="C78" s="43">
        <f>SUM(C79:C80)</f>
        <v>209613681</v>
      </c>
      <c r="D78" s="44">
        <f>SUM(D79:D80)</f>
        <v>0</v>
      </c>
      <c r="E78" s="44">
        <f>SUM(E79:E80)</f>
        <v>14766050</v>
      </c>
      <c r="F78" s="44">
        <f t="shared" si="81"/>
        <v>224379731</v>
      </c>
      <c r="G78" s="44">
        <f>SUM(G79:G80)</f>
        <v>199310956</v>
      </c>
      <c r="H78" s="44">
        <f>SUM(H79:H80)</f>
        <v>31819084</v>
      </c>
      <c r="I78" s="44">
        <f t="shared" si="82"/>
        <v>231130040</v>
      </c>
      <c r="J78" s="44">
        <f>SUM(J79:J80)</f>
        <v>154484085</v>
      </c>
      <c r="K78" s="44">
        <f>SUM(K79:K80)</f>
        <v>52695493</v>
      </c>
      <c r="L78" s="44">
        <f t="shared" si="83"/>
        <v>207179578</v>
      </c>
      <c r="M78" s="44">
        <f t="shared" si="84"/>
        <v>-6750309</v>
      </c>
      <c r="N78" s="45">
        <f t="shared" si="85"/>
        <v>17200153</v>
      </c>
      <c r="O78" s="372"/>
      <c r="P78" s="43">
        <f>SUM(P79:P80)</f>
        <v>0</v>
      </c>
      <c r="Q78" s="45">
        <f>SUM(Q79:Q80)</f>
        <v>0</v>
      </c>
      <c r="R78" s="9"/>
      <c r="S78" s="689" t="str">
        <f>+IF(ABRIL!S78=0,"",ABRIL!S78)</f>
        <v>1020104-9</v>
      </c>
      <c r="T78" s="665" t="str">
        <f>+IF(ABRIL!T78=0,"",ABRIL!T78)</f>
        <v>Bonificación Especial por Recreación</v>
      </c>
      <c r="U78" s="27">
        <f>+ENERO!U78</f>
        <v>20961713</v>
      </c>
      <c r="V78" s="15">
        <f>ABRIL!V78+MAYO!AL78</f>
        <v>0</v>
      </c>
      <c r="W78" s="15">
        <f>ABRIL!W78+MAYO!AM78</f>
        <v>0</v>
      </c>
      <c r="X78" s="18">
        <f t="shared" si="72"/>
        <v>20961713</v>
      </c>
      <c r="Y78" s="19">
        <f>ABRIL!AA78</f>
        <v>1936299</v>
      </c>
      <c r="Z78" s="364">
        <v>688825</v>
      </c>
      <c r="AA78" s="18">
        <f>SUM(Y78:Z78)</f>
        <v>2625124</v>
      </c>
      <c r="AB78" s="19">
        <f>ABRIL!AD78</f>
        <v>1936299</v>
      </c>
      <c r="AC78" s="364">
        <v>688825</v>
      </c>
      <c r="AD78" s="18">
        <f t="shared" si="74"/>
        <v>2625124</v>
      </c>
      <c r="AE78" s="19">
        <f>ABRIL!AG78</f>
        <v>1936299</v>
      </c>
      <c r="AF78" s="364">
        <v>688825</v>
      </c>
      <c r="AG78" s="18">
        <f t="shared" si="75"/>
        <v>2625124</v>
      </c>
      <c r="AH78" s="19">
        <f t="shared" si="76"/>
        <v>18336589</v>
      </c>
      <c r="AI78" s="15">
        <f t="shared" si="77"/>
        <v>18336589</v>
      </c>
      <c r="AJ78" s="16">
        <f t="shared" si="78"/>
        <v>18336589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+IF(ABRIL!A79=0,"",ABRIL!A79)</f>
        <v>1130118-1</v>
      </c>
      <c r="B79" s="629" t="str">
        <f>+CONCATENATE("Vigencia ",INSTRUCCIONES!$F$3)</f>
        <v>Vigencia 2019</v>
      </c>
      <c r="C79" s="655">
        <f>+ENERO!C79</f>
        <v>209613681</v>
      </c>
      <c r="D79" s="363">
        <f>ABRIL!D79+MAYO!P79</f>
        <v>0</v>
      </c>
      <c r="E79" s="363">
        <f>ABRIL!E79+MAYO!Q79</f>
        <v>0</v>
      </c>
      <c r="F79" s="363">
        <f t="shared" si="81"/>
        <v>209613681</v>
      </c>
      <c r="G79" s="363">
        <f>ABRIL!I79</f>
        <v>183481493</v>
      </c>
      <c r="H79" s="364">
        <v>29152012</v>
      </c>
      <c r="I79" s="454">
        <f t="shared" si="82"/>
        <v>212633505</v>
      </c>
      <c r="J79" s="363">
        <f>ABRIL!L79</f>
        <v>138654622</v>
      </c>
      <c r="K79" s="364">
        <v>50028421</v>
      </c>
      <c r="L79" s="454">
        <f t="shared" si="83"/>
        <v>188683043</v>
      </c>
      <c r="M79" s="363">
        <f t="shared" si="84"/>
        <v>-3019824</v>
      </c>
      <c r="N79" s="143">
        <f t="shared" si="85"/>
        <v>20930638</v>
      </c>
      <c r="P79" s="362">
        <v>0</v>
      </c>
      <c r="Q79" s="365">
        <v>0</v>
      </c>
      <c r="R79" s="9"/>
      <c r="S79" s="689" t="str">
        <f>+IF(ABRIL!S79=0,"",ABRIL!S79)</f>
        <v>1020104-10</v>
      </c>
      <c r="T79" s="665" t="str">
        <f>+IF(ABRIL!T79=0,"",ABRIL!T79)</f>
        <v/>
      </c>
      <c r="U79" s="27">
        <f>+ENERO!U79</f>
        <v>0</v>
      </c>
      <c r="V79" s="15">
        <f>ABRIL!V79+MAYO!AL79</f>
        <v>0</v>
      </c>
      <c r="W79" s="15">
        <f>ABRIL!W79+MAYO!AM79</f>
        <v>0</v>
      </c>
      <c r="X79" s="18">
        <f t="shared" si="72"/>
        <v>0</v>
      </c>
      <c r="Y79" s="19">
        <f>ABRIL!AA79</f>
        <v>0</v>
      </c>
      <c r="Z79" s="364">
        <v>0</v>
      </c>
      <c r="AA79" s="18">
        <f t="shared" si="73"/>
        <v>0</v>
      </c>
      <c r="AB79" s="19">
        <f>ABRIL!AD79</f>
        <v>0</v>
      </c>
      <c r="AC79" s="364">
        <v>0</v>
      </c>
      <c r="AD79" s="18">
        <f t="shared" si="74"/>
        <v>0</v>
      </c>
      <c r="AE79" s="19">
        <f>ABRIL!AG79</f>
        <v>0</v>
      </c>
      <c r="AF79" s="364">
        <v>0</v>
      </c>
      <c r="AG79" s="1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+IF(ABRIL!A80=0,"",ABRIL!A80)</f>
        <v>1130118-2</v>
      </c>
      <c r="B80" s="629" t="str">
        <f>+IF(ABRIL!B80=0,"",ABRIL!B80)</f>
        <v>Vigencia Anterior</v>
      </c>
      <c r="C80" s="655">
        <f>+ENERO!C80</f>
        <v>0</v>
      </c>
      <c r="D80" s="363">
        <f>ABRIL!D80+MAYO!P80</f>
        <v>0</v>
      </c>
      <c r="E80" s="363">
        <f>ABRIL!E80+MAYO!Q80</f>
        <v>14766050</v>
      </c>
      <c r="F80" s="363">
        <f t="shared" si="81"/>
        <v>14766050</v>
      </c>
      <c r="G80" s="363">
        <f>ABRIL!I80</f>
        <v>15829463</v>
      </c>
      <c r="H80" s="824">
        <v>2667072</v>
      </c>
      <c r="I80" s="363">
        <f t="shared" si="82"/>
        <v>18496535</v>
      </c>
      <c r="J80" s="363">
        <f>ABRIL!L80</f>
        <v>15829463</v>
      </c>
      <c r="K80" s="364">
        <v>2667072</v>
      </c>
      <c r="L80" s="363">
        <f t="shared" si="83"/>
        <v>18496535</v>
      </c>
      <c r="M80" s="363">
        <f t="shared" si="84"/>
        <v>-3730485</v>
      </c>
      <c r="N80" s="143">
        <f t="shared" si="85"/>
        <v>-3730485</v>
      </c>
      <c r="O80" s="372"/>
      <c r="P80" s="362">
        <v>0</v>
      </c>
      <c r="Q80" s="365">
        <v>0</v>
      </c>
      <c r="S80" s="689" t="str">
        <f>+IF(ABRIL!S80=0,"",ABRIL!S80)</f>
        <v>1020104-11</v>
      </c>
      <c r="T80" s="665" t="str">
        <f>+IF(ABRIL!T80=0,"",ABRIL!T80)</f>
        <v/>
      </c>
      <c r="U80" s="27">
        <f>+ENERO!U80</f>
        <v>0</v>
      </c>
      <c r="V80" s="15">
        <f>ABRIL!V80+MAYO!AL80</f>
        <v>0</v>
      </c>
      <c r="W80" s="15">
        <f>ABRIL!W80+MAYO!AM80</f>
        <v>0</v>
      </c>
      <c r="X80" s="18">
        <f t="shared" si="72"/>
        <v>0</v>
      </c>
      <c r="Y80" s="19">
        <f>ABRIL!AA80</f>
        <v>0</v>
      </c>
      <c r="Z80" s="364">
        <v>0</v>
      </c>
      <c r="AA80" s="18">
        <f t="shared" si="73"/>
        <v>0</v>
      </c>
      <c r="AB80" s="19">
        <f>ABRIL!AD80</f>
        <v>0</v>
      </c>
      <c r="AC80" s="364">
        <v>0</v>
      </c>
      <c r="AD80" s="18">
        <f t="shared" si="74"/>
        <v>0</v>
      </c>
      <c r="AE80" s="19">
        <f>ABRIL!AG80</f>
        <v>0</v>
      </c>
      <c r="AF80" s="364">
        <v>0</v>
      </c>
      <c r="AG80" s="1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+IF(ABRIL!A81=0,"",ABRIL!A81)</f>
        <v>1130119</v>
      </c>
      <c r="B81" s="632" t="str">
        <f>+IF(ABRIL!B81=0,"",ABRIL!B81)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688">
        <f>+IF(ABRIL!S81=0,"",ABRIL!S81)</f>
        <v>1020199</v>
      </c>
      <c r="T81" s="664" t="str">
        <f>+IF(ABRIL!T81=0,"",ABRIL!T81)</f>
        <v>Vigencias Anteriores</v>
      </c>
      <c r="U81" s="27">
        <f>+ENERO!U81</f>
        <v>0</v>
      </c>
      <c r="V81" s="15">
        <f>ABRIL!V81+MAYO!AL81</f>
        <v>0</v>
      </c>
      <c r="W81" s="15">
        <f>ABRIL!W81+MAYO!AM81</f>
        <v>0</v>
      </c>
      <c r="X81" s="18">
        <f t="shared" si="72"/>
        <v>0</v>
      </c>
      <c r="Y81" s="19">
        <f>ABRIL!AA81</f>
        <v>0</v>
      </c>
      <c r="Z81" s="364">
        <v>0</v>
      </c>
      <c r="AA81" s="18">
        <f t="shared" si="73"/>
        <v>0</v>
      </c>
      <c r="AB81" s="19">
        <f>ABRIL!AD81</f>
        <v>0</v>
      </c>
      <c r="AC81" s="364">
        <v>0</v>
      </c>
      <c r="AD81" s="18">
        <f t="shared" si="74"/>
        <v>0</v>
      </c>
      <c r="AE81" s="19">
        <f>ABRIL!AG81</f>
        <v>0</v>
      </c>
      <c r="AF81" s="364">
        <v>0</v>
      </c>
      <c r="AG81" s="1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+IF(ABRIL!A82=0,"",ABRIL!A82)</f>
        <v>1130119-1</v>
      </c>
      <c r="B82" s="629" t="str">
        <f>+CONCATENATE("Vigencia ",INSTRUCCIONES!$F$3)</f>
        <v>Vigencia 2019</v>
      </c>
      <c r="C82" s="655">
        <f>+ENERO!C82</f>
        <v>0</v>
      </c>
      <c r="D82" s="363">
        <f>ABRIL!D82+MAYO!P82</f>
        <v>0</v>
      </c>
      <c r="E82" s="363">
        <f>ABRIL!E82+MAYO!Q82</f>
        <v>0</v>
      </c>
      <c r="F82" s="363">
        <f t="shared" si="81"/>
        <v>0</v>
      </c>
      <c r="G82" s="363">
        <f>ABRIL!I82</f>
        <v>0</v>
      </c>
      <c r="H82" s="364">
        <v>0</v>
      </c>
      <c r="I82" s="363">
        <f t="shared" si="82"/>
        <v>0</v>
      </c>
      <c r="J82" s="363">
        <f>ABRIL!L82</f>
        <v>0</v>
      </c>
      <c r="K82" s="364">
        <v>0</v>
      </c>
      <c r="L82" s="363">
        <f t="shared" si="83"/>
        <v>0</v>
      </c>
      <c r="M82" s="363">
        <f t="shared" si="84"/>
        <v>0</v>
      </c>
      <c r="N82" s="143">
        <f t="shared" si="85"/>
        <v>0</v>
      </c>
      <c r="P82" s="362">
        <v>0</v>
      </c>
      <c r="Q82" s="365">
        <v>0</v>
      </c>
      <c r="R82" s="9"/>
      <c r="S82" s="356" t="str">
        <f>+IF(ABRIL!S82=0,"",ABRIL!S82)</f>
        <v/>
      </c>
      <c r="T82" s="678" t="str">
        <f>+IF(ABRIL!T82=0,"",ABRIL!T82)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+IF(ABRIL!A83=0,"",ABRIL!A83)</f>
        <v>1130119-2</v>
      </c>
      <c r="B83" s="633" t="str">
        <f>+IF(ABRIL!B83=0,"",ABRIL!B83)</f>
        <v>Vigencia Anterior</v>
      </c>
      <c r="C83" s="759">
        <f>+ENERO!C83</f>
        <v>0</v>
      </c>
      <c r="D83" s="375">
        <f>ABRIL!D83+MAYO!P83</f>
        <v>0</v>
      </c>
      <c r="E83" s="375">
        <f>ABRIL!E83+MAYO!Q83</f>
        <v>0</v>
      </c>
      <c r="F83" s="375">
        <f t="shared" si="81"/>
        <v>0</v>
      </c>
      <c r="G83" s="375">
        <f>ABRIL!I83</f>
        <v>0</v>
      </c>
      <c r="H83" s="378">
        <v>0</v>
      </c>
      <c r="I83" s="375">
        <f t="shared" si="82"/>
        <v>0</v>
      </c>
      <c r="J83" s="375">
        <f>ABRIL!L83</f>
        <v>0</v>
      </c>
      <c r="K83" s="378">
        <v>0</v>
      </c>
      <c r="L83" s="375">
        <f t="shared" si="83"/>
        <v>0</v>
      </c>
      <c r="M83" s="375">
        <f t="shared" si="84"/>
        <v>0</v>
      </c>
      <c r="N83" s="376">
        <f t="shared" si="85"/>
        <v>0</v>
      </c>
      <c r="P83" s="362">
        <v>0</v>
      </c>
      <c r="Q83" s="365">
        <v>0</v>
      </c>
      <c r="R83" s="9"/>
      <c r="S83" s="687">
        <f>+IF(ABRIL!S83=0,"",ABRIL!S83)</f>
        <v>1020200</v>
      </c>
      <c r="T83" s="663" t="str">
        <f>+IF(ABRIL!T83=0,"",ABRIL!T83)</f>
        <v>Servicios Personales Indirectos</v>
      </c>
      <c r="U83" s="132">
        <f t="shared" ref="U83:AJ83" si="87">SUM(U84:U88)</f>
        <v>21292467542</v>
      </c>
      <c r="V83" s="122">
        <f t="shared" si="87"/>
        <v>0</v>
      </c>
      <c r="W83" s="122">
        <f t="shared" si="87"/>
        <v>1640000000</v>
      </c>
      <c r="X83" s="129">
        <f t="shared" si="87"/>
        <v>22932467542</v>
      </c>
      <c r="Y83" s="128">
        <f t="shared" si="87"/>
        <v>21074849832</v>
      </c>
      <c r="Z83" s="122">
        <f t="shared" si="87"/>
        <v>1151310867</v>
      </c>
      <c r="AA83" s="129">
        <f t="shared" si="87"/>
        <v>22226160699</v>
      </c>
      <c r="AB83" s="128">
        <f t="shared" si="87"/>
        <v>9691228384</v>
      </c>
      <c r="AC83" s="122">
        <f t="shared" si="87"/>
        <v>1952576612</v>
      </c>
      <c r="AD83" s="129">
        <f t="shared" si="87"/>
        <v>11643804996</v>
      </c>
      <c r="AE83" s="128">
        <f t="shared" si="87"/>
        <v>4845550155</v>
      </c>
      <c r="AF83" s="122">
        <f t="shared" si="87"/>
        <v>1373620745</v>
      </c>
      <c r="AG83" s="129">
        <f t="shared" si="87"/>
        <v>6219170900</v>
      </c>
      <c r="AH83" s="128">
        <f t="shared" si="87"/>
        <v>706306843</v>
      </c>
      <c r="AI83" s="122">
        <f t="shared" si="87"/>
        <v>11288662546</v>
      </c>
      <c r="AJ83" s="130">
        <f t="shared" si="87"/>
        <v>16713296642</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+IF(ABRIL!A84=0,"",ABRIL!A84)</f>
        <v/>
      </c>
      <c r="B84" s="634" t="str">
        <f>+IF(ABRIL!B84=0,"",ABRIL!B84)</f>
        <v/>
      </c>
      <c r="C84" s="284"/>
      <c r="D84" s="284"/>
      <c r="E84" s="284"/>
      <c r="F84" s="284"/>
      <c r="G84" s="284"/>
      <c r="H84" s="284"/>
      <c r="I84" s="284"/>
      <c r="J84" s="284"/>
      <c r="K84" s="284"/>
      <c r="L84" s="284"/>
      <c r="M84" s="284"/>
      <c r="N84" s="453"/>
      <c r="O84" s="451"/>
      <c r="P84" s="457"/>
      <c r="Q84" s="381"/>
      <c r="R84" s="9"/>
      <c r="S84" s="688" t="str">
        <f>+IF(ABRIL!S84=0,"",ABRIL!S84)</f>
        <v>1020200-1</v>
      </c>
      <c r="T84" s="664" t="str">
        <f>+IF(ABRIL!T84=0,"",ABRIL!T84)</f>
        <v>Remuneración y Honorarios por Servicios Técnicos y Profesionales</v>
      </c>
      <c r="U84" s="27">
        <f>+ENERO!U84</f>
        <v>304448100</v>
      </c>
      <c r="V84" s="15">
        <f>ABRIL!V84+MAYO!AL84</f>
        <v>110000000</v>
      </c>
      <c r="W84" s="15">
        <f>ABRIL!W84+MAYO!AM84</f>
        <v>90000000</v>
      </c>
      <c r="X84" s="18">
        <f>SUM(U84:W84)</f>
        <v>504448100</v>
      </c>
      <c r="Y84" s="19">
        <f>ABRIL!AA84</f>
        <v>304122910</v>
      </c>
      <c r="Z84" s="364">
        <v>193000000</v>
      </c>
      <c r="AA84" s="18">
        <f>SUM(Y84:Z84)</f>
        <v>497122910</v>
      </c>
      <c r="AB84" s="19">
        <f>ABRIL!AD84</f>
        <v>80970460</v>
      </c>
      <c r="AC84" s="364">
        <v>40331199</v>
      </c>
      <c r="AD84" s="18">
        <f>SUM(AB84:AC84)</f>
        <v>121301659</v>
      </c>
      <c r="AE84" s="19">
        <f>ABRIL!AG84</f>
        <v>40288423</v>
      </c>
      <c r="AF84" s="364">
        <v>25584388</v>
      </c>
      <c r="AG84" s="18">
        <f>SUM(AE84:AF84)</f>
        <v>65872811</v>
      </c>
      <c r="AH84" s="19">
        <f>X84-AA84</f>
        <v>7325190</v>
      </c>
      <c r="AI84" s="15">
        <f>X84-AD84</f>
        <v>383146441</v>
      </c>
      <c r="AJ84" s="16">
        <f>X84-AG84</f>
        <v>438575289</v>
      </c>
      <c r="AK84" s="9"/>
      <c r="AL84" s="362">
        <v>110000000</v>
      </c>
      <c r="AM84" s="365">
        <v>0</v>
      </c>
      <c r="AN84" s="9"/>
      <c r="AO84" s="284"/>
      <c r="AP84" s="284"/>
      <c r="AQ84" s="284"/>
      <c r="AR84" s="284"/>
      <c r="AS84" s="284"/>
      <c r="AT84" s="284"/>
      <c r="AU84" s="284"/>
      <c r="AV84" s="284"/>
      <c r="AW84" s="284"/>
      <c r="AX84" s="284"/>
      <c r="AY84" s="284"/>
      <c r="AZ84" s="284"/>
    </row>
    <row r="85" spans="1:70" s="372" customFormat="1" ht="24.95" customHeight="1">
      <c r="A85" s="718">
        <f>+IF(ABRIL!A85=0,"",ABRIL!A85)</f>
        <v>11302</v>
      </c>
      <c r="B85" s="635" t="str">
        <f>+IF(ABRIL!B85=0,"",ABRIL!B85)</f>
        <v>Otras Ventas de Servicios de Salud</v>
      </c>
      <c r="C85" s="600">
        <f t="shared" ref="C85:N85" si="88">SUM(C86:C92)</f>
        <v>0</v>
      </c>
      <c r="D85" s="598">
        <f t="shared" si="88"/>
        <v>0</v>
      </c>
      <c r="E85" s="598">
        <f t="shared" si="88"/>
        <v>12200562275</v>
      </c>
      <c r="F85" s="598">
        <f t="shared" si="88"/>
        <v>12200562275</v>
      </c>
      <c r="G85" s="598">
        <f t="shared" si="88"/>
        <v>2183032731</v>
      </c>
      <c r="H85" s="598">
        <f t="shared" si="88"/>
        <v>1788947504</v>
      </c>
      <c r="I85" s="598">
        <f t="shared" si="88"/>
        <v>3971980235</v>
      </c>
      <c r="J85" s="598">
        <f t="shared" si="88"/>
        <v>2183032731</v>
      </c>
      <c r="K85" s="598">
        <f t="shared" si="88"/>
        <v>1788947504</v>
      </c>
      <c r="L85" s="598">
        <f t="shared" si="88"/>
        <v>3971980235</v>
      </c>
      <c r="M85" s="598">
        <f t="shared" si="88"/>
        <v>8228582040</v>
      </c>
      <c r="N85" s="599">
        <f t="shared" si="88"/>
        <v>8228582040</v>
      </c>
      <c r="P85" s="43">
        <f>SUM(P86:P92)</f>
        <v>0</v>
      </c>
      <c r="Q85" s="45">
        <f>SUM(Q86:Q92)</f>
        <v>0</v>
      </c>
      <c r="R85" s="9"/>
      <c r="S85" s="688" t="str">
        <f>+IF(ABRIL!S85=0,"",ABRIL!S85)</f>
        <v>1020200-2</v>
      </c>
      <c r="T85" s="664" t="str">
        <f>+IF(ABRIL!T85=0,"",ABRIL!T85)</f>
        <v>Personal Supernumerario</v>
      </c>
      <c r="U85" s="27">
        <f>+ENERO!U85</f>
        <v>0</v>
      </c>
      <c r="V85" s="15">
        <f>ABRIL!V85+MAYO!AL85</f>
        <v>0</v>
      </c>
      <c r="W85" s="15">
        <f>ABRIL!W85+MAYO!AM85</f>
        <v>0</v>
      </c>
      <c r="X85" s="18">
        <f>SUM(U85:W85)</f>
        <v>0</v>
      </c>
      <c r="Y85" s="19">
        <f>ABRIL!AA85</f>
        <v>0</v>
      </c>
      <c r="Z85" s="364">
        <v>0</v>
      </c>
      <c r="AA85" s="18">
        <f>SUM(Y85:Z85)</f>
        <v>0</v>
      </c>
      <c r="AB85" s="19">
        <f>ABRIL!AD85</f>
        <v>0</v>
      </c>
      <c r="AC85" s="364">
        <v>0</v>
      </c>
      <c r="AD85" s="18">
        <f>SUM(AB85:AC85)</f>
        <v>0</v>
      </c>
      <c r="AE85" s="19">
        <f>ABRIL!AG85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+IF(ABRIL!A86=0,"",ABRIL!A86)</f>
        <v>1130201</v>
      </c>
      <c r="B86" s="647" t="str">
        <f>+IF(ABRIL!B86=0,"",ABRIL!B86)</f>
        <v/>
      </c>
      <c r="C86" s="654">
        <f>+ENERO!C86</f>
        <v>0</v>
      </c>
      <c r="D86" s="363">
        <f>ABRIL!D86+MAYO!P86</f>
        <v>0</v>
      </c>
      <c r="E86" s="363">
        <f>ABRIL!E86+MAYO!Q86</f>
        <v>0</v>
      </c>
      <c r="F86" s="363">
        <f t="shared" ref="F86:F92" si="89">SUM(C86:E86)</f>
        <v>0</v>
      </c>
      <c r="G86" s="363">
        <f>ABRIL!I86</f>
        <v>0</v>
      </c>
      <c r="H86" s="364">
        <v>0</v>
      </c>
      <c r="I86" s="363">
        <f t="shared" ref="I86:I92" si="90">SUM(G86:H86)</f>
        <v>0</v>
      </c>
      <c r="J86" s="363">
        <f>ABRIL!L86</f>
        <v>0</v>
      </c>
      <c r="K86" s="364">
        <v>0</v>
      </c>
      <c r="L86" s="363">
        <f t="shared" ref="L86:L92" si="91">SUM(J86:K86)</f>
        <v>0</v>
      </c>
      <c r="M86" s="363">
        <f t="shared" ref="M86:M92" si="92">F86-I86</f>
        <v>0</v>
      </c>
      <c r="N86" s="143">
        <f t="shared" ref="N86:N92" si="93">F86-L86</f>
        <v>0</v>
      </c>
      <c r="O86" s="372"/>
      <c r="P86" s="362">
        <v>0</v>
      </c>
      <c r="Q86" s="365">
        <v>0</v>
      </c>
      <c r="S86" s="688" t="str">
        <f>+IF(ABRIL!S86=0,"",ABRIL!S86)</f>
        <v>1020200-3</v>
      </c>
      <c r="T86" s="664" t="str">
        <f>+IF(ABRIL!T86=0,"",ABRIL!T86)</f>
        <v>Otros Honorarios</v>
      </c>
      <c r="U86" s="27">
        <f>+ENERO!U86</f>
        <v>18988019442</v>
      </c>
      <c r="V86" s="15">
        <f>ABRIL!V86+MAYO!AL86</f>
        <v>-1110000000</v>
      </c>
      <c r="W86" s="15">
        <f>ABRIL!W86+MAYO!AM86</f>
        <v>50000000</v>
      </c>
      <c r="X86" s="18">
        <f>SUM(U86:W86)</f>
        <v>17928019442</v>
      </c>
      <c r="Y86" s="19">
        <f>ABRIL!AA86</f>
        <v>16659785509</v>
      </c>
      <c r="Z86" s="364">
        <v>740000000</v>
      </c>
      <c r="AA86" s="18">
        <f>SUM(Y86:Z86)</f>
        <v>17399785509</v>
      </c>
      <c r="AB86" s="19">
        <f>ABRIL!AD86</f>
        <v>5499316511</v>
      </c>
      <c r="AC86" s="364">
        <v>1693934546</v>
      </c>
      <c r="AD86" s="18">
        <f>SUM(AB86:AC86)</f>
        <v>7193251057</v>
      </c>
      <c r="AE86" s="19">
        <f>ABRIL!AG86</f>
        <v>694320319</v>
      </c>
      <c r="AF86" s="364">
        <v>1129725490</v>
      </c>
      <c r="AG86" s="18">
        <f>SUM(AE86:AF86)</f>
        <v>1824045809</v>
      </c>
      <c r="AH86" s="19">
        <f>X86-AA86</f>
        <v>528233933</v>
      </c>
      <c r="AI86" s="15">
        <f>X86-AD86</f>
        <v>10734768385</v>
      </c>
      <c r="AJ86" s="16">
        <f>X86-AG86</f>
        <v>16103973633</v>
      </c>
      <c r="AL86" s="362">
        <v>-110000000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+IF(ABRIL!A87=0,"",ABRIL!A87)</f>
        <v>1130202</v>
      </c>
      <c r="B87" s="647" t="str">
        <f>+IF(ABRIL!B87=0,"",ABRIL!B87)</f>
        <v/>
      </c>
      <c r="C87" s="654">
        <f>+ENERO!C87</f>
        <v>0</v>
      </c>
      <c r="D87" s="363">
        <f>ABRIL!D87+MAYO!P87</f>
        <v>0</v>
      </c>
      <c r="E87" s="363">
        <f>ABRIL!E87+MAYO!Q87</f>
        <v>0</v>
      </c>
      <c r="F87" s="363">
        <f t="shared" si="89"/>
        <v>0</v>
      </c>
      <c r="G87" s="363">
        <f>ABRIL!I87</f>
        <v>0</v>
      </c>
      <c r="H87" s="364">
        <v>0</v>
      </c>
      <c r="I87" s="363">
        <f t="shared" si="90"/>
        <v>0</v>
      </c>
      <c r="J87" s="363">
        <f>ABRIL!L87</f>
        <v>0</v>
      </c>
      <c r="K87" s="364">
        <v>0</v>
      </c>
      <c r="L87" s="363">
        <f t="shared" si="91"/>
        <v>0</v>
      </c>
      <c r="M87" s="363">
        <f t="shared" si="92"/>
        <v>0</v>
      </c>
      <c r="N87" s="143">
        <f t="shared" si="93"/>
        <v>0</v>
      </c>
      <c r="P87" s="362">
        <v>0</v>
      </c>
      <c r="Q87" s="365">
        <v>0</v>
      </c>
      <c r="R87" s="9"/>
      <c r="S87" s="688" t="str">
        <f>+IF(ABRIL!S87=0,"",ABRIL!S87)</f>
        <v>1020200-4</v>
      </c>
      <c r="T87" s="664" t="str">
        <f>+IF(ABRIL!T87=0,"",ABRIL!T87)</f>
        <v/>
      </c>
      <c r="U87" s="27">
        <f>+ENERO!U87</f>
        <v>0</v>
      </c>
      <c r="V87" s="15">
        <f>ABRIL!V87+MAYO!AL87</f>
        <v>0</v>
      </c>
      <c r="W87" s="15">
        <f>ABRIL!W87+MAYO!AM87</f>
        <v>0</v>
      </c>
      <c r="X87" s="18">
        <f>SUM(U87:W87)</f>
        <v>0</v>
      </c>
      <c r="Y87" s="19">
        <f>ABRIL!AA87</f>
        <v>0</v>
      </c>
      <c r="Z87" s="364">
        <v>0</v>
      </c>
      <c r="AA87" s="18">
        <f>SUM(Y87:Z87)</f>
        <v>0</v>
      </c>
      <c r="AB87" s="19">
        <f>ABRIL!AD87</f>
        <v>0</v>
      </c>
      <c r="AC87" s="364">
        <v>0</v>
      </c>
      <c r="AD87" s="18">
        <f>SUM(AB87:AC87)</f>
        <v>0</v>
      </c>
      <c r="AE87" s="19">
        <f>ABRIL!AG87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9.25" customHeight="1">
      <c r="A88" s="719">
        <f>+IF(ABRIL!A88=0,"",ABRIL!A88)</f>
        <v>1130203</v>
      </c>
      <c r="B88" s="648" t="str">
        <f>+IF(ABRIL!B88=0,"",ABRIL!B88)</f>
        <v>CONVENIOS CON LA NACION LIGADOS A LA VENTA DE SERVICIOS</v>
      </c>
      <c r="C88" s="654">
        <f>+ENERO!C88</f>
        <v>0</v>
      </c>
      <c r="D88" s="363">
        <f>ABRIL!D88+MAYO!P88</f>
        <v>0</v>
      </c>
      <c r="E88" s="363">
        <f>ABRIL!E88+MAYO!Q88</f>
        <v>222386275</v>
      </c>
      <c r="F88" s="363">
        <f t="shared" si="89"/>
        <v>222386275</v>
      </c>
      <c r="G88" s="363">
        <f>ABRIL!I88</f>
        <v>108894791</v>
      </c>
      <c r="H88" s="364">
        <v>22197504</v>
      </c>
      <c r="I88" s="363">
        <f t="shared" si="90"/>
        <v>131092295</v>
      </c>
      <c r="J88" s="363">
        <f>ABRIL!L88</f>
        <v>108894791</v>
      </c>
      <c r="K88" s="364">
        <v>22197504</v>
      </c>
      <c r="L88" s="363">
        <f t="shared" si="91"/>
        <v>131092295</v>
      </c>
      <c r="M88" s="363">
        <f t="shared" si="92"/>
        <v>91293980</v>
      </c>
      <c r="N88" s="143">
        <f t="shared" si="93"/>
        <v>91293980</v>
      </c>
      <c r="P88" s="362">
        <v>0</v>
      </c>
      <c r="Q88" s="365">
        <v>0</v>
      </c>
      <c r="R88" s="9"/>
      <c r="S88" s="688">
        <f>+IF(ABRIL!S88=0,"",ABRIL!S88)</f>
        <v>1020299</v>
      </c>
      <c r="T88" s="664" t="str">
        <f>+IF(ABRIL!T88=0,"",ABRIL!T88)</f>
        <v>Vigencias Anteriores</v>
      </c>
      <c r="U88" s="27">
        <f>+ENERO!U88</f>
        <v>2000000000</v>
      </c>
      <c r="V88" s="15">
        <f>ABRIL!V88+MAYO!AL88</f>
        <v>1000000000</v>
      </c>
      <c r="W88" s="15">
        <f>ABRIL!W88+MAYO!AM88</f>
        <v>1500000000</v>
      </c>
      <c r="X88" s="18">
        <f>SUM(U88:W88)</f>
        <v>4500000000</v>
      </c>
      <c r="Y88" s="19">
        <f>ABRIL!AA88</f>
        <v>4110941413</v>
      </c>
      <c r="Z88" s="364">
        <v>218310867</v>
      </c>
      <c r="AA88" s="18">
        <f>SUM(Y88:Z88)</f>
        <v>4329252280</v>
      </c>
      <c r="AB88" s="19">
        <f>ABRIL!AD88</f>
        <v>4110941413</v>
      </c>
      <c r="AC88" s="364">
        <v>218310867</v>
      </c>
      <c r="AD88" s="18">
        <f>SUM(AB88:AC88)</f>
        <v>4329252280</v>
      </c>
      <c r="AE88" s="19">
        <f>ABRIL!AG88</f>
        <v>4110941413</v>
      </c>
      <c r="AF88" s="364">
        <v>218310867</v>
      </c>
      <c r="AG88" s="18">
        <f>SUM(AE88:AF88)</f>
        <v>4329252280</v>
      </c>
      <c r="AH88" s="19">
        <f>X88-AA88</f>
        <v>170747720</v>
      </c>
      <c r="AI88" s="15">
        <f>X88-AD88</f>
        <v>170747720</v>
      </c>
      <c r="AJ88" s="16">
        <f>X88-AG88</f>
        <v>170747720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31.5" customHeight="1">
      <c r="A89" s="719">
        <f>+IF(ABRIL!A89=0,"",ABRIL!A89)</f>
        <v>1130204</v>
      </c>
      <c r="B89" s="648" t="str">
        <f>+IF(ABRIL!B89=0,"",ABRIL!B89)</f>
        <v>CONVENIOS CON EL DEPARTAMENTO LIGADOS A LA VENTA SERVICIOS</v>
      </c>
      <c r="C89" s="654">
        <f>+ENERO!C89</f>
        <v>0</v>
      </c>
      <c r="D89" s="363">
        <f>ABRIL!D89+MAYO!P89</f>
        <v>0</v>
      </c>
      <c r="E89" s="363">
        <f>ABRIL!E89+MAYO!Q89</f>
        <v>0</v>
      </c>
      <c r="F89" s="363">
        <f t="shared" si="89"/>
        <v>0</v>
      </c>
      <c r="G89" s="363">
        <f>ABRIL!I89</f>
        <v>0</v>
      </c>
      <c r="H89" s="364">
        <v>0</v>
      </c>
      <c r="I89" s="363">
        <f t="shared" si="90"/>
        <v>0</v>
      </c>
      <c r="J89" s="363">
        <f>ABRIL!L89</f>
        <v>0</v>
      </c>
      <c r="K89" s="364">
        <v>0</v>
      </c>
      <c r="L89" s="363">
        <f t="shared" si="91"/>
        <v>0</v>
      </c>
      <c r="M89" s="363">
        <f t="shared" si="92"/>
        <v>0</v>
      </c>
      <c r="N89" s="143">
        <f t="shared" si="93"/>
        <v>0</v>
      </c>
      <c r="P89" s="362">
        <v>0</v>
      </c>
      <c r="Q89" s="365">
        <v>0</v>
      </c>
      <c r="R89" s="9"/>
      <c r="S89" s="356" t="str">
        <f>+IF(ABRIL!S89=0,"",ABRIL!S89)</f>
        <v/>
      </c>
      <c r="T89" s="678" t="str">
        <f>+IF(ABRIL!T89=0,"",ABRIL!T89)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32.25" customHeight="1">
      <c r="A90" s="719">
        <f>+IF(ABRIL!A90=0,"",ABRIL!A90)</f>
        <v>1130205</v>
      </c>
      <c r="B90" s="648" t="str">
        <f>+IF(ABRIL!B90=0,"",ABRIL!B90)</f>
        <v>CONVENIOS CON EL MUNICIPIO LIGADOS A LA VENTA DE SERVICIOS</v>
      </c>
      <c r="C90" s="654">
        <f>+ENERO!C90</f>
        <v>0</v>
      </c>
      <c r="D90" s="363">
        <f>ABRIL!D90+MAYO!P90</f>
        <v>0</v>
      </c>
      <c r="E90" s="363">
        <f>ABRIL!E90+MAYO!Q90</f>
        <v>0</v>
      </c>
      <c r="F90" s="363">
        <f t="shared" si="89"/>
        <v>0</v>
      </c>
      <c r="G90" s="363">
        <f>ABRIL!I90</f>
        <v>0</v>
      </c>
      <c r="H90" s="364">
        <v>0</v>
      </c>
      <c r="I90" s="363">
        <f t="shared" si="90"/>
        <v>0</v>
      </c>
      <c r="J90" s="363">
        <f>ABRIL!L90</f>
        <v>0</v>
      </c>
      <c r="K90" s="364">
        <v>0</v>
      </c>
      <c r="L90" s="363">
        <f t="shared" si="91"/>
        <v>0</v>
      </c>
      <c r="M90" s="363">
        <f t="shared" si="92"/>
        <v>0</v>
      </c>
      <c r="N90" s="143">
        <f t="shared" si="93"/>
        <v>0</v>
      </c>
      <c r="O90" s="372"/>
      <c r="P90" s="362">
        <v>0</v>
      </c>
      <c r="Q90" s="365">
        <v>0</v>
      </c>
      <c r="R90" s="30"/>
      <c r="S90" s="687">
        <f>+IF(ABRIL!S90=0,"",ABRIL!S90)</f>
        <v>1020300</v>
      </c>
      <c r="T90" s="663" t="str">
        <f>+IF(ABRIL!T90=0,"",ABRIL!T90)</f>
        <v>Contribuciones Inherentes nómina al Sector Privado</v>
      </c>
      <c r="U90" s="132">
        <f t="shared" ref="U90:AJ90" si="94">U91+U96+U102</f>
        <v>2996072011</v>
      </c>
      <c r="V90" s="122">
        <f t="shared" si="94"/>
        <v>-2498932</v>
      </c>
      <c r="W90" s="122">
        <f t="shared" si="94"/>
        <v>13182074</v>
      </c>
      <c r="X90" s="129">
        <f t="shared" si="94"/>
        <v>3006755153</v>
      </c>
      <c r="Y90" s="128">
        <f t="shared" si="94"/>
        <v>389473145</v>
      </c>
      <c r="Z90" s="122">
        <f t="shared" si="94"/>
        <v>63832735</v>
      </c>
      <c r="AA90" s="129">
        <f t="shared" si="94"/>
        <v>453305880</v>
      </c>
      <c r="AB90" s="128">
        <f t="shared" si="94"/>
        <v>389473145</v>
      </c>
      <c r="AC90" s="122">
        <f t="shared" si="94"/>
        <v>63832735</v>
      </c>
      <c r="AD90" s="129">
        <f t="shared" si="94"/>
        <v>453305880</v>
      </c>
      <c r="AE90" s="128">
        <f t="shared" si="94"/>
        <v>382509865</v>
      </c>
      <c r="AF90" s="122">
        <f t="shared" si="94"/>
        <v>63618095</v>
      </c>
      <c r="AG90" s="129">
        <f t="shared" si="94"/>
        <v>446127960</v>
      </c>
      <c r="AH90" s="128">
        <f t="shared" si="94"/>
        <v>2553449273</v>
      </c>
      <c r="AI90" s="122">
        <f t="shared" si="94"/>
        <v>2553449273</v>
      </c>
      <c r="AJ90" s="130">
        <f t="shared" si="94"/>
        <v>2560627193</v>
      </c>
      <c r="AK90" s="9"/>
      <c r="AL90" s="128">
        <f>AL91+AL96+AL102</f>
        <v>-9000000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9.25" customHeight="1">
      <c r="A91" s="719">
        <f>+IF(ABRIL!A91=0,"",ABRIL!A91)</f>
        <v>1130206</v>
      </c>
      <c r="B91" s="648" t="str">
        <f>+IF(ABRIL!B91=0,"",ABRIL!B91)</f>
        <v>OTROS CONVENIOS LIGADOS A LA VENTA DE SERVICIOS</v>
      </c>
      <c r="C91" s="654">
        <f>+ENERO!C91</f>
        <v>0</v>
      </c>
      <c r="D91" s="363">
        <f>ABRIL!D91+MAYO!P91</f>
        <v>0</v>
      </c>
      <c r="E91" s="363">
        <f>ABRIL!E91+MAYO!Q91</f>
        <v>11978176000</v>
      </c>
      <c r="F91" s="363">
        <f t="shared" si="89"/>
        <v>11978176000</v>
      </c>
      <c r="G91" s="363">
        <f>ABRIL!I91</f>
        <v>2074137940</v>
      </c>
      <c r="H91" s="364">
        <v>1766750000</v>
      </c>
      <c r="I91" s="363">
        <f t="shared" si="90"/>
        <v>3840887940</v>
      </c>
      <c r="J91" s="363">
        <f>ABRIL!L91</f>
        <v>2074137940</v>
      </c>
      <c r="K91" s="364">
        <v>1766750000</v>
      </c>
      <c r="L91" s="363">
        <f t="shared" si="91"/>
        <v>3840887940</v>
      </c>
      <c r="M91" s="363">
        <f t="shared" si="92"/>
        <v>8137288060</v>
      </c>
      <c r="N91" s="143">
        <f t="shared" si="93"/>
        <v>8137288060</v>
      </c>
      <c r="O91" s="372"/>
      <c r="P91" s="362">
        <v>0</v>
      </c>
      <c r="Q91" s="365">
        <v>0</v>
      </c>
      <c r="R91" s="30"/>
      <c r="S91" s="688">
        <f>+IF(ABRIL!S91=0,"",ABRIL!S91)</f>
        <v>1020301</v>
      </c>
      <c r="T91" s="664" t="str">
        <f>+IF(ABRIL!T91=0,"",ABRIL!T91)</f>
        <v>Contribuciones - SGP - Aportes Patronales - Cuenta Maestra</v>
      </c>
      <c r="U91" s="27">
        <f t="shared" ref="U91:AJ91" si="95">SUM(U92:U95)</f>
        <v>1100060774</v>
      </c>
      <c r="V91" s="15">
        <f t="shared" si="95"/>
        <v>-9000000</v>
      </c>
      <c r="W91" s="15">
        <f t="shared" si="95"/>
        <v>0</v>
      </c>
      <c r="X91" s="18">
        <f t="shared" si="95"/>
        <v>1091060774</v>
      </c>
      <c r="Y91" s="19">
        <f t="shared" si="95"/>
        <v>170190083</v>
      </c>
      <c r="Z91" s="142">
        <f t="shared" si="95"/>
        <v>56654815</v>
      </c>
      <c r="AA91" s="18">
        <f t="shared" si="95"/>
        <v>226844898</v>
      </c>
      <c r="AB91" s="19">
        <f t="shared" si="95"/>
        <v>170190083</v>
      </c>
      <c r="AC91" s="142">
        <f t="shared" si="95"/>
        <v>56654815</v>
      </c>
      <c r="AD91" s="18">
        <f t="shared" si="95"/>
        <v>226844898</v>
      </c>
      <c r="AE91" s="19">
        <f t="shared" si="95"/>
        <v>170190083</v>
      </c>
      <c r="AF91" s="142">
        <f t="shared" si="95"/>
        <v>56654815</v>
      </c>
      <c r="AG91" s="18">
        <f t="shared" si="95"/>
        <v>226844898</v>
      </c>
      <c r="AH91" s="19">
        <f t="shared" si="95"/>
        <v>864215876</v>
      </c>
      <c r="AI91" s="15">
        <f t="shared" si="95"/>
        <v>864215876</v>
      </c>
      <c r="AJ91" s="16">
        <f t="shared" si="95"/>
        <v>864215876</v>
      </c>
      <c r="AK91" s="9"/>
      <c r="AL91" s="29">
        <f>SUM(AL92:AL95)</f>
        <v>-9000000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+IF(ABRIL!A92=0,"",ABRIL!A92)</f>
        <v>1130207</v>
      </c>
      <c r="B92" s="637" t="str">
        <f>+IF(ABRIL!B92=0,"",ABRIL!B92)</f>
        <v>Vigencia Anterior</v>
      </c>
      <c r="C92" s="760">
        <f>+ENERO!C92</f>
        <v>0</v>
      </c>
      <c r="D92" s="375">
        <f>ABRIL!D92+MAYO!P92</f>
        <v>0</v>
      </c>
      <c r="E92" s="375">
        <f>ABRIL!E92+MAYO!Q92</f>
        <v>0</v>
      </c>
      <c r="F92" s="375">
        <f t="shared" si="89"/>
        <v>0</v>
      </c>
      <c r="G92" s="375">
        <f>ABRIL!I92</f>
        <v>0</v>
      </c>
      <c r="H92" s="378">
        <v>0</v>
      </c>
      <c r="I92" s="375">
        <f t="shared" si="90"/>
        <v>0</v>
      </c>
      <c r="J92" s="375">
        <f>ABRIL!L92</f>
        <v>0</v>
      </c>
      <c r="K92" s="378">
        <v>0</v>
      </c>
      <c r="L92" s="375">
        <f t="shared" si="91"/>
        <v>0</v>
      </c>
      <c r="M92" s="375">
        <f t="shared" si="92"/>
        <v>0</v>
      </c>
      <c r="N92" s="376">
        <f t="shared" si="93"/>
        <v>0</v>
      </c>
      <c r="O92" s="372"/>
      <c r="P92" s="362">
        <v>0</v>
      </c>
      <c r="Q92" s="365">
        <v>0</v>
      </c>
      <c r="R92" s="30"/>
      <c r="S92" s="689" t="str">
        <f>+IF(ABRIL!S92=0,"",ABRIL!S92)</f>
        <v>1020301-1</v>
      </c>
      <c r="T92" s="665" t="str">
        <f>+IF(ABRIL!T92=0,"",ABRIL!T92)</f>
        <v>E.P.S. - Aportes cuenta maestra</v>
      </c>
      <c r="U92" s="27">
        <f>+ENERO!U92</f>
        <v>273298716</v>
      </c>
      <c r="V92" s="15">
        <f>ABRIL!V92+MAYO!AL92</f>
        <v>0</v>
      </c>
      <c r="W92" s="15">
        <f>ABRIL!W92+MAYO!AM92</f>
        <v>0</v>
      </c>
      <c r="X92" s="18">
        <f>SUM(U92:W92)</f>
        <v>273298716</v>
      </c>
      <c r="Y92" s="19">
        <f>ABRIL!AA92</f>
        <v>71250994</v>
      </c>
      <c r="Z92" s="364">
        <v>24257439</v>
      </c>
      <c r="AA92" s="18">
        <f>SUM(Y92:Z92)</f>
        <v>95508433</v>
      </c>
      <c r="AB92" s="19">
        <f>ABRIL!AD92</f>
        <v>71250994</v>
      </c>
      <c r="AC92" s="364">
        <v>24257439</v>
      </c>
      <c r="AD92" s="18">
        <f>SUM(AB92:AC92)</f>
        <v>95508433</v>
      </c>
      <c r="AE92" s="19">
        <f>ABRIL!AG92</f>
        <v>71250994</v>
      </c>
      <c r="AF92" s="364">
        <v>24257439</v>
      </c>
      <c r="AG92" s="18">
        <f>SUM(AE92:AF92)</f>
        <v>95508433</v>
      </c>
      <c r="AH92" s="19">
        <f>X92-AA92</f>
        <v>177790283</v>
      </c>
      <c r="AI92" s="15">
        <f>X92-AD92</f>
        <v>177790283</v>
      </c>
      <c r="AJ92" s="16">
        <f>X92-AG92</f>
        <v>177790283</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+IF(ABRIL!A93=0,"",ABRIL!A93)</f>
        <v/>
      </c>
      <c r="B93" s="634" t="str">
        <f>+IF(ABRIL!B93=0,"",ABRIL!B93)</f>
        <v/>
      </c>
      <c r="C93" s="284"/>
      <c r="D93" s="284"/>
      <c r="E93" s="284"/>
      <c r="F93" s="284"/>
      <c r="G93" s="284"/>
      <c r="H93" s="284"/>
      <c r="I93" s="284"/>
      <c r="J93" s="284"/>
      <c r="K93" s="284"/>
      <c r="L93" s="284"/>
      <c r="M93" s="284"/>
      <c r="N93" s="453"/>
      <c r="P93" s="457"/>
      <c r="Q93" s="381"/>
      <c r="R93" s="30"/>
      <c r="S93" s="689" t="str">
        <f>+IF(ABRIL!S93=0,"",ABRIL!S93)</f>
        <v>1020301-2</v>
      </c>
      <c r="T93" s="665" t="str">
        <f>+IF(ABRIL!T93=0,"",ABRIL!T93)</f>
        <v>Fondos pensionales - Aportes cuenta maestra</v>
      </c>
      <c r="U93" s="27">
        <f>+ENERO!U93</f>
        <v>372680081</v>
      </c>
      <c r="V93" s="15">
        <f>ABRIL!V93+MAYO!AL93</f>
        <v>0</v>
      </c>
      <c r="W93" s="15">
        <f>ABRIL!W93+MAYO!AM93</f>
        <v>0</v>
      </c>
      <c r="X93" s="18">
        <f>SUM(U93:W93)</f>
        <v>372680081</v>
      </c>
      <c r="Y93" s="19">
        <f>ABRIL!AA93</f>
        <v>88353489</v>
      </c>
      <c r="Z93" s="364">
        <v>28923616</v>
      </c>
      <c r="AA93" s="18">
        <f>SUM(Y93:Z93)</f>
        <v>117277105</v>
      </c>
      <c r="AB93" s="19">
        <f>ABRIL!AD93</f>
        <v>88353489</v>
      </c>
      <c r="AC93" s="364">
        <v>28923616</v>
      </c>
      <c r="AD93" s="18">
        <f>SUM(AB93:AC93)</f>
        <v>117277105</v>
      </c>
      <c r="AE93" s="19">
        <f>ABRIL!AG93</f>
        <v>88353489</v>
      </c>
      <c r="AF93" s="364">
        <v>28923616</v>
      </c>
      <c r="AG93" s="18">
        <f>SUM(AE93:AF93)</f>
        <v>117277105</v>
      </c>
      <c r="AH93" s="19">
        <f>X93-AA93</f>
        <v>255402976</v>
      </c>
      <c r="AI93" s="15">
        <f>X93-AD93</f>
        <v>255402976</v>
      </c>
      <c r="AJ93" s="16">
        <f>X93-AG93</f>
        <v>255402976</v>
      </c>
      <c r="AK93" s="9"/>
      <c r="AL93" s="362">
        <v>0</v>
      </c>
      <c r="AM93" s="365">
        <v>0</v>
      </c>
      <c r="AN93" s="30"/>
      <c r="AO93" s="450"/>
      <c r="AP93" s="450"/>
      <c r="AQ93" s="450"/>
      <c r="AR93" s="450"/>
      <c r="AS93" s="450"/>
      <c r="AT93" s="450"/>
      <c r="AU93" s="450"/>
      <c r="AV93" s="450"/>
      <c r="AW93" s="450"/>
      <c r="AX93" s="450"/>
      <c r="AY93" s="450"/>
      <c r="AZ93" s="450"/>
      <c r="BL93" s="30"/>
    </row>
    <row r="94" spans="1:70" s="451" customFormat="1" ht="29.25" customHeight="1">
      <c r="A94" s="720">
        <f>+IF(ABRIL!A94=0,"",ABRIL!A94)</f>
        <v>11303</v>
      </c>
      <c r="B94" s="601" t="str">
        <f>+IF(ABRIL!B94=0,"",ABRIL!B94)</f>
        <v>Aportes (No ligados a la venta de servicios de salud)</v>
      </c>
      <c r="C94" s="600">
        <f>SUM(C95:C102)</f>
        <v>7982899073</v>
      </c>
      <c r="D94" s="598">
        <f t="shared" ref="D94:N94" si="96">SUM(D95:D102)</f>
        <v>0</v>
      </c>
      <c r="E94" s="598">
        <f t="shared" si="96"/>
        <v>8000000000</v>
      </c>
      <c r="F94" s="598">
        <f t="shared" si="96"/>
        <v>15982899073</v>
      </c>
      <c r="G94" s="598">
        <f t="shared" si="96"/>
        <v>3354444422</v>
      </c>
      <c r="H94" s="598">
        <f t="shared" si="96"/>
        <v>0</v>
      </c>
      <c r="I94" s="598">
        <f t="shared" si="96"/>
        <v>3354444422</v>
      </c>
      <c r="J94" s="598">
        <f t="shared" si="96"/>
        <v>3354444422</v>
      </c>
      <c r="K94" s="598">
        <f t="shared" si="96"/>
        <v>0</v>
      </c>
      <c r="L94" s="598">
        <f t="shared" si="96"/>
        <v>3354444422</v>
      </c>
      <c r="M94" s="598">
        <f t="shared" si="96"/>
        <v>12628454651</v>
      </c>
      <c r="N94" s="599">
        <f t="shared" si="96"/>
        <v>12628454651</v>
      </c>
      <c r="O94" s="372"/>
      <c r="P94" s="43">
        <f>SUM(P95:P102)</f>
        <v>0</v>
      </c>
      <c r="Q94" s="45">
        <f>SUM(Q95:Q102)</f>
        <v>8000000000</v>
      </c>
      <c r="R94" s="30"/>
      <c r="S94" s="689" t="str">
        <f>+IF(ABRIL!S94=0,"",ABRIL!S94)</f>
        <v>1020301-3</v>
      </c>
      <c r="T94" s="665" t="str">
        <f>+IF(ABRIL!T94=0,"",ABRIL!T94)</f>
        <v>Fondos de cesantías - Aportes cuenta maestra</v>
      </c>
      <c r="U94" s="27">
        <f>+ENERO!U94</f>
        <v>387061561</v>
      </c>
      <c r="V94" s="15">
        <f>ABRIL!V94+MAYO!AL94</f>
        <v>0</v>
      </c>
      <c r="W94" s="15">
        <f>ABRIL!W94+MAYO!AM94</f>
        <v>0</v>
      </c>
      <c r="X94" s="18">
        <f>SUM(U94:W94)</f>
        <v>387061561</v>
      </c>
      <c r="Y94" s="19">
        <f>ABRIL!AA94</f>
        <v>0</v>
      </c>
      <c r="Z94" s="364">
        <v>0</v>
      </c>
      <c r="AA94" s="18">
        <f>SUM(Y94:Z94)</f>
        <v>0</v>
      </c>
      <c r="AB94" s="19">
        <f>ABRIL!AD94</f>
        <v>0</v>
      </c>
      <c r="AC94" s="364">
        <v>0</v>
      </c>
      <c r="AD94" s="18">
        <f>SUM(AB94:AC94)</f>
        <v>0</v>
      </c>
      <c r="AE94" s="19">
        <f>ABRIL!AG94</f>
        <v>0</v>
      </c>
      <c r="AF94" s="364">
        <v>0</v>
      </c>
      <c r="AG94" s="18">
        <f>SUM(AE94:AF94)</f>
        <v>0</v>
      </c>
      <c r="AH94" s="19">
        <f>X94-AA94</f>
        <v>387061561</v>
      </c>
      <c r="AI94" s="15">
        <f>X94-AD94</f>
        <v>387061561</v>
      </c>
      <c r="AJ94" s="16">
        <f>X94-AG94</f>
        <v>387061561</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+IF(ABRIL!A95=0,"",ABRIL!A95)</f>
        <v>11303-1</v>
      </c>
      <c r="B95" s="602" t="str">
        <f>+IF(ABRIL!B95=0,"",ABRIL!B95)</f>
        <v>CONVENIOS CON LA NACION NO LIGADOS A LA VENTA DE SERVICIOS</v>
      </c>
      <c r="C95" s="654">
        <f>+ENERO!C95</f>
        <v>0</v>
      </c>
      <c r="D95" s="363">
        <f>ABRIL!D95+MAYO!P95</f>
        <v>0</v>
      </c>
      <c r="E95" s="363">
        <f>ABRIL!E95+MAYO!Q95</f>
        <v>0</v>
      </c>
      <c r="F95" s="363">
        <f t="shared" ref="F95:F102" si="97">SUM(C95:E95)</f>
        <v>0</v>
      </c>
      <c r="G95" s="363">
        <f>ABRIL!I95</f>
        <v>0</v>
      </c>
      <c r="H95" s="364">
        <v>0</v>
      </c>
      <c r="I95" s="363">
        <f t="shared" ref="I95:I102" si="98">SUM(G95:H95)</f>
        <v>0</v>
      </c>
      <c r="J95" s="363">
        <f>ABRIL!L95</f>
        <v>0</v>
      </c>
      <c r="K95" s="364">
        <v>0</v>
      </c>
      <c r="L95" s="363">
        <f t="shared" ref="L95:L102" si="99">SUM(J95:K95)</f>
        <v>0</v>
      </c>
      <c r="M95" s="363">
        <f t="shared" ref="M95:M102" si="100">F95-I95</f>
        <v>0</v>
      </c>
      <c r="N95" s="143">
        <f t="shared" ref="N95:N102" si="101">F95-L95</f>
        <v>0</v>
      </c>
      <c r="O95" s="372"/>
      <c r="P95" s="362">
        <v>0</v>
      </c>
      <c r="Q95" s="365">
        <v>0</v>
      </c>
      <c r="R95" s="30"/>
      <c r="S95" s="689" t="str">
        <f>+IF(ABRIL!S95=0,"",ABRIL!S95)</f>
        <v>1020301-4</v>
      </c>
      <c r="T95" s="665" t="str">
        <f>+IF(ABRIL!T95=0,"",ABRIL!T95)</f>
        <v>Riesgos laborales - Aportes cuenta maestra</v>
      </c>
      <c r="U95" s="27">
        <f>+ENERO!U95</f>
        <v>67020416</v>
      </c>
      <c r="V95" s="15">
        <f>ABRIL!V95+MAYO!AL95</f>
        <v>-9000000</v>
      </c>
      <c r="W95" s="15">
        <f>ABRIL!W95+MAYO!AM95</f>
        <v>0</v>
      </c>
      <c r="X95" s="18">
        <f>SUM(U95:W95)</f>
        <v>58020416</v>
      </c>
      <c r="Y95" s="19">
        <f>ABRIL!AA95</f>
        <v>10585600</v>
      </c>
      <c r="Z95" s="364">
        <v>3473760</v>
      </c>
      <c r="AA95" s="18">
        <f>SUM(Y95:Z95)</f>
        <v>14059360</v>
      </c>
      <c r="AB95" s="19">
        <f>ABRIL!AD95</f>
        <v>10585600</v>
      </c>
      <c r="AC95" s="364">
        <v>3473760</v>
      </c>
      <c r="AD95" s="18">
        <f>SUM(AB95:AC95)</f>
        <v>14059360</v>
      </c>
      <c r="AE95" s="19">
        <f>ABRIL!AG95</f>
        <v>10585600</v>
      </c>
      <c r="AF95" s="364">
        <v>3473760</v>
      </c>
      <c r="AG95" s="18">
        <f>SUM(AE95:AF95)</f>
        <v>14059360</v>
      </c>
      <c r="AH95" s="19">
        <f>X95-AA95</f>
        <v>43961056</v>
      </c>
      <c r="AI95" s="15">
        <f>X95-AD95</f>
        <v>43961056</v>
      </c>
      <c r="AJ95" s="16">
        <f>X95-AG95</f>
        <v>43961056</v>
      </c>
      <c r="AK95" s="9"/>
      <c r="AL95" s="362">
        <v>-9000000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+IF(ABRIL!A96=0,"",ABRIL!A96)</f>
        <v>11303-2</v>
      </c>
      <c r="B96" s="602" t="str">
        <f>+IF(ABRIL!B96=0,"",ABRIL!B96)</f>
        <v>CONVENIOS CON EL DEPARTAMENTO NO LIGADOS A LA VENTA SERVICIOS</v>
      </c>
      <c r="C96" s="654">
        <f>+ENERO!C96</f>
        <v>7982899073</v>
      </c>
      <c r="D96" s="363">
        <f>ABRIL!D96+MAYO!P96</f>
        <v>0</v>
      </c>
      <c r="E96" s="363">
        <f>ABRIL!E96+MAYO!Q96</f>
        <v>8000000000</v>
      </c>
      <c r="F96" s="363">
        <f t="shared" si="97"/>
        <v>15982899073</v>
      </c>
      <c r="G96" s="363">
        <f>ABRIL!I96</f>
        <v>3354444422</v>
      </c>
      <c r="H96" s="364">
        <v>0</v>
      </c>
      <c r="I96" s="363">
        <f t="shared" si="98"/>
        <v>3354444422</v>
      </c>
      <c r="J96" s="363">
        <f>ABRIL!L96</f>
        <v>3354444422</v>
      </c>
      <c r="K96" s="364">
        <v>0</v>
      </c>
      <c r="L96" s="363">
        <f t="shared" si="99"/>
        <v>3354444422</v>
      </c>
      <c r="M96" s="363">
        <f t="shared" si="100"/>
        <v>12628454651</v>
      </c>
      <c r="N96" s="143">
        <f t="shared" si="101"/>
        <v>12628454651</v>
      </c>
      <c r="O96" s="372"/>
      <c r="P96" s="362">
        <v>0</v>
      </c>
      <c r="Q96" s="365">
        <v>8000000000</v>
      </c>
      <c r="S96" s="688">
        <f>+IF(ABRIL!S96=0,"",ABRIL!S96)</f>
        <v>1020302</v>
      </c>
      <c r="T96" s="664" t="str">
        <f>+IF(ABRIL!T96=0,"",ABRIL!T96)</f>
        <v>Contribuciones - Otros</v>
      </c>
      <c r="U96" s="27">
        <f t="shared" ref="U96:AJ96" si="102">SUM(U97:U101)</f>
        <v>1724011237</v>
      </c>
      <c r="V96" s="15">
        <f t="shared" si="102"/>
        <v>0</v>
      </c>
      <c r="W96" s="15">
        <f t="shared" si="102"/>
        <v>0</v>
      </c>
      <c r="X96" s="18">
        <f t="shared" si="102"/>
        <v>1724011237</v>
      </c>
      <c r="Y96" s="19">
        <f t="shared" si="102"/>
        <v>27599920</v>
      </c>
      <c r="Z96" s="142">
        <f t="shared" si="102"/>
        <v>7177920</v>
      </c>
      <c r="AA96" s="18">
        <f t="shared" si="102"/>
        <v>34777840</v>
      </c>
      <c r="AB96" s="19">
        <f t="shared" si="102"/>
        <v>27599920</v>
      </c>
      <c r="AC96" s="142">
        <f t="shared" si="102"/>
        <v>7177920</v>
      </c>
      <c r="AD96" s="18">
        <f t="shared" si="102"/>
        <v>34777840</v>
      </c>
      <c r="AE96" s="19">
        <f t="shared" si="102"/>
        <v>20636640</v>
      </c>
      <c r="AF96" s="142">
        <f t="shared" si="102"/>
        <v>6963280</v>
      </c>
      <c r="AG96" s="18">
        <f t="shared" si="102"/>
        <v>27599920</v>
      </c>
      <c r="AH96" s="19">
        <f t="shared" si="102"/>
        <v>1689233397</v>
      </c>
      <c r="AI96" s="15">
        <f t="shared" si="102"/>
        <v>1689233397</v>
      </c>
      <c r="AJ96" s="16">
        <f t="shared" si="102"/>
        <v>1696411317</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+IF(ABRIL!A97=0,"",ABRIL!A97)</f>
        <v>11303-3</v>
      </c>
      <c r="B97" s="602" t="str">
        <f>+IF(ABRIL!B97=0,"",ABRIL!B97)</f>
        <v>CONVENIOS CON EL MUNICIPIO NO LIGADOS A LA VENTA DE SERVICIOS</v>
      </c>
      <c r="C97" s="654">
        <f>+ENERO!C97</f>
        <v>0</v>
      </c>
      <c r="D97" s="363">
        <f>ABRIL!D97+MAYO!P97</f>
        <v>0</v>
      </c>
      <c r="E97" s="363">
        <f>ABRIL!E97+MAYO!Q97</f>
        <v>0</v>
      </c>
      <c r="F97" s="363">
        <f t="shared" si="97"/>
        <v>0</v>
      </c>
      <c r="G97" s="363">
        <f>ABRIL!I97</f>
        <v>0</v>
      </c>
      <c r="H97" s="364">
        <v>0</v>
      </c>
      <c r="I97" s="363">
        <f t="shared" si="98"/>
        <v>0</v>
      </c>
      <c r="J97" s="363">
        <f>ABRIL!L97</f>
        <v>0</v>
      </c>
      <c r="K97" s="364">
        <v>0</v>
      </c>
      <c r="L97" s="363">
        <f t="shared" si="99"/>
        <v>0</v>
      </c>
      <c r="M97" s="363">
        <f t="shared" si="100"/>
        <v>0</v>
      </c>
      <c r="N97" s="143">
        <f t="shared" si="101"/>
        <v>0</v>
      </c>
      <c r="O97" s="372"/>
      <c r="P97" s="362">
        <v>0</v>
      </c>
      <c r="Q97" s="365">
        <v>0</v>
      </c>
      <c r="R97" s="30"/>
      <c r="S97" s="689" t="str">
        <f>+IF(ABRIL!S97=0,"",ABRIL!S97)</f>
        <v>1020302-1</v>
      </c>
      <c r="T97" s="665" t="str">
        <f>+IF(ABRIL!T97=0,"",ABRIL!T97)</f>
        <v>Aportes a E.P.S. - recursos propios</v>
      </c>
      <c r="U97" s="27">
        <f>+ENERO!U97</f>
        <v>383898492</v>
      </c>
      <c r="V97" s="15">
        <f>ABRIL!V97+MAYO!AL97</f>
        <v>0</v>
      </c>
      <c r="W97" s="15">
        <f>ABRIL!W97+MAYO!AM97</f>
        <v>0</v>
      </c>
      <c r="X97" s="18">
        <f t="shared" ref="X97:X102" si="103">SUM(U97:W97)</f>
        <v>383898492</v>
      </c>
      <c r="Y97" s="19">
        <f>ABRIL!AA97</f>
        <v>0</v>
      </c>
      <c r="Z97" s="364">
        <v>0</v>
      </c>
      <c r="AA97" s="18">
        <f t="shared" ref="AA97:AA102" si="104">SUM(Y97:Z97)</f>
        <v>0</v>
      </c>
      <c r="AB97" s="19">
        <f>ABRIL!AD97</f>
        <v>0</v>
      </c>
      <c r="AC97" s="364">
        <v>0</v>
      </c>
      <c r="AD97" s="18">
        <f t="shared" ref="AD97:AD102" si="105">SUM(AB97:AC97)</f>
        <v>0</v>
      </c>
      <c r="AE97" s="19">
        <f>ABRIL!AG97</f>
        <v>0</v>
      </c>
      <c r="AF97" s="364">
        <v>0</v>
      </c>
      <c r="AG97" s="18">
        <f t="shared" ref="AG97:AG102" si="106">SUM(AE97:AF97)</f>
        <v>0</v>
      </c>
      <c r="AH97" s="19">
        <f t="shared" ref="AH97:AH102" si="107">X97-AA97</f>
        <v>383898492</v>
      </c>
      <c r="AI97" s="15">
        <f t="shared" ref="AI97:AI102" si="108">X97-AD97</f>
        <v>383898492</v>
      </c>
      <c r="AJ97" s="16">
        <f t="shared" ref="AJ97:AJ102" si="109">X97-AG97</f>
        <v>383898492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+IF(ABRIL!A98=0,"",ABRIL!A98)</f>
        <v>11303-4</v>
      </c>
      <c r="B98" s="602" t="str">
        <f>+IF(ABRIL!B98=0,"",ABRIL!B98)</f>
        <v>OTROS CONVENIOS NO LIGADOS A LA VENTA DE SERVICIOS</v>
      </c>
      <c r="C98" s="654">
        <f>+ENERO!C98</f>
        <v>0</v>
      </c>
      <c r="D98" s="363">
        <f>ABRIL!D98+MAYO!P98</f>
        <v>0</v>
      </c>
      <c r="E98" s="363">
        <f>ABRIL!E98+MAYO!Q98</f>
        <v>0</v>
      </c>
      <c r="F98" s="363">
        <f t="shared" si="97"/>
        <v>0</v>
      </c>
      <c r="G98" s="363">
        <f>ABRIL!I98</f>
        <v>0</v>
      </c>
      <c r="H98" s="364">
        <v>0</v>
      </c>
      <c r="I98" s="363">
        <f t="shared" si="98"/>
        <v>0</v>
      </c>
      <c r="J98" s="363">
        <f>ABRIL!L98</f>
        <v>0</v>
      </c>
      <c r="K98" s="364">
        <v>0</v>
      </c>
      <c r="L98" s="363">
        <f t="shared" si="99"/>
        <v>0</v>
      </c>
      <c r="M98" s="363">
        <f t="shared" si="100"/>
        <v>0</v>
      </c>
      <c r="N98" s="143">
        <f t="shared" si="101"/>
        <v>0</v>
      </c>
      <c r="O98" s="372"/>
      <c r="P98" s="362">
        <v>0</v>
      </c>
      <c r="Q98" s="365">
        <v>0</v>
      </c>
      <c r="R98" s="30"/>
      <c r="S98" s="689" t="str">
        <f>+IF(ABRIL!S98=0,"",ABRIL!S98)</f>
        <v>1020302-2</v>
      </c>
      <c r="T98" s="665" t="str">
        <f>+IF(ABRIL!T98=0,"",ABRIL!T98)</f>
        <v>Aportes Fondos Pensionales - recursos propios</v>
      </c>
      <c r="U98" s="27">
        <f>+ENERO!U98</f>
        <v>555127711</v>
      </c>
      <c r="V98" s="15">
        <f>ABRIL!V98+MAYO!AL98</f>
        <v>0</v>
      </c>
      <c r="W98" s="15">
        <f>ABRIL!W98+MAYO!AM98</f>
        <v>0</v>
      </c>
      <c r="X98" s="18">
        <f t="shared" si="103"/>
        <v>555127711</v>
      </c>
      <c r="Y98" s="19">
        <f>ABRIL!AA98</f>
        <v>0</v>
      </c>
      <c r="Z98" s="364">
        <v>0</v>
      </c>
      <c r="AA98" s="18">
        <f t="shared" si="104"/>
        <v>0</v>
      </c>
      <c r="AB98" s="19">
        <f>ABRIL!AD98</f>
        <v>0</v>
      </c>
      <c r="AC98" s="364">
        <v>0</v>
      </c>
      <c r="AD98" s="18">
        <f t="shared" si="105"/>
        <v>0</v>
      </c>
      <c r="AE98" s="19">
        <f>ABRIL!AG98</f>
        <v>0</v>
      </c>
      <c r="AF98" s="364">
        <v>0</v>
      </c>
      <c r="AG98" s="18">
        <f t="shared" si="106"/>
        <v>0</v>
      </c>
      <c r="AH98" s="19">
        <f t="shared" si="107"/>
        <v>555127711</v>
      </c>
      <c r="AI98" s="15">
        <f t="shared" si="108"/>
        <v>555127711</v>
      </c>
      <c r="AJ98" s="16">
        <f t="shared" si="109"/>
        <v>555127711</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+IF(ABRIL!A99=0,"",ABRIL!A99)</f>
        <v>11303-5</v>
      </c>
      <c r="B99" s="602" t="str">
        <f>+IF(ABRIL!B99=0,"",ABRIL!B99)</f>
        <v>RECURSOS PARA PROGRAMA DE SANEAMIENTO FINANCIERO</v>
      </c>
      <c r="C99" s="654">
        <f>+ENERO!C99</f>
        <v>0</v>
      </c>
      <c r="D99" s="363">
        <f>ABRIL!D99+MAYO!P99</f>
        <v>0</v>
      </c>
      <c r="E99" s="363">
        <f>ABRIL!E99+MAYO!Q99</f>
        <v>0</v>
      </c>
      <c r="F99" s="363">
        <f t="shared" si="97"/>
        <v>0</v>
      </c>
      <c r="G99" s="363">
        <f>ABRIL!I99</f>
        <v>0</v>
      </c>
      <c r="H99" s="364">
        <v>0</v>
      </c>
      <c r="I99" s="363">
        <f t="shared" si="98"/>
        <v>0</v>
      </c>
      <c r="J99" s="363">
        <f>ABRIL!L99</f>
        <v>0</v>
      </c>
      <c r="K99" s="364">
        <v>0</v>
      </c>
      <c r="L99" s="363">
        <f t="shared" si="99"/>
        <v>0</v>
      </c>
      <c r="M99" s="363">
        <f t="shared" si="100"/>
        <v>0</v>
      </c>
      <c r="N99" s="143">
        <f t="shared" si="101"/>
        <v>0</v>
      </c>
      <c r="O99" s="801"/>
      <c r="P99" s="362">
        <v>0</v>
      </c>
      <c r="Q99" s="365">
        <v>0</v>
      </c>
      <c r="R99" s="30"/>
      <c r="S99" s="689" t="str">
        <f>+IF(ABRIL!S99=0,"",ABRIL!S99)</f>
        <v>1020302-3</v>
      </c>
      <c r="T99" s="665" t="str">
        <f>+IF(ABRIL!T99=0,"",ABRIL!T99)</f>
        <v>Aportes a Fondos de Cesantia - recursos propios</v>
      </c>
      <c r="U99" s="27">
        <f>+ENERO!U99</f>
        <v>326426572</v>
      </c>
      <c r="V99" s="15">
        <f>ABRIL!V99+MAYO!AL99</f>
        <v>0</v>
      </c>
      <c r="W99" s="15">
        <f>ABRIL!W99+MAYO!AM99</f>
        <v>0</v>
      </c>
      <c r="X99" s="18">
        <f t="shared" si="103"/>
        <v>326426572</v>
      </c>
      <c r="Y99" s="19">
        <f>ABRIL!AA99</f>
        <v>0</v>
      </c>
      <c r="Z99" s="364">
        <v>0</v>
      </c>
      <c r="AA99" s="18">
        <f t="shared" si="104"/>
        <v>0</v>
      </c>
      <c r="AB99" s="19">
        <f>ABRIL!AD99</f>
        <v>0</v>
      </c>
      <c r="AC99" s="364">
        <v>0</v>
      </c>
      <c r="AD99" s="18">
        <f t="shared" si="105"/>
        <v>0</v>
      </c>
      <c r="AE99" s="19">
        <f>ABRIL!AG99</f>
        <v>0</v>
      </c>
      <c r="AF99" s="364">
        <v>0</v>
      </c>
      <c r="AG99" s="18">
        <f t="shared" si="106"/>
        <v>0</v>
      </c>
      <c r="AH99" s="19">
        <f t="shared" si="107"/>
        <v>326426572</v>
      </c>
      <c r="AI99" s="15">
        <f t="shared" si="108"/>
        <v>326426572</v>
      </c>
      <c r="AJ99" s="16">
        <f t="shared" si="109"/>
        <v>326426572</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+IF(ABRIL!A100=0,"",ABRIL!A100)</f>
        <v>11303-6</v>
      </c>
      <c r="B100" s="602" t="str">
        <f>+IF(ABRIL!B100=0,"",ABRIL!B100)</f>
        <v/>
      </c>
      <c r="C100" s="654">
        <f>+ENERO!C100</f>
        <v>0</v>
      </c>
      <c r="D100" s="363">
        <f>ABRIL!D100+MAYO!P100</f>
        <v>0</v>
      </c>
      <c r="E100" s="363">
        <f>ABRIL!E100+MAYO!Q100</f>
        <v>0</v>
      </c>
      <c r="F100" s="363">
        <f t="shared" si="97"/>
        <v>0</v>
      </c>
      <c r="G100" s="363">
        <f>ABRIL!I100</f>
        <v>0</v>
      </c>
      <c r="H100" s="364">
        <v>0</v>
      </c>
      <c r="I100" s="363">
        <f t="shared" si="98"/>
        <v>0</v>
      </c>
      <c r="J100" s="363">
        <f>ABRIL!L100</f>
        <v>0</v>
      </c>
      <c r="K100" s="364">
        <v>0</v>
      </c>
      <c r="L100" s="363">
        <f t="shared" si="99"/>
        <v>0</v>
      </c>
      <c r="M100" s="363">
        <f t="shared" si="100"/>
        <v>0</v>
      </c>
      <c r="N100" s="143">
        <f t="shared" si="101"/>
        <v>0</v>
      </c>
      <c r="P100" s="362">
        <v>0</v>
      </c>
      <c r="Q100" s="365">
        <v>0</v>
      </c>
      <c r="R100" s="9"/>
      <c r="S100" s="689" t="str">
        <f>+IF(ABRIL!S100=0,"",ABRIL!S100)</f>
        <v>1020302-4</v>
      </c>
      <c r="T100" s="665" t="str">
        <f>+IF(ABRIL!T100=0,"",ABRIL!T100)</f>
        <v>Aporte a ARL. - recursos propios</v>
      </c>
      <c r="U100" s="27">
        <f>+ENERO!U100</f>
        <v>121324579</v>
      </c>
      <c r="V100" s="15">
        <f>ABRIL!V100+MAYO!AL100</f>
        <v>0</v>
      </c>
      <c r="W100" s="15">
        <f>ABRIL!W100+MAYO!AM100</f>
        <v>0</v>
      </c>
      <c r="X100" s="18">
        <f t="shared" si="103"/>
        <v>121324579</v>
      </c>
      <c r="Y100" s="19">
        <f>ABRIL!AA100</f>
        <v>0</v>
      </c>
      <c r="Z100" s="364">
        <v>0</v>
      </c>
      <c r="AA100" s="18">
        <f t="shared" si="104"/>
        <v>0</v>
      </c>
      <c r="AB100" s="19">
        <f>ABRIL!AD100</f>
        <v>0</v>
      </c>
      <c r="AC100" s="364">
        <v>0</v>
      </c>
      <c r="AD100" s="18">
        <f t="shared" si="105"/>
        <v>0</v>
      </c>
      <c r="AE100" s="19">
        <f>ABRIL!AG100</f>
        <v>0</v>
      </c>
      <c r="AF100" s="364">
        <v>0</v>
      </c>
      <c r="AG100" s="18">
        <f t="shared" si="106"/>
        <v>0</v>
      </c>
      <c r="AH100" s="19">
        <f t="shared" si="107"/>
        <v>121324579</v>
      </c>
      <c r="AI100" s="15">
        <f t="shared" si="108"/>
        <v>121324579</v>
      </c>
      <c r="AJ100" s="16">
        <f t="shared" si="109"/>
        <v>121324579</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+IF(ABRIL!A101=0,"",ABRIL!A101)</f>
        <v>11303-7</v>
      </c>
      <c r="B101" s="602" t="str">
        <f>+IF(ABRIL!B101=0,"",ABRIL!B101)</f>
        <v/>
      </c>
      <c r="C101" s="654">
        <f>+ENERO!C101</f>
        <v>0</v>
      </c>
      <c r="D101" s="363">
        <f>ABRIL!D101+MAYO!P101</f>
        <v>0</v>
      </c>
      <c r="E101" s="363">
        <f>ABRIL!E101+MAYO!Q101</f>
        <v>0</v>
      </c>
      <c r="F101" s="363">
        <f t="shared" si="97"/>
        <v>0</v>
      </c>
      <c r="G101" s="363">
        <f>ABRIL!I101</f>
        <v>0</v>
      </c>
      <c r="H101" s="364">
        <v>0</v>
      </c>
      <c r="I101" s="363">
        <f t="shared" si="98"/>
        <v>0</v>
      </c>
      <c r="J101" s="363">
        <f>ABRIL!L101</f>
        <v>0</v>
      </c>
      <c r="K101" s="364">
        <v>0</v>
      </c>
      <c r="L101" s="363">
        <f t="shared" si="99"/>
        <v>0</v>
      </c>
      <c r="M101" s="363">
        <f t="shared" si="100"/>
        <v>0</v>
      </c>
      <c r="N101" s="143">
        <f t="shared" si="101"/>
        <v>0</v>
      </c>
      <c r="P101" s="362">
        <v>0</v>
      </c>
      <c r="Q101" s="365">
        <v>0</v>
      </c>
      <c r="R101" s="9"/>
      <c r="S101" s="689" t="str">
        <f>+IF(ABRIL!S101=0,"",ABRIL!S101)</f>
        <v>1020302-5</v>
      </c>
      <c r="T101" s="665" t="str">
        <f>+IF(ABRIL!T101=0,"",ABRIL!T101)</f>
        <v>Aporte a Caja Compensación Familiar</v>
      </c>
      <c r="U101" s="27">
        <f>+ENERO!U101</f>
        <v>337233883</v>
      </c>
      <c r="V101" s="15">
        <f>ABRIL!V101+MAYO!AL101</f>
        <v>0</v>
      </c>
      <c r="W101" s="15">
        <f>ABRIL!W101+MAYO!AM101</f>
        <v>0</v>
      </c>
      <c r="X101" s="18">
        <f t="shared" si="103"/>
        <v>337233883</v>
      </c>
      <c r="Y101" s="19">
        <f>ABRIL!AA101</f>
        <v>27599920</v>
      </c>
      <c r="Z101" s="364">
        <v>7177920</v>
      </c>
      <c r="AA101" s="18">
        <f t="shared" si="104"/>
        <v>34777840</v>
      </c>
      <c r="AB101" s="19">
        <f>ABRIL!AD101</f>
        <v>27599920</v>
      </c>
      <c r="AC101" s="364">
        <v>7177920</v>
      </c>
      <c r="AD101" s="18">
        <f t="shared" si="105"/>
        <v>34777840</v>
      </c>
      <c r="AE101" s="19">
        <f>ABRIL!AG101</f>
        <v>20636640</v>
      </c>
      <c r="AF101" s="364">
        <v>6963280</v>
      </c>
      <c r="AG101" s="18">
        <f t="shared" si="106"/>
        <v>27599920</v>
      </c>
      <c r="AH101" s="19">
        <f t="shared" si="107"/>
        <v>302456043</v>
      </c>
      <c r="AI101" s="15">
        <f t="shared" si="108"/>
        <v>302456043</v>
      </c>
      <c r="AJ101" s="16">
        <f t="shared" si="109"/>
        <v>309633963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+IF(ABRIL!A102=0,"",ABRIL!A102)</f>
        <v>11303-8</v>
      </c>
      <c r="B102" s="611" t="str">
        <f>+IF(ABRIL!B102=0,"",ABRIL!B102)</f>
        <v>Vigencia Anterior</v>
      </c>
      <c r="C102" s="760">
        <f>+ENERO!C102</f>
        <v>0</v>
      </c>
      <c r="D102" s="375">
        <f>ABRIL!D102+MAYO!P102</f>
        <v>0</v>
      </c>
      <c r="E102" s="375">
        <f>ABRIL!E102+MAYO!Q102</f>
        <v>0</v>
      </c>
      <c r="F102" s="375">
        <f t="shared" si="97"/>
        <v>0</v>
      </c>
      <c r="G102" s="375">
        <f>ABRIL!I102</f>
        <v>0</v>
      </c>
      <c r="H102" s="378">
        <v>0</v>
      </c>
      <c r="I102" s="375">
        <f t="shared" si="98"/>
        <v>0</v>
      </c>
      <c r="J102" s="375">
        <f>ABRIL!L102</f>
        <v>0</v>
      </c>
      <c r="K102" s="378">
        <v>0</v>
      </c>
      <c r="L102" s="375">
        <f t="shared" si="99"/>
        <v>0</v>
      </c>
      <c r="M102" s="375">
        <f t="shared" si="100"/>
        <v>0</v>
      </c>
      <c r="N102" s="376">
        <f t="shared" si="101"/>
        <v>0</v>
      </c>
      <c r="P102" s="362">
        <v>0</v>
      </c>
      <c r="Q102" s="365">
        <v>0</v>
      </c>
      <c r="R102" s="9"/>
      <c r="S102" s="688">
        <f>+IF(ABRIL!S102=0,"",ABRIL!S102)</f>
        <v>1020399</v>
      </c>
      <c r="T102" s="664" t="str">
        <f>+IF(ABRIL!T102=0,"",ABRIL!T102)</f>
        <v>Vigencias Anteriores</v>
      </c>
      <c r="U102" s="27">
        <f>+ENERO!U102</f>
        <v>172000000</v>
      </c>
      <c r="V102" s="15">
        <f>ABRIL!V102+MAYO!AL102</f>
        <v>6501068</v>
      </c>
      <c r="W102" s="15">
        <f>ABRIL!W102+MAYO!AM102</f>
        <v>13182074</v>
      </c>
      <c r="X102" s="18">
        <f t="shared" si="103"/>
        <v>191683142</v>
      </c>
      <c r="Y102" s="19">
        <f>ABRIL!AA102</f>
        <v>191683142</v>
      </c>
      <c r="Z102" s="364">
        <v>0</v>
      </c>
      <c r="AA102" s="18">
        <f t="shared" si="104"/>
        <v>191683142</v>
      </c>
      <c r="AB102" s="19">
        <f>ABRIL!AD102</f>
        <v>191683142</v>
      </c>
      <c r="AC102" s="364">
        <v>0</v>
      </c>
      <c r="AD102" s="18">
        <f t="shared" si="105"/>
        <v>191683142</v>
      </c>
      <c r="AE102" s="19">
        <f>ABRIL!AG102</f>
        <v>191683142</v>
      </c>
      <c r="AF102" s="364">
        <v>0</v>
      </c>
      <c r="AG102" s="1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+IF(ABRIL!A103=0,"",ABRIL!A103)</f>
        <v/>
      </c>
      <c r="B103" s="636" t="str">
        <f>+IF(ABRIL!B103=0,"",ABRIL!B103)</f>
        <v/>
      </c>
      <c r="C103" s="470"/>
      <c r="D103" s="470"/>
      <c r="E103" s="470"/>
      <c r="F103" s="470"/>
      <c r="G103" s="470"/>
      <c r="H103" s="470"/>
      <c r="I103" s="470"/>
      <c r="J103" s="470"/>
      <c r="K103" s="470"/>
      <c r="L103" s="470"/>
      <c r="M103" s="470"/>
      <c r="N103" s="471"/>
      <c r="P103" s="472"/>
      <c r="Q103" s="471"/>
      <c r="R103" s="9"/>
      <c r="S103" s="356" t="str">
        <f>+IF(ABRIL!S103=0,"",ABRIL!S103)</f>
        <v/>
      </c>
      <c r="T103" s="678" t="str">
        <f>+IF(ABRIL!T103=0,"",ABRIL!T103)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+IF(ABRIL!A104=0,"",ABRIL!A104)</f>
        <v>11304</v>
      </c>
      <c r="B104" s="601" t="str">
        <f>+IF(ABRIL!B104=0,"",ABRIL!B104)</f>
        <v>Otros ingresos corrientes</v>
      </c>
      <c r="C104" s="600">
        <f>SUM(C105:C111)</f>
        <v>98172123</v>
      </c>
      <c r="D104" s="598">
        <f t="shared" ref="D104:N104" si="110">SUM(D105:D111)</f>
        <v>0</v>
      </c>
      <c r="E104" s="598">
        <f t="shared" si="110"/>
        <v>0</v>
      </c>
      <c r="F104" s="598">
        <f t="shared" si="110"/>
        <v>98172123</v>
      </c>
      <c r="G104" s="598">
        <f t="shared" si="110"/>
        <v>43647551</v>
      </c>
      <c r="H104" s="598">
        <f t="shared" si="110"/>
        <v>9493620</v>
      </c>
      <c r="I104" s="598">
        <f t="shared" si="110"/>
        <v>53141171</v>
      </c>
      <c r="J104" s="598">
        <f t="shared" si="110"/>
        <v>14175839</v>
      </c>
      <c r="K104" s="598">
        <f t="shared" si="110"/>
        <v>2125742</v>
      </c>
      <c r="L104" s="598">
        <f t="shared" si="110"/>
        <v>16301581</v>
      </c>
      <c r="M104" s="598">
        <f t="shared" si="110"/>
        <v>45030952</v>
      </c>
      <c r="N104" s="599">
        <f t="shared" si="110"/>
        <v>81870542</v>
      </c>
      <c r="P104" s="43">
        <f>SUM(P105:P111)</f>
        <v>0</v>
      </c>
      <c r="Q104" s="45">
        <f>SUM(Q105:Q111)</f>
        <v>0</v>
      </c>
      <c r="R104" s="9"/>
      <c r="S104" s="687">
        <f>+IF(ABRIL!S104=0,"",ABRIL!S104)</f>
        <v>1020400</v>
      </c>
      <c r="T104" s="663" t="str">
        <f>+IF(ABRIL!T104=0,"",ABRIL!T104)</f>
        <v>Contribuciones Inherentes nómina del Sector Publico</v>
      </c>
      <c r="U104" s="132">
        <f t="shared" ref="U104:AJ104" si="111">U105+U108</f>
        <v>421542354</v>
      </c>
      <c r="V104" s="122">
        <f t="shared" si="111"/>
        <v>0</v>
      </c>
      <c r="W104" s="122">
        <f t="shared" si="111"/>
        <v>0</v>
      </c>
      <c r="X104" s="129">
        <f t="shared" si="111"/>
        <v>421542354</v>
      </c>
      <c r="Y104" s="128">
        <f t="shared" si="111"/>
        <v>34499900</v>
      </c>
      <c r="Z104" s="122">
        <f t="shared" si="111"/>
        <v>8972400</v>
      </c>
      <c r="AA104" s="129">
        <f t="shared" si="111"/>
        <v>43472300</v>
      </c>
      <c r="AB104" s="128">
        <f t="shared" si="111"/>
        <v>34499900</v>
      </c>
      <c r="AC104" s="122">
        <f t="shared" si="111"/>
        <v>8972400</v>
      </c>
      <c r="AD104" s="129">
        <f t="shared" si="111"/>
        <v>43472300</v>
      </c>
      <c r="AE104" s="128">
        <f t="shared" si="111"/>
        <v>25795800</v>
      </c>
      <c r="AF104" s="122">
        <f t="shared" si="111"/>
        <v>8704100</v>
      </c>
      <c r="AG104" s="129">
        <f t="shared" si="111"/>
        <v>34499900</v>
      </c>
      <c r="AH104" s="128">
        <f t="shared" si="111"/>
        <v>378070054</v>
      </c>
      <c r="AI104" s="122">
        <f t="shared" si="111"/>
        <v>378070054</v>
      </c>
      <c r="AJ104" s="130">
        <f t="shared" si="111"/>
        <v>387042454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+IF(ABRIL!A105=0,"",ABRIL!A105)</f>
        <v>11304-1</v>
      </c>
      <c r="B105" s="602" t="str">
        <f>+IF(ABRIL!B105=0,"",ABRIL!B105)</f>
        <v>ARRENDAMIENTO Y ALQUILER DE BIENES MUEBLES E INMUEBLES</v>
      </c>
      <c r="C105" s="654">
        <f>+ENERO!C105</f>
        <v>35952047</v>
      </c>
      <c r="D105" s="363">
        <f>ABRIL!D105+MAYO!P105</f>
        <v>0</v>
      </c>
      <c r="E105" s="363">
        <f>ABRIL!E105+MAYO!Q105</f>
        <v>0</v>
      </c>
      <c r="F105" s="363">
        <f t="shared" ref="F105:F111" si="112">SUM(C105:E105)</f>
        <v>35952047</v>
      </c>
      <c r="G105" s="363">
        <f>ABRIL!I105</f>
        <v>35783280</v>
      </c>
      <c r="H105" s="364">
        <v>8945820</v>
      </c>
      <c r="I105" s="363">
        <f t="shared" ref="I105:I111" si="113">SUM(G105:H105)</f>
        <v>44729100</v>
      </c>
      <c r="J105" s="363">
        <f>ABRIL!L105</f>
        <v>6311568</v>
      </c>
      <c r="K105" s="364">
        <v>1577942</v>
      </c>
      <c r="L105" s="363">
        <f t="shared" ref="L105:L111" si="114">SUM(J105:K105)</f>
        <v>7889510</v>
      </c>
      <c r="M105" s="363">
        <f t="shared" ref="M105:M111" si="115">F105-I105</f>
        <v>-8777053</v>
      </c>
      <c r="N105" s="143">
        <f t="shared" ref="N105:N111" si="116">F105-L105</f>
        <v>28062537</v>
      </c>
      <c r="P105" s="362">
        <v>0</v>
      </c>
      <c r="Q105" s="365">
        <v>0</v>
      </c>
      <c r="R105" s="9"/>
      <c r="S105" s="688">
        <f>+IF(ABRIL!S105=0,"",ABRIL!S105)</f>
        <v>1020402</v>
      </c>
      <c r="T105" s="664" t="str">
        <f>+IF(ABRIL!T105=0,"",ABRIL!T105)</f>
        <v>Contribuciones - Otros</v>
      </c>
      <c r="U105" s="27">
        <f t="shared" ref="U105:AJ105" si="117">SUM(U106:U107)</f>
        <v>421542354</v>
      </c>
      <c r="V105" s="15">
        <f t="shared" si="117"/>
        <v>0</v>
      </c>
      <c r="W105" s="15">
        <f t="shared" si="117"/>
        <v>0</v>
      </c>
      <c r="X105" s="18">
        <f t="shared" si="117"/>
        <v>421542354</v>
      </c>
      <c r="Y105" s="19">
        <f t="shared" si="117"/>
        <v>34499900</v>
      </c>
      <c r="Z105" s="142">
        <f t="shared" si="117"/>
        <v>8972400</v>
      </c>
      <c r="AA105" s="18">
        <f t="shared" si="117"/>
        <v>43472300</v>
      </c>
      <c r="AB105" s="19">
        <f t="shared" si="117"/>
        <v>34499900</v>
      </c>
      <c r="AC105" s="142">
        <f t="shared" si="117"/>
        <v>8972400</v>
      </c>
      <c r="AD105" s="18">
        <f t="shared" si="117"/>
        <v>43472300</v>
      </c>
      <c r="AE105" s="19">
        <f t="shared" si="117"/>
        <v>25795800</v>
      </c>
      <c r="AF105" s="142">
        <f t="shared" si="117"/>
        <v>8704100</v>
      </c>
      <c r="AG105" s="18">
        <f t="shared" si="117"/>
        <v>34499900</v>
      </c>
      <c r="AH105" s="19">
        <f t="shared" si="117"/>
        <v>378070054</v>
      </c>
      <c r="AI105" s="15">
        <f t="shared" si="117"/>
        <v>378070054</v>
      </c>
      <c r="AJ105" s="16">
        <f t="shared" si="117"/>
        <v>387042454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+IF(ABRIL!A106=0,"",ABRIL!A106)</f>
        <v>11304-2</v>
      </c>
      <c r="B106" s="603" t="str">
        <f>+IF(ABRIL!B106=0,"",ABRIL!B106)</f>
        <v>COMERCIALIZACIÓN DE MERCANCÍAS</v>
      </c>
      <c r="C106" s="654">
        <f>+ENERO!C106</f>
        <v>0</v>
      </c>
      <c r="D106" s="363">
        <f>ABRIL!D106+MAYO!P106</f>
        <v>0</v>
      </c>
      <c r="E106" s="363">
        <f>ABRIL!E106+MAYO!Q106</f>
        <v>0</v>
      </c>
      <c r="F106" s="363">
        <f t="shared" si="112"/>
        <v>0</v>
      </c>
      <c r="G106" s="363">
        <f>ABRIL!I106</f>
        <v>0</v>
      </c>
      <c r="H106" s="364">
        <v>0</v>
      </c>
      <c r="I106" s="363">
        <f t="shared" si="113"/>
        <v>0</v>
      </c>
      <c r="J106" s="363">
        <f>ABRIL!L106</f>
        <v>0</v>
      </c>
      <c r="K106" s="364">
        <v>0</v>
      </c>
      <c r="L106" s="363">
        <f t="shared" si="114"/>
        <v>0</v>
      </c>
      <c r="M106" s="363">
        <f t="shared" si="115"/>
        <v>0</v>
      </c>
      <c r="N106" s="143">
        <f t="shared" si="116"/>
        <v>0</v>
      </c>
      <c r="P106" s="362">
        <v>0</v>
      </c>
      <c r="Q106" s="365">
        <v>0</v>
      </c>
      <c r="R106" s="9"/>
      <c r="S106" s="689" t="str">
        <f>+IF(ABRIL!S106=0,"",ABRIL!S106)</f>
        <v>1020402-1</v>
      </c>
      <c r="T106" s="664" t="str">
        <f>+IF(ABRIL!T106=0,"",ABRIL!T106)</f>
        <v>S.E.N.A.</v>
      </c>
      <c r="U106" s="27">
        <f>+ENERO!U106</f>
        <v>168616942</v>
      </c>
      <c r="V106" s="15">
        <f>ABRIL!V106+MAYO!AL106</f>
        <v>0</v>
      </c>
      <c r="W106" s="15">
        <f>ABRIL!W106+MAYO!AM106</f>
        <v>0</v>
      </c>
      <c r="X106" s="18">
        <f>SUM(U106:W106)</f>
        <v>168616942</v>
      </c>
      <c r="Y106" s="19">
        <f>ABRIL!AA106</f>
        <v>13799960</v>
      </c>
      <c r="Z106" s="364">
        <v>3588960</v>
      </c>
      <c r="AA106" s="18">
        <f>SUM(Y106:Z106)</f>
        <v>17388920</v>
      </c>
      <c r="AB106" s="19">
        <f>ABRIL!AD106</f>
        <v>13799960</v>
      </c>
      <c r="AC106" s="364">
        <v>3588960</v>
      </c>
      <c r="AD106" s="18">
        <f>SUM(AB106:AC106)</f>
        <v>17388920</v>
      </c>
      <c r="AE106" s="19">
        <f>ABRIL!AG106</f>
        <v>10318320</v>
      </c>
      <c r="AF106" s="364">
        <v>3481640</v>
      </c>
      <c r="AG106" s="18">
        <f>SUM(AE106:AF106)</f>
        <v>13799960</v>
      </c>
      <c r="AH106" s="19">
        <f>X106-AA106</f>
        <v>151228022</v>
      </c>
      <c r="AI106" s="15">
        <f>X106-AD106</f>
        <v>151228022</v>
      </c>
      <c r="AJ106" s="16">
        <f>X106-AG106</f>
        <v>154816982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+IF(ABRIL!A107=0,"",ABRIL!A107)</f>
        <v>11304-3</v>
      </c>
      <c r="B107" s="602" t="str">
        <f>+IF(ABRIL!B107=0,"",ABRIL!B107)</f>
        <v>Bienestar Social</v>
      </c>
      <c r="C107" s="654">
        <f>+ENERO!C107</f>
        <v>0</v>
      </c>
      <c r="D107" s="363">
        <f>ABRIL!D107+MAYO!P107</f>
        <v>0</v>
      </c>
      <c r="E107" s="363">
        <f>ABRIL!E107+MAYO!Q107</f>
        <v>0</v>
      </c>
      <c r="F107" s="363">
        <f t="shared" si="112"/>
        <v>0</v>
      </c>
      <c r="G107" s="363">
        <f>ABRIL!I107</f>
        <v>0</v>
      </c>
      <c r="H107" s="364">
        <v>0</v>
      </c>
      <c r="I107" s="363">
        <f t="shared" si="113"/>
        <v>0</v>
      </c>
      <c r="J107" s="363">
        <f>ABRIL!L107</f>
        <v>0</v>
      </c>
      <c r="K107" s="364">
        <v>0</v>
      </c>
      <c r="L107" s="363">
        <f t="shared" si="114"/>
        <v>0</v>
      </c>
      <c r="M107" s="363">
        <f t="shared" si="115"/>
        <v>0</v>
      </c>
      <c r="N107" s="143">
        <f t="shared" si="116"/>
        <v>0</v>
      </c>
      <c r="P107" s="362">
        <v>0</v>
      </c>
      <c r="Q107" s="365">
        <v>0</v>
      </c>
      <c r="R107" s="9"/>
      <c r="S107" s="689" t="str">
        <f>+IF(ABRIL!S107=0,"",ABRIL!S107)</f>
        <v>1020402-2</v>
      </c>
      <c r="T107" s="664" t="str">
        <f>+IF(ABRIL!T107=0,"",ABRIL!T107)</f>
        <v>I.C.B.F.</v>
      </c>
      <c r="U107" s="27">
        <f>+ENERO!U107</f>
        <v>252925412</v>
      </c>
      <c r="V107" s="15">
        <f>ABRIL!V107+MAYO!AL107</f>
        <v>0</v>
      </c>
      <c r="W107" s="15">
        <f>ABRIL!W107+MAYO!AM107</f>
        <v>0</v>
      </c>
      <c r="X107" s="18">
        <f>SUM(U107:W107)</f>
        <v>252925412</v>
      </c>
      <c r="Y107" s="19">
        <f>ABRIL!AA107</f>
        <v>20699940</v>
      </c>
      <c r="Z107" s="364">
        <v>5383440</v>
      </c>
      <c r="AA107" s="18">
        <f>SUM(Y107:Z107)</f>
        <v>26083380</v>
      </c>
      <c r="AB107" s="19">
        <f>ABRIL!AD107</f>
        <v>20699940</v>
      </c>
      <c r="AC107" s="364">
        <v>5383440</v>
      </c>
      <c r="AD107" s="18">
        <f>SUM(AB107:AC107)</f>
        <v>26083380</v>
      </c>
      <c r="AE107" s="19">
        <f>ABRIL!AG107</f>
        <v>15477480</v>
      </c>
      <c r="AF107" s="364">
        <v>5222460</v>
      </c>
      <c r="AG107" s="18">
        <f>SUM(AE107:AF107)</f>
        <v>20699940</v>
      </c>
      <c r="AH107" s="19">
        <f>X107-AA107</f>
        <v>226842032</v>
      </c>
      <c r="AI107" s="15">
        <f>X107-AD107</f>
        <v>226842032</v>
      </c>
      <c r="AJ107" s="16">
        <f>X107-AG107</f>
        <v>232225472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+IF(ABRIL!A108=0,"",ABRIL!A108)</f>
        <v>11304-4</v>
      </c>
      <c r="B108" s="602" t="str">
        <f>+IF(ABRIL!B108=0,"",ABRIL!B108)</f>
        <v>Fondo de la Vivienda</v>
      </c>
      <c r="C108" s="654">
        <f>+ENERO!C108</f>
        <v>0</v>
      </c>
      <c r="D108" s="363">
        <f>ABRIL!D108+MAYO!P108</f>
        <v>0</v>
      </c>
      <c r="E108" s="363">
        <f>ABRIL!E108+MAYO!Q108</f>
        <v>0</v>
      </c>
      <c r="F108" s="363">
        <f t="shared" si="112"/>
        <v>0</v>
      </c>
      <c r="G108" s="363">
        <f>ABRIL!I108</f>
        <v>0</v>
      </c>
      <c r="H108" s="364">
        <v>0</v>
      </c>
      <c r="I108" s="363">
        <f t="shared" si="113"/>
        <v>0</v>
      </c>
      <c r="J108" s="363">
        <f>ABRIL!L108</f>
        <v>0</v>
      </c>
      <c r="K108" s="364">
        <v>0</v>
      </c>
      <c r="L108" s="363">
        <f t="shared" si="114"/>
        <v>0</v>
      </c>
      <c r="M108" s="363">
        <f t="shared" si="115"/>
        <v>0</v>
      </c>
      <c r="N108" s="143">
        <f t="shared" si="116"/>
        <v>0</v>
      </c>
      <c r="P108" s="362">
        <v>0</v>
      </c>
      <c r="Q108" s="365">
        <v>0</v>
      </c>
      <c r="R108" s="9"/>
      <c r="S108" s="688">
        <f>+IF(ABRIL!S108=0,"",ABRIL!S108)</f>
        <v>1020499</v>
      </c>
      <c r="T108" s="664" t="str">
        <f>+IF(ABRIL!T108=0,"",ABRIL!T108)</f>
        <v>Vigencias Anteriores</v>
      </c>
      <c r="U108" s="27">
        <f>+ENERO!U108</f>
        <v>0</v>
      </c>
      <c r="V108" s="15">
        <f>ABRIL!V108+MAYO!AL108</f>
        <v>0</v>
      </c>
      <c r="W108" s="15">
        <f>ABRIL!W108+MAYO!AM108</f>
        <v>0</v>
      </c>
      <c r="X108" s="18">
        <f>SUM(U108:W108)</f>
        <v>0</v>
      </c>
      <c r="Y108" s="19">
        <f>ABRIL!AA108</f>
        <v>0</v>
      </c>
      <c r="Z108" s="364">
        <v>0</v>
      </c>
      <c r="AA108" s="18">
        <f>SUM(Y108:Z108)</f>
        <v>0</v>
      </c>
      <c r="AB108" s="19">
        <f>ABRIL!AD108</f>
        <v>0</v>
      </c>
      <c r="AC108" s="364">
        <v>0</v>
      </c>
      <c r="AD108" s="18">
        <f>SUM(AB108:AC108)</f>
        <v>0</v>
      </c>
      <c r="AE108" s="19">
        <f>ABRIL!AG108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+IF(ABRIL!A109=0,"",ABRIL!A109)</f>
        <v>11304-5</v>
      </c>
      <c r="B109" s="602" t="str">
        <f>+IF(ABRIL!B109=0,"",ABRIL!B109)</f>
        <v xml:space="preserve">Aprovechamientos </v>
      </c>
      <c r="C109" s="654">
        <f>+ENERO!C109</f>
        <v>62220076</v>
      </c>
      <c r="D109" s="363">
        <f>ABRIL!D109+MAYO!P109</f>
        <v>0</v>
      </c>
      <c r="E109" s="363">
        <f>ABRIL!E109+MAYO!Q109</f>
        <v>0</v>
      </c>
      <c r="F109" s="363">
        <f t="shared" si="112"/>
        <v>62220076</v>
      </c>
      <c r="G109" s="363">
        <f>ABRIL!I109</f>
        <v>5658331</v>
      </c>
      <c r="H109" s="824">
        <v>547800</v>
      </c>
      <c r="I109" s="363">
        <f t="shared" si="113"/>
        <v>6206131</v>
      </c>
      <c r="J109" s="363">
        <f>ABRIL!L109</f>
        <v>5658331</v>
      </c>
      <c r="K109" s="364">
        <f>544800+3000</f>
        <v>547800</v>
      </c>
      <c r="L109" s="363">
        <f t="shared" si="114"/>
        <v>6206131</v>
      </c>
      <c r="M109" s="363">
        <f t="shared" si="115"/>
        <v>56013945</v>
      </c>
      <c r="N109" s="143">
        <f t="shared" si="116"/>
        <v>56013945</v>
      </c>
      <c r="P109" s="362">
        <v>0</v>
      </c>
      <c r="Q109" s="365">
        <v>0</v>
      </c>
      <c r="R109" s="9"/>
      <c r="S109" s="356" t="str">
        <f>+IF(ABRIL!S109=0,"",ABRIL!S109)</f>
        <v/>
      </c>
      <c r="T109" s="678" t="str">
        <f>+IF(ABRIL!T109=0,"",ABRIL!T109)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+IF(ABRIL!A110=0,"",ABRIL!A110)</f>
        <v>11304-6</v>
      </c>
      <c r="B110" s="602" t="str">
        <f>+IF(ABRIL!B110=0,"",ABRIL!B110)</f>
        <v>Otros</v>
      </c>
      <c r="C110" s="654">
        <f>+ENERO!C110</f>
        <v>0</v>
      </c>
      <c r="D110" s="363">
        <f>ABRIL!D110+MAYO!P110</f>
        <v>0</v>
      </c>
      <c r="E110" s="363">
        <f>ABRIL!E110+MAYO!Q110</f>
        <v>0</v>
      </c>
      <c r="F110" s="363">
        <f t="shared" si="112"/>
        <v>0</v>
      </c>
      <c r="G110" s="363">
        <f>ABRIL!I110</f>
        <v>2205940</v>
      </c>
      <c r="H110" s="364">
        <v>0</v>
      </c>
      <c r="I110" s="363">
        <f t="shared" si="113"/>
        <v>2205940</v>
      </c>
      <c r="J110" s="363">
        <f>ABRIL!L110</f>
        <v>2205940</v>
      </c>
      <c r="K110" s="364">
        <v>0</v>
      </c>
      <c r="L110" s="363">
        <f t="shared" si="114"/>
        <v>2205940</v>
      </c>
      <c r="M110" s="363">
        <f t="shared" si="115"/>
        <v>-2205940</v>
      </c>
      <c r="N110" s="143">
        <f t="shared" si="116"/>
        <v>-2205940</v>
      </c>
      <c r="P110" s="362">
        <v>0</v>
      </c>
      <c r="Q110" s="365">
        <v>0</v>
      </c>
      <c r="R110" s="9"/>
      <c r="S110" s="686">
        <f>+IF(ABRIL!S110=0,"",ABRIL!S110)</f>
        <v>2000000</v>
      </c>
      <c r="T110" s="668" t="str">
        <f>+IF(ABRIL!T110=0,"",ABRIL!T110)</f>
        <v>GASTOS GENERALES</v>
      </c>
      <c r="U110" s="460">
        <f t="shared" ref="U110:AJ110" si="118">U112+U145</f>
        <v>11975719527</v>
      </c>
      <c r="V110" s="461">
        <f t="shared" si="118"/>
        <v>-1328000000</v>
      </c>
      <c r="W110" s="461">
        <f t="shared" si="118"/>
        <v>1950000000</v>
      </c>
      <c r="X110" s="462">
        <f t="shared" si="118"/>
        <v>12597719527</v>
      </c>
      <c r="Y110" s="369">
        <f t="shared" si="118"/>
        <v>8522903668</v>
      </c>
      <c r="Z110" s="461">
        <f t="shared" si="118"/>
        <v>564824146</v>
      </c>
      <c r="AA110" s="462">
        <f t="shared" si="118"/>
        <v>9087727814</v>
      </c>
      <c r="AB110" s="369">
        <f t="shared" si="118"/>
        <v>4558360553</v>
      </c>
      <c r="AC110" s="461">
        <f t="shared" si="118"/>
        <v>1341647114</v>
      </c>
      <c r="AD110" s="462">
        <f t="shared" si="118"/>
        <v>5900007667</v>
      </c>
      <c r="AE110" s="369">
        <f t="shared" si="118"/>
        <v>2988407196</v>
      </c>
      <c r="AF110" s="461">
        <f t="shared" si="118"/>
        <v>1087154959</v>
      </c>
      <c r="AG110" s="462">
        <f t="shared" si="118"/>
        <v>4075562155</v>
      </c>
      <c r="AH110" s="369">
        <f t="shared" si="118"/>
        <v>3509991713</v>
      </c>
      <c r="AI110" s="461">
        <f t="shared" si="118"/>
        <v>6697711860</v>
      </c>
      <c r="AJ110" s="370">
        <f t="shared" si="118"/>
        <v>8522157372</v>
      </c>
      <c r="AK110" s="10"/>
      <c r="AL110" s="128">
        <f>AL112+AL145</f>
        <v>-1008000000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+IF(ABRIL!A111=0,"",ABRIL!A111)</f>
        <v>11304-7</v>
      </c>
      <c r="B111" s="637" t="str">
        <f>+IF(ABRIL!B111=0,"",ABRIL!B111)</f>
        <v>Vigencia Anterior</v>
      </c>
      <c r="C111" s="760">
        <f>+ENERO!C111</f>
        <v>0</v>
      </c>
      <c r="D111" s="375">
        <f>ABRIL!D111+MAYO!P111</f>
        <v>0</v>
      </c>
      <c r="E111" s="375">
        <f>ABRIL!E111+MAYO!Q111</f>
        <v>0</v>
      </c>
      <c r="F111" s="375">
        <f t="shared" si="112"/>
        <v>0</v>
      </c>
      <c r="G111" s="375">
        <f>ABRIL!I111</f>
        <v>0</v>
      </c>
      <c r="H111" s="378">
        <v>0</v>
      </c>
      <c r="I111" s="375">
        <f t="shared" si="113"/>
        <v>0</v>
      </c>
      <c r="J111" s="375">
        <f>ABRIL!L111</f>
        <v>0</v>
      </c>
      <c r="K111" s="378">
        <v>0</v>
      </c>
      <c r="L111" s="375">
        <f t="shared" si="114"/>
        <v>0</v>
      </c>
      <c r="M111" s="375">
        <f t="shared" si="115"/>
        <v>0</v>
      </c>
      <c r="N111" s="376">
        <f t="shared" si="116"/>
        <v>0</v>
      </c>
      <c r="P111" s="362">
        <v>0</v>
      </c>
      <c r="Q111" s="365">
        <v>0</v>
      </c>
      <c r="R111" s="9"/>
      <c r="S111" s="356" t="str">
        <f>+IF(ABRIL!S111=0,"",ABRIL!S111)</f>
        <v/>
      </c>
      <c r="T111" s="678" t="str">
        <f>+IF(ABRIL!T111=0,"",ABRIL!T111)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+IF(ABRIL!A112=0,"",ABRIL!A112)</f>
        <v/>
      </c>
      <c r="B112" s="636" t="str">
        <f>+IF(ABRIL!B112=0,"",ABRIL!B112)</f>
        <v/>
      </c>
      <c r="C112" s="470"/>
      <c r="D112" s="470"/>
      <c r="E112" s="470"/>
      <c r="F112" s="470"/>
      <c r="G112" s="470"/>
      <c r="H112" s="470"/>
      <c r="I112" s="470"/>
      <c r="J112" s="470"/>
      <c r="K112" s="470"/>
      <c r="L112" s="470"/>
      <c r="M112" s="470"/>
      <c r="N112" s="471"/>
      <c r="P112" s="472"/>
      <c r="Q112" s="471"/>
      <c r="R112" s="9"/>
      <c r="S112" s="686">
        <f>+IF(ABRIL!S112=0,"",ABRIL!S112)</f>
        <v>2010000</v>
      </c>
      <c r="T112" s="662" t="str">
        <f>+IF(ABRIL!T112=0,"",ABRIL!T112)</f>
        <v>Gastos de Administración</v>
      </c>
      <c r="U112" s="132">
        <f t="shared" ref="U112:AJ112" si="119">U114+U123+U141</f>
        <v>6052082264</v>
      </c>
      <c r="V112" s="122">
        <f t="shared" si="119"/>
        <v>-1620000000</v>
      </c>
      <c r="W112" s="122">
        <f t="shared" si="119"/>
        <v>650000000</v>
      </c>
      <c r="X112" s="129">
        <f t="shared" si="119"/>
        <v>5082082264</v>
      </c>
      <c r="Y112" s="128">
        <f t="shared" si="119"/>
        <v>3285339379</v>
      </c>
      <c r="Z112" s="122">
        <f t="shared" si="119"/>
        <v>225973427</v>
      </c>
      <c r="AA112" s="129">
        <f t="shared" si="119"/>
        <v>3511312806</v>
      </c>
      <c r="AB112" s="128">
        <f t="shared" si="119"/>
        <v>1839441816</v>
      </c>
      <c r="AC112" s="122">
        <f t="shared" si="119"/>
        <v>674077694</v>
      </c>
      <c r="AD112" s="129">
        <f t="shared" si="119"/>
        <v>2513519510</v>
      </c>
      <c r="AE112" s="128">
        <f t="shared" si="119"/>
        <v>1461220002</v>
      </c>
      <c r="AF112" s="122">
        <f t="shared" si="119"/>
        <v>443909334</v>
      </c>
      <c r="AG112" s="129">
        <f t="shared" si="119"/>
        <v>1905129336</v>
      </c>
      <c r="AH112" s="128">
        <f t="shared" si="119"/>
        <v>1570769458</v>
      </c>
      <c r="AI112" s="122">
        <f t="shared" si="119"/>
        <v>2568562754</v>
      </c>
      <c r="AJ112" s="130">
        <f t="shared" si="119"/>
        <v>3176952928</v>
      </c>
      <c r="AK112" s="9"/>
      <c r="AL112" s="128">
        <f>AL114+AL123+AL141</f>
        <v>-1000000000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+IF(ABRIL!A113=0,"",ABRIL!A113)</f>
        <v>2000</v>
      </c>
      <c r="B113" s="623" t="str">
        <f>+IF(ABRIL!B113=0,"",ABRIL!B113)</f>
        <v>INGRESOS DE CAPITAL</v>
      </c>
      <c r="C113" s="606">
        <f>SUM(C115:C124)</f>
        <v>200295319</v>
      </c>
      <c r="D113" s="607">
        <f>SUM(D115:D124)</f>
        <v>0</v>
      </c>
      <c r="E113" s="607">
        <f t="shared" ref="E113:N113" si="120">SUM(E115:E124)</f>
        <v>2997987</v>
      </c>
      <c r="F113" s="607">
        <f t="shared" si="120"/>
        <v>203293306</v>
      </c>
      <c r="G113" s="607">
        <f t="shared" si="120"/>
        <v>74130736</v>
      </c>
      <c r="H113" s="607">
        <f t="shared" si="120"/>
        <v>52274365</v>
      </c>
      <c r="I113" s="607">
        <f t="shared" si="120"/>
        <v>126405101</v>
      </c>
      <c r="J113" s="607">
        <f t="shared" si="120"/>
        <v>74130736</v>
      </c>
      <c r="K113" s="607">
        <f t="shared" si="120"/>
        <v>52274365</v>
      </c>
      <c r="L113" s="607">
        <f t="shared" si="120"/>
        <v>126405101</v>
      </c>
      <c r="M113" s="607">
        <f t="shared" si="120"/>
        <v>76888205</v>
      </c>
      <c r="N113" s="608">
        <f t="shared" si="120"/>
        <v>76888205</v>
      </c>
      <c r="O113" s="451"/>
      <c r="P113" s="174">
        <f>SUM(P115:P124)</f>
        <v>0</v>
      </c>
      <c r="Q113" s="175">
        <f>SUM(Q115:Q124)</f>
        <v>0</v>
      </c>
      <c r="R113" s="9"/>
      <c r="S113" s="356" t="str">
        <f>+IF(ABRIL!S113=0,"",ABRIL!S113)</f>
        <v/>
      </c>
      <c r="T113" s="678" t="str">
        <f>+IF(ABRIL!T113=0,"",ABRIL!T113)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+IF(ABRIL!A114=0,"",ABRIL!A114)</f>
        <v/>
      </c>
      <c r="B114" s="636" t="str">
        <f>+IF(ABRIL!B114=0,"",ABRIL!B114)</f>
        <v/>
      </c>
      <c r="C114" s="470"/>
      <c r="D114" s="470"/>
      <c r="E114" s="470"/>
      <c r="F114" s="470"/>
      <c r="G114" s="470"/>
      <c r="H114" s="470"/>
      <c r="I114" s="470"/>
      <c r="J114" s="470"/>
      <c r="K114" s="470"/>
      <c r="L114" s="470"/>
      <c r="M114" s="470"/>
      <c r="N114" s="471"/>
      <c r="P114" s="472"/>
      <c r="Q114" s="471"/>
      <c r="R114" s="9"/>
      <c r="S114" s="687">
        <f>+IF(ABRIL!S114=0,"",ABRIL!S114)</f>
        <v>2010100</v>
      </c>
      <c r="T114" s="663" t="str">
        <f>+IF(ABRIL!T114=0,"",ABRIL!T114)</f>
        <v>Adquisición de bienes</v>
      </c>
      <c r="U114" s="132">
        <f t="shared" ref="U114:AJ114" si="121">SUM(U115:U121)</f>
        <v>2750000000</v>
      </c>
      <c r="V114" s="122">
        <f t="shared" si="121"/>
        <v>-1660000000</v>
      </c>
      <c r="W114" s="122">
        <f t="shared" si="121"/>
        <v>400000000</v>
      </c>
      <c r="X114" s="129">
        <f t="shared" si="121"/>
        <v>1490000000</v>
      </c>
      <c r="Y114" s="128">
        <f t="shared" si="121"/>
        <v>970915177</v>
      </c>
      <c r="Z114" s="122">
        <f t="shared" si="121"/>
        <v>41545782</v>
      </c>
      <c r="AA114" s="129">
        <f t="shared" si="121"/>
        <v>1012460959</v>
      </c>
      <c r="AB114" s="128">
        <f t="shared" si="121"/>
        <v>658894846</v>
      </c>
      <c r="AC114" s="122">
        <f t="shared" si="121"/>
        <v>273174376</v>
      </c>
      <c r="AD114" s="129">
        <f t="shared" si="121"/>
        <v>932069222</v>
      </c>
      <c r="AE114" s="128">
        <f t="shared" si="121"/>
        <v>567187868</v>
      </c>
      <c r="AF114" s="122">
        <f t="shared" si="121"/>
        <v>26851236</v>
      </c>
      <c r="AG114" s="129">
        <f t="shared" si="121"/>
        <v>594039104</v>
      </c>
      <c r="AH114" s="128">
        <f t="shared" si="121"/>
        <v>477539041</v>
      </c>
      <c r="AI114" s="122">
        <f t="shared" si="121"/>
        <v>557930778</v>
      </c>
      <c r="AJ114" s="130">
        <f t="shared" si="121"/>
        <v>895960896</v>
      </c>
      <c r="AK114" s="9"/>
      <c r="AL114" s="128">
        <f>SUM(AL115:AL121)</f>
        <v>-1040000000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+IF(ABRIL!A115=0,"",ABRIL!A115)</f>
        <v>2100</v>
      </c>
      <c r="B115" s="609" t="str">
        <f>+IF(ABRIL!B115=0,"",ABRIL!B115)</f>
        <v>CREDITO INTERNO</v>
      </c>
      <c r="C115" s="655">
        <f>+ENERO!C115</f>
        <v>0</v>
      </c>
      <c r="D115" s="454">
        <f>ABRIL!D115+MAYO!P115</f>
        <v>0</v>
      </c>
      <c r="E115" s="454">
        <f>ABRIL!E115+MAYO!Q115</f>
        <v>0</v>
      </c>
      <c r="F115" s="458">
        <f t="shared" ref="F115:F124" si="122">SUM(C115:E115)</f>
        <v>0</v>
      </c>
      <c r="G115" s="456">
        <f>ABRIL!I115</f>
        <v>0</v>
      </c>
      <c r="H115" s="364">
        <v>0</v>
      </c>
      <c r="I115" s="458">
        <f t="shared" ref="I115:I124" si="123">SUM(G115:H115)</f>
        <v>0</v>
      </c>
      <c r="J115" s="456">
        <f>ABRIL!L115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+IF(ABRIL!S115=0,"",ABRIL!S115)</f>
        <v>2010100-1</v>
      </c>
      <c r="T115" s="664" t="str">
        <f>+IF(ABRIL!T115=0,"",ABRIL!T115)</f>
        <v>Compra de Equipos</v>
      </c>
      <c r="U115" s="27">
        <f>+ENERO!U115</f>
        <v>2350000000</v>
      </c>
      <c r="V115" s="15">
        <f>ABRIL!V115+MAYO!AL115</f>
        <v>-1730000000</v>
      </c>
      <c r="W115" s="15">
        <f>ABRIL!W115+MAYO!AM115</f>
        <v>0</v>
      </c>
      <c r="X115" s="18">
        <f t="shared" ref="X115:X121" si="127">SUM(U115:W115)</f>
        <v>620000000</v>
      </c>
      <c r="Y115" s="19">
        <f>ABRIL!AA115</f>
        <v>278663461</v>
      </c>
      <c r="Z115" s="364">
        <v>410550</v>
      </c>
      <c r="AA115" s="18">
        <f t="shared" ref="AA115:AA121" si="128">SUM(Y115:Z115)</f>
        <v>279074011</v>
      </c>
      <c r="AB115" s="19">
        <f>ABRIL!AD115</f>
        <v>48663461</v>
      </c>
      <c r="AC115" s="364">
        <v>230410550</v>
      </c>
      <c r="AD115" s="18">
        <f t="shared" ref="AD115:AD121" si="129">SUM(AB115:AC115)</f>
        <v>279074011</v>
      </c>
      <c r="AE115" s="19">
        <f>ABRIL!AG115</f>
        <v>8023500</v>
      </c>
      <c r="AF115" s="364">
        <v>0</v>
      </c>
      <c r="AG115" s="18">
        <f t="shared" ref="AG115:AG121" si="130">SUM(AE115:AF115)</f>
        <v>8023500</v>
      </c>
      <c r="AH115" s="19">
        <f t="shared" ref="AH115:AH121" si="131">X115-AA115</f>
        <v>340925989</v>
      </c>
      <c r="AI115" s="15">
        <f t="shared" ref="AI115:AI121" si="132">X115-AD115</f>
        <v>340925989</v>
      </c>
      <c r="AJ115" s="16">
        <f t="shared" ref="AJ115:AJ121" si="133">X115-AG115</f>
        <v>611976500</v>
      </c>
      <c r="AK115" s="9"/>
      <c r="AL115" s="362">
        <f>-40000000-1000000000</f>
        <v>-1040000000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+IF(ABRIL!A116=0,"",ABRIL!A116)</f>
        <v>2100-1</v>
      </c>
      <c r="B116" s="610" t="str">
        <f>+IF(ABRIL!B116=0,"",ABRIL!B116)</f>
        <v>Vigencia Anterior</v>
      </c>
      <c r="C116" s="655">
        <f>+ENERO!C116</f>
        <v>0</v>
      </c>
      <c r="D116" s="454">
        <f>ABRIL!D116+MAYO!P116</f>
        <v>0</v>
      </c>
      <c r="E116" s="454">
        <f>ABRIL!E116+MAYO!Q116</f>
        <v>0</v>
      </c>
      <c r="F116" s="458">
        <f t="shared" si="122"/>
        <v>0</v>
      </c>
      <c r="G116" s="456">
        <f>ABRIL!I116</f>
        <v>0</v>
      </c>
      <c r="H116" s="364">
        <v>0</v>
      </c>
      <c r="I116" s="458">
        <f t="shared" si="123"/>
        <v>0</v>
      </c>
      <c r="J116" s="456">
        <f>ABRIL!L116</f>
        <v>0</v>
      </c>
      <c r="K116" s="364">
        <v>0</v>
      </c>
      <c r="L116" s="455">
        <f t="shared" si="124"/>
        <v>0</v>
      </c>
      <c r="M116" s="459">
        <f t="shared" si="125"/>
        <v>0</v>
      </c>
      <c r="N116" s="455">
        <f t="shared" si="126"/>
        <v>0</v>
      </c>
      <c r="O116" s="451"/>
      <c r="P116" s="362">
        <v>0</v>
      </c>
      <c r="Q116" s="365">
        <v>0</v>
      </c>
      <c r="R116" s="9"/>
      <c r="S116" s="688" t="str">
        <f>+IF(ABRIL!S116=0,"",ABRIL!S116)</f>
        <v>2010100-2</v>
      </c>
      <c r="T116" s="664" t="str">
        <f>+IF(ABRIL!T116=0,"",ABRIL!T116)</f>
        <v>Materiales</v>
      </c>
      <c r="U116" s="27">
        <f>+ENERO!U116</f>
        <v>300000000</v>
      </c>
      <c r="V116" s="15">
        <f>ABRIL!V116+MAYO!AL116</f>
        <v>0</v>
      </c>
      <c r="W116" s="15">
        <f>ABRIL!W116+MAYO!AM116</f>
        <v>0</v>
      </c>
      <c r="X116" s="18">
        <f t="shared" si="127"/>
        <v>300000000</v>
      </c>
      <c r="Y116" s="19">
        <f>ABRIL!AA116</f>
        <v>130664857</v>
      </c>
      <c r="Z116" s="364">
        <v>41135232</v>
      </c>
      <c r="AA116" s="18">
        <f t="shared" si="128"/>
        <v>171800089</v>
      </c>
      <c r="AB116" s="19">
        <f>ABRIL!AD116</f>
        <v>113644526</v>
      </c>
      <c r="AC116" s="364">
        <v>42763826</v>
      </c>
      <c r="AD116" s="18">
        <f t="shared" si="129"/>
        <v>156408352</v>
      </c>
      <c r="AE116" s="19">
        <f>ABRIL!AG116</f>
        <v>62577509</v>
      </c>
      <c r="AF116" s="364">
        <v>26851236</v>
      </c>
      <c r="AG116" s="18">
        <f t="shared" si="130"/>
        <v>89428745</v>
      </c>
      <c r="AH116" s="19">
        <f t="shared" si="131"/>
        <v>128199911</v>
      </c>
      <c r="AI116" s="15">
        <f t="shared" si="132"/>
        <v>143591648</v>
      </c>
      <c r="AJ116" s="16">
        <f t="shared" si="133"/>
        <v>210571255</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+IF(ABRIL!A117=0,"",ABRIL!A117)</f>
        <v>2200</v>
      </c>
      <c r="B117" s="609" t="str">
        <f>+IF(ABRIL!B117=0,"",ABRIL!B117)</f>
        <v>CREDITO EXTERNO</v>
      </c>
      <c r="C117" s="655">
        <f>+ENERO!C117</f>
        <v>0</v>
      </c>
      <c r="D117" s="454">
        <f>ABRIL!D117+MAYO!P117</f>
        <v>0</v>
      </c>
      <c r="E117" s="454">
        <f>ABRIL!E117+MAYO!Q117</f>
        <v>0</v>
      </c>
      <c r="F117" s="458">
        <f t="shared" si="122"/>
        <v>0</v>
      </c>
      <c r="G117" s="456">
        <f>ABRIL!I117</f>
        <v>0</v>
      </c>
      <c r="H117" s="364">
        <v>0</v>
      </c>
      <c r="I117" s="458">
        <f t="shared" si="123"/>
        <v>0</v>
      </c>
      <c r="J117" s="456">
        <f>ABRIL!L117</f>
        <v>0</v>
      </c>
      <c r="K117" s="364">
        <v>0</v>
      </c>
      <c r="L117" s="455">
        <f t="shared" si="124"/>
        <v>0</v>
      </c>
      <c r="M117" s="459">
        <f t="shared" si="125"/>
        <v>0</v>
      </c>
      <c r="N117" s="455">
        <f t="shared" si="126"/>
        <v>0</v>
      </c>
      <c r="O117" s="451"/>
      <c r="P117" s="362">
        <v>0</v>
      </c>
      <c r="Q117" s="365">
        <v>0</v>
      </c>
      <c r="R117" s="9"/>
      <c r="S117" s="688" t="str">
        <f>+IF(ABRIL!S117=0,"",ABRIL!S117)</f>
        <v>2010100-3</v>
      </c>
      <c r="T117" s="664" t="str">
        <f>+IF(ABRIL!T117=0,"",ABRIL!T117)</f>
        <v>Salud Ocupacional</v>
      </c>
      <c r="U117" s="27">
        <f>+ENERO!U117</f>
        <v>0</v>
      </c>
      <c r="V117" s="15">
        <f>ABRIL!V117+MAYO!AL117</f>
        <v>0</v>
      </c>
      <c r="W117" s="15">
        <f>ABRIL!W117+MAYO!AM117</f>
        <v>0</v>
      </c>
      <c r="X117" s="18">
        <f t="shared" si="127"/>
        <v>0</v>
      </c>
      <c r="Y117" s="19">
        <f>ABRIL!AA117</f>
        <v>0</v>
      </c>
      <c r="Z117" s="364">
        <v>0</v>
      </c>
      <c r="AA117" s="18">
        <f t="shared" si="128"/>
        <v>0</v>
      </c>
      <c r="AB117" s="19">
        <f>ABRIL!AD117</f>
        <v>0</v>
      </c>
      <c r="AC117" s="364">
        <v>0</v>
      </c>
      <c r="AD117" s="18">
        <f t="shared" si="129"/>
        <v>0</v>
      </c>
      <c r="AE117" s="19">
        <f>ABRIL!AG117</f>
        <v>0</v>
      </c>
      <c r="AF117" s="364">
        <v>0</v>
      </c>
      <c r="AG117" s="18">
        <f t="shared" si="130"/>
        <v>0</v>
      </c>
      <c r="AH117" s="19">
        <f t="shared" si="131"/>
        <v>0</v>
      </c>
      <c r="AI117" s="15">
        <f t="shared" si="132"/>
        <v>0</v>
      </c>
      <c r="AJ117" s="16">
        <f t="shared" si="133"/>
        <v>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+IF(ABRIL!A118=0,"",ABRIL!A118)</f>
        <v>2200-1</v>
      </c>
      <c r="B118" s="610" t="str">
        <f>+IF(ABRIL!B118=0,"",ABRIL!B118)</f>
        <v>Vigencia Anterior</v>
      </c>
      <c r="C118" s="655">
        <f>+ENERO!C118</f>
        <v>0</v>
      </c>
      <c r="D118" s="454">
        <f>ABRIL!D118+MAYO!P118</f>
        <v>0</v>
      </c>
      <c r="E118" s="454">
        <f>ABRIL!E118+MAYO!Q118</f>
        <v>0</v>
      </c>
      <c r="F118" s="458">
        <f t="shared" si="122"/>
        <v>0</v>
      </c>
      <c r="G118" s="456">
        <f>ABRIL!I118</f>
        <v>0</v>
      </c>
      <c r="H118" s="364">
        <v>0</v>
      </c>
      <c r="I118" s="458">
        <f t="shared" si="123"/>
        <v>0</v>
      </c>
      <c r="J118" s="456">
        <f>ABRIL!L118</f>
        <v>0</v>
      </c>
      <c r="K118" s="364">
        <v>0</v>
      </c>
      <c r="L118" s="455">
        <f t="shared" si="124"/>
        <v>0</v>
      </c>
      <c r="M118" s="459">
        <f t="shared" si="125"/>
        <v>0</v>
      </c>
      <c r="N118" s="455">
        <f t="shared" si="126"/>
        <v>0</v>
      </c>
      <c r="O118" s="451"/>
      <c r="P118" s="362">
        <v>0</v>
      </c>
      <c r="Q118" s="365">
        <v>0</v>
      </c>
      <c r="R118" s="9"/>
      <c r="S118" s="688" t="str">
        <f>+IF(ABRIL!S118=0,"",ABRIL!S118)</f>
        <v>2010100-4</v>
      </c>
      <c r="T118" s="664" t="str">
        <f>+IF(ABRIL!T118=0,"",ABRIL!T118)</f>
        <v/>
      </c>
      <c r="U118" s="27">
        <f>+ENERO!U118</f>
        <v>0</v>
      </c>
      <c r="V118" s="15">
        <f>ABRIL!V118+MAYO!AL118</f>
        <v>70000000</v>
      </c>
      <c r="W118" s="15">
        <f>ABRIL!W118+MAYO!AM118</f>
        <v>0</v>
      </c>
      <c r="X118" s="18">
        <f t="shared" si="127"/>
        <v>70000000</v>
      </c>
      <c r="Y118" s="19">
        <f>ABRIL!AA118</f>
        <v>65000000</v>
      </c>
      <c r="Z118" s="364">
        <v>0</v>
      </c>
      <c r="AA118" s="18">
        <f t="shared" si="128"/>
        <v>65000000</v>
      </c>
      <c r="AB118" s="19">
        <f>ABRIL!AD118</f>
        <v>0</v>
      </c>
      <c r="AC118" s="364">
        <v>0</v>
      </c>
      <c r="AD118" s="18">
        <f t="shared" si="129"/>
        <v>0</v>
      </c>
      <c r="AE118" s="19">
        <f>ABRIL!AG118</f>
        <v>0</v>
      </c>
      <c r="AF118" s="364">
        <v>0</v>
      </c>
      <c r="AG118" s="18">
        <f t="shared" si="130"/>
        <v>0</v>
      </c>
      <c r="AH118" s="19">
        <f t="shared" si="131"/>
        <v>5000000</v>
      </c>
      <c r="AI118" s="15">
        <f t="shared" si="132"/>
        <v>70000000</v>
      </c>
      <c r="AJ118" s="16">
        <f t="shared" si="133"/>
        <v>70000000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+IF(ABRIL!A119=0,"",ABRIL!A119)</f>
        <v>2300</v>
      </c>
      <c r="B119" s="609" t="str">
        <f>+IF(ABRIL!B119=0,"",ABRIL!B119)</f>
        <v>RENDIMIENTOS FINANCIEROS</v>
      </c>
      <c r="C119" s="655">
        <f>+ENERO!C119</f>
        <v>200295319</v>
      </c>
      <c r="D119" s="454">
        <f>ABRIL!D119+MAYO!P119</f>
        <v>0</v>
      </c>
      <c r="E119" s="454">
        <f>ABRIL!E119+MAYO!Q119</f>
        <v>0</v>
      </c>
      <c r="F119" s="458">
        <f t="shared" si="122"/>
        <v>200295319</v>
      </c>
      <c r="G119" s="216">
        <f>ABRIL!I119</f>
        <v>7262</v>
      </c>
      <c r="H119" s="364">
        <v>0</v>
      </c>
      <c r="I119" s="463">
        <f t="shared" si="123"/>
        <v>7262</v>
      </c>
      <c r="J119" s="216">
        <f>ABRIL!L119</f>
        <v>7262</v>
      </c>
      <c r="K119" s="364">
        <v>0</v>
      </c>
      <c r="L119" s="143">
        <f t="shared" si="124"/>
        <v>7262</v>
      </c>
      <c r="M119" s="428">
        <f t="shared" si="125"/>
        <v>200288057</v>
      </c>
      <c r="N119" s="143">
        <f t="shared" si="126"/>
        <v>200288057</v>
      </c>
      <c r="O119" s="451"/>
      <c r="P119" s="362">
        <v>0</v>
      </c>
      <c r="Q119" s="365">
        <v>0</v>
      </c>
      <c r="R119" s="9"/>
      <c r="S119" s="688" t="str">
        <f>+IF(ABRIL!S119=0,"",ABRIL!S119)</f>
        <v>2010100-5</v>
      </c>
      <c r="T119" s="664" t="str">
        <f>+IF(ABRIL!T119=0,"",ABRIL!T119)</f>
        <v/>
      </c>
      <c r="U119" s="27">
        <f>+ENERO!U119</f>
        <v>0</v>
      </c>
      <c r="V119" s="15">
        <f>ABRIL!V119+MAYO!AL119</f>
        <v>0</v>
      </c>
      <c r="W119" s="15">
        <f>ABRIL!W119+MAYO!AM119</f>
        <v>0</v>
      </c>
      <c r="X119" s="18">
        <f t="shared" si="127"/>
        <v>0</v>
      </c>
      <c r="Y119" s="19">
        <f>ABRIL!AA119</f>
        <v>0</v>
      </c>
      <c r="Z119" s="364">
        <v>0</v>
      </c>
      <c r="AA119" s="18">
        <f t="shared" si="128"/>
        <v>0</v>
      </c>
      <c r="AB119" s="19">
        <f>ABRIL!AD119</f>
        <v>0</v>
      </c>
      <c r="AC119" s="364">
        <v>0</v>
      </c>
      <c r="AD119" s="18">
        <f t="shared" si="129"/>
        <v>0</v>
      </c>
      <c r="AE119" s="19">
        <f>ABRIL!AG119</f>
        <v>0</v>
      </c>
      <c r="AF119" s="364">
        <v>0</v>
      </c>
      <c r="AG119" s="1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+IF(ABRIL!A120=0,"",ABRIL!A120)</f>
        <v>2400</v>
      </c>
      <c r="B120" s="610" t="str">
        <f>+IF(ABRIL!B120=0,"",ABRIL!B120)</f>
        <v>VENTA DE ACTIVOS</v>
      </c>
      <c r="C120" s="655">
        <f>+ENERO!C120</f>
        <v>0</v>
      </c>
      <c r="D120" s="454">
        <f>ABRIL!D120+MAYO!P120</f>
        <v>0</v>
      </c>
      <c r="E120" s="454">
        <f>ABRIL!E120+MAYO!Q120</f>
        <v>0</v>
      </c>
      <c r="F120" s="458">
        <f t="shared" si="122"/>
        <v>0</v>
      </c>
      <c r="G120" s="216">
        <f>ABRIL!I120</f>
        <v>0</v>
      </c>
      <c r="H120" s="364">
        <v>0</v>
      </c>
      <c r="I120" s="463">
        <f t="shared" si="123"/>
        <v>0</v>
      </c>
      <c r="J120" s="216">
        <f>ABRIL!L120</f>
        <v>0</v>
      </c>
      <c r="K120" s="364">
        <v>0</v>
      </c>
      <c r="L120" s="143">
        <f t="shared" si="124"/>
        <v>0</v>
      </c>
      <c r="M120" s="428">
        <f t="shared" si="125"/>
        <v>0</v>
      </c>
      <c r="N120" s="143">
        <f t="shared" si="126"/>
        <v>0</v>
      </c>
      <c r="P120" s="362">
        <v>0</v>
      </c>
      <c r="Q120" s="365">
        <v>0</v>
      </c>
      <c r="R120" s="9"/>
      <c r="S120" s="688" t="str">
        <f>+IF(ABRIL!S120=0,"",ABRIL!S120)</f>
        <v>2010100-6</v>
      </c>
      <c r="T120" s="664" t="str">
        <f>+IF(ABRIL!T120=0,"",ABRIL!T120)</f>
        <v/>
      </c>
      <c r="U120" s="27">
        <f>+ENERO!U120</f>
        <v>0</v>
      </c>
      <c r="V120" s="15">
        <f>ABRIL!V120+MAYO!AL120</f>
        <v>0</v>
      </c>
      <c r="W120" s="15">
        <f>ABRIL!W120+MAYO!AM120</f>
        <v>0</v>
      </c>
      <c r="X120" s="18">
        <f t="shared" si="127"/>
        <v>0</v>
      </c>
      <c r="Y120" s="19">
        <f>ABRIL!AA120</f>
        <v>0</v>
      </c>
      <c r="Z120" s="364">
        <v>0</v>
      </c>
      <c r="AA120" s="18">
        <f t="shared" si="128"/>
        <v>0</v>
      </c>
      <c r="AB120" s="19">
        <f>ABRIL!AD120</f>
        <v>0</v>
      </c>
      <c r="AC120" s="364">
        <v>0</v>
      </c>
      <c r="AD120" s="18">
        <f t="shared" si="129"/>
        <v>0</v>
      </c>
      <c r="AE120" s="19">
        <f>ABRIL!AG120</f>
        <v>0</v>
      </c>
      <c r="AF120" s="364">
        <v>0</v>
      </c>
      <c r="AG120" s="1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+IF(ABRIL!A121=0,"",ABRIL!A121)</f>
        <v>2500</v>
      </c>
      <c r="B121" s="610" t="str">
        <f>+IF(ABRIL!B121=0,"",ABRIL!B121)</f>
        <v>DONACIONES</v>
      </c>
      <c r="C121" s="655">
        <f>+ENERO!C121</f>
        <v>0</v>
      </c>
      <c r="D121" s="454">
        <f>ABRIL!D121+MAYO!P121</f>
        <v>0</v>
      </c>
      <c r="E121" s="454">
        <f>ABRIL!E121+MAYO!Q121</f>
        <v>0</v>
      </c>
      <c r="F121" s="458">
        <f t="shared" si="122"/>
        <v>0</v>
      </c>
      <c r="G121" s="216">
        <f>ABRIL!I121</f>
        <v>1500000</v>
      </c>
      <c r="H121" s="364">
        <v>0</v>
      </c>
      <c r="I121" s="463">
        <f t="shared" si="123"/>
        <v>1500000</v>
      </c>
      <c r="J121" s="216">
        <f>ABRIL!L121</f>
        <v>1500000</v>
      </c>
      <c r="K121" s="364">
        <v>0</v>
      </c>
      <c r="L121" s="143">
        <f t="shared" si="124"/>
        <v>1500000</v>
      </c>
      <c r="M121" s="428">
        <f t="shared" si="125"/>
        <v>-1500000</v>
      </c>
      <c r="N121" s="143">
        <f t="shared" si="126"/>
        <v>-1500000</v>
      </c>
      <c r="P121" s="362">
        <v>0</v>
      </c>
      <c r="Q121" s="365">
        <v>0</v>
      </c>
      <c r="R121" s="9"/>
      <c r="S121" s="688">
        <f>+IF(ABRIL!S121=0,"",ABRIL!S121)</f>
        <v>2010199</v>
      </c>
      <c r="T121" s="664" t="str">
        <f>+IF(ABRIL!T121=0,"",ABRIL!T121)</f>
        <v>Vigencias Anteriores</v>
      </c>
      <c r="U121" s="27">
        <f>+ENERO!U121</f>
        <v>100000000</v>
      </c>
      <c r="V121" s="15">
        <f>ABRIL!V121+MAYO!AL121</f>
        <v>0</v>
      </c>
      <c r="W121" s="15">
        <f>ABRIL!W121+MAYO!AM121</f>
        <v>400000000</v>
      </c>
      <c r="X121" s="18">
        <f t="shared" si="127"/>
        <v>500000000</v>
      </c>
      <c r="Y121" s="19">
        <f>ABRIL!AA121</f>
        <v>496586859</v>
      </c>
      <c r="Z121" s="364">
        <v>0</v>
      </c>
      <c r="AA121" s="18">
        <f t="shared" si="128"/>
        <v>496586859</v>
      </c>
      <c r="AB121" s="19">
        <f>ABRIL!AD121</f>
        <v>496586859</v>
      </c>
      <c r="AC121" s="364">
        <v>0</v>
      </c>
      <c r="AD121" s="18">
        <f t="shared" si="129"/>
        <v>496586859</v>
      </c>
      <c r="AE121" s="19">
        <f>ABRIL!AG121</f>
        <v>496586859</v>
      </c>
      <c r="AF121" s="364">
        <v>0</v>
      </c>
      <c r="AG121" s="18">
        <f t="shared" si="130"/>
        <v>496586859</v>
      </c>
      <c r="AH121" s="19">
        <f t="shared" si="131"/>
        <v>3413141</v>
      </c>
      <c r="AI121" s="15">
        <f t="shared" si="132"/>
        <v>3413141</v>
      </c>
      <c r="AJ121" s="16">
        <f t="shared" si="133"/>
        <v>3413141</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+IF(ABRIL!A122=0,"",ABRIL!A122)</f>
        <v>2600</v>
      </c>
      <c r="B122" s="610" t="str">
        <f>+IF(ABRIL!B122=0,"",ABRIL!B122)</f>
        <v>RECUPERACIÓN DE CARTERA (AÑO 2017 Y ANTERIORES)</v>
      </c>
      <c r="C122" s="655">
        <f>+ENERO!C122</f>
        <v>0</v>
      </c>
      <c r="D122" s="454">
        <f>ABRIL!D122+MAYO!P122</f>
        <v>0</v>
      </c>
      <c r="E122" s="454">
        <f>ABRIL!E122+MAYO!Q122</f>
        <v>0</v>
      </c>
      <c r="F122" s="458">
        <f t="shared" si="122"/>
        <v>0</v>
      </c>
      <c r="G122" s="216">
        <f>ABRIL!I122</f>
        <v>0</v>
      </c>
      <c r="H122" s="364">
        <v>0</v>
      </c>
      <c r="I122" s="463">
        <f t="shared" si="123"/>
        <v>0</v>
      </c>
      <c r="J122" s="216">
        <f>ABRIL!L122</f>
        <v>0</v>
      </c>
      <c r="K122" s="364">
        <v>0</v>
      </c>
      <c r="L122" s="143">
        <f t="shared" si="124"/>
        <v>0</v>
      </c>
      <c r="M122" s="428">
        <f t="shared" si="125"/>
        <v>0</v>
      </c>
      <c r="N122" s="143">
        <f t="shared" si="126"/>
        <v>0</v>
      </c>
      <c r="P122" s="362">
        <v>0</v>
      </c>
      <c r="Q122" s="365">
        <v>0</v>
      </c>
      <c r="R122" s="9"/>
      <c r="S122" s="356" t="str">
        <f>+IF(ABRIL!S122=0,"",ABRIL!S122)</f>
        <v/>
      </c>
      <c r="T122" s="678" t="str">
        <f>+IF(ABRIL!T122=0,"",ABRIL!T122)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+IF(ABRIL!A123=0,"",ABRIL!A123)</f>
        <v>2700</v>
      </c>
      <c r="B123" s="610" t="str">
        <f>+IF(ABRIL!B123=0,"",ABRIL!B123)</f>
        <v>OTROS INGRESOS DE CAPITAL</v>
      </c>
      <c r="C123" s="655">
        <f>+ENERO!C123</f>
        <v>0</v>
      </c>
      <c r="D123" s="454">
        <f>ABRIL!D123+MAYO!P123</f>
        <v>0</v>
      </c>
      <c r="E123" s="454">
        <f>ABRIL!E123+MAYO!Q123</f>
        <v>2997987</v>
      </c>
      <c r="F123" s="458">
        <f t="shared" si="122"/>
        <v>2997987</v>
      </c>
      <c r="G123" s="216">
        <f>ABRIL!I123</f>
        <v>72623474</v>
      </c>
      <c r="H123" s="364">
        <v>52274365</v>
      </c>
      <c r="I123" s="463">
        <f t="shared" si="123"/>
        <v>124897839</v>
      </c>
      <c r="J123" s="216">
        <f>ABRIL!L123</f>
        <v>72623474</v>
      </c>
      <c r="K123" s="364">
        <v>52274365</v>
      </c>
      <c r="L123" s="143">
        <f t="shared" si="124"/>
        <v>124897839</v>
      </c>
      <c r="M123" s="428">
        <f t="shared" si="125"/>
        <v>-121899852</v>
      </c>
      <c r="N123" s="143">
        <f t="shared" si="126"/>
        <v>-121899852</v>
      </c>
      <c r="P123" s="362">
        <v>0</v>
      </c>
      <c r="Q123" s="365">
        <v>0</v>
      </c>
      <c r="R123" s="9"/>
      <c r="S123" s="687">
        <f>+IF(ABRIL!S123=0,"",ABRIL!S123)</f>
        <v>2010200</v>
      </c>
      <c r="T123" s="663" t="str">
        <f>+IF(ABRIL!T123=0,"",ABRIL!T123)</f>
        <v>Adquisición de Servicios</v>
      </c>
      <c r="U123" s="132">
        <f t="shared" ref="U123:AJ123" si="134">SUM(U124:U139)</f>
        <v>2775000000</v>
      </c>
      <c r="V123" s="122">
        <f t="shared" si="134"/>
        <v>40000000</v>
      </c>
      <c r="W123" s="122">
        <f t="shared" si="134"/>
        <v>250000000</v>
      </c>
      <c r="X123" s="129">
        <f t="shared" si="134"/>
        <v>3065000000</v>
      </c>
      <c r="Y123" s="128">
        <f t="shared" si="134"/>
        <v>2184852340</v>
      </c>
      <c r="Z123" s="122">
        <f t="shared" si="134"/>
        <v>166946905</v>
      </c>
      <c r="AA123" s="129">
        <f t="shared" si="134"/>
        <v>2351799245</v>
      </c>
      <c r="AB123" s="128">
        <f t="shared" si="134"/>
        <v>1050975108</v>
      </c>
      <c r="AC123" s="122">
        <f t="shared" si="134"/>
        <v>383422578</v>
      </c>
      <c r="AD123" s="129">
        <f t="shared" si="134"/>
        <v>1434397686</v>
      </c>
      <c r="AE123" s="128">
        <f t="shared" si="134"/>
        <v>764460272</v>
      </c>
      <c r="AF123" s="122">
        <f t="shared" si="134"/>
        <v>399577358</v>
      </c>
      <c r="AG123" s="129">
        <f t="shared" si="134"/>
        <v>1164037630</v>
      </c>
      <c r="AH123" s="128">
        <f t="shared" si="134"/>
        <v>713200755</v>
      </c>
      <c r="AI123" s="122">
        <f t="shared" si="134"/>
        <v>1630602314</v>
      </c>
      <c r="AJ123" s="130">
        <f t="shared" si="134"/>
        <v>1900962370</v>
      </c>
      <c r="AK123" s="9"/>
      <c r="AL123" s="128">
        <f>SUM(AL124:AL139)</f>
        <v>40000000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+IF(ABRIL!A124=0,"",ABRIL!A124)</f>
        <v>2800</v>
      </c>
      <c r="B124" s="638" t="str">
        <f>+IF(ABRIL!B124=0,"",ABRIL!B124)</f>
        <v/>
      </c>
      <c r="C124" s="759">
        <f>+ENERO!C124</f>
        <v>0</v>
      </c>
      <c r="D124" s="452">
        <f>ABRIL!D124+MAYO!P124</f>
        <v>0</v>
      </c>
      <c r="E124" s="452">
        <f>ABRIL!E124+MAYO!Q124</f>
        <v>0</v>
      </c>
      <c r="F124" s="464">
        <f t="shared" si="122"/>
        <v>0</v>
      </c>
      <c r="G124" s="377">
        <f>ABRIL!I124</f>
        <v>0</v>
      </c>
      <c r="H124" s="378">
        <v>0</v>
      </c>
      <c r="I124" s="465">
        <f t="shared" si="123"/>
        <v>0</v>
      </c>
      <c r="J124" s="377">
        <f>ABRIL!L124</f>
        <v>0</v>
      </c>
      <c r="K124" s="378">
        <v>0</v>
      </c>
      <c r="L124" s="376">
        <f t="shared" si="124"/>
        <v>0</v>
      </c>
      <c r="M124" s="466">
        <f t="shared" si="125"/>
        <v>0</v>
      </c>
      <c r="N124" s="376">
        <f t="shared" si="126"/>
        <v>0</v>
      </c>
      <c r="P124" s="374">
        <v>0</v>
      </c>
      <c r="Q124" s="379">
        <v>0</v>
      </c>
      <c r="R124" s="9"/>
      <c r="S124" s="688" t="str">
        <f>+IF(ABRIL!S124=0,"",ABRIL!S124)</f>
        <v>2010200-1</v>
      </c>
      <c r="T124" s="664" t="str">
        <f>+IF(ABRIL!T124=0,"",ABRIL!T124)</f>
        <v>Seguros</v>
      </c>
      <c r="U124" s="27">
        <f>+ENERO!U124</f>
        <v>3000000</v>
      </c>
      <c r="V124" s="15">
        <f>ABRIL!V124+MAYO!AL124</f>
        <v>0</v>
      </c>
      <c r="W124" s="15">
        <f>ABRIL!W124+MAYO!AM124</f>
        <v>0</v>
      </c>
      <c r="X124" s="18">
        <f t="shared" ref="X124:X139" si="135">SUM(U124:W124)</f>
        <v>3000000</v>
      </c>
      <c r="Y124" s="19">
        <f>ABRIL!AA124</f>
        <v>965154</v>
      </c>
      <c r="Z124" s="364">
        <v>993765</v>
      </c>
      <c r="AA124" s="18">
        <f t="shared" ref="AA124:AA139" si="136">SUM(Y124:Z124)</f>
        <v>1958919</v>
      </c>
      <c r="AB124" s="19">
        <f>ABRIL!AD124</f>
        <v>673000</v>
      </c>
      <c r="AC124" s="364">
        <v>993765</v>
      </c>
      <c r="AD124" s="18">
        <f t="shared" ref="AD124:AD139" si="137">SUM(AB124:AC124)</f>
        <v>1666765</v>
      </c>
      <c r="AE124" s="19">
        <f>ABRIL!AG124</f>
        <v>673000</v>
      </c>
      <c r="AF124" s="364">
        <v>0</v>
      </c>
      <c r="AG124" s="18">
        <f t="shared" ref="AG124:AG139" si="138">SUM(AE124:AF124)</f>
        <v>673000</v>
      </c>
      <c r="AH124" s="19">
        <f t="shared" ref="AH124:AH139" si="139">X124-AA124</f>
        <v>1041081</v>
      </c>
      <c r="AI124" s="15">
        <f t="shared" ref="AI124:AI139" si="140">X124-AD124</f>
        <v>1333235</v>
      </c>
      <c r="AJ124" s="16">
        <f t="shared" ref="AJ124:AJ139" si="141">X124-AG124</f>
        <v>2327000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+IF(ABRIL!S125=0,"",ABRIL!S125)</f>
        <v>2010200-2</v>
      </c>
      <c r="T125" s="664" t="str">
        <f>+IF(ABRIL!T125=0,"",ABRIL!T125)</f>
        <v>Impresos y Publicaciones</v>
      </c>
      <c r="U125" s="27">
        <f>+ENERO!U125</f>
        <v>25000000</v>
      </c>
      <c r="V125" s="15">
        <f>ABRIL!V125+MAYO!AL125</f>
        <v>0</v>
      </c>
      <c r="W125" s="15">
        <f>ABRIL!W125+MAYO!AM125</f>
        <v>0</v>
      </c>
      <c r="X125" s="18">
        <f t="shared" si="135"/>
        <v>25000000</v>
      </c>
      <c r="Y125" s="19">
        <f>ABRIL!AA125</f>
        <v>700000</v>
      </c>
      <c r="Z125" s="364">
        <v>1149000</v>
      </c>
      <c r="AA125" s="18">
        <f t="shared" si="136"/>
        <v>1849000</v>
      </c>
      <c r="AB125" s="19">
        <f>ABRIL!AD125</f>
        <v>700000</v>
      </c>
      <c r="AC125" s="364">
        <v>1149000</v>
      </c>
      <c r="AD125" s="18">
        <f t="shared" si="137"/>
        <v>1849000</v>
      </c>
      <c r="AE125" s="19">
        <f>ABRIL!AG125</f>
        <v>700000</v>
      </c>
      <c r="AF125" s="364">
        <v>428000</v>
      </c>
      <c r="AG125" s="18">
        <f t="shared" si="138"/>
        <v>1128000</v>
      </c>
      <c r="AH125" s="19">
        <f t="shared" si="139"/>
        <v>23151000</v>
      </c>
      <c r="AI125" s="15">
        <f t="shared" si="140"/>
        <v>23151000</v>
      </c>
      <c r="AJ125" s="16">
        <f t="shared" si="141"/>
        <v>23872000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2">C8-C128</f>
        <v>66420360605</v>
      </c>
      <c r="D126" s="467">
        <f t="shared" si="142"/>
        <v>0</v>
      </c>
      <c r="E126" s="467">
        <f t="shared" si="142"/>
        <v>25535681475</v>
      </c>
      <c r="F126" s="467">
        <f t="shared" si="142"/>
        <v>91956042080</v>
      </c>
      <c r="G126" s="467">
        <f t="shared" si="142"/>
        <v>36104233059</v>
      </c>
      <c r="H126" s="467">
        <f t="shared" si="142"/>
        <v>7060038799</v>
      </c>
      <c r="I126" s="467">
        <f t="shared" si="142"/>
        <v>43164271858</v>
      </c>
      <c r="J126" s="467">
        <f t="shared" si="142"/>
        <v>20836097807.150002</v>
      </c>
      <c r="K126" s="467">
        <f t="shared" si="142"/>
        <v>4494420220.920001</v>
      </c>
      <c r="L126" s="467">
        <f t="shared" si="142"/>
        <v>25330518028.069992</v>
      </c>
      <c r="M126" s="467">
        <f t="shared" si="142"/>
        <v>48791770222</v>
      </c>
      <c r="N126" s="596">
        <f t="shared" si="142"/>
        <v>66625524051.93</v>
      </c>
      <c r="P126" s="468">
        <f>P8-P128</f>
        <v>0</v>
      </c>
      <c r="Q126" s="469">
        <f>Q8-Q128</f>
        <v>8000000000</v>
      </c>
      <c r="R126" s="9"/>
      <c r="S126" s="688" t="str">
        <f>+IF(ABRIL!S126=0,"",ABRIL!S126)</f>
        <v>2010200-3</v>
      </c>
      <c r="T126" s="664" t="str">
        <f>+IF(ABRIL!T126=0,"",ABRIL!T126)</f>
        <v xml:space="preserve">Servicios Públicos </v>
      </c>
      <c r="U126" s="27">
        <f>+ENERO!U126</f>
        <v>740000000</v>
      </c>
      <c r="V126" s="15">
        <f>ABRIL!V126+MAYO!AL126</f>
        <v>0</v>
      </c>
      <c r="W126" s="15">
        <f>ABRIL!W126+MAYO!AM126</f>
        <v>0</v>
      </c>
      <c r="X126" s="18">
        <f t="shared" si="135"/>
        <v>740000000</v>
      </c>
      <c r="Y126" s="19">
        <f>ABRIL!AA126</f>
        <v>268044359</v>
      </c>
      <c r="Z126" s="364">
        <v>58479351</v>
      </c>
      <c r="AA126" s="18">
        <f t="shared" si="136"/>
        <v>326523710</v>
      </c>
      <c r="AB126" s="19">
        <f>ABRIL!AD126</f>
        <v>268044359</v>
      </c>
      <c r="AC126" s="364">
        <v>58479351</v>
      </c>
      <c r="AD126" s="18">
        <f t="shared" si="137"/>
        <v>326523710</v>
      </c>
      <c r="AE126" s="19">
        <f>ABRIL!AG126</f>
        <v>216821749</v>
      </c>
      <c r="AF126" s="364">
        <v>53054480</v>
      </c>
      <c r="AG126" s="18">
        <f t="shared" si="138"/>
        <v>269876229</v>
      </c>
      <c r="AH126" s="19">
        <f t="shared" si="139"/>
        <v>413476290</v>
      </c>
      <c r="AI126" s="15">
        <f t="shared" si="140"/>
        <v>413476290</v>
      </c>
      <c r="AJ126" s="16">
        <f t="shared" si="141"/>
        <v>470123771</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+IF(ABRIL!S127=0,"",ABRIL!S127)</f>
        <v>2010200-4</v>
      </c>
      <c r="T127" s="664" t="str">
        <f>+IF(ABRIL!T127=0,"",ABRIL!T127)</f>
        <v>Comunicaciones y Transportes</v>
      </c>
      <c r="U127" s="27">
        <f>+ENERO!U127</f>
        <v>118000000</v>
      </c>
      <c r="V127" s="15">
        <f>ABRIL!V127+MAYO!AL127</f>
        <v>40000000</v>
      </c>
      <c r="W127" s="15">
        <f>ABRIL!W127+MAYO!AM127</f>
        <v>0</v>
      </c>
      <c r="X127" s="18">
        <f t="shared" si="135"/>
        <v>158000000</v>
      </c>
      <c r="Y127" s="19">
        <f>ABRIL!AA127</f>
        <v>87984249</v>
      </c>
      <c r="Z127" s="364">
        <v>40761263</v>
      </c>
      <c r="AA127" s="18">
        <f t="shared" si="136"/>
        <v>128745512</v>
      </c>
      <c r="AB127" s="19">
        <f>ABRIL!AD127</f>
        <v>29184249</v>
      </c>
      <c r="AC127" s="364">
        <v>15391263</v>
      </c>
      <c r="AD127" s="18">
        <f t="shared" si="137"/>
        <v>44575512</v>
      </c>
      <c r="AE127" s="19">
        <f>ABRIL!AG127</f>
        <v>26684249</v>
      </c>
      <c r="AF127" s="364">
        <v>15492263</v>
      </c>
      <c r="AG127" s="18">
        <f t="shared" si="138"/>
        <v>42176512</v>
      </c>
      <c r="AH127" s="19">
        <f t="shared" si="139"/>
        <v>29254488</v>
      </c>
      <c r="AI127" s="15">
        <f t="shared" si="140"/>
        <v>113424488</v>
      </c>
      <c r="AJ127" s="16">
        <f t="shared" si="141"/>
        <v>115823488</v>
      </c>
      <c r="AK127" s="9"/>
      <c r="AL127" s="362">
        <v>40000000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11646305348</v>
      </c>
      <c r="F128" s="473">
        <f>SUMIF($B8:$B$122,$B$24,F8:F122)+F122</f>
        <v>11646305348</v>
      </c>
      <c r="G128" s="473">
        <f>SUMIF($B8:$B$122,$B$24,G8:G122)+G122</f>
        <v>11664453487</v>
      </c>
      <c r="H128" s="473">
        <f>SUMIF($B8:$B$122,$B$24,H8:H122)+H122</f>
        <v>130058138</v>
      </c>
      <c r="I128" s="473">
        <f>SUMIF($B8:$B$122,$B$24,I8:I122)+I122</f>
        <v>11794511625</v>
      </c>
      <c r="J128" s="473">
        <f>SUMIF($B8:$B$122,$B$24,J8:J122)+J1212</f>
        <v>11664453487</v>
      </c>
      <c r="K128" s="473">
        <f>SUMIF($B8:$B$122,$B$24,K8:K122)+K122</f>
        <v>130058137.69</v>
      </c>
      <c r="L128" s="473">
        <f>SUMIF($B8:$B$122,$B$24,L8:L122)+L122</f>
        <v>11794511624.690001</v>
      </c>
      <c r="M128" s="473">
        <f>SUMIF($B8:$B$122,$B$24,M8:M122)+M12</f>
        <v>-148206277</v>
      </c>
      <c r="N128" s="597">
        <f>SUMIF($B8:$B$122,$B$24,N8:N122)+N122</f>
        <v>-148206276.69</v>
      </c>
      <c r="O128" s="451"/>
      <c r="P128" s="473">
        <f>SUMIF($B8:$B$122,$B$24,P8:P122)+P122</f>
        <v>0</v>
      </c>
      <c r="Q128" s="474">
        <f>SUMIF($B8:$B$122,$B$24,Q8:Q122)+Q122</f>
        <v>743274278</v>
      </c>
      <c r="R128" s="9"/>
      <c r="S128" s="688" t="str">
        <f>+IF(ABRIL!S128=0,"",ABRIL!S128)</f>
        <v>2010200-5</v>
      </c>
      <c r="T128" s="664" t="str">
        <f>+IF(ABRIL!T128=0,"",ABRIL!T128)</f>
        <v>Viáticos y Gastos de Viaje</v>
      </c>
      <c r="U128" s="27">
        <f>+ENERO!U128</f>
        <v>22000000</v>
      </c>
      <c r="V128" s="15">
        <f>ABRIL!V128+MAYO!AL128</f>
        <v>0</v>
      </c>
      <c r="W128" s="15">
        <f>ABRIL!W128+MAYO!AM128</f>
        <v>0</v>
      </c>
      <c r="X128" s="18">
        <f t="shared" si="135"/>
        <v>22000000</v>
      </c>
      <c r="Y128" s="19">
        <f>ABRIL!AA128</f>
        <v>2938000</v>
      </c>
      <c r="Z128" s="364">
        <v>0</v>
      </c>
      <c r="AA128" s="18">
        <f t="shared" si="136"/>
        <v>2938000</v>
      </c>
      <c r="AB128" s="19">
        <f>ABRIL!AD128</f>
        <v>2788000</v>
      </c>
      <c r="AC128" s="364">
        <v>0</v>
      </c>
      <c r="AD128" s="18">
        <f t="shared" si="137"/>
        <v>2788000</v>
      </c>
      <c r="AE128" s="19">
        <f>ABRIL!AG128</f>
        <v>2615500</v>
      </c>
      <c r="AF128" s="364">
        <v>0</v>
      </c>
      <c r="AG128" s="18">
        <f t="shared" si="138"/>
        <v>2615500</v>
      </c>
      <c r="AH128" s="19">
        <f t="shared" si="139"/>
        <v>19062000</v>
      </c>
      <c r="AI128" s="15">
        <f t="shared" si="140"/>
        <v>19212000</v>
      </c>
      <c r="AJ128" s="16">
        <f t="shared" si="141"/>
        <v>19384500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+IF(ABRIL!S129=0,"",ABRIL!S129)</f>
        <v>2010200-6</v>
      </c>
      <c r="T129" s="664" t="str">
        <f>+IF(ABRIL!T129=0,"",ABRIL!T129)</f>
        <v>Arrendamientos</v>
      </c>
      <c r="U129" s="27">
        <f>+ENERO!U129</f>
        <v>165000000</v>
      </c>
      <c r="V129" s="15">
        <f>ABRIL!V129+MAYO!AL129</f>
        <v>0</v>
      </c>
      <c r="W129" s="15">
        <f>ABRIL!W129+MAYO!AM129</f>
        <v>0</v>
      </c>
      <c r="X129" s="18">
        <f t="shared" si="135"/>
        <v>165000000</v>
      </c>
      <c r="Y129" s="19">
        <f>ABRIL!AA129</f>
        <v>110000000</v>
      </c>
      <c r="Z129" s="364">
        <v>0</v>
      </c>
      <c r="AA129" s="18">
        <f t="shared" si="136"/>
        <v>110000000</v>
      </c>
      <c r="AB129" s="19">
        <f>ABRIL!AD129</f>
        <v>31930579</v>
      </c>
      <c r="AC129" s="364">
        <v>0</v>
      </c>
      <c r="AD129" s="18">
        <f t="shared" si="137"/>
        <v>31930579</v>
      </c>
      <c r="AE129" s="19">
        <f>ABRIL!AG129</f>
        <v>0</v>
      </c>
      <c r="AF129" s="364">
        <v>31930579</v>
      </c>
      <c r="AG129" s="18">
        <f t="shared" si="138"/>
        <v>31930579</v>
      </c>
      <c r="AH129" s="19">
        <f t="shared" si="139"/>
        <v>55000000</v>
      </c>
      <c r="AI129" s="15">
        <f t="shared" si="140"/>
        <v>133069421</v>
      </c>
      <c r="AJ129" s="16">
        <f t="shared" si="141"/>
        <v>133069421</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3">C128+C126</f>
        <v>66420360605</v>
      </c>
      <c r="D130" s="476">
        <f t="shared" si="143"/>
        <v>0</v>
      </c>
      <c r="E130" s="476">
        <f t="shared" si="143"/>
        <v>37181986823</v>
      </c>
      <c r="F130" s="477">
        <f t="shared" si="143"/>
        <v>103602347428</v>
      </c>
      <c r="G130" s="475">
        <f t="shared" si="143"/>
        <v>47768686546</v>
      </c>
      <c r="H130" s="476">
        <f t="shared" si="143"/>
        <v>7190096937</v>
      </c>
      <c r="I130" s="477">
        <f t="shared" si="143"/>
        <v>54958783483</v>
      </c>
      <c r="J130" s="475">
        <f t="shared" si="143"/>
        <v>32500551294.150002</v>
      </c>
      <c r="K130" s="476">
        <f t="shared" si="143"/>
        <v>4624478358.6100006</v>
      </c>
      <c r="L130" s="477">
        <f t="shared" si="143"/>
        <v>37125029652.759995</v>
      </c>
      <c r="M130" s="475">
        <f t="shared" si="143"/>
        <v>48643563945</v>
      </c>
      <c r="N130" s="477">
        <f t="shared" si="143"/>
        <v>66477317775.239998</v>
      </c>
      <c r="P130" s="468">
        <f>P128+P126</f>
        <v>0</v>
      </c>
      <c r="Q130" s="469">
        <f>Q128+Q126</f>
        <v>8743274278</v>
      </c>
      <c r="R130" s="9"/>
      <c r="S130" s="688" t="str">
        <f>+IF(ABRIL!S130=0,"",ABRIL!S130)</f>
        <v>2010200-7</v>
      </c>
      <c r="T130" s="664" t="str">
        <f>+IF(ABRIL!T130=0,"",ABRIL!T130)</f>
        <v>Vigilancia y Aseo</v>
      </c>
      <c r="U130" s="27">
        <f>+ENERO!U130</f>
        <v>1086000000</v>
      </c>
      <c r="V130" s="15">
        <f>ABRIL!V130+MAYO!AL130</f>
        <v>-50000000</v>
      </c>
      <c r="W130" s="15">
        <f>ABRIL!W130+MAYO!AM130</f>
        <v>0</v>
      </c>
      <c r="X130" s="18">
        <f t="shared" si="135"/>
        <v>1036000000</v>
      </c>
      <c r="Y130" s="19">
        <f>ABRIL!AA130</f>
        <v>1027184608</v>
      </c>
      <c r="Z130" s="364">
        <v>0</v>
      </c>
      <c r="AA130" s="18">
        <f t="shared" si="136"/>
        <v>1027184608</v>
      </c>
      <c r="AB130" s="19">
        <f>ABRIL!AD130</f>
        <v>338243951</v>
      </c>
      <c r="AC130" s="364">
        <v>87433173</v>
      </c>
      <c r="AD130" s="18">
        <f t="shared" si="137"/>
        <v>425677124</v>
      </c>
      <c r="AE130" s="19">
        <f>ABRIL!AG130</f>
        <v>137554804</v>
      </c>
      <c r="AF130" s="364">
        <v>83346010</v>
      </c>
      <c r="AG130" s="18">
        <f t="shared" si="138"/>
        <v>220900814</v>
      </c>
      <c r="AH130" s="19">
        <f t="shared" si="139"/>
        <v>8815392</v>
      </c>
      <c r="AI130" s="15">
        <f t="shared" si="140"/>
        <v>610322876</v>
      </c>
      <c r="AJ130" s="16">
        <f t="shared" si="141"/>
        <v>815099186</v>
      </c>
      <c r="AK130" s="9"/>
      <c r="AL130" s="362">
        <v>-50000000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+IF(ABRIL!S131=0,"",ABRIL!S131)</f>
        <v>2010200-8</v>
      </c>
      <c r="T131" s="664" t="str">
        <f>+IF(ABRIL!T131=0,"",ABRIL!T131)</f>
        <v>Bienestar Social</v>
      </c>
      <c r="U131" s="27">
        <f>+ENERO!U131</f>
        <v>100000000</v>
      </c>
      <c r="V131" s="15">
        <f>ABRIL!V131+MAYO!AL131</f>
        <v>0</v>
      </c>
      <c r="W131" s="15">
        <f>ABRIL!W131+MAYO!AM131</f>
        <v>0</v>
      </c>
      <c r="X131" s="18">
        <f t="shared" si="135"/>
        <v>100000000</v>
      </c>
      <c r="Y131" s="19">
        <f>ABRIL!AA131</f>
        <v>1200000</v>
      </c>
      <c r="Z131" s="364">
        <v>3450000</v>
      </c>
      <c r="AA131" s="18">
        <f t="shared" si="136"/>
        <v>4650000</v>
      </c>
      <c r="AB131" s="19">
        <f>ABRIL!AD131</f>
        <v>0</v>
      </c>
      <c r="AC131" s="364">
        <v>4650000</v>
      </c>
      <c r="AD131" s="18">
        <f t="shared" si="137"/>
        <v>4650000</v>
      </c>
      <c r="AE131" s="19">
        <f>ABRIL!AG131</f>
        <v>0</v>
      </c>
      <c r="AF131" s="364">
        <v>0</v>
      </c>
      <c r="AG131" s="18">
        <f t="shared" si="138"/>
        <v>0</v>
      </c>
      <c r="AH131" s="19">
        <f t="shared" si="139"/>
        <v>95350000</v>
      </c>
      <c r="AI131" s="15">
        <f t="shared" si="140"/>
        <v>95350000</v>
      </c>
      <c r="AJ131" s="16">
        <f t="shared" si="141"/>
        <v>100000000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+IF(ABRIL!S132=0,"",ABRIL!S132)</f>
        <v>2010200-9</v>
      </c>
      <c r="T132" s="664" t="str">
        <f>+IF(ABRIL!T132=0,"",ABRIL!T132)</f>
        <v>Capacitación, estimulos, incentivos, programa de calidad</v>
      </c>
      <c r="U132" s="27">
        <f>+ENERO!U132</f>
        <v>50000000</v>
      </c>
      <c r="V132" s="15">
        <f>ABRIL!V132+MAYO!AL132</f>
        <v>0</v>
      </c>
      <c r="W132" s="15">
        <f>ABRIL!W132+MAYO!AM132</f>
        <v>0</v>
      </c>
      <c r="X132" s="18">
        <f t="shared" si="135"/>
        <v>50000000</v>
      </c>
      <c r="Y132" s="19">
        <f>ABRIL!AA132</f>
        <v>0</v>
      </c>
      <c r="Z132" s="364">
        <v>0</v>
      </c>
      <c r="AA132" s="18">
        <f t="shared" si="136"/>
        <v>0</v>
      </c>
      <c r="AB132" s="19">
        <f>ABRIL!AD132</f>
        <v>0</v>
      </c>
      <c r="AC132" s="364">
        <v>0</v>
      </c>
      <c r="AD132" s="18">
        <f t="shared" si="137"/>
        <v>0</v>
      </c>
      <c r="AE132" s="19">
        <f>ABRIL!AG132</f>
        <v>0</v>
      </c>
      <c r="AF132" s="364">
        <v>0</v>
      </c>
      <c r="AG132" s="18">
        <f t="shared" si="138"/>
        <v>0</v>
      </c>
      <c r="AH132" s="19">
        <f t="shared" si="139"/>
        <v>50000000</v>
      </c>
      <c r="AI132" s="15">
        <f t="shared" si="140"/>
        <v>50000000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+IF(ABRIL!S133=0,"",ABRIL!S133)</f>
        <v>2010200-10</v>
      </c>
      <c r="T133" s="664" t="str">
        <f>+IF(ABRIL!T133=0,"",ABRIL!T133)</f>
        <v>Pagos otras IPS</v>
      </c>
      <c r="U133" s="27">
        <f>+ENERO!U133</f>
        <v>0</v>
      </c>
      <c r="V133" s="15">
        <f>ABRIL!V133+MAYO!AL133</f>
        <v>0</v>
      </c>
      <c r="W133" s="15">
        <f>ABRIL!W133+MAYO!AM133</f>
        <v>0</v>
      </c>
      <c r="X133" s="18">
        <f t="shared" si="135"/>
        <v>0</v>
      </c>
      <c r="Y133" s="19">
        <f>ABRIL!AA133</f>
        <v>0</v>
      </c>
      <c r="Z133" s="364">
        <v>0</v>
      </c>
      <c r="AA133" s="18">
        <f t="shared" si="136"/>
        <v>0</v>
      </c>
      <c r="AB133" s="19">
        <f>ABRIL!AD133</f>
        <v>0</v>
      </c>
      <c r="AC133" s="364">
        <v>0</v>
      </c>
      <c r="AD133" s="18">
        <f t="shared" si="137"/>
        <v>0</v>
      </c>
      <c r="AE133" s="19">
        <f>ABRIL!AG133</f>
        <v>0</v>
      </c>
      <c r="AF133" s="364">
        <v>0</v>
      </c>
      <c r="AG133" s="1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+IF(ABRIL!S134=0,"",ABRIL!S134)</f>
        <v>2010200-11</v>
      </c>
      <c r="T134" s="664" t="str">
        <f>+IF(ABRIL!T134=0,"",ABRIL!T134)</f>
        <v>Gastos financieros</v>
      </c>
      <c r="U134" s="27">
        <f>+ENERO!U134</f>
        <v>16000000</v>
      </c>
      <c r="V134" s="15">
        <f>ABRIL!V134+MAYO!AL134</f>
        <v>0</v>
      </c>
      <c r="W134" s="15">
        <f>ABRIL!W134+MAYO!AM134</f>
        <v>0</v>
      </c>
      <c r="X134" s="18">
        <f t="shared" si="135"/>
        <v>16000000</v>
      </c>
      <c r="Y134" s="19">
        <f>ABRIL!AA134</f>
        <v>7619417</v>
      </c>
      <c r="Z134" s="364">
        <v>2448542</v>
      </c>
      <c r="AA134" s="18">
        <f t="shared" si="136"/>
        <v>10067959</v>
      </c>
      <c r="AB134" s="19">
        <f>ABRIL!AD134</f>
        <v>7619417</v>
      </c>
      <c r="AC134" s="364">
        <v>2448542</v>
      </c>
      <c r="AD134" s="18">
        <f t="shared" si="137"/>
        <v>10067959</v>
      </c>
      <c r="AE134" s="19">
        <f>ABRIL!AG134</f>
        <v>7619417</v>
      </c>
      <c r="AF134" s="364">
        <v>2448542</v>
      </c>
      <c r="AG134" s="18">
        <f t="shared" si="138"/>
        <v>10067959</v>
      </c>
      <c r="AH134" s="19">
        <f t="shared" si="139"/>
        <v>5932041</v>
      </c>
      <c r="AI134" s="15">
        <f t="shared" si="140"/>
        <v>5932041</v>
      </c>
      <c r="AJ134" s="16">
        <f t="shared" si="141"/>
        <v>5932041</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+IF(ABRIL!S135=0,"",ABRIL!S135)</f>
        <v>2010200-12</v>
      </c>
      <c r="T135" s="664" t="str">
        <f>+IF(ABRIL!T135=0,"",ABRIL!T135)</f>
        <v>Mantenimiento de software</v>
      </c>
      <c r="U135" s="27">
        <f>+ENERO!U135</f>
        <v>350000000</v>
      </c>
      <c r="V135" s="15">
        <f>ABRIL!V135+MAYO!AL135</f>
        <v>0</v>
      </c>
      <c r="W135" s="15">
        <f>ABRIL!W135+MAYO!AM135</f>
        <v>0</v>
      </c>
      <c r="X135" s="18">
        <f t="shared" si="135"/>
        <v>350000000</v>
      </c>
      <c r="Y135" s="19">
        <f>ABRIL!AA135</f>
        <v>338498600</v>
      </c>
      <c r="Z135" s="364">
        <v>0</v>
      </c>
      <c r="AA135" s="18">
        <f t="shared" si="136"/>
        <v>338498600</v>
      </c>
      <c r="AB135" s="19">
        <f>ABRIL!AD135</f>
        <v>32073600</v>
      </c>
      <c r="AC135" s="364">
        <v>153212500</v>
      </c>
      <c r="AD135" s="18">
        <f t="shared" si="137"/>
        <v>185286100</v>
      </c>
      <c r="AE135" s="19">
        <f>ABRIL!AG135</f>
        <v>32073600</v>
      </c>
      <c r="AF135" s="364">
        <v>153212500</v>
      </c>
      <c r="AG135" s="18">
        <f t="shared" si="138"/>
        <v>185286100</v>
      </c>
      <c r="AH135" s="19">
        <f t="shared" si="139"/>
        <v>11501400</v>
      </c>
      <c r="AI135" s="15">
        <f t="shared" si="140"/>
        <v>164713900</v>
      </c>
      <c r="AJ135" s="16">
        <f t="shared" si="141"/>
        <v>164713900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+IF(ABRIL!S136=0,"",ABRIL!S136)</f>
        <v>2010200-13</v>
      </c>
      <c r="T136" s="664" t="str">
        <f>+IF(ABRIL!T136=0,"",ABRIL!T136)</f>
        <v/>
      </c>
      <c r="U136" s="27">
        <f>+ENERO!U136</f>
        <v>0</v>
      </c>
      <c r="V136" s="15">
        <f>ABRIL!V136+MAYO!AL136</f>
        <v>0</v>
      </c>
      <c r="W136" s="15">
        <f>ABRIL!W136+MAYO!AM136</f>
        <v>0</v>
      </c>
      <c r="X136" s="18">
        <f t="shared" si="135"/>
        <v>0</v>
      </c>
      <c r="Y136" s="19">
        <f>ABRIL!AA136</f>
        <v>0</v>
      </c>
      <c r="Z136" s="364">
        <v>0</v>
      </c>
      <c r="AA136" s="18">
        <f t="shared" si="136"/>
        <v>0</v>
      </c>
      <c r="AB136" s="19">
        <f>ABRIL!AD136</f>
        <v>0</v>
      </c>
      <c r="AC136" s="364">
        <v>0</v>
      </c>
      <c r="AD136" s="18">
        <f t="shared" si="137"/>
        <v>0</v>
      </c>
      <c r="AE136" s="19">
        <f>ABRIL!AG136</f>
        <v>0</v>
      </c>
      <c r="AF136" s="364">
        <v>0</v>
      </c>
      <c r="AG136" s="1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+IF(ABRIL!S137=0,"",ABRIL!S137)</f>
        <v>2010020-14</v>
      </c>
      <c r="T137" s="664" t="str">
        <f>+IF(ABRIL!T137=0,"",ABRIL!T137)</f>
        <v/>
      </c>
      <c r="U137" s="27">
        <f>+ENERO!U137</f>
        <v>0</v>
      </c>
      <c r="V137" s="15">
        <f>ABRIL!V137+MAYO!AL137</f>
        <v>0</v>
      </c>
      <c r="W137" s="15">
        <f>ABRIL!W137+MAYO!AM137</f>
        <v>0</v>
      </c>
      <c r="X137" s="18">
        <f t="shared" si="135"/>
        <v>0</v>
      </c>
      <c r="Y137" s="19">
        <f>ABRIL!AA137</f>
        <v>0</v>
      </c>
      <c r="Z137" s="364">
        <v>0</v>
      </c>
      <c r="AA137" s="18">
        <f t="shared" si="136"/>
        <v>0</v>
      </c>
      <c r="AB137" s="19">
        <f>ABRIL!AD137</f>
        <v>0</v>
      </c>
      <c r="AC137" s="364">
        <v>0</v>
      </c>
      <c r="AD137" s="18">
        <f t="shared" si="137"/>
        <v>0</v>
      </c>
      <c r="AE137" s="19">
        <f>ABRIL!AG137</f>
        <v>0</v>
      </c>
      <c r="AF137" s="364">
        <v>0</v>
      </c>
      <c r="AG137" s="1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+IF(ABRIL!S138=0,"",ABRIL!S138)</f>
        <v>2010200-15</v>
      </c>
      <c r="T138" s="664" t="str">
        <f>+IF(ABRIL!T138=0,"",ABRIL!T138)</f>
        <v/>
      </c>
      <c r="U138" s="27">
        <f>+ENERO!U138</f>
        <v>0</v>
      </c>
      <c r="V138" s="15">
        <f>ABRIL!V138+MAYO!AL138</f>
        <v>0</v>
      </c>
      <c r="W138" s="15">
        <f>ABRIL!W138+MAYO!AM138</f>
        <v>0</v>
      </c>
      <c r="X138" s="18">
        <f t="shared" si="135"/>
        <v>0</v>
      </c>
      <c r="Y138" s="19">
        <f>ABRIL!AA138</f>
        <v>0</v>
      </c>
      <c r="Z138" s="364">
        <v>0</v>
      </c>
      <c r="AA138" s="18">
        <f t="shared" si="136"/>
        <v>0</v>
      </c>
      <c r="AB138" s="19">
        <f>ABRIL!AD138</f>
        <v>0</v>
      </c>
      <c r="AC138" s="364">
        <v>0</v>
      </c>
      <c r="AD138" s="18">
        <f t="shared" si="137"/>
        <v>0</v>
      </c>
      <c r="AE138" s="19">
        <f>ABRIL!AG138</f>
        <v>0</v>
      </c>
      <c r="AF138" s="364">
        <v>0</v>
      </c>
      <c r="AG138" s="1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+IF(ABRIL!S139=0,"",ABRIL!S139)</f>
        <v>2010299</v>
      </c>
      <c r="T139" s="664" t="str">
        <f>+IF(ABRIL!T139=0,"",ABRIL!T139)</f>
        <v>Vigencias Anteriores</v>
      </c>
      <c r="U139" s="27">
        <f>+ENERO!U139</f>
        <v>100000000</v>
      </c>
      <c r="V139" s="15">
        <f>ABRIL!V139+MAYO!AL139</f>
        <v>50000000</v>
      </c>
      <c r="W139" s="15">
        <f>ABRIL!W139+MAYO!AM139</f>
        <v>250000000</v>
      </c>
      <c r="X139" s="18">
        <f t="shared" si="135"/>
        <v>400000000</v>
      </c>
      <c r="Y139" s="19">
        <f>ABRIL!AA139</f>
        <v>339717953</v>
      </c>
      <c r="Z139" s="364">
        <v>59664984</v>
      </c>
      <c r="AA139" s="18">
        <f t="shared" si="136"/>
        <v>399382937</v>
      </c>
      <c r="AB139" s="19">
        <f>ABRIL!AD139</f>
        <v>339717953</v>
      </c>
      <c r="AC139" s="364">
        <v>59664984</v>
      </c>
      <c r="AD139" s="18">
        <f t="shared" si="137"/>
        <v>399382937</v>
      </c>
      <c r="AE139" s="19">
        <f>ABRIL!AG139</f>
        <v>339717953</v>
      </c>
      <c r="AF139" s="364">
        <v>59664984</v>
      </c>
      <c r="AG139" s="18">
        <f t="shared" si="138"/>
        <v>399382937</v>
      </c>
      <c r="AH139" s="19">
        <f t="shared" si="139"/>
        <v>617063</v>
      </c>
      <c r="AI139" s="15">
        <f t="shared" si="140"/>
        <v>617063</v>
      </c>
      <c r="AJ139" s="16">
        <f t="shared" si="141"/>
        <v>617063</v>
      </c>
      <c r="AK139" s="9"/>
      <c r="AL139" s="362">
        <v>50000000</v>
      </c>
      <c r="AM139" s="365">
        <v>0</v>
      </c>
      <c r="AN139" s="9"/>
      <c r="AO139" s="284"/>
      <c r="AP139" s="284"/>
      <c r="AQ139" s="284"/>
    </row>
    <row r="140" spans="1:52" s="372" customFormat="1" ht="24.95" customHeight="1">
      <c r="A140" s="734"/>
      <c r="B140" s="643"/>
      <c r="N140" s="9"/>
      <c r="R140" s="9"/>
      <c r="S140" s="356" t="str">
        <f>+IF(ABRIL!S140=0,"",ABRIL!S140)</f>
        <v/>
      </c>
      <c r="T140" s="678" t="str">
        <f>+IF(ABRIL!T140=0,"",ABRIL!T140)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+IF(ABRIL!S141=0,"",ABRIL!S141)</f>
        <v>2010300</v>
      </c>
      <c r="T141" s="663" t="str">
        <f>+IF(ABRIL!T141=0,"",ABRIL!T141)</f>
        <v>Impuestos y Multas</v>
      </c>
      <c r="U141" s="132">
        <f t="shared" ref="U141:AJ141" si="144">U142+U143</f>
        <v>527082264</v>
      </c>
      <c r="V141" s="122">
        <f t="shared" si="144"/>
        <v>0</v>
      </c>
      <c r="W141" s="122">
        <f t="shared" si="144"/>
        <v>0</v>
      </c>
      <c r="X141" s="129">
        <f t="shared" si="144"/>
        <v>527082264</v>
      </c>
      <c r="Y141" s="128">
        <f t="shared" si="144"/>
        <v>129571862</v>
      </c>
      <c r="Z141" s="122">
        <f t="shared" si="144"/>
        <v>17480740</v>
      </c>
      <c r="AA141" s="129">
        <f t="shared" si="144"/>
        <v>147052602</v>
      </c>
      <c r="AB141" s="128">
        <f t="shared" si="144"/>
        <v>129571862</v>
      </c>
      <c r="AC141" s="122">
        <f t="shared" si="144"/>
        <v>17480740</v>
      </c>
      <c r="AD141" s="129">
        <f t="shared" si="144"/>
        <v>147052602</v>
      </c>
      <c r="AE141" s="128">
        <f t="shared" si="144"/>
        <v>129571862</v>
      </c>
      <c r="AF141" s="122">
        <f t="shared" si="144"/>
        <v>17480740</v>
      </c>
      <c r="AG141" s="129">
        <f t="shared" si="144"/>
        <v>147052602</v>
      </c>
      <c r="AH141" s="128">
        <f t="shared" si="144"/>
        <v>380029662</v>
      </c>
      <c r="AI141" s="122">
        <f t="shared" si="144"/>
        <v>380029662</v>
      </c>
      <c r="AJ141" s="130">
        <f t="shared" si="144"/>
        <v>380029662</v>
      </c>
      <c r="AK141" s="10"/>
      <c r="AL141" s="128">
        <f>AL142+AL143</f>
        <v>0</v>
      </c>
      <c r="AM141" s="130">
        <f>AM142+AM143</f>
        <v>0</v>
      </c>
      <c r="AN141" s="9"/>
    </row>
    <row r="142" spans="1:52" s="372" customFormat="1" ht="24.95" customHeight="1">
      <c r="A142" s="734"/>
      <c r="B142" s="643"/>
      <c r="N142" s="9"/>
      <c r="R142" s="9"/>
      <c r="S142" s="688" t="str">
        <f>+IF(ABRIL!S142=0,"",ABRIL!S142)</f>
        <v>2010300-1</v>
      </c>
      <c r="T142" s="664" t="str">
        <f>+IF(ABRIL!T142=0,"",ABRIL!T142)</f>
        <v>Impuestos (Predial, Vehiculos, Otros)</v>
      </c>
      <c r="U142" s="27">
        <f>+ENERO!U142</f>
        <v>527082264</v>
      </c>
      <c r="V142" s="15">
        <f>ABRIL!V142+MAYO!AL142</f>
        <v>0</v>
      </c>
      <c r="W142" s="15">
        <f>ABRIL!W142+MAYO!AM142</f>
        <v>0</v>
      </c>
      <c r="X142" s="18">
        <f>SUM(U142:W142)</f>
        <v>527082264</v>
      </c>
      <c r="Y142" s="19">
        <f>ABRIL!AA142</f>
        <v>129571862</v>
      </c>
      <c r="Z142" s="364">
        <v>17480740</v>
      </c>
      <c r="AA142" s="18">
        <f>SUM(Y142:Z142)</f>
        <v>147052602</v>
      </c>
      <c r="AB142" s="19">
        <f>ABRIL!AD142</f>
        <v>129571862</v>
      </c>
      <c r="AC142" s="364">
        <v>17480740</v>
      </c>
      <c r="AD142" s="18">
        <f>SUM(AB142:AC142)</f>
        <v>147052602</v>
      </c>
      <c r="AE142" s="19">
        <f>ABRIL!AG142</f>
        <v>129571862</v>
      </c>
      <c r="AF142" s="364">
        <v>17480740</v>
      </c>
      <c r="AG142" s="18">
        <f>SUM(AE142:AF142)</f>
        <v>147052602</v>
      </c>
      <c r="AH142" s="19">
        <f>X142-AA142</f>
        <v>380029662</v>
      </c>
      <c r="AI142" s="15">
        <f>X142-AD142</f>
        <v>380029662</v>
      </c>
      <c r="AJ142" s="16">
        <f>X142-AG142</f>
        <v>380029662</v>
      </c>
      <c r="AK142" s="9"/>
      <c r="AL142" s="362">
        <v>0</v>
      </c>
      <c r="AM142" s="365">
        <v>0</v>
      </c>
      <c r="AN142" s="9"/>
    </row>
    <row r="143" spans="1:52" s="372" customFormat="1" ht="24.95" customHeight="1">
      <c r="A143" s="734"/>
      <c r="B143" s="643"/>
      <c r="N143" s="9"/>
      <c r="R143" s="9"/>
      <c r="S143" s="688">
        <f>+IF(ABRIL!S143=0,"",ABRIL!S143)</f>
        <v>2010399</v>
      </c>
      <c r="T143" s="664" t="str">
        <f>+IF(ABRIL!T143=0,"",ABRIL!T143)</f>
        <v>Vigencias Anteriores</v>
      </c>
      <c r="U143" s="27">
        <f>+ENERO!U143</f>
        <v>0</v>
      </c>
      <c r="V143" s="15">
        <f>ABRIL!V143+MAYO!AL143</f>
        <v>0</v>
      </c>
      <c r="W143" s="15">
        <f>ABRIL!W143+MAYO!AM143</f>
        <v>0</v>
      </c>
      <c r="X143" s="18">
        <f>SUM(U143:W143)</f>
        <v>0</v>
      </c>
      <c r="Y143" s="19">
        <f>ABRIL!AA143</f>
        <v>0</v>
      </c>
      <c r="Z143" s="364">
        <v>0</v>
      </c>
      <c r="AA143" s="18">
        <f>SUM(Y143:Z143)</f>
        <v>0</v>
      </c>
      <c r="AB143" s="19">
        <f>ABRIL!AD143</f>
        <v>0</v>
      </c>
      <c r="AC143" s="364">
        <v>0</v>
      </c>
      <c r="AD143" s="18">
        <f>SUM(AB143:AC143)</f>
        <v>0</v>
      </c>
      <c r="AE143" s="19">
        <f>ABRIL!AG143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+IF(ABRIL!S144=0,"",ABRIL!S144)</f>
        <v/>
      </c>
      <c r="T144" s="678" t="str">
        <f>+IF(ABRIL!T144=0,"",ABRIL!T144)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+IF(ABRIL!S145=0,"",ABRIL!S145)</f>
        <v>2020010</v>
      </c>
      <c r="T145" s="662" t="str">
        <f>+IF(ABRIL!T145=0,"",ABRIL!T145)</f>
        <v>Gastos de Operación</v>
      </c>
      <c r="U145" s="132">
        <f t="shared" ref="U145:AJ145" si="145">U147+U155</f>
        <v>5923637263</v>
      </c>
      <c r="V145" s="122">
        <f t="shared" si="145"/>
        <v>292000000</v>
      </c>
      <c r="W145" s="122">
        <f t="shared" si="145"/>
        <v>1300000000</v>
      </c>
      <c r="X145" s="129">
        <f t="shared" si="145"/>
        <v>7515637263</v>
      </c>
      <c r="Y145" s="128">
        <f t="shared" si="145"/>
        <v>5237564289</v>
      </c>
      <c r="Z145" s="122">
        <f t="shared" si="145"/>
        <v>338850719</v>
      </c>
      <c r="AA145" s="129">
        <f t="shared" si="145"/>
        <v>5576415008</v>
      </c>
      <c r="AB145" s="128">
        <f t="shared" si="145"/>
        <v>2718918737</v>
      </c>
      <c r="AC145" s="122">
        <f t="shared" si="145"/>
        <v>667569420</v>
      </c>
      <c r="AD145" s="129">
        <f t="shared" si="145"/>
        <v>3386488157</v>
      </c>
      <c r="AE145" s="128">
        <f t="shared" si="145"/>
        <v>1527187194</v>
      </c>
      <c r="AF145" s="122">
        <f t="shared" si="145"/>
        <v>643245625</v>
      </c>
      <c r="AG145" s="129">
        <f t="shared" si="145"/>
        <v>2170432819</v>
      </c>
      <c r="AH145" s="128">
        <f t="shared" si="145"/>
        <v>1939222255</v>
      </c>
      <c r="AI145" s="122">
        <f t="shared" si="145"/>
        <v>4129149106</v>
      </c>
      <c r="AJ145" s="130">
        <f t="shared" si="145"/>
        <v>5345204444</v>
      </c>
      <c r="AK145" s="10"/>
      <c r="AL145" s="128">
        <f>AL147+AL155</f>
        <v>-8000000</v>
      </c>
      <c r="AM145" s="130">
        <f>AM147+AM155</f>
        <v>0</v>
      </c>
      <c r="AN145" s="9"/>
    </row>
    <row r="146" spans="1:40" s="372" customFormat="1" ht="24.95" customHeight="1">
      <c r="A146" s="734"/>
      <c r="B146" s="643"/>
      <c r="N146" s="9"/>
      <c r="R146" s="9"/>
      <c r="S146" s="689" t="str">
        <f>+IF(ABRIL!S146=0,"",ABRIL!S146)</f>
        <v/>
      </c>
      <c r="T146" s="665" t="str">
        <f>+IF(ABRIL!T146=0,"",ABRIL!T146)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+IF(ABRIL!S147=0,"",ABRIL!S147)</f>
        <v>2020100</v>
      </c>
      <c r="T147" s="663" t="str">
        <f>+IF(ABRIL!T147=0,"",ABRIL!T147)</f>
        <v>Adquisición de bienes</v>
      </c>
      <c r="U147" s="132">
        <f t="shared" ref="U147:AJ147" si="146">SUM(U148:U149)+U153</f>
        <v>1211000000</v>
      </c>
      <c r="V147" s="122">
        <f t="shared" si="146"/>
        <v>-308000000</v>
      </c>
      <c r="W147" s="122">
        <f t="shared" si="146"/>
        <v>100000000</v>
      </c>
      <c r="X147" s="129">
        <f t="shared" si="146"/>
        <v>1003000000</v>
      </c>
      <c r="Y147" s="128">
        <f t="shared" si="146"/>
        <v>256284588</v>
      </c>
      <c r="Z147" s="122">
        <f t="shared" si="146"/>
        <v>28625791</v>
      </c>
      <c r="AA147" s="129">
        <f t="shared" si="146"/>
        <v>284910379</v>
      </c>
      <c r="AB147" s="128">
        <f t="shared" si="146"/>
        <v>239141347</v>
      </c>
      <c r="AC147" s="122">
        <f t="shared" si="146"/>
        <v>28625791</v>
      </c>
      <c r="AD147" s="129">
        <f t="shared" si="146"/>
        <v>267767138</v>
      </c>
      <c r="AE147" s="128">
        <f t="shared" si="146"/>
        <v>185666055</v>
      </c>
      <c r="AF147" s="122">
        <f t="shared" si="146"/>
        <v>7937419</v>
      </c>
      <c r="AG147" s="129">
        <f t="shared" si="146"/>
        <v>193603474</v>
      </c>
      <c r="AH147" s="128">
        <f t="shared" si="146"/>
        <v>718089621</v>
      </c>
      <c r="AI147" s="122">
        <f t="shared" si="146"/>
        <v>735232862</v>
      </c>
      <c r="AJ147" s="130">
        <f t="shared" si="146"/>
        <v>809396526</v>
      </c>
      <c r="AK147" s="9"/>
      <c r="AL147" s="128">
        <f>SUM(AL148:AL149)+AL153</f>
        <v>-308000000</v>
      </c>
      <c r="AM147" s="130">
        <f>SUM(AM148:AM149)+AM153</f>
        <v>0</v>
      </c>
      <c r="AN147" s="9"/>
    </row>
    <row r="148" spans="1:40" s="372" customFormat="1" ht="24.95" customHeight="1">
      <c r="A148" s="734"/>
      <c r="B148" s="643"/>
      <c r="N148" s="9"/>
      <c r="R148" s="9"/>
      <c r="S148" s="688">
        <f>+IF(ABRIL!S148=0,"",ABRIL!S148)</f>
        <v>2020101</v>
      </c>
      <c r="T148" s="664" t="str">
        <f>+IF(ABRIL!T148=0,"",ABRIL!T148)</f>
        <v>Mantenimiento Hospitalario</v>
      </c>
      <c r="U148" s="27">
        <f>+ENERO!U148</f>
        <v>1000000000</v>
      </c>
      <c r="V148" s="15">
        <f>ABRIL!V148+MAYO!AL148</f>
        <v>-308000000</v>
      </c>
      <c r="W148" s="15">
        <f>ABRIL!W148+MAYO!AM148</f>
        <v>0</v>
      </c>
      <c r="X148" s="18">
        <f>SUM(U148:W148)</f>
        <v>692000000</v>
      </c>
      <c r="Y148" s="19">
        <f>ABRIL!AA148</f>
        <v>57253810</v>
      </c>
      <c r="Z148" s="364">
        <v>1521042</v>
      </c>
      <c r="AA148" s="18">
        <f>SUM(Y148:Z148)</f>
        <v>58774852</v>
      </c>
      <c r="AB148" s="19">
        <f>ABRIL!AD148</f>
        <v>40110569</v>
      </c>
      <c r="AC148" s="364">
        <v>1521042</v>
      </c>
      <c r="AD148" s="18">
        <f>SUM(AB148:AC148)</f>
        <v>41631611</v>
      </c>
      <c r="AE148" s="19">
        <f>ABRIL!AG148</f>
        <v>34874569</v>
      </c>
      <c r="AF148" s="364">
        <v>226100</v>
      </c>
      <c r="AG148" s="18">
        <f>SUM(AE148:AF148)</f>
        <v>35100669</v>
      </c>
      <c r="AH148" s="19">
        <f>X148-AA148</f>
        <v>633225148</v>
      </c>
      <c r="AI148" s="15">
        <f>X148-AD148</f>
        <v>650368389</v>
      </c>
      <c r="AJ148" s="16">
        <f>X148-AG148</f>
        <v>656899331</v>
      </c>
      <c r="AK148" s="9"/>
      <c r="AL148" s="362">
        <f>-8000000-300000000</f>
        <v>-308000000</v>
      </c>
      <c r="AM148" s="365">
        <v>0</v>
      </c>
      <c r="AN148" s="9"/>
    </row>
    <row r="149" spans="1:40" s="372" customFormat="1" ht="24.95" customHeight="1">
      <c r="A149" s="734"/>
      <c r="B149" s="643"/>
      <c r="N149" s="9"/>
      <c r="R149" s="9"/>
      <c r="S149" s="688">
        <f>+IF(ABRIL!S149=0,"",ABRIL!S149)</f>
        <v>2020102</v>
      </c>
      <c r="T149" s="664" t="str">
        <f>+IF(ABRIL!T149=0,"",ABRIL!T149)</f>
        <v>Otros</v>
      </c>
      <c r="U149" s="27">
        <f t="shared" ref="U149:AJ149" si="147">SUM(U150:U152)</f>
        <v>150000000</v>
      </c>
      <c r="V149" s="15">
        <f t="shared" si="147"/>
        <v>0</v>
      </c>
      <c r="W149" s="15">
        <f t="shared" si="147"/>
        <v>0</v>
      </c>
      <c r="X149" s="18">
        <f t="shared" si="147"/>
        <v>150000000</v>
      </c>
      <c r="Y149" s="19">
        <f t="shared" si="147"/>
        <v>59558691</v>
      </c>
      <c r="Z149" s="142">
        <f t="shared" si="147"/>
        <v>19393430</v>
      </c>
      <c r="AA149" s="18">
        <f t="shared" si="147"/>
        <v>78952121</v>
      </c>
      <c r="AB149" s="19">
        <f t="shared" si="147"/>
        <v>59558691</v>
      </c>
      <c r="AC149" s="142">
        <f t="shared" si="147"/>
        <v>19393430</v>
      </c>
      <c r="AD149" s="18">
        <f t="shared" si="147"/>
        <v>78952121</v>
      </c>
      <c r="AE149" s="19">
        <f t="shared" si="147"/>
        <v>11319399</v>
      </c>
      <c r="AF149" s="142">
        <f t="shared" si="147"/>
        <v>0</v>
      </c>
      <c r="AG149" s="18">
        <f t="shared" si="147"/>
        <v>11319399</v>
      </c>
      <c r="AH149" s="19">
        <f t="shared" si="147"/>
        <v>71047879</v>
      </c>
      <c r="AI149" s="15">
        <f t="shared" si="147"/>
        <v>71047879</v>
      </c>
      <c r="AJ149" s="16">
        <f t="shared" si="147"/>
        <v>138680601</v>
      </c>
      <c r="AK149" s="9"/>
      <c r="AL149" s="29">
        <f>SUM(AL150:AL152)</f>
        <v>0</v>
      </c>
      <c r="AM149" s="26">
        <f>SUM(AM150:AM152)</f>
        <v>0</v>
      </c>
      <c r="AN149" s="9"/>
    </row>
    <row r="150" spans="1:40" s="372" customFormat="1" ht="24.95" customHeight="1">
      <c r="A150" s="734"/>
      <c r="B150" s="643"/>
      <c r="N150" s="9"/>
      <c r="R150" s="9"/>
      <c r="S150" s="689" t="str">
        <f>+IF(ABRIL!S150=0,"",ABRIL!S150)</f>
        <v>2020102-1</v>
      </c>
      <c r="T150" s="664" t="str">
        <f>+IF(ABRIL!T150=0,"",ABRIL!T150)</f>
        <v>Compra de Equipo e Instr. Mco. y Laborat.</v>
      </c>
      <c r="U150" s="27">
        <f>+ENERO!U150</f>
        <v>150000000</v>
      </c>
      <c r="V150" s="15">
        <f>ABRIL!V150+MAYO!AL150</f>
        <v>0</v>
      </c>
      <c r="W150" s="15">
        <f>ABRIL!W150+MAYO!AM150</f>
        <v>0</v>
      </c>
      <c r="X150" s="18">
        <f>SUM(U150:W150)</f>
        <v>150000000</v>
      </c>
      <c r="Y150" s="19">
        <f>ABRIL!AA150</f>
        <v>59558691</v>
      </c>
      <c r="Z150" s="364">
        <v>19393430</v>
      </c>
      <c r="AA150" s="18">
        <f>SUM(Y150:Z150)</f>
        <v>78952121</v>
      </c>
      <c r="AB150" s="19">
        <f>ABRIL!AD150</f>
        <v>59558691</v>
      </c>
      <c r="AC150" s="364">
        <v>19393430</v>
      </c>
      <c r="AD150" s="18">
        <f>SUM(AB150:AC150)</f>
        <v>78952121</v>
      </c>
      <c r="AE150" s="19">
        <f>ABRIL!AG150</f>
        <v>11319399</v>
      </c>
      <c r="AF150" s="364">
        <v>0</v>
      </c>
      <c r="AG150" s="18">
        <f>SUM(AE150:AF150)</f>
        <v>11319399</v>
      </c>
      <c r="AH150" s="19">
        <f>X150-AA150</f>
        <v>71047879</v>
      </c>
      <c r="AI150" s="15">
        <f>X150-AD150</f>
        <v>71047879</v>
      </c>
      <c r="AJ150" s="16">
        <f>X150-AG150</f>
        <v>138680601</v>
      </c>
      <c r="AK150" s="9"/>
      <c r="AL150" s="362">
        <v>0</v>
      </c>
      <c r="AM150" s="365">
        <v>0</v>
      </c>
      <c r="AN150" s="9"/>
    </row>
    <row r="151" spans="1:40" s="372" customFormat="1" ht="24.95" customHeight="1">
      <c r="A151" s="734"/>
      <c r="B151" s="643"/>
      <c r="N151" s="9"/>
      <c r="R151" s="9"/>
      <c r="S151" s="689" t="str">
        <f>+IF(ABRIL!S151=0,"",ABRIL!S151)</f>
        <v>2020102-2</v>
      </c>
      <c r="T151" s="664" t="str">
        <f>+IF(ABRIL!T151=0,"",ABRIL!T151)</f>
        <v>Materiales</v>
      </c>
      <c r="U151" s="27">
        <f>+ENERO!U151</f>
        <v>0</v>
      </c>
      <c r="V151" s="15">
        <f>ABRIL!V151+MAYO!AL151</f>
        <v>0</v>
      </c>
      <c r="W151" s="15">
        <f>ABRIL!W151+MAYO!AM151</f>
        <v>0</v>
      </c>
      <c r="X151" s="18">
        <f>SUM(U151:W151)</f>
        <v>0</v>
      </c>
      <c r="Y151" s="19">
        <f>ABRIL!AA151</f>
        <v>0</v>
      </c>
      <c r="Z151" s="364">
        <v>0</v>
      </c>
      <c r="AA151" s="18">
        <f>SUM(Y151:Z151)</f>
        <v>0</v>
      </c>
      <c r="AB151" s="19">
        <f>ABRIL!AD151</f>
        <v>0</v>
      </c>
      <c r="AC151" s="364">
        <v>0</v>
      </c>
      <c r="AD151" s="18">
        <f>SUM(AB151:AC151)</f>
        <v>0</v>
      </c>
      <c r="AE151" s="19">
        <f>ABRIL!AG151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+IF(ABRIL!S152=0,"",ABRIL!S152)</f>
        <v>2020102-3</v>
      </c>
      <c r="T152" s="664" t="str">
        <f>+IF(ABRIL!T152=0,"",ABRIL!T152)</f>
        <v/>
      </c>
      <c r="U152" s="27">
        <f>+ENERO!U152</f>
        <v>0</v>
      </c>
      <c r="V152" s="15">
        <f>ABRIL!V152+MAYO!AL152</f>
        <v>0</v>
      </c>
      <c r="W152" s="15">
        <f>ABRIL!W152+MAYO!AM152</f>
        <v>0</v>
      </c>
      <c r="X152" s="18">
        <f>SUM(U152:W152)</f>
        <v>0</v>
      </c>
      <c r="Y152" s="19">
        <f>ABRIL!AA152</f>
        <v>0</v>
      </c>
      <c r="Z152" s="364">
        <v>0</v>
      </c>
      <c r="AA152" s="18">
        <f>SUM(Y152:Z152)</f>
        <v>0</v>
      </c>
      <c r="AB152" s="19">
        <f>ABRIL!AD152</f>
        <v>0</v>
      </c>
      <c r="AC152" s="364">
        <v>0</v>
      </c>
      <c r="AD152" s="18">
        <f>SUM(AB152:AC152)</f>
        <v>0</v>
      </c>
      <c r="AE152" s="19">
        <f>ABRIL!AG152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+IF(ABRIL!S153=0,"",ABRIL!S153)</f>
        <v>2020199</v>
      </c>
      <c r="T153" s="664" t="str">
        <f>+IF(ABRIL!T153=0,"",ABRIL!T153)</f>
        <v>Vigencias Anteriores</v>
      </c>
      <c r="U153" s="27">
        <f>+ENERO!U153</f>
        <v>61000000</v>
      </c>
      <c r="V153" s="15">
        <f>ABRIL!V153+MAYO!AL153</f>
        <v>0</v>
      </c>
      <c r="W153" s="15">
        <f>ABRIL!W153+MAYO!AM153</f>
        <v>100000000</v>
      </c>
      <c r="X153" s="18">
        <f>SUM(U153:W153)</f>
        <v>161000000</v>
      </c>
      <c r="Y153" s="19">
        <f>ABRIL!AA153</f>
        <v>139472087</v>
      </c>
      <c r="Z153" s="364">
        <v>7711319</v>
      </c>
      <c r="AA153" s="18">
        <f>SUM(Y153:Z153)</f>
        <v>147183406</v>
      </c>
      <c r="AB153" s="19">
        <f>ABRIL!AD153</f>
        <v>139472087</v>
      </c>
      <c r="AC153" s="364">
        <v>7711319</v>
      </c>
      <c r="AD153" s="18">
        <f>SUM(AB153:AC153)</f>
        <v>147183406</v>
      </c>
      <c r="AE153" s="19">
        <f>ABRIL!AG153</f>
        <v>139472087</v>
      </c>
      <c r="AF153" s="364">
        <v>7711319</v>
      </c>
      <c r="AG153" s="18">
        <f>SUM(AE153:AF153)</f>
        <v>147183406</v>
      </c>
      <c r="AH153" s="19">
        <f>X153-AA153</f>
        <v>13816594</v>
      </c>
      <c r="AI153" s="15">
        <f>X153-AD153</f>
        <v>13816594</v>
      </c>
      <c r="AJ153" s="16">
        <f>X153-AG153</f>
        <v>13816594</v>
      </c>
      <c r="AK153" s="9"/>
      <c r="AL153" s="362">
        <v>0</v>
      </c>
      <c r="AM153" s="365">
        <v>0</v>
      </c>
      <c r="AN153" s="9"/>
    </row>
    <row r="154" spans="1:40" s="372" customFormat="1" ht="24.95" customHeight="1">
      <c r="A154" s="734"/>
      <c r="B154" s="643"/>
      <c r="N154" s="9"/>
      <c r="R154" s="9"/>
      <c r="S154" s="356" t="str">
        <f>+IF(ABRIL!S154=0,"",ABRIL!S154)</f>
        <v/>
      </c>
      <c r="T154" s="678" t="str">
        <f>+IF(ABRIL!T154=0,"",ABRIL!T154)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+IF(ABRIL!S155=0,"",ABRIL!S155)</f>
        <v>2020200</v>
      </c>
      <c r="T155" s="663" t="str">
        <f>+IF(ABRIL!T155=0,"",ABRIL!T155)</f>
        <v>Adquisición de Servicios</v>
      </c>
      <c r="U155" s="132">
        <f t="shared" ref="U155:AJ155" si="148">SUM(U156:U157)+U168</f>
        <v>4712637263</v>
      </c>
      <c r="V155" s="122">
        <f t="shared" si="148"/>
        <v>600000000</v>
      </c>
      <c r="W155" s="122">
        <f t="shared" si="148"/>
        <v>1200000000</v>
      </c>
      <c r="X155" s="129">
        <f t="shared" si="148"/>
        <v>6512637263</v>
      </c>
      <c r="Y155" s="128">
        <f t="shared" si="148"/>
        <v>4981279701</v>
      </c>
      <c r="Z155" s="122">
        <f t="shared" si="148"/>
        <v>310224928</v>
      </c>
      <c r="AA155" s="129">
        <f t="shared" si="148"/>
        <v>5291504629</v>
      </c>
      <c r="AB155" s="128">
        <f t="shared" si="148"/>
        <v>2479777390</v>
      </c>
      <c r="AC155" s="122">
        <f t="shared" si="148"/>
        <v>638943629</v>
      </c>
      <c r="AD155" s="129">
        <f t="shared" si="148"/>
        <v>3118721019</v>
      </c>
      <c r="AE155" s="128">
        <f t="shared" si="148"/>
        <v>1341521139</v>
      </c>
      <c r="AF155" s="122">
        <f t="shared" si="148"/>
        <v>635308206</v>
      </c>
      <c r="AG155" s="129">
        <f t="shared" si="148"/>
        <v>1976829345</v>
      </c>
      <c r="AH155" s="128">
        <f t="shared" si="148"/>
        <v>1221132634</v>
      </c>
      <c r="AI155" s="122">
        <f t="shared" si="148"/>
        <v>3393916244</v>
      </c>
      <c r="AJ155" s="130">
        <f t="shared" si="148"/>
        <v>4535807918</v>
      </c>
      <c r="AK155" s="9"/>
      <c r="AL155" s="128">
        <f>SUM(AL156:AL157)+AL168</f>
        <v>300000000</v>
      </c>
      <c r="AM155" s="130">
        <f>SUM(AM156:AM157)+AM168</f>
        <v>0</v>
      </c>
      <c r="AN155" s="9"/>
    </row>
    <row r="156" spans="1:40" s="372" customFormat="1" ht="24.95" customHeight="1">
      <c r="A156" s="734"/>
      <c r="B156" s="643"/>
      <c r="N156" s="9"/>
      <c r="P156" s="9"/>
      <c r="Q156" s="9"/>
      <c r="R156" s="9"/>
      <c r="S156" s="688">
        <f>+IF(ABRIL!S156=0,"",ABRIL!S156)</f>
        <v>2020201</v>
      </c>
      <c r="T156" s="664" t="str">
        <f>+IF(ABRIL!T156=0,"",ABRIL!T156)</f>
        <v>Mantenimiento Hospitalario</v>
      </c>
      <c r="U156" s="27">
        <f>+ENERO!U156</f>
        <v>2002025000</v>
      </c>
      <c r="V156" s="15">
        <f>ABRIL!V156+MAYO!AL156</f>
        <v>500000000</v>
      </c>
      <c r="W156" s="15">
        <f>ABRIL!W156+MAYO!AM156</f>
        <v>0</v>
      </c>
      <c r="X156" s="18">
        <f>SUM(U156:W156)</f>
        <v>2502025000</v>
      </c>
      <c r="Y156" s="19">
        <f>ABRIL!AA156</f>
        <v>2047898881</v>
      </c>
      <c r="Z156" s="364">
        <v>44039270</v>
      </c>
      <c r="AA156" s="18">
        <f>SUM(Y156:Z156)</f>
        <v>2091938151</v>
      </c>
      <c r="AB156" s="19">
        <f>ABRIL!AD156</f>
        <v>867614606</v>
      </c>
      <c r="AC156" s="364">
        <v>245292444</v>
      </c>
      <c r="AD156" s="18">
        <f>SUM(AB156:AC156)</f>
        <v>1112907050</v>
      </c>
      <c r="AE156" s="19">
        <f>ABRIL!AG156</f>
        <v>624704256</v>
      </c>
      <c r="AF156" s="364">
        <v>211240882</v>
      </c>
      <c r="AG156" s="18">
        <f>SUM(AE156:AF156)</f>
        <v>835945138</v>
      </c>
      <c r="AH156" s="19">
        <f>X156-AA156</f>
        <v>410086849</v>
      </c>
      <c r="AI156" s="15">
        <f>X156-AD156</f>
        <v>1389117950</v>
      </c>
      <c r="AJ156" s="16">
        <f>X156-AG156</f>
        <v>1666079862</v>
      </c>
      <c r="AK156" s="9"/>
      <c r="AL156" s="362">
        <v>300000000</v>
      </c>
      <c r="AM156" s="365">
        <v>0</v>
      </c>
      <c r="AN156" s="9"/>
    </row>
    <row r="157" spans="1:40" s="372" customFormat="1" ht="24.95" customHeight="1">
      <c r="A157" s="734"/>
      <c r="B157" s="643"/>
      <c r="N157" s="9"/>
      <c r="P157" s="9"/>
      <c r="Q157" s="9"/>
      <c r="R157" s="9"/>
      <c r="S157" s="688">
        <f>+IF(ABRIL!S157=0,"",ABRIL!S157)</f>
        <v>2020202</v>
      </c>
      <c r="T157" s="664" t="str">
        <f>+IF(ABRIL!T157=0,"",ABRIL!T157)</f>
        <v>Otros</v>
      </c>
      <c r="U157" s="27">
        <f t="shared" ref="U157:AJ157" si="149">SUM(U158:U167)</f>
        <v>2609712263</v>
      </c>
      <c r="V157" s="15">
        <f t="shared" si="149"/>
        <v>0</v>
      </c>
      <c r="W157" s="15">
        <f t="shared" si="149"/>
        <v>500000000</v>
      </c>
      <c r="X157" s="18">
        <f t="shared" si="149"/>
        <v>3109712263</v>
      </c>
      <c r="Y157" s="19">
        <f t="shared" si="149"/>
        <v>2413182015</v>
      </c>
      <c r="Z157" s="142">
        <f t="shared" si="149"/>
        <v>105658451</v>
      </c>
      <c r="AA157" s="18">
        <f t="shared" si="149"/>
        <v>2518840466</v>
      </c>
      <c r="AB157" s="19">
        <f t="shared" si="149"/>
        <v>1091963979</v>
      </c>
      <c r="AC157" s="142">
        <f t="shared" si="149"/>
        <v>233123978</v>
      </c>
      <c r="AD157" s="18">
        <f t="shared" si="149"/>
        <v>1325087957</v>
      </c>
      <c r="AE157" s="19">
        <f t="shared" si="149"/>
        <v>196618078</v>
      </c>
      <c r="AF157" s="142">
        <f t="shared" si="149"/>
        <v>263540117</v>
      </c>
      <c r="AG157" s="18">
        <f t="shared" si="149"/>
        <v>460158195</v>
      </c>
      <c r="AH157" s="19">
        <f t="shared" si="149"/>
        <v>590871797</v>
      </c>
      <c r="AI157" s="15">
        <f t="shared" si="149"/>
        <v>1784624306</v>
      </c>
      <c r="AJ157" s="16">
        <f t="shared" si="149"/>
        <v>2649554068</v>
      </c>
      <c r="AK157" s="10"/>
      <c r="AL157" s="29">
        <f>SUM(AL158:AL167)</f>
        <v>0</v>
      </c>
      <c r="AM157" s="26">
        <f>SUM(AM158:AM167)</f>
        <v>0</v>
      </c>
      <c r="AN157" s="9"/>
    </row>
    <row r="158" spans="1:40" s="372" customFormat="1" ht="24.95" customHeight="1">
      <c r="A158" s="734"/>
      <c r="B158" s="643"/>
      <c r="N158" s="9"/>
      <c r="P158" s="9"/>
      <c r="Q158" s="9"/>
      <c r="R158" s="9"/>
      <c r="S158" s="689" t="str">
        <f>+IF(ABRIL!S158=0,"",ABRIL!S158)</f>
        <v>2020202-1</v>
      </c>
      <c r="T158" s="665" t="str">
        <f>+IF(ABRIL!T158=0,"",ABRIL!T158)</f>
        <v>Seguros</v>
      </c>
      <c r="U158" s="27">
        <f>+ENERO!U158</f>
        <v>200000000</v>
      </c>
      <c r="V158" s="15">
        <f>ABRIL!V158+MAYO!AL158</f>
        <v>0</v>
      </c>
      <c r="W158" s="15">
        <f>ABRIL!W158+MAYO!AM158</f>
        <v>0</v>
      </c>
      <c r="X158" s="18">
        <f t="shared" ref="X158:X168" si="150">SUM(U158:W158)</f>
        <v>200000000</v>
      </c>
      <c r="Y158" s="19">
        <f>ABRIL!AA158</f>
        <v>21558821</v>
      </c>
      <c r="Z158" s="364">
        <v>91271865</v>
      </c>
      <c r="AA158" s="18">
        <f t="shared" ref="AA158:AA168" si="151">SUM(Y158:Z158)</f>
        <v>112830686</v>
      </c>
      <c r="AB158" s="19">
        <f>ABRIL!AD158</f>
        <v>21558821</v>
      </c>
      <c r="AC158" s="364">
        <v>0</v>
      </c>
      <c r="AD158" s="18">
        <f t="shared" ref="AD158:AD168" si="152">SUM(AB158:AC158)</f>
        <v>21558821</v>
      </c>
      <c r="AE158" s="19">
        <f>ABRIL!AG158</f>
        <v>21558821</v>
      </c>
      <c r="AF158" s="364">
        <v>0</v>
      </c>
      <c r="AG158" s="18">
        <f t="shared" ref="AG158:AG168" si="153">SUM(AE158:AF158)</f>
        <v>21558821</v>
      </c>
      <c r="AH158" s="19">
        <f t="shared" ref="AH158:AH168" si="154">X158-AA158</f>
        <v>87169314</v>
      </c>
      <c r="AI158" s="15">
        <f t="shared" ref="AI158:AI168" si="155">X158-AD158</f>
        <v>178441179</v>
      </c>
      <c r="AJ158" s="16">
        <f t="shared" ref="AJ158:AJ168" si="156">X158-AG158</f>
        <v>178441179</v>
      </c>
      <c r="AK158" s="9"/>
      <c r="AL158" s="362">
        <v>0</v>
      </c>
      <c r="AM158" s="365">
        <v>0</v>
      </c>
      <c r="AN158" s="9"/>
    </row>
    <row r="159" spans="1:40" s="372" customFormat="1" ht="24.95" customHeight="1">
      <c r="A159" s="734"/>
      <c r="B159" s="643"/>
      <c r="N159" s="9"/>
      <c r="P159" s="9"/>
      <c r="Q159" s="9"/>
      <c r="R159" s="9"/>
      <c r="S159" s="689" t="str">
        <f>+IF(ABRIL!S159=0,"",ABRIL!S159)</f>
        <v>2020202-2</v>
      </c>
      <c r="T159" s="665" t="str">
        <f>+IF(ABRIL!T159=0,"",ABRIL!T159)</f>
        <v>Impresos y Publicaciones</v>
      </c>
      <c r="U159" s="27">
        <f>+ENERO!U159</f>
        <v>40000000</v>
      </c>
      <c r="V159" s="15">
        <f>ABRIL!V159+MAYO!AL159</f>
        <v>0</v>
      </c>
      <c r="W159" s="15">
        <f>ABRIL!W159+MAYO!AM159</f>
        <v>0</v>
      </c>
      <c r="X159" s="18">
        <f t="shared" si="150"/>
        <v>40000000</v>
      </c>
      <c r="Y159" s="19">
        <f>ABRIL!AA159</f>
        <v>9814165</v>
      </c>
      <c r="Z159" s="364">
        <v>1945818</v>
      </c>
      <c r="AA159" s="18">
        <f t="shared" si="151"/>
        <v>11759983</v>
      </c>
      <c r="AB159" s="19">
        <f>ABRIL!AD159</f>
        <v>9814165</v>
      </c>
      <c r="AC159" s="364">
        <v>1945818</v>
      </c>
      <c r="AD159" s="18">
        <f t="shared" si="152"/>
        <v>11759983</v>
      </c>
      <c r="AE159" s="19">
        <f>ABRIL!AG159</f>
        <v>6198558</v>
      </c>
      <c r="AF159" s="364">
        <v>4501134</v>
      </c>
      <c r="AG159" s="18">
        <f t="shared" si="153"/>
        <v>10699692</v>
      </c>
      <c r="AH159" s="19">
        <f t="shared" si="154"/>
        <v>28240017</v>
      </c>
      <c r="AI159" s="15">
        <f t="shared" si="155"/>
        <v>28240017</v>
      </c>
      <c r="AJ159" s="16">
        <f t="shared" si="156"/>
        <v>29300308</v>
      </c>
      <c r="AK159" s="9"/>
      <c r="AL159" s="362">
        <v>0</v>
      </c>
      <c r="AM159" s="365">
        <v>0</v>
      </c>
      <c r="AN159" s="9"/>
    </row>
    <row r="160" spans="1:40" s="372" customFormat="1" ht="24.95" customHeight="1">
      <c r="A160" s="734"/>
      <c r="B160" s="643"/>
      <c r="N160" s="9"/>
      <c r="P160" s="9"/>
      <c r="Q160" s="9"/>
      <c r="R160" s="9"/>
      <c r="S160" s="689" t="str">
        <f>+IF(ABRIL!S160=0,"",ABRIL!S160)</f>
        <v>2020202-3</v>
      </c>
      <c r="T160" s="665" t="str">
        <f>+IF(ABRIL!T160=0,"",ABRIL!T160)</f>
        <v>Pago a otras IPS</v>
      </c>
      <c r="U160" s="27">
        <f>+ENERO!U160</f>
        <v>0</v>
      </c>
      <c r="V160" s="15">
        <f>ABRIL!V160+MAYO!AL160</f>
        <v>0</v>
      </c>
      <c r="W160" s="15">
        <f>ABRIL!W160+MAYO!AM160</f>
        <v>0</v>
      </c>
      <c r="X160" s="18">
        <f t="shared" si="150"/>
        <v>0</v>
      </c>
      <c r="Y160" s="19">
        <f>ABRIL!AA160</f>
        <v>0</v>
      </c>
      <c r="Z160" s="364">
        <v>0</v>
      </c>
      <c r="AA160" s="18">
        <f t="shared" si="151"/>
        <v>0</v>
      </c>
      <c r="AB160" s="19">
        <f>ABRIL!AD160</f>
        <v>0</v>
      </c>
      <c r="AC160" s="364">
        <v>0</v>
      </c>
      <c r="AD160" s="18">
        <f t="shared" si="152"/>
        <v>0</v>
      </c>
      <c r="AE160" s="19">
        <f>ABRIL!AG160</f>
        <v>0</v>
      </c>
      <c r="AF160" s="364">
        <v>0</v>
      </c>
      <c r="AG160" s="18">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N161" s="9"/>
      <c r="P161" s="9"/>
      <c r="Q161" s="9"/>
      <c r="R161" s="9"/>
      <c r="S161" s="689" t="str">
        <f>+IF(ABRIL!S161=0,"",ABRIL!S161)</f>
        <v>2020202-4</v>
      </c>
      <c r="T161" s="665" t="str">
        <f>+IF(ABRIL!T161=0,"",ABRIL!T161)</f>
        <v>Comunicaciones y Transportes</v>
      </c>
      <c r="U161" s="27">
        <f>+ENERO!U161</f>
        <v>5000000</v>
      </c>
      <c r="V161" s="15">
        <f>ABRIL!V161+MAYO!AL161</f>
        <v>0</v>
      </c>
      <c r="W161" s="15">
        <f>ABRIL!W161+MAYO!AM161</f>
        <v>0</v>
      </c>
      <c r="X161" s="18">
        <f t="shared" si="150"/>
        <v>5000000</v>
      </c>
      <c r="Y161" s="19">
        <f>ABRIL!AA161</f>
        <v>0</v>
      </c>
      <c r="Z161" s="364">
        <v>0</v>
      </c>
      <c r="AA161" s="18">
        <f t="shared" si="151"/>
        <v>0</v>
      </c>
      <c r="AB161" s="19">
        <f>ABRIL!AD161</f>
        <v>0</v>
      </c>
      <c r="AC161" s="364">
        <v>0</v>
      </c>
      <c r="AD161" s="18">
        <f t="shared" si="152"/>
        <v>0</v>
      </c>
      <c r="AE161" s="19">
        <f>ABRIL!AG161</f>
        <v>0</v>
      </c>
      <c r="AF161" s="364">
        <v>0</v>
      </c>
      <c r="AG161" s="18">
        <f t="shared" si="153"/>
        <v>0</v>
      </c>
      <c r="AH161" s="19">
        <f t="shared" si="154"/>
        <v>5000000</v>
      </c>
      <c r="AI161" s="15">
        <f t="shared" si="155"/>
        <v>5000000</v>
      </c>
      <c r="AJ161" s="16">
        <f t="shared" si="156"/>
        <v>5000000</v>
      </c>
      <c r="AK161" s="9"/>
      <c r="AL161" s="362">
        <v>0</v>
      </c>
      <c r="AM161" s="365">
        <v>0</v>
      </c>
      <c r="AN161" s="9"/>
    </row>
    <row r="162" spans="1:40" s="372" customFormat="1" ht="24.95" customHeight="1">
      <c r="A162" s="734"/>
      <c r="B162" s="643"/>
      <c r="N162" s="9"/>
      <c r="P162" s="9"/>
      <c r="Q162" s="9"/>
      <c r="R162" s="9"/>
      <c r="S162" s="689" t="str">
        <f>+IF(ABRIL!S162=0,"",ABRIL!S162)</f>
        <v>2020202-5</v>
      </c>
      <c r="T162" s="665" t="str">
        <f>+IF(ABRIL!T162=0,"",ABRIL!T162)</f>
        <v>Viáticos y Gastos de Viaje</v>
      </c>
      <c r="U162" s="27">
        <f>+ENERO!U162</f>
        <v>5000000</v>
      </c>
      <c r="V162" s="15">
        <f>ABRIL!V162+MAYO!AL162</f>
        <v>0</v>
      </c>
      <c r="W162" s="15">
        <f>ABRIL!W162+MAYO!AM162</f>
        <v>0</v>
      </c>
      <c r="X162" s="18">
        <f t="shared" si="150"/>
        <v>5000000</v>
      </c>
      <c r="Y162" s="19">
        <f>ABRIL!AA162</f>
        <v>712500</v>
      </c>
      <c r="Z162" s="364">
        <v>0</v>
      </c>
      <c r="AA162" s="18">
        <f t="shared" si="151"/>
        <v>712500</v>
      </c>
      <c r="AB162" s="19">
        <f>ABRIL!AD162</f>
        <v>712500</v>
      </c>
      <c r="AC162" s="364">
        <v>0</v>
      </c>
      <c r="AD162" s="18">
        <f t="shared" si="152"/>
        <v>712500</v>
      </c>
      <c r="AE162" s="19">
        <f>ABRIL!AG162</f>
        <v>712500</v>
      </c>
      <c r="AF162" s="364">
        <v>0</v>
      </c>
      <c r="AG162" s="18">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N163" s="9"/>
      <c r="P163" s="9"/>
      <c r="Q163" s="9"/>
      <c r="R163" s="9"/>
      <c r="S163" s="689" t="str">
        <f>+IF(ABRIL!S163=0,"",ABRIL!S163)</f>
        <v>2020202-6</v>
      </c>
      <c r="T163" s="665" t="str">
        <f>+IF(ABRIL!T163=0,"",ABRIL!T163)</f>
        <v>Plan Integral de Manejo de Residuos Sólidos Hospitalarios</v>
      </c>
      <c r="U163" s="27">
        <f>+ENERO!U163</f>
        <v>300000000</v>
      </c>
      <c r="V163" s="15">
        <f>ABRIL!V163+MAYO!AL163</f>
        <v>0</v>
      </c>
      <c r="W163" s="15">
        <f>ABRIL!W163+MAYO!AM163</f>
        <v>0</v>
      </c>
      <c r="X163" s="18">
        <f t="shared" si="150"/>
        <v>300000000</v>
      </c>
      <c r="Y163" s="19">
        <f>ABRIL!AA163</f>
        <v>154006766</v>
      </c>
      <c r="Z163" s="364">
        <v>8514768</v>
      </c>
      <c r="AA163" s="18">
        <f t="shared" si="151"/>
        <v>162521534</v>
      </c>
      <c r="AB163" s="19">
        <f>ABRIL!AD163</f>
        <v>71257065</v>
      </c>
      <c r="AC163" s="364">
        <v>22699439</v>
      </c>
      <c r="AD163" s="18">
        <f t="shared" si="152"/>
        <v>93956504</v>
      </c>
      <c r="AE163" s="19">
        <f>ABRIL!AG163</f>
        <v>36824548</v>
      </c>
      <c r="AF163" s="364">
        <v>24950751</v>
      </c>
      <c r="AG163" s="18">
        <f t="shared" si="153"/>
        <v>61775299</v>
      </c>
      <c r="AH163" s="19">
        <f t="shared" si="154"/>
        <v>137478466</v>
      </c>
      <c r="AI163" s="15">
        <f t="shared" si="155"/>
        <v>206043496</v>
      </c>
      <c r="AJ163" s="16">
        <f t="shared" si="156"/>
        <v>238224701</v>
      </c>
      <c r="AK163" s="9"/>
      <c r="AL163" s="362">
        <v>0</v>
      </c>
      <c r="AM163" s="365">
        <v>0</v>
      </c>
      <c r="AN163" s="9"/>
    </row>
    <row r="164" spans="1:40" s="372" customFormat="1" ht="24.95" customHeight="1">
      <c r="A164" s="734"/>
      <c r="B164" s="643"/>
      <c r="N164" s="9"/>
      <c r="P164" s="9"/>
      <c r="Q164" s="9"/>
      <c r="R164" s="9"/>
      <c r="S164" s="689" t="str">
        <f>+IF(ABRIL!S164=0,"",ABRIL!S164)</f>
        <v>2020202-7</v>
      </c>
      <c r="T164" s="665" t="str">
        <f>+IF(ABRIL!T164=0,"",ABRIL!T164)</f>
        <v>Servicios de Laboratorio contratados con terceros</v>
      </c>
      <c r="U164" s="27">
        <f>+ENERO!U164</f>
        <v>778712263</v>
      </c>
      <c r="V164" s="15">
        <f>ABRIL!V164+MAYO!AL164</f>
        <v>0</v>
      </c>
      <c r="W164" s="15">
        <f>ABRIL!W164+MAYO!AM164</f>
        <v>0</v>
      </c>
      <c r="X164" s="18">
        <f t="shared" si="150"/>
        <v>778712263</v>
      </c>
      <c r="Y164" s="19">
        <f>ABRIL!AA164</f>
        <v>682089763</v>
      </c>
      <c r="Z164" s="364">
        <v>177500</v>
      </c>
      <c r="AA164" s="18">
        <f t="shared" si="151"/>
        <v>682267263</v>
      </c>
      <c r="AB164" s="19">
        <f>ABRIL!AD164</f>
        <v>510581728</v>
      </c>
      <c r="AC164" s="364">
        <v>45131961</v>
      </c>
      <c r="AD164" s="18">
        <f t="shared" si="152"/>
        <v>555713689</v>
      </c>
      <c r="AE164" s="19">
        <f>ABRIL!AG164</f>
        <v>38119200</v>
      </c>
      <c r="AF164" s="364">
        <v>100753512</v>
      </c>
      <c r="AG164" s="18">
        <f t="shared" si="153"/>
        <v>138872712</v>
      </c>
      <c r="AH164" s="19">
        <f t="shared" si="154"/>
        <v>96445000</v>
      </c>
      <c r="AI164" s="15">
        <f t="shared" si="155"/>
        <v>222998574</v>
      </c>
      <c r="AJ164" s="16">
        <f t="shared" si="156"/>
        <v>639839551</v>
      </c>
      <c r="AK164" s="9"/>
      <c r="AL164" s="362">
        <v>0</v>
      </c>
      <c r="AM164" s="365">
        <v>0</v>
      </c>
      <c r="AN164" s="9"/>
    </row>
    <row r="165" spans="1:40" s="372" customFormat="1" ht="24.95" customHeight="1">
      <c r="A165" s="734"/>
      <c r="B165" s="643"/>
      <c r="N165" s="9"/>
      <c r="P165" s="9"/>
      <c r="Q165" s="9"/>
      <c r="R165" s="9"/>
      <c r="S165" s="689" t="str">
        <f>+IF(ABRIL!S165=0,"",ABRIL!S165)</f>
        <v>2020202-8</v>
      </c>
      <c r="T165" s="665" t="str">
        <f>+IF(ABRIL!T165=0,"",ABRIL!T165)</f>
        <v>Servicios de Rayos X e Imaginología contratado con terceros</v>
      </c>
      <c r="U165" s="27">
        <f>+ENERO!U165</f>
        <v>1116000000</v>
      </c>
      <c r="V165" s="15">
        <f>ABRIL!V165+MAYO!AL165</f>
        <v>0</v>
      </c>
      <c r="W165" s="15">
        <f>ABRIL!W165+MAYO!AM165</f>
        <v>500000000</v>
      </c>
      <c r="X165" s="18">
        <f t="shared" si="150"/>
        <v>1616000000</v>
      </c>
      <c r="Y165" s="19">
        <f>ABRIL!AA165</f>
        <v>1545000000</v>
      </c>
      <c r="Z165" s="364">
        <v>0</v>
      </c>
      <c r="AA165" s="18">
        <f t="shared" si="151"/>
        <v>1545000000</v>
      </c>
      <c r="AB165" s="19">
        <f>ABRIL!AD165</f>
        <v>478039700</v>
      </c>
      <c r="AC165" s="364">
        <v>159598260</v>
      </c>
      <c r="AD165" s="18">
        <f t="shared" si="152"/>
        <v>637637960</v>
      </c>
      <c r="AE165" s="19">
        <f>ABRIL!AG165</f>
        <v>93204451</v>
      </c>
      <c r="AF165" s="364">
        <v>129586220</v>
      </c>
      <c r="AG165" s="18">
        <f t="shared" si="153"/>
        <v>222790671</v>
      </c>
      <c r="AH165" s="19">
        <f t="shared" si="154"/>
        <v>71000000</v>
      </c>
      <c r="AI165" s="15">
        <f t="shared" si="155"/>
        <v>978362040</v>
      </c>
      <c r="AJ165" s="16">
        <f t="shared" si="156"/>
        <v>1393209329</v>
      </c>
      <c r="AK165" s="9"/>
      <c r="AL165" s="362">
        <v>0</v>
      </c>
      <c r="AM165" s="365">
        <v>0</v>
      </c>
      <c r="AN165" s="9"/>
    </row>
    <row r="166" spans="1:40" s="372" customFormat="1" ht="24.95" customHeight="1">
      <c r="A166" s="734"/>
      <c r="B166" s="643"/>
      <c r="N166" s="9"/>
      <c r="P166" s="9"/>
      <c r="Q166" s="9"/>
      <c r="R166" s="9"/>
      <c r="S166" s="689" t="str">
        <f>+IF(ABRIL!S166=0,"",ABRIL!S166)</f>
        <v>2020202-9</v>
      </c>
      <c r="T166" s="665" t="str">
        <f>+IF(ABRIL!T166=0,"",ABRIL!T166)</f>
        <v>Arrendamientos</v>
      </c>
      <c r="U166" s="27">
        <f>+ENERO!U166</f>
        <v>165000000</v>
      </c>
      <c r="V166" s="15">
        <f>ABRIL!V166+MAYO!AL166</f>
        <v>0</v>
      </c>
      <c r="W166" s="15">
        <f>ABRIL!W166+MAYO!AM166</f>
        <v>0</v>
      </c>
      <c r="X166" s="18">
        <f t="shared" si="150"/>
        <v>165000000</v>
      </c>
      <c r="Y166" s="19">
        <f>ABRIL!AA166</f>
        <v>0</v>
      </c>
      <c r="Z166" s="364">
        <v>3748500</v>
      </c>
      <c r="AA166" s="18">
        <f t="shared" si="151"/>
        <v>3748500</v>
      </c>
      <c r="AB166" s="19">
        <f>ABRIL!AD166</f>
        <v>0</v>
      </c>
      <c r="AC166" s="364">
        <v>3748500</v>
      </c>
      <c r="AD166" s="18">
        <f t="shared" si="152"/>
        <v>3748500</v>
      </c>
      <c r="AE166" s="19">
        <f>ABRIL!AG166</f>
        <v>0</v>
      </c>
      <c r="AF166" s="364">
        <v>3748500</v>
      </c>
      <c r="AG166" s="18">
        <f t="shared" si="153"/>
        <v>3748500</v>
      </c>
      <c r="AH166" s="19">
        <f t="shared" si="154"/>
        <v>161251500</v>
      </c>
      <c r="AI166" s="15">
        <f t="shared" si="155"/>
        <v>161251500</v>
      </c>
      <c r="AJ166" s="16">
        <f t="shared" si="156"/>
        <v>161251500</v>
      </c>
      <c r="AK166" s="9"/>
      <c r="AL166" s="362">
        <v>0</v>
      </c>
      <c r="AM166" s="365">
        <v>0</v>
      </c>
      <c r="AN166" s="9"/>
    </row>
    <row r="167" spans="1:40" s="372" customFormat="1" ht="24.95" customHeight="1">
      <c r="A167" s="734"/>
      <c r="B167" s="643"/>
      <c r="N167" s="9"/>
      <c r="P167" s="9"/>
      <c r="Q167" s="9"/>
      <c r="R167" s="9"/>
      <c r="S167" s="689" t="str">
        <f>+IF(ABRIL!S167=0,"",ABRIL!S167)</f>
        <v>2020202-10</v>
      </c>
      <c r="T167" s="665" t="str">
        <f>+IF(ABRIL!T167=0,"",ABRIL!T167)</f>
        <v>Servicios Públicos</v>
      </c>
      <c r="U167" s="27">
        <f>+ENERO!U167</f>
        <v>0</v>
      </c>
      <c r="V167" s="15">
        <f>ABRIL!V167+MAYO!AL167</f>
        <v>0</v>
      </c>
      <c r="W167" s="15">
        <f>ABRIL!W167+MAYO!AM167</f>
        <v>0</v>
      </c>
      <c r="X167" s="18">
        <f>SUM(U167:W167)</f>
        <v>0</v>
      </c>
      <c r="Y167" s="19">
        <f>ABRIL!AA167</f>
        <v>0</v>
      </c>
      <c r="Z167" s="364">
        <v>0</v>
      </c>
      <c r="AA167" s="18">
        <f>SUM(Y167:Z167)</f>
        <v>0</v>
      </c>
      <c r="AB167" s="19">
        <f>ABRIL!AD167</f>
        <v>0</v>
      </c>
      <c r="AC167" s="364">
        <v>0</v>
      </c>
      <c r="AD167" s="18">
        <f>SUM(AB167:AC167)</f>
        <v>0</v>
      </c>
      <c r="AE167" s="19">
        <f>ABRIL!AG167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+IF(ABRIL!S168=0,"",ABRIL!S168)</f>
        <v>2020299</v>
      </c>
      <c r="T168" s="664" t="str">
        <f>+IF(ABRIL!T168=0,"",ABRIL!T168)</f>
        <v>Vigencias Anteriores</v>
      </c>
      <c r="U168" s="27">
        <f>+ENERO!U168</f>
        <v>100900000</v>
      </c>
      <c r="V168" s="15">
        <f>ABRIL!V168+MAYO!AL168</f>
        <v>100000000</v>
      </c>
      <c r="W168" s="15">
        <f>ABRIL!W168+MAYO!AM168</f>
        <v>700000000</v>
      </c>
      <c r="X168" s="18">
        <f t="shared" si="150"/>
        <v>900900000</v>
      </c>
      <c r="Y168" s="19">
        <f>ABRIL!AA168</f>
        <v>520198805</v>
      </c>
      <c r="Z168" s="364">
        <v>160527207</v>
      </c>
      <c r="AA168" s="18">
        <f t="shared" si="151"/>
        <v>680726012</v>
      </c>
      <c r="AB168" s="19">
        <f>ABRIL!AD168</f>
        <v>520198805</v>
      </c>
      <c r="AC168" s="364">
        <v>160527207</v>
      </c>
      <c r="AD168" s="18">
        <f t="shared" si="152"/>
        <v>680726012</v>
      </c>
      <c r="AE168" s="19">
        <f>ABRIL!AG168</f>
        <v>520198805</v>
      </c>
      <c r="AF168" s="364">
        <v>160527207</v>
      </c>
      <c r="AG168" s="18">
        <f t="shared" si="153"/>
        <v>680726012</v>
      </c>
      <c r="AH168" s="19">
        <f t="shared" si="154"/>
        <v>220173988</v>
      </c>
      <c r="AI168" s="15">
        <f t="shared" si="155"/>
        <v>220173988</v>
      </c>
      <c r="AJ168" s="16">
        <f t="shared" si="156"/>
        <v>220173988</v>
      </c>
      <c r="AK168" s="9"/>
      <c r="AL168" s="362">
        <v>0</v>
      </c>
      <c r="AM168" s="365">
        <v>0</v>
      </c>
      <c r="AN168" s="9"/>
    </row>
    <row r="169" spans="1:40" s="372" customFormat="1" ht="24.95" customHeight="1">
      <c r="A169" s="734"/>
      <c r="B169" s="643"/>
      <c r="N169" s="9"/>
      <c r="P169" s="9"/>
      <c r="Q169" s="9"/>
      <c r="R169" s="9"/>
      <c r="S169" s="356" t="str">
        <f>+IF(ABRIL!S169=0,"",ABRIL!S169)</f>
        <v/>
      </c>
      <c r="T169" s="678" t="str">
        <f>+IF(ABRIL!T169=0,"",ABRIL!T169)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+IF(ABRIL!S170=0,"",ABRIL!S170)</f>
        <v>3000000</v>
      </c>
      <c r="T170" s="668" t="str">
        <f>+IF(ABRIL!T170=0,"",ABRIL!T170)</f>
        <v>TRANSFERENCIAS CORRIENTES</v>
      </c>
      <c r="U170" s="460">
        <f t="shared" ref="U170:AJ170" si="157">U172+U176+U185</f>
        <v>1240354144</v>
      </c>
      <c r="V170" s="461">
        <f t="shared" si="157"/>
        <v>28000000</v>
      </c>
      <c r="W170" s="461">
        <f t="shared" si="157"/>
        <v>0</v>
      </c>
      <c r="X170" s="462">
        <f t="shared" si="157"/>
        <v>1268354144</v>
      </c>
      <c r="Y170" s="369">
        <f t="shared" si="157"/>
        <v>356185283</v>
      </c>
      <c r="Z170" s="461">
        <f t="shared" si="157"/>
        <v>78462914</v>
      </c>
      <c r="AA170" s="462">
        <f t="shared" si="157"/>
        <v>434648197</v>
      </c>
      <c r="AB170" s="369">
        <f t="shared" si="157"/>
        <v>356185283</v>
      </c>
      <c r="AC170" s="461">
        <f t="shared" si="157"/>
        <v>78462914</v>
      </c>
      <c r="AD170" s="462">
        <f t="shared" si="157"/>
        <v>434648197</v>
      </c>
      <c r="AE170" s="369">
        <f t="shared" si="157"/>
        <v>356185283</v>
      </c>
      <c r="AF170" s="461">
        <f t="shared" si="157"/>
        <v>78462914</v>
      </c>
      <c r="AG170" s="462">
        <f t="shared" si="157"/>
        <v>434648197</v>
      </c>
      <c r="AH170" s="369">
        <f t="shared" si="157"/>
        <v>833705947</v>
      </c>
      <c r="AI170" s="461">
        <f t="shared" si="157"/>
        <v>833705947</v>
      </c>
      <c r="AJ170" s="370">
        <f t="shared" si="157"/>
        <v>833705947</v>
      </c>
      <c r="AK170" s="9"/>
      <c r="AL170" s="128">
        <f>AL172+AL176+AL185</f>
        <v>8000000</v>
      </c>
      <c r="AM170" s="130">
        <f>AM172+AM176+AM185</f>
        <v>0</v>
      </c>
      <c r="AN170" s="9"/>
    </row>
    <row r="171" spans="1:40" s="372" customFormat="1" ht="24.95" customHeight="1">
      <c r="A171" s="734"/>
      <c r="B171" s="643"/>
      <c r="N171" s="9"/>
      <c r="P171" s="9"/>
      <c r="Q171" s="9"/>
      <c r="R171" s="9"/>
      <c r="S171" s="356" t="str">
        <f>+IF(ABRIL!S171=0,"",ABRIL!S171)</f>
        <v/>
      </c>
      <c r="T171" s="678" t="str">
        <f>+IF(ABRIL!T171=0,"",ABRIL!T171)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+IF(ABRIL!S172=0,"",ABRIL!S172)</f>
        <v>3100000</v>
      </c>
      <c r="T172" s="663" t="str">
        <f>+IF(ABRIL!T172=0,"",ABRIL!T172)</f>
        <v>Transferencias al Sector Público</v>
      </c>
      <c r="U172" s="132">
        <f t="shared" ref="U172:AJ172" si="158">SUM(U173:U174)</f>
        <v>50000000</v>
      </c>
      <c r="V172" s="122">
        <f t="shared" si="158"/>
        <v>20000000</v>
      </c>
      <c r="W172" s="122">
        <f t="shared" si="158"/>
        <v>0</v>
      </c>
      <c r="X172" s="129">
        <f t="shared" si="158"/>
        <v>70000000</v>
      </c>
      <c r="Y172" s="128">
        <f t="shared" si="158"/>
        <v>68101230</v>
      </c>
      <c r="Z172" s="122">
        <f t="shared" si="158"/>
        <v>0</v>
      </c>
      <c r="AA172" s="129">
        <f t="shared" si="158"/>
        <v>68101230</v>
      </c>
      <c r="AB172" s="128">
        <f t="shared" si="158"/>
        <v>68101230</v>
      </c>
      <c r="AC172" s="122">
        <f t="shared" si="158"/>
        <v>0</v>
      </c>
      <c r="AD172" s="129">
        <f t="shared" si="158"/>
        <v>68101230</v>
      </c>
      <c r="AE172" s="128">
        <f t="shared" si="158"/>
        <v>68101230</v>
      </c>
      <c r="AF172" s="122">
        <f t="shared" si="158"/>
        <v>0</v>
      </c>
      <c r="AG172" s="129">
        <f t="shared" si="158"/>
        <v>68101230</v>
      </c>
      <c r="AH172" s="128">
        <f t="shared" si="158"/>
        <v>1898770</v>
      </c>
      <c r="AI172" s="122">
        <f t="shared" si="158"/>
        <v>1898770</v>
      </c>
      <c r="AJ172" s="130">
        <f t="shared" si="158"/>
        <v>1898770</v>
      </c>
      <c r="AK172" s="9"/>
      <c r="AL172" s="128">
        <f>SUM(AL173:AL174)</f>
        <v>0</v>
      </c>
      <c r="AM172" s="130">
        <f>SUM(AM173:AM174)</f>
        <v>0</v>
      </c>
      <c r="AN172" s="9"/>
    </row>
    <row r="173" spans="1:40" s="372" customFormat="1" ht="24.95" customHeight="1">
      <c r="A173" s="734"/>
      <c r="B173" s="643"/>
      <c r="N173" s="9"/>
      <c r="P173" s="9"/>
      <c r="Q173" s="9"/>
      <c r="R173" s="9"/>
      <c r="S173" s="688">
        <f>+IF(ABRIL!S173=0,"",ABRIL!S173)</f>
        <v>3100003</v>
      </c>
      <c r="T173" s="664" t="str">
        <f>+IF(ABRIL!T173=0,"",ABRIL!T173)</f>
        <v>Entidades Públicas (Contraloria, Supersalud,…)</v>
      </c>
      <c r="U173" s="27">
        <f>+ENERO!U173</f>
        <v>50000000</v>
      </c>
      <c r="V173" s="15">
        <f>ABRIL!V173+MAYO!AL173</f>
        <v>20000000</v>
      </c>
      <c r="W173" s="15">
        <f>ABRIL!W173+MAYO!AM173</f>
        <v>0</v>
      </c>
      <c r="X173" s="18">
        <f>SUM(U173:W173)</f>
        <v>70000000</v>
      </c>
      <c r="Y173" s="19">
        <f>ABRIL!AA173</f>
        <v>68101230</v>
      </c>
      <c r="Z173" s="364">
        <v>0</v>
      </c>
      <c r="AA173" s="18">
        <f>SUM(Y173:Z173)</f>
        <v>68101230</v>
      </c>
      <c r="AB173" s="19">
        <f>ABRIL!AD173</f>
        <v>68101230</v>
      </c>
      <c r="AC173" s="364">
        <v>0</v>
      </c>
      <c r="AD173" s="18">
        <f>SUM(AB173:AC173)</f>
        <v>68101230</v>
      </c>
      <c r="AE173" s="19">
        <f>ABRIL!AG173</f>
        <v>68101230</v>
      </c>
      <c r="AF173" s="364">
        <v>0</v>
      </c>
      <c r="AG173" s="18">
        <f>SUM(AE173:AF173)</f>
        <v>68101230</v>
      </c>
      <c r="AH173" s="19">
        <f>X173-AA173</f>
        <v>1898770</v>
      </c>
      <c r="AI173" s="15">
        <f>X173-AD173</f>
        <v>1898770</v>
      </c>
      <c r="AJ173" s="16">
        <f>X173-AG173</f>
        <v>1898770</v>
      </c>
      <c r="AK173" s="9"/>
      <c r="AL173" s="362">
        <v>0</v>
      </c>
      <c r="AM173" s="365">
        <v>0</v>
      </c>
      <c r="AN173" s="9"/>
    </row>
    <row r="174" spans="1:40" s="372" customFormat="1" ht="24.95" customHeight="1">
      <c r="A174" s="734"/>
      <c r="B174" s="643"/>
      <c r="N174" s="9"/>
      <c r="P174" s="9"/>
      <c r="Q174" s="9"/>
      <c r="R174" s="9"/>
      <c r="S174" s="688">
        <f>+IF(ABRIL!S174=0,"",ABRIL!S174)</f>
        <v>3199999</v>
      </c>
      <c r="T174" s="664" t="str">
        <f>+IF(ABRIL!T174=0,"",ABRIL!T174)</f>
        <v>Vigencias Anteriores</v>
      </c>
      <c r="U174" s="27">
        <f>+ENERO!U174</f>
        <v>0</v>
      </c>
      <c r="V174" s="15">
        <f>ABRIL!V174+MAYO!AL174</f>
        <v>0</v>
      </c>
      <c r="W174" s="15">
        <f>ABRIL!W174+MAYO!AM174</f>
        <v>0</v>
      </c>
      <c r="X174" s="18">
        <f>SUM(U174:W174)</f>
        <v>0</v>
      </c>
      <c r="Y174" s="19">
        <f>ABRIL!AA174</f>
        <v>0</v>
      </c>
      <c r="Z174" s="364">
        <v>0</v>
      </c>
      <c r="AA174" s="18">
        <f>SUM(Y174:Z174)</f>
        <v>0</v>
      </c>
      <c r="AB174" s="19">
        <f>ABRIL!AD174</f>
        <v>0</v>
      </c>
      <c r="AC174" s="364">
        <v>0</v>
      </c>
      <c r="AD174" s="18">
        <f>SUM(AB174:AC174)</f>
        <v>0</v>
      </c>
      <c r="AE174" s="19">
        <f>ABRIL!AG174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+IF(ABRIL!S175=0,"",ABRIL!S175)</f>
        <v/>
      </c>
      <c r="T175" s="678" t="str">
        <f>+IF(ABRIL!T175=0,"",ABRIL!T175)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+IF(ABRIL!S176=0,"",ABRIL!S176)</f>
        <v>320000</v>
      </c>
      <c r="T176" s="663" t="str">
        <f>+IF(ABRIL!T176=0,"",ABRIL!T176)</f>
        <v>Transf. Previsión y Seguridad Social</v>
      </c>
      <c r="U176" s="132">
        <f t="shared" ref="U176:AJ176" si="159">SUM(U177:U183)</f>
        <v>1110354144</v>
      </c>
      <c r="V176" s="122">
        <f t="shared" si="159"/>
        <v>0</v>
      </c>
      <c r="W176" s="122">
        <f t="shared" si="159"/>
        <v>0</v>
      </c>
      <c r="X176" s="129">
        <f t="shared" si="159"/>
        <v>1110354144</v>
      </c>
      <c r="Y176" s="128">
        <f t="shared" si="159"/>
        <v>287192053</v>
      </c>
      <c r="Z176" s="122">
        <f t="shared" si="159"/>
        <v>60436398</v>
      </c>
      <c r="AA176" s="129">
        <f t="shared" si="159"/>
        <v>347628451</v>
      </c>
      <c r="AB176" s="128">
        <f t="shared" si="159"/>
        <v>287192053</v>
      </c>
      <c r="AC176" s="122">
        <f t="shared" si="159"/>
        <v>60436398</v>
      </c>
      <c r="AD176" s="129">
        <f t="shared" si="159"/>
        <v>347628451</v>
      </c>
      <c r="AE176" s="128">
        <f t="shared" si="159"/>
        <v>287192053</v>
      </c>
      <c r="AF176" s="122">
        <f t="shared" si="159"/>
        <v>60436398</v>
      </c>
      <c r="AG176" s="129">
        <f t="shared" si="159"/>
        <v>347628451</v>
      </c>
      <c r="AH176" s="128">
        <f t="shared" si="159"/>
        <v>762725693</v>
      </c>
      <c r="AI176" s="122">
        <f t="shared" si="159"/>
        <v>762725693</v>
      </c>
      <c r="AJ176" s="130">
        <f t="shared" si="159"/>
        <v>762725693</v>
      </c>
      <c r="AK176" s="9"/>
      <c r="AL176" s="128">
        <f>SUM(AL177:AL183)</f>
        <v>0</v>
      </c>
      <c r="AM176" s="130">
        <f>SUM(AM177:AM183)</f>
        <v>0</v>
      </c>
      <c r="AN176" s="9"/>
    </row>
    <row r="177" spans="1:40" s="372" customFormat="1" ht="24.95" customHeight="1">
      <c r="A177" s="734"/>
      <c r="B177" s="643"/>
      <c r="N177" s="9"/>
      <c r="P177" s="9"/>
      <c r="Q177" s="9"/>
      <c r="R177" s="9"/>
      <c r="S177" s="688">
        <f>+IF(ABRIL!S177=0,"",ABRIL!S177)</f>
        <v>3200100</v>
      </c>
      <c r="T177" s="664" t="str">
        <f>+IF(ABRIL!T177=0,"",ABRIL!T177)</f>
        <v>Pensiones y Jubilaciones (Pago Directo)</v>
      </c>
      <c r="U177" s="27">
        <f>+ENERO!U177</f>
        <v>965336472</v>
      </c>
      <c r="V177" s="15">
        <f>ABRIL!V177+MAYO!AL177</f>
        <v>0</v>
      </c>
      <c r="W177" s="15">
        <f>ABRIL!W177+MAYO!AM177</f>
        <v>0</v>
      </c>
      <c r="X177" s="18">
        <f t="shared" ref="X177:X183" si="160">SUM(U177:W177)</f>
        <v>965336472</v>
      </c>
      <c r="Y177" s="19">
        <f>ABRIL!AA177</f>
        <v>245492219</v>
      </c>
      <c r="Z177" s="364">
        <v>59753470</v>
      </c>
      <c r="AA177" s="18">
        <f t="shared" ref="AA177:AA183" si="161">SUM(Y177:Z177)</f>
        <v>305245689</v>
      </c>
      <c r="AB177" s="19">
        <f>ABRIL!AD177</f>
        <v>245492219</v>
      </c>
      <c r="AC177" s="364">
        <v>59753470</v>
      </c>
      <c r="AD177" s="18">
        <f t="shared" ref="AD177:AD183" si="162">SUM(AB177:AC177)</f>
        <v>305245689</v>
      </c>
      <c r="AE177" s="19">
        <f>ABRIL!AG177</f>
        <v>245492219</v>
      </c>
      <c r="AF177" s="364">
        <v>59753470</v>
      </c>
      <c r="AG177" s="18">
        <f t="shared" ref="AG177:AG183" si="163">SUM(AE177:AF177)</f>
        <v>305245689</v>
      </c>
      <c r="AH177" s="19">
        <f t="shared" ref="AH177:AH183" si="164">X177-AA177</f>
        <v>660090783</v>
      </c>
      <c r="AI177" s="15">
        <f t="shared" ref="AI177:AI183" si="165">X177-AD177</f>
        <v>660090783</v>
      </c>
      <c r="AJ177" s="16">
        <f t="shared" ref="AJ177:AJ183" si="166">X177-AG177</f>
        <v>660090783</v>
      </c>
      <c r="AK177" s="9"/>
      <c r="AL177" s="362">
        <v>0</v>
      </c>
      <c r="AM177" s="365">
        <v>0</v>
      </c>
      <c r="AN177" s="9"/>
    </row>
    <row r="178" spans="1:40" s="372" customFormat="1" ht="24.95" customHeight="1">
      <c r="A178" s="734"/>
      <c r="B178" s="643"/>
      <c r="N178" s="9"/>
      <c r="P178" s="9"/>
      <c r="Q178" s="9"/>
      <c r="R178" s="9"/>
      <c r="S178" s="688">
        <f>+IF(ABRIL!S178=0,"",ABRIL!S178)</f>
        <v>3200200</v>
      </c>
      <c r="T178" s="664" t="str">
        <f>+IF(ABRIL!T178=0,"",ABRIL!T178)</f>
        <v>Cesantías Pago Directo (Pago Directo)</v>
      </c>
      <c r="U178" s="27">
        <f>+ENERO!U178</f>
        <v>20000000</v>
      </c>
      <c r="V178" s="15">
        <f>ABRIL!V178+MAYO!AL178</f>
        <v>0</v>
      </c>
      <c r="W178" s="15">
        <f>ABRIL!W178+MAYO!AM178</f>
        <v>0</v>
      </c>
      <c r="X178" s="18">
        <f t="shared" si="160"/>
        <v>20000000</v>
      </c>
      <c r="Y178" s="19">
        <f>ABRIL!AA178</f>
        <v>6079102</v>
      </c>
      <c r="Z178" s="364">
        <v>669933</v>
      </c>
      <c r="AA178" s="18">
        <f t="shared" si="161"/>
        <v>6749035</v>
      </c>
      <c r="AB178" s="19">
        <f>ABRIL!AD178</f>
        <v>6079102</v>
      </c>
      <c r="AC178" s="364">
        <v>669933</v>
      </c>
      <c r="AD178" s="18">
        <f t="shared" si="162"/>
        <v>6749035</v>
      </c>
      <c r="AE178" s="19">
        <f>ABRIL!AG178</f>
        <v>6079102</v>
      </c>
      <c r="AF178" s="364">
        <v>669933</v>
      </c>
      <c r="AG178" s="18">
        <f t="shared" si="163"/>
        <v>6749035</v>
      </c>
      <c r="AH178" s="19">
        <f t="shared" si="164"/>
        <v>13250965</v>
      </c>
      <c r="AI178" s="15">
        <f t="shared" si="165"/>
        <v>13250965</v>
      </c>
      <c r="AJ178" s="16">
        <f t="shared" si="166"/>
        <v>13250965</v>
      </c>
      <c r="AK178" s="9"/>
      <c r="AL178" s="362">
        <v>0</v>
      </c>
      <c r="AM178" s="365">
        <v>0</v>
      </c>
      <c r="AN178" s="9"/>
    </row>
    <row r="179" spans="1:40" s="372" customFormat="1" ht="24.95" customHeight="1">
      <c r="A179" s="734"/>
      <c r="B179" s="643"/>
      <c r="N179" s="9"/>
      <c r="P179" s="9"/>
      <c r="Q179" s="9"/>
      <c r="R179" s="9"/>
      <c r="S179" s="688">
        <f>+IF(ABRIL!S179=0,"",ABRIL!S179)</f>
        <v>3200300</v>
      </c>
      <c r="T179" s="664" t="str">
        <f>+IF(ABRIL!T179=0,"",ABRIL!T179)</f>
        <v>Bonos, Cuotas de Bonos y cuotas partes jubilatorias</v>
      </c>
      <c r="U179" s="27">
        <f>+ENERO!U179</f>
        <v>20000000</v>
      </c>
      <c r="V179" s="15">
        <f>ABRIL!V179+MAYO!AL179</f>
        <v>0</v>
      </c>
      <c r="W179" s="15">
        <f>ABRIL!W179+MAYO!AM179</f>
        <v>0</v>
      </c>
      <c r="X179" s="18">
        <f t="shared" si="160"/>
        <v>20000000</v>
      </c>
      <c r="Y179" s="19">
        <f>ABRIL!AA179</f>
        <v>0</v>
      </c>
      <c r="Z179" s="364">
        <v>0</v>
      </c>
      <c r="AA179" s="18">
        <f t="shared" si="161"/>
        <v>0</v>
      </c>
      <c r="AB179" s="19">
        <f>ABRIL!AD179</f>
        <v>0</v>
      </c>
      <c r="AC179" s="364">
        <v>0</v>
      </c>
      <c r="AD179" s="18">
        <f t="shared" si="162"/>
        <v>0</v>
      </c>
      <c r="AE179" s="19">
        <f>ABRIL!AG179</f>
        <v>0</v>
      </c>
      <c r="AF179" s="364">
        <v>0</v>
      </c>
      <c r="AG179" s="18">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N180" s="9"/>
      <c r="P180" s="9"/>
      <c r="Q180" s="9"/>
      <c r="R180" s="9"/>
      <c r="S180" s="688">
        <f>+IF(ABRIL!S180=0,"",ABRIL!S180)</f>
        <v>3200400</v>
      </c>
      <c r="T180" s="664" t="str">
        <f>+IF(ABRIL!T180=0,"",ABRIL!T180)</f>
        <v>Intereses a las cesantias</v>
      </c>
      <c r="U180" s="27">
        <f>+ENERO!U180</f>
        <v>105017672</v>
      </c>
      <c r="V180" s="15">
        <f>ABRIL!V180+MAYO!AL180</f>
        <v>0</v>
      </c>
      <c r="W180" s="15">
        <f>ABRIL!W180+MAYO!AM180</f>
        <v>0</v>
      </c>
      <c r="X180" s="18">
        <f t="shared" si="160"/>
        <v>105017672</v>
      </c>
      <c r="Y180" s="19">
        <f>ABRIL!AA180</f>
        <v>35620732</v>
      </c>
      <c r="Z180" s="364">
        <v>12995</v>
      </c>
      <c r="AA180" s="18">
        <f t="shared" si="161"/>
        <v>35633727</v>
      </c>
      <c r="AB180" s="19">
        <f>ABRIL!AD180</f>
        <v>35620732</v>
      </c>
      <c r="AC180" s="364">
        <v>12995</v>
      </c>
      <c r="AD180" s="18">
        <f t="shared" si="162"/>
        <v>35633727</v>
      </c>
      <c r="AE180" s="19">
        <f>ABRIL!AG180</f>
        <v>35620732</v>
      </c>
      <c r="AF180" s="364">
        <v>12995</v>
      </c>
      <c r="AG180" s="18">
        <f t="shared" si="163"/>
        <v>35633727</v>
      </c>
      <c r="AH180" s="19">
        <f t="shared" si="164"/>
        <v>69383945</v>
      </c>
      <c r="AI180" s="15">
        <f t="shared" si="165"/>
        <v>69383945</v>
      </c>
      <c r="AJ180" s="16">
        <f t="shared" si="166"/>
        <v>69383945</v>
      </c>
      <c r="AK180" s="9"/>
      <c r="AL180" s="362">
        <v>0</v>
      </c>
      <c r="AM180" s="365">
        <v>0</v>
      </c>
      <c r="AN180" s="9"/>
    </row>
    <row r="181" spans="1:40" s="372" customFormat="1" ht="24.95" customHeight="1">
      <c r="A181" s="734"/>
      <c r="B181" s="643"/>
      <c r="N181" s="9"/>
      <c r="P181" s="9"/>
      <c r="Q181" s="9"/>
      <c r="R181" s="9"/>
      <c r="S181" s="688">
        <f>+IF(ABRIL!S181=0,"",ABRIL!S181)</f>
        <v>3200500</v>
      </c>
      <c r="T181" s="664" t="str">
        <f>+IF(ABRIL!T181=0,"",ABRIL!T181)</f>
        <v/>
      </c>
      <c r="U181" s="27">
        <f>+ENERO!U181</f>
        <v>0</v>
      </c>
      <c r="V181" s="15">
        <f>ABRIL!V181+MAYO!AL181</f>
        <v>0</v>
      </c>
      <c r="W181" s="15">
        <f>ABRIL!W181+MAYO!AM181</f>
        <v>0</v>
      </c>
      <c r="X181" s="18">
        <f t="shared" si="160"/>
        <v>0</v>
      </c>
      <c r="Y181" s="19">
        <f>ABRIL!AA181</f>
        <v>0</v>
      </c>
      <c r="Z181" s="364">
        <v>0</v>
      </c>
      <c r="AA181" s="18">
        <f t="shared" si="161"/>
        <v>0</v>
      </c>
      <c r="AB181" s="19">
        <f>ABRIL!AD181</f>
        <v>0</v>
      </c>
      <c r="AC181" s="364">
        <v>0</v>
      </c>
      <c r="AD181" s="18">
        <f t="shared" si="162"/>
        <v>0</v>
      </c>
      <c r="AE181" s="19">
        <f>ABRIL!AG181</f>
        <v>0</v>
      </c>
      <c r="AF181" s="364">
        <v>0</v>
      </c>
      <c r="AG181" s="18">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N182" s="9"/>
      <c r="P182" s="9"/>
      <c r="Q182" s="9"/>
      <c r="R182" s="9"/>
      <c r="S182" s="688">
        <f>+IF(ABRIL!S182=0,"",ABRIL!S182)</f>
        <v>3200600</v>
      </c>
      <c r="T182" s="664" t="str">
        <f>+IF(ABRIL!T182=0,"",ABRIL!T182)</f>
        <v/>
      </c>
      <c r="U182" s="27">
        <f>+ENERO!U182</f>
        <v>0</v>
      </c>
      <c r="V182" s="15">
        <f>ABRIL!V182+MAYO!AL182</f>
        <v>0</v>
      </c>
      <c r="W182" s="15">
        <f>ABRIL!W182+MAYO!AM182</f>
        <v>0</v>
      </c>
      <c r="X182" s="18">
        <f t="shared" si="160"/>
        <v>0</v>
      </c>
      <c r="Y182" s="19">
        <f>ABRIL!AA182</f>
        <v>0</v>
      </c>
      <c r="Z182" s="364">
        <v>0</v>
      </c>
      <c r="AA182" s="18">
        <f t="shared" si="161"/>
        <v>0</v>
      </c>
      <c r="AB182" s="19">
        <f>ABRIL!AD182</f>
        <v>0</v>
      </c>
      <c r="AC182" s="364">
        <v>0</v>
      </c>
      <c r="AD182" s="18">
        <f t="shared" si="162"/>
        <v>0</v>
      </c>
      <c r="AE182" s="19">
        <f>ABRIL!AG182</f>
        <v>0</v>
      </c>
      <c r="AF182" s="364">
        <v>0</v>
      </c>
      <c r="AG182" s="18">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N183" s="9"/>
      <c r="P183" s="9"/>
      <c r="Q183" s="9"/>
      <c r="R183" s="9"/>
      <c r="S183" s="688">
        <f>+IF(ABRIL!S183=0,"",ABRIL!S183)</f>
        <v>3299999</v>
      </c>
      <c r="T183" s="664" t="str">
        <f>+IF(ABRIL!T183=0,"",ABRIL!T183)</f>
        <v>Vigencias Anteriores</v>
      </c>
      <c r="U183" s="27">
        <f>+ENERO!U183</f>
        <v>0</v>
      </c>
      <c r="V183" s="15">
        <f>ABRIL!V183+MAYO!AL183</f>
        <v>0</v>
      </c>
      <c r="W183" s="15">
        <f>ABRIL!W183+MAYO!AM183</f>
        <v>0</v>
      </c>
      <c r="X183" s="18">
        <f t="shared" si="160"/>
        <v>0</v>
      </c>
      <c r="Y183" s="19">
        <f>ABRIL!AA183</f>
        <v>0</v>
      </c>
      <c r="Z183" s="364">
        <v>0</v>
      </c>
      <c r="AA183" s="18">
        <f t="shared" si="161"/>
        <v>0</v>
      </c>
      <c r="AB183" s="19">
        <f>ABRIL!AD183</f>
        <v>0</v>
      </c>
      <c r="AC183" s="364">
        <v>0</v>
      </c>
      <c r="AD183" s="18">
        <f t="shared" si="162"/>
        <v>0</v>
      </c>
      <c r="AE183" s="19">
        <f>ABRIL!AG183</f>
        <v>0</v>
      </c>
      <c r="AF183" s="364">
        <v>0</v>
      </c>
      <c r="AG183" s="18">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N184" s="9"/>
      <c r="P184" s="9"/>
      <c r="Q184" s="9"/>
      <c r="R184" s="9"/>
      <c r="S184" s="356" t="str">
        <f>+IF(ABRIL!S184=0,"",ABRIL!S184)</f>
        <v/>
      </c>
      <c r="T184" s="678" t="str">
        <f>+IF(ABRIL!T184=0,"",ABRIL!T184)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+IF(ABRIL!S185=0,"",ABRIL!S185)</f>
        <v>3300000</v>
      </c>
      <c r="T185" s="663" t="str">
        <f>+IF(ABRIL!T185=0,"",ABRIL!T185)</f>
        <v>Otras Transferencias</v>
      </c>
      <c r="U185" s="132">
        <f t="shared" ref="U185:AJ185" si="167">U186+U187+U191</f>
        <v>80000000</v>
      </c>
      <c r="V185" s="122">
        <f t="shared" si="167"/>
        <v>8000000</v>
      </c>
      <c r="W185" s="122">
        <f t="shared" si="167"/>
        <v>0</v>
      </c>
      <c r="X185" s="129">
        <f t="shared" si="167"/>
        <v>88000000</v>
      </c>
      <c r="Y185" s="128">
        <f t="shared" si="167"/>
        <v>892000</v>
      </c>
      <c r="Z185" s="122">
        <f t="shared" si="167"/>
        <v>18026516</v>
      </c>
      <c r="AA185" s="129">
        <f t="shared" si="167"/>
        <v>18918516</v>
      </c>
      <c r="AB185" s="128">
        <f t="shared" si="167"/>
        <v>892000</v>
      </c>
      <c r="AC185" s="122">
        <f t="shared" si="167"/>
        <v>18026516</v>
      </c>
      <c r="AD185" s="129">
        <f t="shared" si="167"/>
        <v>18918516</v>
      </c>
      <c r="AE185" s="128">
        <f t="shared" si="167"/>
        <v>892000</v>
      </c>
      <c r="AF185" s="122">
        <f t="shared" si="167"/>
        <v>18026516</v>
      </c>
      <c r="AG185" s="129">
        <f t="shared" si="167"/>
        <v>18918516</v>
      </c>
      <c r="AH185" s="128">
        <f t="shared" si="167"/>
        <v>69081484</v>
      </c>
      <c r="AI185" s="122">
        <f t="shared" si="167"/>
        <v>69081484</v>
      </c>
      <c r="AJ185" s="130">
        <f t="shared" si="167"/>
        <v>69081484</v>
      </c>
      <c r="AK185" s="9"/>
      <c r="AL185" s="128">
        <f>AL186+AL187+AL191</f>
        <v>8000000</v>
      </c>
      <c r="AM185" s="130">
        <f>AM186+AM187+AM191</f>
        <v>0</v>
      </c>
      <c r="AN185" s="9"/>
    </row>
    <row r="186" spans="1:40" s="372" customFormat="1" ht="24.95" customHeight="1">
      <c r="A186" s="734"/>
      <c r="B186" s="643"/>
      <c r="N186" s="9"/>
      <c r="P186" s="9"/>
      <c r="Q186" s="9"/>
      <c r="R186" s="9"/>
      <c r="S186" s="688">
        <f>+IF(ABRIL!S186=0,"",ABRIL!S186)</f>
        <v>3300100</v>
      </c>
      <c r="T186" s="664" t="str">
        <f>+IF(ABRIL!T186=0,"",ABRIL!T186)</f>
        <v>Sentencias y Conciliaciones</v>
      </c>
      <c r="U186" s="27">
        <f>+ENERO!U186</f>
        <v>60000000</v>
      </c>
      <c r="V186" s="15">
        <f>ABRIL!V186+MAYO!AL186</f>
        <v>0</v>
      </c>
      <c r="W186" s="15">
        <f>ABRIL!W186+MAYO!AM186</f>
        <v>0</v>
      </c>
      <c r="X186" s="18">
        <f>SUM(U186:W186)</f>
        <v>60000000</v>
      </c>
      <c r="Y186" s="19">
        <f>ABRIL!AA186</f>
        <v>0</v>
      </c>
      <c r="Z186" s="364">
        <v>0</v>
      </c>
      <c r="AA186" s="18">
        <f>SUM(Y186:Z186)</f>
        <v>0</v>
      </c>
      <c r="AB186" s="19">
        <f>ABRIL!AD186</f>
        <v>0</v>
      </c>
      <c r="AC186" s="364">
        <v>0</v>
      </c>
      <c r="AD186" s="18">
        <f>SUM(AB186:AC186)</f>
        <v>0</v>
      </c>
      <c r="AE186" s="19">
        <f>ABRIL!AG186</f>
        <v>0</v>
      </c>
      <c r="AF186" s="364">
        <v>0</v>
      </c>
      <c r="AG186" s="18">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N187" s="9"/>
      <c r="P187" s="9"/>
      <c r="Q187" s="9"/>
      <c r="R187" s="9"/>
      <c r="S187" s="688">
        <f>+IF(ABRIL!S187=0,"",ABRIL!S187)</f>
        <v>3300200</v>
      </c>
      <c r="T187" s="664" t="str">
        <f>+IF(ABRIL!T187=0,"",ABRIL!T187)</f>
        <v>Destinatarios de otras transferencias</v>
      </c>
      <c r="U187" s="27">
        <f t="shared" ref="U187:AM187" si="168">SUM(U188:U190)</f>
        <v>20000000</v>
      </c>
      <c r="V187" s="15">
        <f t="shared" si="168"/>
        <v>8000000</v>
      </c>
      <c r="W187" s="15">
        <f t="shared" si="168"/>
        <v>0</v>
      </c>
      <c r="X187" s="18">
        <f t="shared" si="168"/>
        <v>28000000</v>
      </c>
      <c r="Y187" s="19">
        <f t="shared" si="168"/>
        <v>892000</v>
      </c>
      <c r="Z187" s="142">
        <f t="shared" si="168"/>
        <v>18026516</v>
      </c>
      <c r="AA187" s="18">
        <f t="shared" si="168"/>
        <v>18918516</v>
      </c>
      <c r="AB187" s="19">
        <f t="shared" si="168"/>
        <v>892000</v>
      </c>
      <c r="AC187" s="142">
        <f t="shared" si="168"/>
        <v>18026516</v>
      </c>
      <c r="AD187" s="18">
        <f t="shared" si="168"/>
        <v>18918516</v>
      </c>
      <c r="AE187" s="19">
        <f t="shared" si="168"/>
        <v>892000</v>
      </c>
      <c r="AF187" s="142">
        <f t="shared" si="168"/>
        <v>18026516</v>
      </c>
      <c r="AG187" s="18">
        <f t="shared" si="168"/>
        <v>18918516</v>
      </c>
      <c r="AH187" s="19">
        <f t="shared" si="168"/>
        <v>9081484</v>
      </c>
      <c r="AI187" s="15">
        <f t="shared" si="168"/>
        <v>9081484</v>
      </c>
      <c r="AJ187" s="16">
        <f t="shared" si="168"/>
        <v>9081484</v>
      </c>
      <c r="AK187" s="9"/>
      <c r="AL187" s="29">
        <f t="shared" si="168"/>
        <v>8000000</v>
      </c>
      <c r="AM187" s="26">
        <f t="shared" si="168"/>
        <v>0</v>
      </c>
      <c r="AN187" s="9"/>
    </row>
    <row r="188" spans="1:40" s="372" customFormat="1" ht="24.95" customHeight="1">
      <c r="A188" s="734"/>
      <c r="B188" s="644"/>
      <c r="N188" s="9"/>
      <c r="P188" s="9"/>
      <c r="Q188" s="9"/>
      <c r="R188" s="9"/>
      <c r="S188" s="689" t="str">
        <f>+IF(ABRIL!S188=0,"",ABRIL!S188)</f>
        <v>3300200-1</v>
      </c>
      <c r="T188" s="664" t="str">
        <f>+IF(ABRIL!T188=0,"",ABRIL!T188)</f>
        <v>COHAN</v>
      </c>
      <c r="U188" s="27">
        <f>+ENERO!U188</f>
        <v>10000000</v>
      </c>
      <c r="V188" s="15">
        <f>ABRIL!V188+MAYO!AL188</f>
        <v>8000000</v>
      </c>
      <c r="W188" s="15">
        <f>ABRIL!W188+MAYO!AM188</f>
        <v>0</v>
      </c>
      <c r="X188" s="18">
        <f>SUM(U188:W188)</f>
        <v>18000000</v>
      </c>
      <c r="Y188" s="19">
        <f>ABRIL!AA188</f>
        <v>0</v>
      </c>
      <c r="Z188" s="364">
        <v>17803516</v>
      </c>
      <c r="AA188" s="18">
        <f>SUM(Y188:Z188)</f>
        <v>17803516</v>
      </c>
      <c r="AB188" s="19">
        <f>ABRIL!AD188</f>
        <v>0</v>
      </c>
      <c r="AC188" s="364">
        <v>17803516</v>
      </c>
      <c r="AD188" s="18">
        <f>SUM(AB188:AC188)</f>
        <v>17803516</v>
      </c>
      <c r="AE188" s="19">
        <f>ABRIL!AG188</f>
        <v>0</v>
      </c>
      <c r="AF188" s="364">
        <v>17803516</v>
      </c>
      <c r="AG188" s="18">
        <f>SUM(AE188:AF188)</f>
        <v>17803516</v>
      </c>
      <c r="AH188" s="19">
        <f>X188-AA188</f>
        <v>196484</v>
      </c>
      <c r="AI188" s="15">
        <f>X188-AD188</f>
        <v>196484</v>
      </c>
      <c r="AJ188" s="16">
        <f>X188-AG188</f>
        <v>196484</v>
      </c>
      <c r="AK188" s="9"/>
      <c r="AL188" s="362">
        <v>8000000</v>
      </c>
      <c r="AM188" s="365">
        <v>0</v>
      </c>
      <c r="AN188" s="9"/>
    </row>
    <row r="189" spans="1:40" s="372" customFormat="1" ht="24.95" customHeight="1">
      <c r="A189" s="734"/>
      <c r="B189" s="644"/>
      <c r="N189" s="9"/>
      <c r="P189" s="9"/>
      <c r="Q189" s="9"/>
      <c r="R189" s="9"/>
      <c r="S189" s="689" t="str">
        <f>+IF(ABRIL!S189=0,"",ABRIL!S189)</f>
        <v>3300200-2</v>
      </c>
      <c r="T189" s="664" t="str">
        <f>+IF(ABRIL!T189=0,"",ABRIL!T189)</f>
        <v>AESA</v>
      </c>
      <c r="U189" s="27">
        <f>+ENERO!U189</f>
        <v>5000000</v>
      </c>
      <c r="V189" s="15">
        <f>ABRIL!V189+MAYO!AL189</f>
        <v>0</v>
      </c>
      <c r="W189" s="15">
        <f>ABRIL!W189+MAYO!AM189</f>
        <v>0</v>
      </c>
      <c r="X189" s="18">
        <f>SUM(U189:W189)</f>
        <v>5000000</v>
      </c>
      <c r="Y189" s="19">
        <f>ABRIL!AA189</f>
        <v>0</v>
      </c>
      <c r="Z189" s="364">
        <v>0</v>
      </c>
      <c r="AA189" s="18">
        <f>SUM(Y189:Z189)</f>
        <v>0</v>
      </c>
      <c r="AB189" s="19">
        <f>ABRIL!AD189</f>
        <v>0</v>
      </c>
      <c r="AC189" s="364">
        <v>0</v>
      </c>
      <c r="AD189" s="18">
        <f>SUM(AB189:AC189)</f>
        <v>0</v>
      </c>
      <c r="AE189" s="19">
        <f>ABRIL!AG189</f>
        <v>0</v>
      </c>
      <c r="AF189" s="364">
        <v>0</v>
      </c>
      <c r="AG189" s="18">
        <f>SUM(AE189:AF189)</f>
        <v>0</v>
      </c>
      <c r="AH189" s="19">
        <f>X189-AA189</f>
        <v>5000000</v>
      </c>
      <c r="AI189" s="15">
        <f>X189-AD189</f>
        <v>5000000</v>
      </c>
      <c r="AJ189" s="16">
        <f>X189-AG189</f>
        <v>5000000</v>
      </c>
      <c r="AK189" s="9"/>
      <c r="AL189" s="362">
        <v>0</v>
      </c>
      <c r="AM189" s="365">
        <v>0</v>
      </c>
      <c r="AN189" s="9"/>
    </row>
    <row r="190" spans="1:40" s="372" customFormat="1" ht="24.95" customHeight="1">
      <c r="A190" s="734"/>
      <c r="B190" s="644"/>
      <c r="N190" s="9"/>
      <c r="P190" s="9"/>
      <c r="Q190" s="9"/>
      <c r="R190" s="9"/>
      <c r="S190" s="689" t="str">
        <f>+IF(ABRIL!S190=0,"",ABRIL!S190)</f>
        <v>3300200-3</v>
      </c>
      <c r="T190" s="664" t="str">
        <f>+IF(ABRIL!T190=0,"",ABRIL!T190)</f>
        <v xml:space="preserve">OTRAS </v>
      </c>
      <c r="U190" s="27">
        <f>+ENERO!U190</f>
        <v>5000000</v>
      </c>
      <c r="V190" s="15">
        <f>ABRIL!V190+MAYO!AL190</f>
        <v>0</v>
      </c>
      <c r="W190" s="15">
        <f>ABRIL!W190+MAYO!AM190</f>
        <v>0</v>
      </c>
      <c r="X190" s="18">
        <f>SUM(U190:W190)</f>
        <v>5000000</v>
      </c>
      <c r="Y190" s="19">
        <f>ABRIL!AA190</f>
        <v>892000</v>
      </c>
      <c r="Z190" s="364">
        <v>223000</v>
      </c>
      <c r="AA190" s="18">
        <f>SUM(Y190:Z190)</f>
        <v>1115000</v>
      </c>
      <c r="AB190" s="19">
        <f>ABRIL!AD190</f>
        <v>892000</v>
      </c>
      <c r="AC190" s="364">
        <v>223000</v>
      </c>
      <c r="AD190" s="18">
        <f>SUM(AB190:AC190)</f>
        <v>1115000</v>
      </c>
      <c r="AE190" s="19">
        <f>ABRIL!AG190</f>
        <v>892000</v>
      </c>
      <c r="AF190" s="364">
        <v>223000</v>
      </c>
      <c r="AG190" s="18">
        <f>SUM(AE190:AF190)</f>
        <v>1115000</v>
      </c>
      <c r="AH190" s="19">
        <f>X190-AA190</f>
        <v>3885000</v>
      </c>
      <c r="AI190" s="15">
        <f>X190-AD190</f>
        <v>3885000</v>
      </c>
      <c r="AJ190" s="16">
        <f>X190-AG190</f>
        <v>3885000</v>
      </c>
      <c r="AK190" s="9"/>
      <c r="AL190" s="362">
        <v>0</v>
      </c>
      <c r="AM190" s="365">
        <v>0</v>
      </c>
      <c r="AN190" s="9"/>
    </row>
    <row r="191" spans="1:40" s="372" customFormat="1" ht="24.95" customHeight="1">
      <c r="A191" s="734"/>
      <c r="B191" s="644"/>
      <c r="N191" s="9"/>
      <c r="P191" s="9"/>
      <c r="Q191" s="9"/>
      <c r="R191" s="9"/>
      <c r="S191" s="688">
        <f>+IF(ABRIL!S191=0,"",ABRIL!S191)</f>
        <v>3399999</v>
      </c>
      <c r="T191" s="664" t="str">
        <f>+IF(ABRIL!T191=0,"",ABRIL!T191)</f>
        <v>Vigencias Anteriores</v>
      </c>
      <c r="U191" s="27">
        <f>+ENERO!U191</f>
        <v>0</v>
      </c>
      <c r="V191" s="15">
        <f>ABRIL!V191+MAYO!AL191</f>
        <v>0</v>
      </c>
      <c r="W191" s="15">
        <f>ABRIL!W191+MAYO!AM191</f>
        <v>0</v>
      </c>
      <c r="X191" s="18">
        <f>SUM(U191:W191)</f>
        <v>0</v>
      </c>
      <c r="Y191" s="19">
        <f>ABRIL!AA191</f>
        <v>0</v>
      </c>
      <c r="Z191" s="364">
        <v>0</v>
      </c>
      <c r="AA191" s="18">
        <f>SUM(Y191:Z191)</f>
        <v>0</v>
      </c>
      <c r="AB191" s="19">
        <f>ABRIL!AD191</f>
        <v>0</v>
      </c>
      <c r="AC191" s="364">
        <v>0</v>
      </c>
      <c r="AD191" s="18">
        <f>SUM(AB191:AC191)</f>
        <v>0</v>
      </c>
      <c r="AE191" s="19">
        <f>ABRIL!AG191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4.25" customHeight="1">
      <c r="A193" s="734"/>
      <c r="B193" s="644"/>
      <c r="N193" s="9"/>
      <c r="P193" s="9"/>
      <c r="Q193" s="9"/>
      <c r="R193" s="9"/>
      <c r="S193" s="483" t="s">
        <v>318</v>
      </c>
      <c r="T193" s="672" t="s">
        <v>561</v>
      </c>
      <c r="U193" s="460">
        <f>U195+U209</f>
        <v>10282942055</v>
      </c>
      <c r="V193" s="461">
        <f t="shared" ref="V193:AJ193" si="169">V195+V209</f>
        <v>1300000000</v>
      </c>
      <c r="W193" s="461">
        <f t="shared" si="169"/>
        <v>6759281439</v>
      </c>
      <c r="X193" s="370">
        <f t="shared" si="169"/>
        <v>18342223494</v>
      </c>
      <c r="Y193" s="369">
        <f t="shared" si="169"/>
        <v>14859792338</v>
      </c>
      <c r="Z193" s="484">
        <f t="shared" si="169"/>
        <v>1457178909</v>
      </c>
      <c r="AA193" s="370">
        <f t="shared" si="169"/>
        <v>16316971247</v>
      </c>
      <c r="AB193" s="460">
        <f t="shared" si="169"/>
        <v>11579544370</v>
      </c>
      <c r="AC193" s="484">
        <f t="shared" si="169"/>
        <v>1850174504</v>
      </c>
      <c r="AD193" s="462">
        <f t="shared" si="169"/>
        <v>13429718874</v>
      </c>
      <c r="AE193" s="369">
        <f t="shared" si="169"/>
        <v>6875969515</v>
      </c>
      <c r="AF193" s="484">
        <f t="shared" si="169"/>
        <v>1155203281</v>
      </c>
      <c r="AG193" s="370">
        <f t="shared" si="169"/>
        <v>8031172796</v>
      </c>
      <c r="AH193" s="369">
        <f t="shared" si="169"/>
        <v>2025252247</v>
      </c>
      <c r="AI193" s="461">
        <f t="shared" si="169"/>
        <v>4912504620</v>
      </c>
      <c r="AJ193" s="370">
        <f t="shared" si="169"/>
        <v>10311050698</v>
      </c>
      <c r="AK193" s="9"/>
      <c r="AL193" s="369">
        <f>AL195+AL209</f>
        <v>1000000000</v>
      </c>
      <c r="AM193" s="370">
        <f>AM195+AM209</f>
        <v>743274278</v>
      </c>
      <c r="AN193" s="9"/>
    </row>
    <row r="194" spans="1:40" s="372" customFormat="1" ht="24.95" customHeight="1">
      <c r="A194" s="734"/>
      <c r="B194" s="644"/>
      <c r="N194" s="9"/>
      <c r="P194" s="9"/>
      <c r="Q194" s="9"/>
      <c r="R194" s="9"/>
      <c r="S194" s="356" t="str">
        <f>+IF(ABRIL!S194=0,"",ABRIL!S194)</f>
        <v/>
      </c>
      <c r="T194" s="678" t="str">
        <f>+IF(ABRIL!T194=0,"",ABRIL!T194)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+IF(ABRIL!S195=0,"",ABRIL!S195)</f>
        <v>4000000</v>
      </c>
      <c r="T195" s="668" t="str">
        <f>+IF(ABRIL!T195=0,"",ABRIL!T195)</f>
        <v>GASTOS  DE PRESTACION DE SERVICIOS</v>
      </c>
      <c r="U195" s="460">
        <f t="shared" ref="U195:AJ195" si="170">U196</f>
        <v>10282942055</v>
      </c>
      <c r="V195" s="461">
        <f t="shared" si="170"/>
        <v>1300000000</v>
      </c>
      <c r="W195" s="461">
        <f t="shared" si="170"/>
        <v>6759281439</v>
      </c>
      <c r="X195" s="462">
        <f t="shared" si="170"/>
        <v>18342223494</v>
      </c>
      <c r="Y195" s="369">
        <f t="shared" si="170"/>
        <v>14859792338</v>
      </c>
      <c r="Z195" s="461">
        <f t="shared" si="170"/>
        <v>1457178909</v>
      </c>
      <c r="AA195" s="462">
        <f t="shared" si="170"/>
        <v>16316971247</v>
      </c>
      <c r="AB195" s="369">
        <f t="shared" si="170"/>
        <v>11579544370</v>
      </c>
      <c r="AC195" s="461">
        <f t="shared" si="170"/>
        <v>1850174504</v>
      </c>
      <c r="AD195" s="462">
        <f t="shared" si="170"/>
        <v>13429718874</v>
      </c>
      <c r="AE195" s="369">
        <f t="shared" si="170"/>
        <v>6875969515</v>
      </c>
      <c r="AF195" s="461">
        <f t="shared" si="170"/>
        <v>1155203281</v>
      </c>
      <c r="AG195" s="462">
        <f t="shared" si="170"/>
        <v>8031172796</v>
      </c>
      <c r="AH195" s="369">
        <f t="shared" si="170"/>
        <v>2025252247</v>
      </c>
      <c r="AI195" s="461">
        <f t="shared" si="170"/>
        <v>4912504620</v>
      </c>
      <c r="AJ195" s="370">
        <f t="shared" si="170"/>
        <v>10311050698</v>
      </c>
      <c r="AK195" s="9"/>
      <c r="AL195" s="128">
        <f>AL196</f>
        <v>1000000000</v>
      </c>
      <c r="AM195" s="130">
        <f>AM196</f>
        <v>743274278</v>
      </c>
      <c r="AN195" s="9"/>
    </row>
    <row r="196" spans="1:40" s="372" customFormat="1" ht="24.95" customHeight="1">
      <c r="A196" s="734"/>
      <c r="B196" s="644"/>
      <c r="N196" s="9"/>
      <c r="P196" s="9"/>
      <c r="Q196" s="9"/>
      <c r="R196" s="9"/>
      <c r="S196" s="687">
        <f>+IF(ABRIL!S196=0,"",ABRIL!S196)</f>
        <v>4100000</v>
      </c>
      <c r="T196" s="663" t="str">
        <f>+IF(ABRIL!T196=0,"",ABRIL!T196)</f>
        <v>Insumos y Suministros Hospitalarios</v>
      </c>
      <c r="U196" s="132">
        <f t="shared" ref="U196:AJ196" si="171">U197+U205+U207</f>
        <v>10282942055</v>
      </c>
      <c r="V196" s="122">
        <f t="shared" si="171"/>
        <v>1300000000</v>
      </c>
      <c r="W196" s="122">
        <f t="shared" si="171"/>
        <v>6759281439</v>
      </c>
      <c r="X196" s="129">
        <f t="shared" si="171"/>
        <v>18342223494</v>
      </c>
      <c r="Y196" s="128">
        <f t="shared" si="171"/>
        <v>14859792338</v>
      </c>
      <c r="Z196" s="122">
        <f t="shared" si="171"/>
        <v>1457178909</v>
      </c>
      <c r="AA196" s="129">
        <f t="shared" si="171"/>
        <v>16316971247</v>
      </c>
      <c r="AB196" s="128">
        <f t="shared" si="171"/>
        <v>11579544370</v>
      </c>
      <c r="AC196" s="122">
        <f t="shared" si="171"/>
        <v>1850174504</v>
      </c>
      <c r="AD196" s="129">
        <f t="shared" si="171"/>
        <v>13429718874</v>
      </c>
      <c r="AE196" s="128">
        <f t="shared" si="171"/>
        <v>6875969515</v>
      </c>
      <c r="AF196" s="122">
        <f t="shared" si="171"/>
        <v>1155203281</v>
      </c>
      <c r="AG196" s="129">
        <f t="shared" si="171"/>
        <v>8031172796</v>
      </c>
      <c r="AH196" s="128">
        <f t="shared" si="171"/>
        <v>2025252247</v>
      </c>
      <c r="AI196" s="122">
        <f t="shared" si="171"/>
        <v>4912504620</v>
      </c>
      <c r="AJ196" s="130">
        <f t="shared" si="171"/>
        <v>10311050698</v>
      </c>
      <c r="AK196" s="10"/>
      <c r="AL196" s="128">
        <f>AL197+AL205+AL207</f>
        <v>1000000000</v>
      </c>
      <c r="AM196" s="130">
        <f>AM197+AM205+AM207</f>
        <v>743274278</v>
      </c>
      <c r="AN196" s="9"/>
    </row>
    <row r="197" spans="1:40" s="372" customFormat="1" ht="24.95" customHeight="1">
      <c r="A197" s="734"/>
      <c r="B197" s="644"/>
      <c r="N197" s="9"/>
      <c r="P197" s="9"/>
      <c r="Q197" s="9"/>
      <c r="R197" s="9"/>
      <c r="S197" s="688">
        <f>+IF(ABRIL!S197=0,"",ABRIL!S197)</f>
        <v>4100100</v>
      </c>
      <c r="T197" s="664" t="str">
        <f>+IF(ABRIL!T197=0,"",ABRIL!T197)</f>
        <v>Compra de Bienes para la Prestacion de servicios</v>
      </c>
      <c r="U197" s="27">
        <f t="shared" ref="U197:AJ197" si="172">SUM(U198:U204)</f>
        <v>8084311192</v>
      </c>
      <c r="V197" s="15">
        <f t="shared" si="172"/>
        <v>1290000000</v>
      </c>
      <c r="W197" s="15">
        <f t="shared" si="172"/>
        <v>2421407445</v>
      </c>
      <c r="X197" s="18">
        <f t="shared" si="172"/>
        <v>11795718637</v>
      </c>
      <c r="Y197" s="19">
        <f t="shared" si="172"/>
        <v>8892815728</v>
      </c>
      <c r="Z197" s="142">
        <f t="shared" si="172"/>
        <v>1113451265</v>
      </c>
      <c r="AA197" s="18">
        <f t="shared" si="172"/>
        <v>10006266993</v>
      </c>
      <c r="AB197" s="19">
        <f t="shared" si="172"/>
        <v>6387860169</v>
      </c>
      <c r="AC197" s="142">
        <f t="shared" si="172"/>
        <v>1506446860</v>
      </c>
      <c r="AD197" s="18">
        <f t="shared" si="172"/>
        <v>7894307029</v>
      </c>
      <c r="AE197" s="19">
        <f t="shared" si="172"/>
        <v>1778281704</v>
      </c>
      <c r="AF197" s="142">
        <f t="shared" si="172"/>
        <v>717479247</v>
      </c>
      <c r="AG197" s="18">
        <f t="shared" si="172"/>
        <v>2495760951</v>
      </c>
      <c r="AH197" s="19">
        <f t="shared" si="172"/>
        <v>1789451644</v>
      </c>
      <c r="AI197" s="15">
        <f t="shared" si="172"/>
        <v>3901411608</v>
      </c>
      <c r="AJ197" s="16">
        <f t="shared" si="172"/>
        <v>9299957686</v>
      </c>
      <c r="AK197" s="9"/>
      <c r="AL197" s="29">
        <f>SUM(AL198:AL204)</f>
        <v>1000000000</v>
      </c>
      <c r="AM197" s="26">
        <f>SUM(AM198:AM204)</f>
        <v>743274278</v>
      </c>
      <c r="AN197" s="9"/>
    </row>
    <row r="198" spans="1:40" s="372" customFormat="1" ht="24.95" customHeight="1">
      <c r="A198" s="734"/>
      <c r="B198" s="644"/>
      <c r="N198" s="9"/>
      <c r="P198" s="9"/>
      <c r="Q198" s="9"/>
      <c r="R198" s="9"/>
      <c r="S198" s="689" t="str">
        <f>+IF(ABRIL!S198=0,"",ABRIL!S198)</f>
        <v>4100100-1</v>
      </c>
      <c r="T198" s="665" t="str">
        <f>+IF(ABRIL!T198=0,"",ABRIL!T198)</f>
        <v>Productos Farmaceuticos</v>
      </c>
      <c r="U198" s="27">
        <f>+ENERO!U198</f>
        <v>4000000000</v>
      </c>
      <c r="V198" s="15">
        <f>ABRIL!V198+MAYO!AL198</f>
        <v>590000000</v>
      </c>
      <c r="W198" s="15">
        <f>ABRIL!W198+MAYO!AM198</f>
        <v>643274278</v>
      </c>
      <c r="X198" s="18">
        <f t="shared" ref="X198:X204" si="173">SUM(U198:W198)</f>
        <v>5233274278</v>
      </c>
      <c r="Y198" s="19">
        <f>ABRIL!AA198</f>
        <v>4201885283</v>
      </c>
      <c r="Z198" s="364">
        <v>260859699</v>
      </c>
      <c r="AA198" s="18">
        <f t="shared" ref="AA198:AA204" si="174">SUM(Y198:Z198)</f>
        <v>4462744982</v>
      </c>
      <c r="AB198" s="19">
        <f>ABRIL!AD198</f>
        <v>2953828344</v>
      </c>
      <c r="AC198" s="364">
        <v>624510756</v>
      </c>
      <c r="AD198" s="18">
        <f t="shared" ref="AD198:AD204" si="175">SUM(AB198:AC198)</f>
        <v>3578339100</v>
      </c>
      <c r="AE198" s="19">
        <f>ABRIL!AG198</f>
        <v>815006239</v>
      </c>
      <c r="AF198" s="364">
        <v>273946045</v>
      </c>
      <c r="AG198" s="18">
        <f t="shared" ref="AG198:AG204" si="176">SUM(AE198:AF198)</f>
        <v>1088952284</v>
      </c>
      <c r="AH198" s="19">
        <f t="shared" ref="AH198:AH204" si="177">X198-AA198</f>
        <v>770529296</v>
      </c>
      <c r="AI198" s="15">
        <f t="shared" ref="AI198:AI204" si="178">X198-AD198</f>
        <v>1654935178</v>
      </c>
      <c r="AJ198" s="16">
        <f t="shared" ref="AJ198:AJ204" si="179">X198-AG198</f>
        <v>4144321994</v>
      </c>
      <c r="AK198" s="9"/>
      <c r="AL198" s="362">
        <v>300000000</v>
      </c>
      <c r="AM198" s="365">
        <v>343274278</v>
      </c>
      <c r="AN198" s="9"/>
    </row>
    <row r="199" spans="1:40" s="372" customFormat="1" ht="24.95" customHeight="1">
      <c r="A199" s="734"/>
      <c r="B199" s="644"/>
      <c r="N199" s="9"/>
      <c r="P199" s="9"/>
      <c r="Q199" s="9"/>
      <c r="R199" s="9"/>
      <c r="S199" s="689" t="str">
        <f>+IF(ABRIL!S199=0,"",ABRIL!S199)</f>
        <v>4100100-2</v>
      </c>
      <c r="T199" s="665" t="str">
        <f>+IF(ABRIL!T199=0,"",ABRIL!T199)</f>
        <v>Material Médico Quirúrgico</v>
      </c>
      <c r="U199" s="27">
        <f>+ENERO!U199</f>
        <v>3244311192</v>
      </c>
      <c r="V199" s="15">
        <f>ABRIL!V199+MAYO!AL199</f>
        <v>700000000</v>
      </c>
      <c r="W199" s="15">
        <f>ABRIL!W199+MAYO!AM199</f>
        <v>1778133167</v>
      </c>
      <c r="X199" s="18">
        <f t="shared" si="173"/>
        <v>5722444359</v>
      </c>
      <c r="Y199" s="19">
        <f>ABRIL!AA199</f>
        <v>4427829178</v>
      </c>
      <c r="Z199" s="364">
        <v>766387487</v>
      </c>
      <c r="AA199" s="18">
        <f t="shared" si="174"/>
        <v>5194216665</v>
      </c>
      <c r="AB199" s="19">
        <f>ABRIL!AD199</f>
        <v>3185332768</v>
      </c>
      <c r="AC199" s="364">
        <v>795732025</v>
      </c>
      <c r="AD199" s="18">
        <f t="shared" si="175"/>
        <v>3981064793</v>
      </c>
      <c r="AE199" s="19">
        <f>ABRIL!AG199</f>
        <v>929646507</v>
      </c>
      <c r="AF199" s="364">
        <v>426540601</v>
      </c>
      <c r="AG199" s="18">
        <f t="shared" si="176"/>
        <v>1356187108</v>
      </c>
      <c r="AH199" s="19">
        <f t="shared" si="177"/>
        <v>528227694</v>
      </c>
      <c r="AI199" s="15">
        <f t="shared" si="178"/>
        <v>1741379566</v>
      </c>
      <c r="AJ199" s="16">
        <f t="shared" si="179"/>
        <v>4366257251</v>
      </c>
      <c r="AK199" s="9"/>
      <c r="AL199" s="362">
        <v>700000000</v>
      </c>
      <c r="AM199" s="365">
        <v>400000000</v>
      </c>
      <c r="AN199" s="9"/>
    </row>
    <row r="200" spans="1:40" s="372" customFormat="1" ht="24.95" customHeight="1">
      <c r="A200" s="734"/>
      <c r="B200" s="644"/>
      <c r="N200" s="9"/>
      <c r="P200" s="9"/>
      <c r="Q200" s="9"/>
      <c r="R200" s="9"/>
      <c r="S200" s="689" t="str">
        <f>+IF(ABRIL!S200=0,"",ABRIL!S200)</f>
        <v>4100100-3</v>
      </c>
      <c r="T200" s="665" t="str">
        <f>+IF(ABRIL!T200=0,"",ABRIL!T200)</f>
        <v>Material de Laboratorio</v>
      </c>
      <c r="U200" s="27">
        <f>+ENERO!U200</f>
        <v>840000000</v>
      </c>
      <c r="V200" s="15">
        <f>ABRIL!V200+MAYO!AL200</f>
        <v>0</v>
      </c>
      <c r="W200" s="15">
        <f>ABRIL!W200+MAYO!AM200</f>
        <v>0</v>
      </c>
      <c r="X200" s="18">
        <f t="shared" si="173"/>
        <v>840000000</v>
      </c>
      <c r="Y200" s="19">
        <f>ABRIL!AA200</f>
        <v>263101267</v>
      </c>
      <c r="Z200" s="364">
        <v>86204079</v>
      </c>
      <c r="AA200" s="18">
        <f t="shared" si="174"/>
        <v>349305346</v>
      </c>
      <c r="AB200" s="19">
        <f>ABRIL!AD200</f>
        <v>248699057</v>
      </c>
      <c r="AC200" s="364">
        <v>86204079</v>
      </c>
      <c r="AD200" s="18">
        <f t="shared" si="175"/>
        <v>334903136</v>
      </c>
      <c r="AE200" s="19">
        <f>ABRIL!AG200</f>
        <v>33628958</v>
      </c>
      <c r="AF200" s="364">
        <v>16992601</v>
      </c>
      <c r="AG200" s="18">
        <f t="shared" si="176"/>
        <v>50621559</v>
      </c>
      <c r="AH200" s="19">
        <f t="shared" si="177"/>
        <v>490694654</v>
      </c>
      <c r="AI200" s="15">
        <f t="shared" si="178"/>
        <v>505096864</v>
      </c>
      <c r="AJ200" s="16">
        <f t="shared" si="179"/>
        <v>789378441</v>
      </c>
      <c r="AK200" s="9"/>
      <c r="AL200" s="362">
        <v>0</v>
      </c>
      <c r="AM200" s="365">
        <v>0</v>
      </c>
      <c r="AN200" s="9"/>
    </row>
    <row r="201" spans="1:40" s="372" customFormat="1" ht="24.95" customHeight="1">
      <c r="A201" s="734"/>
      <c r="B201" s="644"/>
      <c r="N201" s="9"/>
      <c r="P201" s="9"/>
      <c r="Q201" s="9"/>
      <c r="R201" s="9"/>
      <c r="S201" s="689" t="str">
        <f>+IF(ABRIL!S201=0,"",ABRIL!S201)</f>
        <v>4100100-4</v>
      </c>
      <c r="T201" s="665" t="str">
        <f>+IF(ABRIL!T201=0,"",ABRIL!T201)</f>
        <v>Material para Odontologia</v>
      </c>
      <c r="U201" s="27">
        <f>+ENERO!U201</f>
        <v>0</v>
      </c>
      <c r="V201" s="15">
        <f>ABRIL!V201+MAYO!AL201</f>
        <v>0</v>
      </c>
      <c r="W201" s="15">
        <f>ABRIL!W201+MAYO!AM201</f>
        <v>0</v>
      </c>
      <c r="X201" s="18">
        <f t="shared" si="173"/>
        <v>0</v>
      </c>
      <c r="Y201" s="19">
        <f>ABRIL!AA201</f>
        <v>0</v>
      </c>
      <c r="Z201" s="364">
        <v>0</v>
      </c>
      <c r="AA201" s="18">
        <f t="shared" si="174"/>
        <v>0</v>
      </c>
      <c r="AB201" s="19">
        <f>ABRIL!AD201</f>
        <v>0</v>
      </c>
      <c r="AC201" s="364">
        <v>0</v>
      </c>
      <c r="AD201" s="18">
        <f t="shared" si="175"/>
        <v>0</v>
      </c>
      <c r="AE201" s="19">
        <f>ABRIL!AG201</f>
        <v>0</v>
      </c>
      <c r="AF201" s="364">
        <v>0</v>
      </c>
      <c r="AG201" s="18">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N202" s="9"/>
      <c r="P202" s="9"/>
      <c r="Q202" s="9"/>
      <c r="R202" s="9"/>
      <c r="S202" s="689" t="str">
        <f>+IF(ABRIL!S202=0,"",ABRIL!S202)</f>
        <v>4100100-5</v>
      </c>
      <c r="T202" s="665" t="str">
        <f>+IF(ABRIL!T202=0,"",ABRIL!T202)</f>
        <v>Material para Rayos X</v>
      </c>
      <c r="U202" s="27">
        <f>+ENERO!U202</f>
        <v>0</v>
      </c>
      <c r="V202" s="15">
        <f>ABRIL!V202+MAYO!AL202</f>
        <v>0</v>
      </c>
      <c r="W202" s="15">
        <f>ABRIL!W202+MAYO!AM202</f>
        <v>0</v>
      </c>
      <c r="X202" s="18">
        <f t="shared" si="173"/>
        <v>0</v>
      </c>
      <c r="Y202" s="19">
        <f>ABRIL!AA202</f>
        <v>0</v>
      </c>
      <c r="Z202" s="364">
        <v>0</v>
      </c>
      <c r="AA202" s="18">
        <f t="shared" si="174"/>
        <v>0</v>
      </c>
      <c r="AB202" s="19">
        <f>ABRIL!AD202</f>
        <v>0</v>
      </c>
      <c r="AC202" s="364">
        <v>0</v>
      </c>
      <c r="AD202" s="18">
        <f t="shared" si="175"/>
        <v>0</v>
      </c>
      <c r="AE202" s="19">
        <f>ABRIL!AG202</f>
        <v>0</v>
      </c>
      <c r="AF202" s="364">
        <v>0</v>
      </c>
      <c r="AG202" s="18">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N203" s="9"/>
      <c r="P203" s="9"/>
      <c r="Q203" s="9"/>
      <c r="R203" s="9"/>
      <c r="S203" s="689" t="str">
        <f>+IF(ABRIL!S203=0,"",ABRIL!S203)</f>
        <v>4100100-6</v>
      </c>
      <c r="T203" s="665" t="str">
        <f>+IF(ABRIL!T203=0,"",ABRIL!T203)</f>
        <v/>
      </c>
      <c r="U203" s="27">
        <f>+ENERO!U203</f>
        <v>0</v>
      </c>
      <c r="V203" s="15">
        <f>ABRIL!V203+MAYO!AL203</f>
        <v>0</v>
      </c>
      <c r="W203" s="15">
        <f>ABRIL!W203+MAYO!AM203</f>
        <v>0</v>
      </c>
      <c r="X203" s="18">
        <f t="shared" si="173"/>
        <v>0</v>
      </c>
      <c r="Y203" s="19">
        <f>ABRIL!AA203</f>
        <v>0</v>
      </c>
      <c r="Z203" s="364">
        <v>0</v>
      </c>
      <c r="AA203" s="18">
        <f t="shared" si="174"/>
        <v>0</v>
      </c>
      <c r="AB203" s="19">
        <f>ABRIL!AD203</f>
        <v>0</v>
      </c>
      <c r="AC203" s="364">
        <v>0</v>
      </c>
      <c r="AD203" s="18">
        <f t="shared" si="175"/>
        <v>0</v>
      </c>
      <c r="AE203" s="19">
        <f>ABRIL!AG203</f>
        <v>0</v>
      </c>
      <c r="AF203" s="364">
        <v>0</v>
      </c>
      <c r="AG203" s="18">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N204" s="9"/>
      <c r="P204" s="9"/>
      <c r="Q204" s="9"/>
      <c r="R204" s="9"/>
      <c r="S204" s="689" t="str">
        <f>+IF(ABRIL!S204=0,"",ABRIL!S204)</f>
        <v>4100100-7</v>
      </c>
      <c r="T204" s="665" t="str">
        <f>+IF(ABRIL!T204=0,"",ABRIL!T204)</f>
        <v/>
      </c>
      <c r="U204" s="27">
        <f>+ENERO!U204</f>
        <v>0</v>
      </c>
      <c r="V204" s="15">
        <f>ABRIL!V204+MAYO!AL204</f>
        <v>0</v>
      </c>
      <c r="W204" s="15">
        <f>ABRIL!W204+MAYO!AM204</f>
        <v>0</v>
      </c>
      <c r="X204" s="18">
        <f t="shared" si="173"/>
        <v>0</v>
      </c>
      <c r="Y204" s="19">
        <f>ABRIL!AA204</f>
        <v>0</v>
      </c>
      <c r="Z204" s="364">
        <v>0</v>
      </c>
      <c r="AA204" s="18">
        <f t="shared" si="174"/>
        <v>0</v>
      </c>
      <c r="AB204" s="19">
        <f>ABRIL!AD204</f>
        <v>0</v>
      </c>
      <c r="AC204" s="364">
        <v>0</v>
      </c>
      <c r="AD204" s="18">
        <f t="shared" si="175"/>
        <v>0</v>
      </c>
      <c r="AE204" s="19">
        <f>ABRIL!AG204</f>
        <v>0</v>
      </c>
      <c r="AF204" s="364">
        <v>0</v>
      </c>
      <c r="AG204" s="18">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N205" s="9"/>
      <c r="P205" s="9"/>
      <c r="Q205" s="9"/>
      <c r="R205" s="9"/>
      <c r="S205" s="688">
        <f>+IF(ABRIL!S205=0,"",ABRIL!S205)</f>
        <v>4100200</v>
      </c>
      <c r="T205" s="664" t="str">
        <f>+IF(ABRIL!T205=0,"",ABRIL!T205)</f>
        <v>Gastos Complementarios e Intermedios</v>
      </c>
      <c r="U205" s="27">
        <f t="shared" ref="U205:AJ205" si="180">U206</f>
        <v>1200000000</v>
      </c>
      <c r="V205" s="15">
        <f t="shared" si="180"/>
        <v>0</v>
      </c>
      <c r="W205" s="15">
        <f t="shared" si="180"/>
        <v>0</v>
      </c>
      <c r="X205" s="18">
        <f t="shared" si="180"/>
        <v>1200000000</v>
      </c>
      <c r="Y205" s="19">
        <f t="shared" si="180"/>
        <v>1150887400</v>
      </c>
      <c r="Z205" s="142">
        <f t="shared" si="180"/>
        <v>816490</v>
      </c>
      <c r="AA205" s="18">
        <f t="shared" si="180"/>
        <v>1151703890</v>
      </c>
      <c r="AB205" s="19">
        <f t="shared" si="180"/>
        <v>375594991</v>
      </c>
      <c r="AC205" s="142">
        <f t="shared" si="180"/>
        <v>816490</v>
      </c>
      <c r="AD205" s="18">
        <f t="shared" si="180"/>
        <v>376411481</v>
      </c>
      <c r="AE205" s="19">
        <f t="shared" si="180"/>
        <v>281598601</v>
      </c>
      <c r="AF205" s="142">
        <f t="shared" si="180"/>
        <v>94812880</v>
      </c>
      <c r="AG205" s="18">
        <f t="shared" si="180"/>
        <v>376411481</v>
      </c>
      <c r="AH205" s="19">
        <f t="shared" si="180"/>
        <v>48296110</v>
      </c>
      <c r="AI205" s="15">
        <f t="shared" si="180"/>
        <v>823588519</v>
      </c>
      <c r="AJ205" s="16">
        <f t="shared" si="180"/>
        <v>823588519</v>
      </c>
      <c r="AK205" s="9"/>
      <c r="AL205" s="29">
        <f>AL206</f>
        <v>0</v>
      </c>
      <c r="AM205" s="26">
        <f>AM206</f>
        <v>0</v>
      </c>
      <c r="AN205" s="9"/>
    </row>
    <row r="206" spans="1:40" s="372" customFormat="1" ht="24.95" customHeight="1">
      <c r="A206" s="734"/>
      <c r="B206" s="644"/>
      <c r="N206" s="9"/>
      <c r="P206" s="9"/>
      <c r="Q206" s="9"/>
      <c r="R206" s="9"/>
      <c r="S206" s="689" t="str">
        <f>+IF(ABRIL!S206=0,"",ABRIL!S206)</f>
        <v>4100200-1</v>
      </c>
      <c r="T206" s="665" t="str">
        <f>+IF(ABRIL!T206=0,"",ABRIL!T206)</f>
        <v>Alimentación</v>
      </c>
      <c r="U206" s="27">
        <f>+ENERO!U206</f>
        <v>1200000000</v>
      </c>
      <c r="V206" s="15">
        <f>ABRIL!V206+MAYO!AL206</f>
        <v>0</v>
      </c>
      <c r="W206" s="15">
        <f>ABRIL!W206+MAYO!AM206</f>
        <v>0</v>
      </c>
      <c r="X206" s="18">
        <f>SUM(U206:W206)</f>
        <v>1200000000</v>
      </c>
      <c r="Y206" s="19">
        <f>ABRIL!AA206</f>
        <v>1150887400</v>
      </c>
      <c r="Z206" s="364">
        <v>816490</v>
      </c>
      <c r="AA206" s="18">
        <f>SUM(Y206:Z206)</f>
        <v>1151703890</v>
      </c>
      <c r="AB206" s="19">
        <f>ABRIL!AD206</f>
        <v>375594991</v>
      </c>
      <c r="AC206" s="364">
        <v>816490</v>
      </c>
      <c r="AD206" s="18">
        <f>SUM(AB206:AC206)</f>
        <v>376411481</v>
      </c>
      <c r="AE206" s="19">
        <f>ABRIL!AG206</f>
        <v>281598601</v>
      </c>
      <c r="AF206" s="364">
        <v>94812880</v>
      </c>
      <c r="AG206" s="18">
        <f>SUM(AE206:AF206)</f>
        <v>376411481</v>
      </c>
      <c r="AH206" s="19">
        <f>X206-AA206</f>
        <v>48296110</v>
      </c>
      <c r="AI206" s="15">
        <f>X206-AD206</f>
        <v>823588519</v>
      </c>
      <c r="AJ206" s="16">
        <f>X206-AG206</f>
        <v>823588519</v>
      </c>
      <c r="AK206" s="9"/>
      <c r="AL206" s="362">
        <v>0</v>
      </c>
      <c r="AM206" s="365">
        <v>0</v>
      </c>
      <c r="AN206" s="9"/>
    </row>
    <row r="207" spans="1:40" s="372" customFormat="1" ht="24.95" customHeight="1" thickBot="1">
      <c r="A207" s="734"/>
      <c r="B207" s="644"/>
      <c r="N207" s="9"/>
      <c r="P207" s="9"/>
      <c r="Q207" s="9"/>
      <c r="R207" s="9"/>
      <c r="S207" s="691">
        <f>+IF(ABRIL!S207=0,"",ABRIL!S207)</f>
        <v>4199999</v>
      </c>
      <c r="T207" s="670" t="str">
        <f>+IF(ABRIL!T207=0,"",ABRIL!T207)</f>
        <v>Vigencias Anteriores</v>
      </c>
      <c r="U207" s="133">
        <f>+ENERO!U207</f>
        <v>998630863</v>
      </c>
      <c r="V207" s="121">
        <f>ABRIL!V207+MAYO!AL207</f>
        <v>10000000</v>
      </c>
      <c r="W207" s="121">
        <f>ABRIL!W207+MAYO!AM207</f>
        <v>4337873994</v>
      </c>
      <c r="X207" s="126">
        <f>SUM(U207:W207)</f>
        <v>5346504857</v>
      </c>
      <c r="Y207" s="124">
        <f>ABRIL!AA207</f>
        <v>4816089210</v>
      </c>
      <c r="Z207" s="378">
        <v>342911154</v>
      </c>
      <c r="AA207" s="126">
        <f>SUM(Y207:Z207)</f>
        <v>5159000364</v>
      </c>
      <c r="AB207" s="124">
        <f>ABRIL!AD207</f>
        <v>4816089210</v>
      </c>
      <c r="AC207" s="378">
        <v>342911154</v>
      </c>
      <c r="AD207" s="126">
        <f>SUM(AB207:AC207)</f>
        <v>5159000364</v>
      </c>
      <c r="AE207" s="124">
        <f>ABRIL!AG207</f>
        <v>4816089210</v>
      </c>
      <c r="AF207" s="378">
        <v>342911154</v>
      </c>
      <c r="AG207" s="126">
        <f>SUM(AE207:AF207)</f>
        <v>5159000364</v>
      </c>
      <c r="AH207" s="124">
        <f>X207-AA207</f>
        <v>187504493</v>
      </c>
      <c r="AI207" s="121">
        <f>X207-AD207</f>
        <v>187504493</v>
      </c>
      <c r="AJ207" s="125">
        <f>X207-AG207</f>
        <v>187504493</v>
      </c>
      <c r="AK207" s="9"/>
      <c r="AL207" s="374">
        <v>0</v>
      </c>
      <c r="AM207" s="379">
        <v>0</v>
      </c>
      <c r="AN207" s="9"/>
    </row>
    <row r="208" spans="1:40" s="372" customFormat="1" ht="24.95" customHeight="1">
      <c r="A208" s="734"/>
      <c r="B208" s="644"/>
      <c r="N208" s="9"/>
      <c r="P208" s="9"/>
      <c r="Q208" s="9"/>
      <c r="R208" s="9"/>
      <c r="S208" s="479" t="str">
        <f>+IF(ABRIL!S208=0,"",ABRIL!S208)</f>
        <v/>
      </c>
      <c r="T208" s="671" t="str">
        <f>+IF(ABRIL!T208=0,"",ABRIL!T208)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+IF(ABRIL!S209=0,"",ABRIL!S209)</f>
        <v>5000000</v>
      </c>
      <c r="T209" s="668" t="s">
        <v>435</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462">
        <f t="shared" si="181"/>
        <v>0</v>
      </c>
      <c r="AE209" s="369">
        <f t="shared" si="181"/>
        <v>0</v>
      </c>
      <c r="AF209" s="461">
        <f t="shared" si="181"/>
        <v>0</v>
      </c>
      <c r="AG209" s="462">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N210" s="9"/>
      <c r="P210" s="9"/>
      <c r="Q210" s="9"/>
      <c r="R210" s="9"/>
      <c r="S210" s="687">
        <f>+IF(ABRIL!S210=0,"",ABRIL!S210)</f>
        <v>5100000</v>
      </c>
      <c r="T210" s="663" t="str">
        <f>+IF(ABRIL!T210=0,"",ABRIL!T210)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29">
        <f t="shared" si="182"/>
        <v>0</v>
      </c>
      <c r="AE210" s="128">
        <f t="shared" si="182"/>
        <v>0</v>
      </c>
      <c r="AF210" s="122">
        <f t="shared" si="182"/>
        <v>0</v>
      </c>
      <c r="AG210" s="129">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N211" s="9"/>
      <c r="P211" s="9"/>
      <c r="Q211" s="9"/>
      <c r="R211" s="9"/>
      <c r="S211" s="688">
        <f>+IF(ABRIL!S211=0,"",ABRIL!S211)</f>
        <v>5100100</v>
      </c>
      <c r="T211" s="664" t="str">
        <f>+IF(ABRIL!T211=0,"",ABRIL!T211)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8">
        <f t="shared" si="183"/>
        <v>0</v>
      </c>
      <c r="AE211" s="19">
        <f t="shared" si="183"/>
        <v>0</v>
      </c>
      <c r="AF211" s="142">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N212" s="9"/>
      <c r="P212" s="9"/>
      <c r="Q212" s="9"/>
      <c r="R212" s="9"/>
      <c r="S212" s="689" t="str">
        <f>+IF(ABRIL!S212=0,"",ABRIL!S212)</f>
        <v>5100100-1</v>
      </c>
      <c r="T212" s="665" t="str">
        <f>+IF(ABRIL!T212=0,"",ABRIL!T212)</f>
        <v>Productos Farmaceuticos</v>
      </c>
      <c r="U212" s="27">
        <f>+ENERO!U212</f>
        <v>0</v>
      </c>
      <c r="V212" s="15">
        <f>ABRIL!V212+MAYO!AL212</f>
        <v>0</v>
      </c>
      <c r="W212" s="15">
        <f>ABRIL!W212+MAYO!AM212</f>
        <v>0</v>
      </c>
      <c r="X212" s="18">
        <f t="shared" ref="X212:X218" si="184">SUM(U212:W212)</f>
        <v>0</v>
      </c>
      <c r="Y212" s="19">
        <f>ABRIL!AA212</f>
        <v>0</v>
      </c>
      <c r="Z212" s="364">
        <v>0</v>
      </c>
      <c r="AA212" s="18">
        <f t="shared" ref="AA212:AA218" si="185">SUM(Y212:Z212)</f>
        <v>0</v>
      </c>
      <c r="AB212" s="19">
        <f>ABRIL!AD212</f>
        <v>0</v>
      </c>
      <c r="AC212" s="364">
        <v>0</v>
      </c>
      <c r="AD212" s="18">
        <f t="shared" ref="AD212:AD218" si="186">SUM(AB212:AC212)</f>
        <v>0</v>
      </c>
      <c r="AE212" s="19">
        <f>ABRIL!AG212</f>
        <v>0</v>
      </c>
      <c r="AF212" s="364">
        <v>0</v>
      </c>
      <c r="AG212" s="1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N213" s="9"/>
      <c r="P213" s="9"/>
      <c r="Q213" s="9"/>
      <c r="R213" s="9"/>
      <c r="S213" s="689" t="str">
        <f>+IF(ABRIL!S213=0,"",ABRIL!S213)</f>
        <v>5100100-2</v>
      </c>
      <c r="T213" s="665" t="str">
        <f>+IF(ABRIL!T213=0,"",ABRIL!T213)</f>
        <v>Material Médico Quirúrgico</v>
      </c>
      <c r="U213" s="27">
        <f>+ENERO!U213</f>
        <v>0</v>
      </c>
      <c r="V213" s="15">
        <f>ABRIL!V213+MAYO!AL213</f>
        <v>0</v>
      </c>
      <c r="W213" s="15">
        <f>ABRIL!W213+MAYO!AM213</f>
        <v>0</v>
      </c>
      <c r="X213" s="18">
        <f t="shared" si="184"/>
        <v>0</v>
      </c>
      <c r="Y213" s="19">
        <f>ABRIL!AA213</f>
        <v>0</v>
      </c>
      <c r="Z213" s="364">
        <v>0</v>
      </c>
      <c r="AA213" s="18">
        <f t="shared" si="185"/>
        <v>0</v>
      </c>
      <c r="AB213" s="19">
        <f>ABRIL!AD213</f>
        <v>0</v>
      </c>
      <c r="AC213" s="364">
        <v>0</v>
      </c>
      <c r="AD213" s="18">
        <f t="shared" si="186"/>
        <v>0</v>
      </c>
      <c r="AE213" s="19">
        <f>ABRIL!AG213</f>
        <v>0</v>
      </c>
      <c r="AF213" s="364">
        <v>0</v>
      </c>
      <c r="AG213" s="18">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N214" s="9"/>
      <c r="P214" s="9"/>
      <c r="Q214" s="9"/>
      <c r="R214" s="9"/>
      <c r="S214" s="689" t="str">
        <f>+IF(ABRIL!S214=0,"",ABRIL!S214)</f>
        <v>5100100-3</v>
      </c>
      <c r="T214" s="665" t="str">
        <f>+IF(ABRIL!T214=0,"",ABRIL!T214)</f>
        <v>Material de Laboratorio</v>
      </c>
      <c r="U214" s="27">
        <f>+ENERO!U214</f>
        <v>0</v>
      </c>
      <c r="V214" s="15">
        <f>ABRIL!V214+MAYO!AL214</f>
        <v>0</v>
      </c>
      <c r="W214" s="15">
        <f>ABRIL!W214+MAYO!AM214</f>
        <v>0</v>
      </c>
      <c r="X214" s="18">
        <f t="shared" si="184"/>
        <v>0</v>
      </c>
      <c r="Y214" s="19">
        <f>ABRIL!AA214</f>
        <v>0</v>
      </c>
      <c r="Z214" s="364">
        <v>0</v>
      </c>
      <c r="AA214" s="18">
        <f t="shared" si="185"/>
        <v>0</v>
      </c>
      <c r="AB214" s="19">
        <f>ABRIL!AD214</f>
        <v>0</v>
      </c>
      <c r="AC214" s="364">
        <v>0</v>
      </c>
      <c r="AD214" s="18">
        <f t="shared" si="186"/>
        <v>0</v>
      </c>
      <c r="AE214" s="19">
        <f>ABRIL!AG214</f>
        <v>0</v>
      </c>
      <c r="AF214" s="364">
        <v>0</v>
      </c>
      <c r="AG214" s="18">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N215" s="9"/>
      <c r="P215" s="9"/>
      <c r="Q215" s="9"/>
      <c r="R215" s="9"/>
      <c r="S215" s="689" t="str">
        <f>+IF(ABRIL!S215=0,"",ABRIL!S215)</f>
        <v>5100100-4</v>
      </c>
      <c r="T215" s="665" t="str">
        <f>+IF(ABRIL!T215=0,"",ABRIL!T215)</f>
        <v>Material para Odontologia</v>
      </c>
      <c r="U215" s="27">
        <f>+ENERO!U215</f>
        <v>0</v>
      </c>
      <c r="V215" s="15">
        <f>ABRIL!V215+MAYO!AL215</f>
        <v>0</v>
      </c>
      <c r="W215" s="15">
        <f>ABRIL!W215+MAYO!AM215</f>
        <v>0</v>
      </c>
      <c r="X215" s="18">
        <f t="shared" si="184"/>
        <v>0</v>
      </c>
      <c r="Y215" s="19">
        <f>ABRIL!AA215</f>
        <v>0</v>
      </c>
      <c r="Z215" s="364">
        <v>0</v>
      </c>
      <c r="AA215" s="18">
        <f t="shared" si="185"/>
        <v>0</v>
      </c>
      <c r="AB215" s="19">
        <f>ABRIL!AD215</f>
        <v>0</v>
      </c>
      <c r="AC215" s="364">
        <v>0</v>
      </c>
      <c r="AD215" s="18">
        <f t="shared" si="186"/>
        <v>0</v>
      </c>
      <c r="AE215" s="19">
        <f>ABRIL!AG215</f>
        <v>0</v>
      </c>
      <c r="AF215" s="364">
        <v>0</v>
      </c>
      <c r="AG215" s="18">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N216" s="9"/>
      <c r="P216" s="9"/>
      <c r="Q216" s="9"/>
      <c r="R216" s="9"/>
      <c r="S216" s="689" t="str">
        <f>+IF(ABRIL!S216=0,"",ABRIL!S216)</f>
        <v>5100100-5</v>
      </c>
      <c r="T216" s="665" t="str">
        <f>+IF(ABRIL!T216=0,"",ABRIL!T216)</f>
        <v>Material para Rayos X</v>
      </c>
      <c r="U216" s="27">
        <f>+ENERO!U216</f>
        <v>0</v>
      </c>
      <c r="V216" s="15">
        <f>ABRIL!V216+MAYO!AL216</f>
        <v>0</v>
      </c>
      <c r="W216" s="15">
        <f>ABRIL!W216+MAYO!AM216</f>
        <v>0</v>
      </c>
      <c r="X216" s="18">
        <f t="shared" si="184"/>
        <v>0</v>
      </c>
      <c r="Y216" s="19">
        <f>ABRIL!AA216</f>
        <v>0</v>
      </c>
      <c r="Z216" s="364">
        <v>0</v>
      </c>
      <c r="AA216" s="18">
        <f t="shared" si="185"/>
        <v>0</v>
      </c>
      <c r="AB216" s="19">
        <f>ABRIL!AD216</f>
        <v>0</v>
      </c>
      <c r="AC216" s="364">
        <v>0</v>
      </c>
      <c r="AD216" s="18">
        <f t="shared" si="186"/>
        <v>0</v>
      </c>
      <c r="AE216" s="19">
        <f>ABRIL!AG216</f>
        <v>0</v>
      </c>
      <c r="AF216" s="364">
        <v>0</v>
      </c>
      <c r="AG216" s="18">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N217" s="9"/>
      <c r="P217" s="9"/>
      <c r="Q217" s="9"/>
      <c r="R217" s="9"/>
      <c r="S217" s="689" t="str">
        <f>+IF(ABRIL!S217=0,"",ABRIL!S217)</f>
        <v>5100100-6</v>
      </c>
      <c r="T217" s="665" t="str">
        <f>+IF(ABRIL!T217=0,"",ABRIL!T217)</f>
        <v>Material aseo personal, etc.</v>
      </c>
      <c r="U217" s="27">
        <f>+ENERO!U217</f>
        <v>0</v>
      </c>
      <c r="V217" s="15">
        <f>ABRIL!V217+MAYO!AL217</f>
        <v>0</v>
      </c>
      <c r="W217" s="15">
        <f>ABRIL!W217+MAYO!AM217</f>
        <v>0</v>
      </c>
      <c r="X217" s="18">
        <f t="shared" si="184"/>
        <v>0</v>
      </c>
      <c r="Y217" s="19">
        <f>ABRIL!AA217</f>
        <v>0</v>
      </c>
      <c r="Z217" s="364">
        <v>0</v>
      </c>
      <c r="AA217" s="18">
        <f t="shared" si="185"/>
        <v>0</v>
      </c>
      <c r="AB217" s="19">
        <f>ABRIL!AD217</f>
        <v>0</v>
      </c>
      <c r="AC217" s="364">
        <v>0</v>
      </c>
      <c r="AD217" s="18">
        <f t="shared" si="186"/>
        <v>0</v>
      </c>
      <c r="AE217" s="19">
        <f>ABRIL!AG217</f>
        <v>0</v>
      </c>
      <c r="AF217" s="364">
        <v>0</v>
      </c>
      <c r="AG217" s="18">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N218" s="9"/>
      <c r="P218" s="9"/>
      <c r="Q218" s="9"/>
      <c r="R218" s="9"/>
      <c r="S218" s="698">
        <f>+IF(ABRIL!S218=0,"",ABRIL!S218)</f>
        <v>5199999</v>
      </c>
      <c r="T218" s="680" t="str">
        <f>+IF(ABRIL!T218=0,"",ABRIL!T218)</f>
        <v>Vigencias Anteriores</v>
      </c>
      <c r="U218" s="133">
        <f>+ENERO!U218</f>
        <v>0</v>
      </c>
      <c r="V218" s="121">
        <f>ABRIL!V218+MAYO!AL218</f>
        <v>0</v>
      </c>
      <c r="W218" s="121">
        <f>ABRIL!W218+MAYO!AM218</f>
        <v>0</v>
      </c>
      <c r="X218" s="126">
        <f t="shared" si="184"/>
        <v>0</v>
      </c>
      <c r="Y218" s="124">
        <f>ABRIL!AA218</f>
        <v>0</v>
      </c>
      <c r="Z218" s="378">
        <v>0</v>
      </c>
      <c r="AA218" s="126">
        <f t="shared" si="185"/>
        <v>0</v>
      </c>
      <c r="AB218" s="124">
        <f>ABRIL!AD218</f>
        <v>0</v>
      </c>
      <c r="AC218" s="378">
        <v>0</v>
      </c>
      <c r="AD218" s="126">
        <f t="shared" si="186"/>
        <v>0</v>
      </c>
      <c r="AE218" s="124">
        <f>ABRIL!AG218</f>
        <v>0</v>
      </c>
      <c r="AF218" s="378">
        <v>0</v>
      </c>
      <c r="AG218" s="126">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N219" s="9"/>
      <c r="P219" s="9"/>
      <c r="Q219" s="9"/>
      <c r="R219" s="9"/>
      <c r="S219" s="485" t="str">
        <f>+IF(ABRIL!S219=0,"",ABRIL!S219)</f>
        <v/>
      </c>
      <c r="T219" s="677" t="str">
        <f>+IF(ABRIL!T219=0,"",ABRIL!T219)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+IF(ABRIL!S220=0,"",ABRIL!S220)</f>
        <v>C</v>
      </c>
      <c r="T220" s="659" t="str">
        <f>+IF(ABRIL!T220=0,"",ABRIL!T220)</f>
        <v xml:space="preserve">SERVICIO DE LA DEUDA </v>
      </c>
      <c r="U220" s="348">
        <f t="shared" ref="U220:AJ220" si="191">U222+U227</f>
        <v>262344980</v>
      </c>
      <c r="V220" s="349">
        <f t="shared" si="191"/>
        <v>0</v>
      </c>
      <c r="W220" s="349">
        <f t="shared" si="191"/>
        <v>27000000</v>
      </c>
      <c r="X220" s="352">
        <f t="shared" si="191"/>
        <v>289344980</v>
      </c>
      <c r="Y220" s="351">
        <f t="shared" si="191"/>
        <v>130064037</v>
      </c>
      <c r="Z220" s="349">
        <f t="shared" si="191"/>
        <v>25585532</v>
      </c>
      <c r="AA220" s="352">
        <f t="shared" si="191"/>
        <v>155649569</v>
      </c>
      <c r="AB220" s="351">
        <f t="shared" si="191"/>
        <v>130064037</v>
      </c>
      <c r="AC220" s="349">
        <f t="shared" si="191"/>
        <v>25585532</v>
      </c>
      <c r="AD220" s="352">
        <f t="shared" si="191"/>
        <v>155649569</v>
      </c>
      <c r="AE220" s="351">
        <f t="shared" si="191"/>
        <v>104229891</v>
      </c>
      <c r="AF220" s="349">
        <f t="shared" si="191"/>
        <v>25834146</v>
      </c>
      <c r="AG220" s="352">
        <f t="shared" si="191"/>
        <v>130064037</v>
      </c>
      <c r="AH220" s="351">
        <f t="shared" si="191"/>
        <v>133695411</v>
      </c>
      <c r="AI220" s="349">
        <f t="shared" si="191"/>
        <v>133695411</v>
      </c>
      <c r="AJ220" s="350">
        <f t="shared" si="191"/>
        <v>159280943</v>
      </c>
      <c r="AK220" s="490"/>
      <c r="AL220" s="351">
        <f>AL222+AL227</f>
        <v>0</v>
      </c>
      <c r="AM220" s="350">
        <f>AM222+AM227</f>
        <v>0</v>
      </c>
      <c r="AN220" s="9"/>
    </row>
    <row r="221" spans="1:40" s="372" customFormat="1" ht="24.95" customHeight="1">
      <c r="A221" s="734"/>
      <c r="B221" s="644"/>
      <c r="N221" s="9"/>
      <c r="P221" s="9"/>
      <c r="Q221" s="9"/>
      <c r="R221" s="9"/>
      <c r="S221" s="356" t="str">
        <f>+IF(ABRIL!S221=0,"",ABRIL!S221)</f>
        <v/>
      </c>
      <c r="T221" s="678" t="str">
        <f>+IF(ABRIL!T221=0,"",ABRIL!T221)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+IF(ABRIL!S222=0,"",ABRIL!S222)</f>
        <v>7001000</v>
      </c>
      <c r="T222" s="663" t="str">
        <f>+IF(ABRIL!T222=0,"",ABRIL!T222)</f>
        <v>SERVICIO DE LA DEUDA INTERNA</v>
      </c>
      <c r="U222" s="132">
        <f t="shared" ref="U222:AJ222" si="192">SUM(U223:U225)</f>
        <v>262344980</v>
      </c>
      <c r="V222" s="122">
        <f t="shared" si="192"/>
        <v>0</v>
      </c>
      <c r="W222" s="122">
        <f t="shared" si="192"/>
        <v>27000000</v>
      </c>
      <c r="X222" s="129">
        <f t="shared" si="192"/>
        <v>289344980</v>
      </c>
      <c r="Y222" s="128">
        <f t="shared" si="192"/>
        <v>130064037</v>
      </c>
      <c r="Z222" s="122">
        <f t="shared" si="192"/>
        <v>25585532</v>
      </c>
      <c r="AA222" s="129">
        <f t="shared" si="192"/>
        <v>155649569</v>
      </c>
      <c r="AB222" s="128">
        <f t="shared" si="192"/>
        <v>130064037</v>
      </c>
      <c r="AC222" s="122">
        <f t="shared" si="192"/>
        <v>25585532</v>
      </c>
      <c r="AD222" s="129">
        <f t="shared" si="192"/>
        <v>155649569</v>
      </c>
      <c r="AE222" s="128">
        <f t="shared" si="192"/>
        <v>104229891</v>
      </c>
      <c r="AF222" s="122">
        <f t="shared" si="192"/>
        <v>25834146</v>
      </c>
      <c r="AG222" s="129">
        <f t="shared" si="192"/>
        <v>130064037</v>
      </c>
      <c r="AH222" s="128">
        <f t="shared" si="192"/>
        <v>133695411</v>
      </c>
      <c r="AI222" s="122">
        <f t="shared" si="192"/>
        <v>133695411</v>
      </c>
      <c r="AJ222" s="130">
        <f t="shared" si="192"/>
        <v>159280943</v>
      </c>
      <c r="AK222" s="9"/>
      <c r="AL222" s="128">
        <f>SUM(AL223:AL225)</f>
        <v>0</v>
      </c>
      <c r="AM222" s="130">
        <f>SUM(AM223:AM225)</f>
        <v>0</v>
      </c>
      <c r="AN222" s="9"/>
    </row>
    <row r="223" spans="1:40" s="372" customFormat="1" ht="24.95" customHeight="1">
      <c r="A223" s="734"/>
      <c r="B223" s="644"/>
      <c r="N223" s="9"/>
      <c r="P223" s="9"/>
      <c r="Q223" s="9"/>
      <c r="R223" s="9"/>
      <c r="S223" s="688">
        <f>+IF(ABRIL!S223=0,"",ABRIL!S223)</f>
        <v>7001100</v>
      </c>
      <c r="T223" s="664" t="str">
        <f>+IF(ABRIL!T223=0,"",ABRIL!T223)</f>
        <v>Amortización deuda Pública Interna</v>
      </c>
      <c r="U223" s="27">
        <f>+ENERO!U223</f>
        <v>250000000</v>
      </c>
      <c r="V223" s="15">
        <f>ABRIL!V223+MAYO!AL223</f>
        <v>0</v>
      </c>
      <c r="W223" s="15">
        <f>ABRIL!W223+MAYO!AM223</f>
        <v>0</v>
      </c>
      <c r="X223" s="18">
        <f>SUM(U223:W223)</f>
        <v>250000000</v>
      </c>
      <c r="Y223" s="19">
        <f>ABRIL!AA223</f>
        <v>100000000</v>
      </c>
      <c r="Z223" s="364">
        <v>25000000</v>
      </c>
      <c r="AA223" s="18">
        <f>SUM(Y223:Z223)</f>
        <v>125000000</v>
      </c>
      <c r="AB223" s="19">
        <f>ABRIL!AD223</f>
        <v>100000000</v>
      </c>
      <c r="AC223" s="364">
        <v>25000000</v>
      </c>
      <c r="AD223" s="18">
        <f>SUM(AB223:AC223)</f>
        <v>125000000</v>
      </c>
      <c r="AE223" s="19">
        <f>ABRIL!AG223</f>
        <v>75000000</v>
      </c>
      <c r="AF223" s="364">
        <v>25000000</v>
      </c>
      <c r="AG223" s="18">
        <f>SUM(AE223:AF223)</f>
        <v>100000000</v>
      </c>
      <c r="AH223" s="19">
        <f>X223-AA223</f>
        <v>125000000</v>
      </c>
      <c r="AI223" s="15">
        <f>X223-AD223</f>
        <v>125000000</v>
      </c>
      <c r="AJ223" s="16">
        <f>X223-AG223</f>
        <v>150000000</v>
      </c>
      <c r="AK223" s="9"/>
      <c r="AL223" s="362">
        <v>0</v>
      </c>
      <c r="AM223" s="365">
        <v>0</v>
      </c>
      <c r="AN223" s="9"/>
    </row>
    <row r="224" spans="1:40" s="372" customFormat="1" ht="24.95" customHeight="1">
      <c r="A224" s="734"/>
      <c r="B224" s="644"/>
      <c r="N224" s="9"/>
      <c r="P224" s="9"/>
      <c r="Q224" s="9"/>
      <c r="R224" s="9"/>
      <c r="S224" s="688">
        <f>+IF(ABRIL!S224=0,"",ABRIL!S224)</f>
        <v>7001200</v>
      </c>
      <c r="T224" s="664" t="str">
        <f>+IF(ABRIL!T224=0,"",ABRIL!T224)</f>
        <v>Intereses Comisiones y gastos de la Deuda Pública</v>
      </c>
      <c r="U224" s="27">
        <f>+ENERO!U224</f>
        <v>12344980</v>
      </c>
      <c r="V224" s="15">
        <f>ABRIL!V224+MAYO!AL224</f>
        <v>0</v>
      </c>
      <c r="W224" s="15">
        <f>ABRIL!W224+MAYO!AM224</f>
        <v>0</v>
      </c>
      <c r="X224" s="18">
        <f>SUM(U224:W224)</f>
        <v>12344980</v>
      </c>
      <c r="Y224" s="19">
        <f>ABRIL!AA224</f>
        <v>3791383</v>
      </c>
      <c r="Z224" s="364">
        <v>585532</v>
      </c>
      <c r="AA224" s="18">
        <f>SUM(Y224:Z224)</f>
        <v>4376915</v>
      </c>
      <c r="AB224" s="19">
        <f>ABRIL!AD224</f>
        <v>3791383</v>
      </c>
      <c r="AC224" s="364">
        <v>585532</v>
      </c>
      <c r="AD224" s="18">
        <f>SUM(AB224:AC224)</f>
        <v>4376915</v>
      </c>
      <c r="AE224" s="19">
        <f>ABRIL!AG224</f>
        <v>2957237</v>
      </c>
      <c r="AF224" s="364">
        <v>834146</v>
      </c>
      <c r="AG224" s="18">
        <f>SUM(AE224:AF224)</f>
        <v>3791383</v>
      </c>
      <c r="AH224" s="19">
        <f>X224-AA224</f>
        <v>7968065</v>
      </c>
      <c r="AI224" s="15">
        <f>X224-AD224</f>
        <v>7968065</v>
      </c>
      <c r="AJ224" s="16">
        <f>X224-AG224</f>
        <v>8553597</v>
      </c>
      <c r="AK224" s="9"/>
      <c r="AL224" s="362">
        <v>0</v>
      </c>
      <c r="AM224" s="365">
        <v>0</v>
      </c>
      <c r="AN224" s="9"/>
    </row>
    <row r="225" spans="1:64" s="372" customFormat="1" ht="24.95" customHeight="1">
      <c r="A225" s="734"/>
      <c r="B225" s="644"/>
      <c r="N225" s="9"/>
      <c r="P225" s="9"/>
      <c r="Q225" s="9"/>
      <c r="R225" s="9"/>
      <c r="S225" s="688">
        <f>+IF(ABRIL!S225=0,"",ABRIL!S225)</f>
        <v>7001999</v>
      </c>
      <c r="T225" s="664" t="str">
        <f>+IF(ABRIL!T225=0,"",ABRIL!T225)</f>
        <v>Vigencias Anteriores</v>
      </c>
      <c r="U225" s="27">
        <f>+ENERO!U225</f>
        <v>0</v>
      </c>
      <c r="V225" s="15">
        <f>ABRIL!V225+MAYO!AL225</f>
        <v>0</v>
      </c>
      <c r="W225" s="15">
        <f>ABRIL!W225+MAYO!AM225</f>
        <v>27000000</v>
      </c>
      <c r="X225" s="18">
        <f>SUM(U225:W225)</f>
        <v>27000000</v>
      </c>
      <c r="Y225" s="19">
        <f>ABRIL!AA225</f>
        <v>26272654</v>
      </c>
      <c r="Z225" s="364">
        <v>0</v>
      </c>
      <c r="AA225" s="18">
        <f>SUM(Y225:Z225)</f>
        <v>26272654</v>
      </c>
      <c r="AB225" s="19">
        <f>ABRIL!AD225</f>
        <v>26272654</v>
      </c>
      <c r="AC225" s="364">
        <v>0</v>
      </c>
      <c r="AD225" s="18">
        <f>SUM(AB225:AC225)</f>
        <v>26272654</v>
      </c>
      <c r="AE225" s="19">
        <f>ABRIL!AG225</f>
        <v>26272654</v>
      </c>
      <c r="AF225" s="364">
        <v>0</v>
      </c>
      <c r="AG225" s="18">
        <f>SUM(AE225:AF225)</f>
        <v>26272654</v>
      </c>
      <c r="AH225" s="19">
        <f>X225-AA225</f>
        <v>727346</v>
      </c>
      <c r="AI225" s="15">
        <f>X225-AD225</f>
        <v>727346</v>
      </c>
      <c r="AJ225" s="16">
        <f>X225-AG225</f>
        <v>727346</v>
      </c>
      <c r="AK225" s="9"/>
      <c r="AL225" s="362">
        <v>0</v>
      </c>
      <c r="AM225" s="365">
        <v>0</v>
      </c>
      <c r="AN225" s="9"/>
    </row>
    <row r="226" spans="1:64" s="372" customFormat="1" ht="24.95" customHeight="1">
      <c r="A226" s="734"/>
      <c r="B226" s="644"/>
      <c r="N226" s="9"/>
      <c r="P226" s="9"/>
      <c r="Q226" s="9"/>
      <c r="R226" s="9"/>
      <c r="S226" s="356" t="str">
        <f>+IF(ABRIL!S226=0,"",ABRIL!S226)</f>
        <v/>
      </c>
      <c r="T226" s="678" t="str">
        <f>+IF(ABRIL!T226=0,"",ABRIL!T226)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+IF(ABRIL!S227=0,"",ABRIL!S227)</f>
        <v>7002001</v>
      </c>
      <c r="T227" s="663" t="str">
        <f>+IF(ABRIL!T227=0,"",ABRIL!T227)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row>
    <row r="228" spans="1:64" s="372" customFormat="1" ht="24.95" customHeight="1">
      <c r="A228" s="734"/>
      <c r="B228" s="644"/>
      <c r="N228" s="9"/>
      <c r="P228" s="9"/>
      <c r="Q228" s="9"/>
      <c r="R228" s="9"/>
      <c r="S228" s="688">
        <f>+IF(ABRIL!S228=0,"",ABRIL!S228)</f>
        <v>7002100</v>
      </c>
      <c r="T228" s="664" t="str">
        <f>+IF(ABRIL!T228=0,"",ABRIL!T228)</f>
        <v>Amortización deuda Pública Externa</v>
      </c>
      <c r="U228" s="27">
        <f>+ENERO!U228</f>
        <v>0</v>
      </c>
      <c r="V228" s="15">
        <f>ABRIL!V228+MAYO!AL228</f>
        <v>0</v>
      </c>
      <c r="W228" s="15">
        <f>ABRIL!W228+MAYO!AM228</f>
        <v>0</v>
      </c>
      <c r="X228" s="18">
        <f>SUM(U228:W228)</f>
        <v>0</v>
      </c>
      <c r="Y228" s="19">
        <f>ABRIL!AA228</f>
        <v>0</v>
      </c>
      <c r="Z228" s="364">
        <v>0</v>
      </c>
      <c r="AA228" s="18">
        <f>SUM(Y228:Z228)</f>
        <v>0</v>
      </c>
      <c r="AB228" s="19">
        <f>ABRIL!AD228</f>
        <v>0</v>
      </c>
      <c r="AC228" s="364">
        <v>0</v>
      </c>
      <c r="AD228" s="18">
        <f>SUM(AB228:AC228)</f>
        <v>0</v>
      </c>
      <c r="AE228" s="19">
        <f>ABRIL!AG228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+IF(ABRIL!S229=0,"",ABRIL!S229)</f>
        <v>7002200</v>
      </c>
      <c r="T229" s="664" t="str">
        <f>+IF(ABRIL!T229=0,"",ABRIL!T229)</f>
        <v>Intereses Comisiones y gastos de la Deuda Pública</v>
      </c>
      <c r="U229" s="27">
        <f>+ENERO!U229</f>
        <v>0</v>
      </c>
      <c r="V229" s="15">
        <f>ABRIL!V229+MAYO!AL229</f>
        <v>0</v>
      </c>
      <c r="W229" s="15">
        <f>ABRIL!W229+MAYO!AM229</f>
        <v>0</v>
      </c>
      <c r="X229" s="18">
        <f>SUM(U229:W229)</f>
        <v>0</v>
      </c>
      <c r="Y229" s="19">
        <f>ABRIL!AA229</f>
        <v>0</v>
      </c>
      <c r="Z229" s="364">
        <v>0</v>
      </c>
      <c r="AA229" s="18">
        <f>SUM(Y229:Z229)</f>
        <v>0</v>
      </c>
      <c r="AB229" s="19">
        <f>ABRIL!AD229</f>
        <v>0</v>
      </c>
      <c r="AC229" s="364">
        <v>0</v>
      </c>
      <c r="AD229" s="18">
        <f>SUM(AB229:AC229)</f>
        <v>0</v>
      </c>
      <c r="AE229" s="19">
        <f>ABRIL!AG229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+IF(ABRIL!S230=0,"",ABRIL!S230)</f>
        <v>7002999</v>
      </c>
      <c r="T230" s="670" t="str">
        <f>+IF(ABRIL!T230=0,"",ABRIL!T230)</f>
        <v>Vigencias Anteriores</v>
      </c>
      <c r="U230" s="133">
        <f>+ENERO!U230</f>
        <v>0</v>
      </c>
      <c r="V230" s="121">
        <f>ABRIL!V230+MAYO!AL230</f>
        <v>0</v>
      </c>
      <c r="W230" s="121">
        <f>ABRIL!W230+MAYO!AM230</f>
        <v>0</v>
      </c>
      <c r="X230" s="126">
        <f>SUM(U230:W230)</f>
        <v>0</v>
      </c>
      <c r="Y230" s="124">
        <f>ABRIL!AA230</f>
        <v>0</v>
      </c>
      <c r="Z230" s="378">
        <v>0</v>
      </c>
      <c r="AA230" s="126">
        <f>SUM(Y230:Z230)</f>
        <v>0</v>
      </c>
      <c r="AB230" s="124">
        <f>ABRIL!AD230</f>
        <v>0</v>
      </c>
      <c r="AC230" s="378">
        <v>0</v>
      </c>
      <c r="AD230" s="126">
        <f>SUM(AB230:AC230)</f>
        <v>0</v>
      </c>
      <c r="AE230" s="124">
        <f>ABRIL!AG230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+IF(ABRIL!S231=0,"",ABRIL!S231)</f>
        <v/>
      </c>
      <c r="T231" s="671" t="str">
        <f>+IF(ABRIL!T231=0,"",ABRIL!T231)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+IF(ABRIL!S232=0,"",ABRIL!S232)</f>
        <v>D</v>
      </c>
      <c r="T232" s="679" t="str">
        <f>+IF(ABRIL!T232=0,"",ABRIL!T232)</f>
        <v>INVERSION</v>
      </c>
      <c r="U232" s="460">
        <f>U234+U243</f>
        <v>5765730053</v>
      </c>
      <c r="V232" s="461">
        <f t="shared" ref="V232:AJ232" si="194">V234+V243</f>
        <v>0</v>
      </c>
      <c r="W232" s="461">
        <f t="shared" si="194"/>
        <v>26572523310</v>
      </c>
      <c r="X232" s="462">
        <f t="shared" si="194"/>
        <v>32338253363</v>
      </c>
      <c r="Y232" s="369">
        <f t="shared" si="194"/>
        <v>10985518673</v>
      </c>
      <c r="Z232" s="461">
        <f t="shared" si="194"/>
        <v>462329812</v>
      </c>
      <c r="AA232" s="462">
        <f t="shared" si="194"/>
        <v>11447848485</v>
      </c>
      <c r="AB232" s="369">
        <f t="shared" si="194"/>
        <v>4834650111</v>
      </c>
      <c r="AC232" s="461">
        <f t="shared" si="194"/>
        <v>2679394882</v>
      </c>
      <c r="AD232" s="462">
        <f t="shared" si="194"/>
        <v>7514044993</v>
      </c>
      <c r="AE232" s="369">
        <f t="shared" si="194"/>
        <v>3986376812</v>
      </c>
      <c r="AF232" s="461">
        <f t="shared" si="194"/>
        <v>2340642343</v>
      </c>
      <c r="AG232" s="462">
        <f t="shared" si="194"/>
        <v>6327019155</v>
      </c>
      <c r="AH232" s="369">
        <f t="shared" si="194"/>
        <v>20890404878</v>
      </c>
      <c r="AI232" s="461">
        <f t="shared" si="194"/>
        <v>24824208370</v>
      </c>
      <c r="AJ232" s="370">
        <f t="shared" si="194"/>
        <v>26011234208</v>
      </c>
      <c r="AK232" s="490"/>
      <c r="AL232" s="369">
        <f>AL234+AL243</f>
        <v>0</v>
      </c>
      <c r="AM232" s="370">
        <f>AM234+AM243</f>
        <v>8000000000</v>
      </c>
      <c r="AN232" s="9"/>
    </row>
    <row r="233" spans="1:64" s="372" customFormat="1" ht="24.95" customHeight="1">
      <c r="A233" s="734"/>
      <c r="B233" s="644"/>
      <c r="N233" s="9"/>
      <c r="P233" s="9"/>
      <c r="Q233" s="9"/>
      <c r="R233" s="9"/>
      <c r="S233" s="356" t="str">
        <f>+IF(ABRIL!S233=0,"",ABRIL!S233)</f>
        <v/>
      </c>
      <c r="T233" s="678" t="str">
        <f>+IF(ABRIL!T233=0,"",ABRIL!T233)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+IF(ABRIL!S234=0,"",ABRIL!S234)</f>
        <v>8000000</v>
      </c>
      <c r="T234" s="663" t="str">
        <f>+IF(ABRIL!T234=0,"",ABRIL!T234)</f>
        <v>Programas de Inversión</v>
      </c>
      <c r="U234" s="132">
        <f>U235</f>
        <v>5265730053</v>
      </c>
      <c r="V234" s="122">
        <f t="shared" ref="V234:AJ234" si="195">V235</f>
        <v>0</v>
      </c>
      <c r="W234" s="122">
        <f t="shared" si="195"/>
        <v>13752626782</v>
      </c>
      <c r="X234" s="129">
        <f t="shared" si="195"/>
        <v>19018356835</v>
      </c>
      <c r="Y234" s="128">
        <f t="shared" si="195"/>
        <v>6131575665</v>
      </c>
      <c r="Z234" s="122">
        <f t="shared" si="195"/>
        <v>-1833333</v>
      </c>
      <c r="AA234" s="129">
        <f t="shared" si="195"/>
        <v>6129742332</v>
      </c>
      <c r="AB234" s="128">
        <f t="shared" si="195"/>
        <v>1808367946</v>
      </c>
      <c r="AC234" s="122">
        <f t="shared" si="195"/>
        <v>2127048635</v>
      </c>
      <c r="AD234" s="129">
        <f t="shared" si="195"/>
        <v>3935416581</v>
      </c>
      <c r="AE234" s="128">
        <f t="shared" si="195"/>
        <v>1755313934</v>
      </c>
      <c r="AF234" s="122">
        <f t="shared" si="195"/>
        <v>1816466311</v>
      </c>
      <c r="AG234" s="129">
        <f t="shared" si="195"/>
        <v>3571780245</v>
      </c>
      <c r="AH234" s="128">
        <f t="shared" si="195"/>
        <v>12888614503</v>
      </c>
      <c r="AI234" s="122">
        <f t="shared" si="195"/>
        <v>15082940254</v>
      </c>
      <c r="AJ234" s="130">
        <f t="shared" si="195"/>
        <v>15446576590</v>
      </c>
      <c r="AK234" s="9"/>
      <c r="AL234" s="128">
        <f>AL235</f>
        <v>0</v>
      </c>
      <c r="AM234" s="130">
        <f>AM235</f>
        <v>8000000000</v>
      </c>
      <c r="AN234" s="9"/>
    </row>
    <row r="235" spans="1:64" s="372" customFormat="1" ht="24.95" customHeight="1">
      <c r="A235" s="734"/>
      <c r="B235" s="644"/>
      <c r="N235" s="9"/>
      <c r="P235" s="9"/>
      <c r="Q235" s="9"/>
      <c r="R235" s="9"/>
      <c r="S235" s="688">
        <f>+IF(ABRIL!S235=0,"",ABRIL!S235)</f>
        <v>8001000</v>
      </c>
      <c r="T235" s="664" t="str">
        <f>+IF(ABRIL!T235=0,"",ABRIL!T235)</f>
        <v>Formación Bruta del Capital</v>
      </c>
      <c r="U235" s="27">
        <f t="shared" ref="U235:AJ235" si="196">SUM(U236:U241)</f>
        <v>5265730053</v>
      </c>
      <c r="V235" s="15">
        <f t="shared" si="196"/>
        <v>0</v>
      </c>
      <c r="W235" s="15">
        <f t="shared" si="196"/>
        <v>13752626782</v>
      </c>
      <c r="X235" s="18">
        <f t="shared" si="196"/>
        <v>19018356835</v>
      </c>
      <c r="Y235" s="19">
        <f t="shared" si="196"/>
        <v>6131575665</v>
      </c>
      <c r="Z235" s="142">
        <f t="shared" si="196"/>
        <v>-1833333</v>
      </c>
      <c r="AA235" s="18">
        <f t="shared" si="196"/>
        <v>6129742332</v>
      </c>
      <c r="AB235" s="19">
        <f t="shared" si="196"/>
        <v>1808367946</v>
      </c>
      <c r="AC235" s="142">
        <f t="shared" si="196"/>
        <v>2127048635</v>
      </c>
      <c r="AD235" s="18">
        <f t="shared" si="196"/>
        <v>3935416581</v>
      </c>
      <c r="AE235" s="19">
        <f t="shared" si="196"/>
        <v>1755313934</v>
      </c>
      <c r="AF235" s="142">
        <f t="shared" si="196"/>
        <v>1816466311</v>
      </c>
      <c r="AG235" s="18">
        <f t="shared" si="196"/>
        <v>3571780245</v>
      </c>
      <c r="AH235" s="19">
        <f t="shared" si="196"/>
        <v>12888614503</v>
      </c>
      <c r="AI235" s="15">
        <f t="shared" si="196"/>
        <v>15082940254</v>
      </c>
      <c r="AJ235" s="16">
        <f t="shared" si="196"/>
        <v>15446576590</v>
      </c>
      <c r="AK235" s="9"/>
      <c r="AL235" s="29">
        <f>SUM(AL236:AL241)</f>
        <v>0</v>
      </c>
      <c r="AM235" s="26">
        <f>SUM(AM236:AM241)</f>
        <v>8000000000</v>
      </c>
      <c r="AN235" s="9"/>
    </row>
    <row r="236" spans="1:64" s="372" customFormat="1" ht="24.95" customHeight="1">
      <c r="A236" s="734"/>
      <c r="B236" s="644"/>
      <c r="N236" s="9"/>
      <c r="P236" s="9"/>
      <c r="Q236" s="9"/>
      <c r="R236" s="9"/>
      <c r="S236" s="689" t="str">
        <f>+IF(ABRIL!S236=0,"",ABRIL!S236)</f>
        <v>8001000-1</v>
      </c>
      <c r="T236" s="665" t="str">
        <f>+IF(ABRIL!T236=0,"",ABRIL!T236)</f>
        <v>Subprogr.Construc. Remodelac. Adecuación y Apliac.1</v>
      </c>
      <c r="U236" s="27">
        <f>+ENERO!U236</f>
        <v>4765730053</v>
      </c>
      <c r="V236" s="15">
        <f>ABRIL!V236+MAYO!AL236</f>
        <v>0</v>
      </c>
      <c r="W236" s="15">
        <f>ABRIL!W236+MAYO!AM236</f>
        <v>8000000000</v>
      </c>
      <c r="X236" s="18">
        <f t="shared" ref="X236:X241" si="197">SUM(U236:W236)</f>
        <v>12765730053</v>
      </c>
      <c r="Y236" s="19">
        <f>ABRIL!AA236</f>
        <v>4764252365</v>
      </c>
      <c r="Z236" s="364">
        <v>-1833333</v>
      </c>
      <c r="AA236" s="18">
        <f t="shared" ref="AA236:AA241" si="198">SUM(Y236:Z236)</f>
        <v>4762419032</v>
      </c>
      <c r="AB236" s="19">
        <f>ABRIL!AD236</f>
        <v>1660327863</v>
      </c>
      <c r="AC236" s="364">
        <v>1819666311</v>
      </c>
      <c r="AD236" s="18">
        <f t="shared" ref="AD236:AD241" si="199">SUM(AB236:AC236)</f>
        <v>3479994174</v>
      </c>
      <c r="AE236" s="19">
        <f>ABRIL!AG236</f>
        <v>1607273851</v>
      </c>
      <c r="AF236" s="364">
        <v>1816466311</v>
      </c>
      <c r="AG236" s="18">
        <f t="shared" ref="AG236:AG241" si="200">SUM(AE236:AF236)</f>
        <v>3423740162</v>
      </c>
      <c r="AH236" s="19">
        <f t="shared" ref="AH236:AH241" si="201">X236-AA236</f>
        <v>8003311021</v>
      </c>
      <c r="AI236" s="15">
        <f t="shared" ref="AI236:AI241" si="202">X236-AD236</f>
        <v>9285735879</v>
      </c>
      <c r="AJ236" s="16">
        <f t="shared" ref="AJ236:AJ241" si="203">X236-AG236</f>
        <v>9341989891</v>
      </c>
      <c r="AK236" s="9"/>
      <c r="AL236" s="362">
        <v>0</v>
      </c>
      <c r="AM236" s="365">
        <v>8000000000</v>
      </c>
      <c r="AN236" s="9"/>
    </row>
    <row r="237" spans="1:64" s="372" customFormat="1" ht="24.95" customHeight="1">
      <c r="A237" s="734"/>
      <c r="B237" s="644"/>
      <c r="N237" s="9"/>
      <c r="P237" s="9"/>
      <c r="Q237" s="9"/>
      <c r="R237" s="9"/>
      <c r="S237" s="689" t="str">
        <f>+IF(ABRIL!S237=0,"",ABRIL!S237)</f>
        <v>8001000-2</v>
      </c>
      <c r="T237" s="665" t="str">
        <f>+IF(ABRIL!T237=0,"",ABRIL!T237)</f>
        <v>Subprogr.Construc. Remodelac. Adecuación y Apliac.2</v>
      </c>
      <c r="U237" s="27">
        <f>+ENERO!U237</f>
        <v>500000000</v>
      </c>
      <c r="V237" s="15">
        <f>ABRIL!V237+MAYO!AL237</f>
        <v>0</v>
      </c>
      <c r="W237" s="15">
        <f>ABRIL!W237+MAYO!AM237</f>
        <v>719283217</v>
      </c>
      <c r="X237" s="18">
        <f t="shared" si="197"/>
        <v>1219283217</v>
      </c>
      <c r="Y237" s="19">
        <f>ABRIL!AA237</f>
        <v>1219283217</v>
      </c>
      <c r="Z237" s="364">
        <v>0</v>
      </c>
      <c r="AA237" s="18">
        <f t="shared" si="198"/>
        <v>1219283217</v>
      </c>
      <c r="AB237" s="19">
        <f>ABRIL!AD237</f>
        <v>0</v>
      </c>
      <c r="AC237" s="364">
        <v>307382324</v>
      </c>
      <c r="AD237" s="18">
        <f t="shared" si="199"/>
        <v>307382324</v>
      </c>
      <c r="AE237" s="19">
        <f>ABRIL!AG237</f>
        <v>0</v>
      </c>
      <c r="AF237" s="364">
        <v>0</v>
      </c>
      <c r="AG237" s="18">
        <f t="shared" si="200"/>
        <v>0</v>
      </c>
      <c r="AH237" s="19">
        <f t="shared" si="201"/>
        <v>0</v>
      </c>
      <c r="AI237" s="15">
        <f t="shared" si="202"/>
        <v>911900893</v>
      </c>
      <c r="AJ237" s="16">
        <f t="shared" si="203"/>
        <v>1219283217</v>
      </c>
      <c r="AK237" s="9"/>
      <c r="AL237" s="362">
        <v>0</v>
      </c>
      <c r="AM237" s="365">
        <v>0</v>
      </c>
      <c r="AN237" s="9"/>
    </row>
    <row r="238" spans="1:64" s="372" customFormat="1" ht="24.95" customHeight="1">
      <c r="A238" s="734"/>
      <c r="B238" s="644"/>
      <c r="N238" s="9"/>
      <c r="P238" s="9"/>
      <c r="Q238" s="9"/>
      <c r="R238" s="9"/>
      <c r="S238" s="689" t="str">
        <f>+IF(ABRIL!S238=0,"",ABRIL!S238)</f>
        <v>8001000-3</v>
      </c>
      <c r="T238" s="665" t="str">
        <f>+IF(ABRIL!T238=0,"",ABRIL!T238)</f>
        <v>Subprogr.Construc. Remodelac. Adecuación y Apliac.3</v>
      </c>
      <c r="U238" s="27">
        <f>+ENERO!U238</f>
        <v>0</v>
      </c>
      <c r="V238" s="15">
        <f>ABRIL!V238+MAYO!AL238</f>
        <v>0</v>
      </c>
      <c r="W238" s="15">
        <f>ABRIL!W238+MAYO!AM238</f>
        <v>0</v>
      </c>
      <c r="X238" s="18">
        <f t="shared" si="197"/>
        <v>0</v>
      </c>
      <c r="Y238" s="19">
        <f>ABRIL!AA238</f>
        <v>0</v>
      </c>
      <c r="Z238" s="364">
        <v>0</v>
      </c>
      <c r="AA238" s="18">
        <f t="shared" si="198"/>
        <v>0</v>
      </c>
      <c r="AB238" s="19">
        <f>ABRIL!AD238</f>
        <v>0</v>
      </c>
      <c r="AC238" s="364">
        <v>0</v>
      </c>
      <c r="AD238" s="18">
        <f t="shared" si="199"/>
        <v>0</v>
      </c>
      <c r="AE238" s="19">
        <f>ABRIL!AG238</f>
        <v>0</v>
      </c>
      <c r="AF238" s="364">
        <v>0</v>
      </c>
      <c r="AG238" s="18">
        <f t="shared" si="200"/>
        <v>0</v>
      </c>
      <c r="AH238" s="19">
        <f t="shared" si="201"/>
        <v>0</v>
      </c>
      <c r="AI238" s="15">
        <f t="shared" si="202"/>
        <v>0</v>
      </c>
      <c r="AJ238" s="16">
        <f t="shared" si="203"/>
        <v>0</v>
      </c>
      <c r="AK238" s="9"/>
      <c r="AL238" s="362">
        <v>0</v>
      </c>
      <c r="AM238" s="365">
        <v>0</v>
      </c>
      <c r="AN238" s="9"/>
    </row>
    <row r="239" spans="1:64" s="372" customFormat="1" ht="24.95" customHeight="1">
      <c r="A239" s="734"/>
      <c r="B239" s="644"/>
      <c r="N239" s="9"/>
      <c r="P239" s="9"/>
      <c r="Q239" s="9"/>
      <c r="S239" s="689" t="str">
        <f>+IF(ABRIL!S239=0,"",ABRIL!S239)</f>
        <v>8001000-4</v>
      </c>
      <c r="T239" s="665" t="str">
        <f>+IF(ABRIL!T239=0,"",ABRIL!T239)</f>
        <v>Subprogr.Construc. Remodelac. Adecuación y Apliac.4</v>
      </c>
      <c r="U239" s="27">
        <f>+ENERO!U239</f>
        <v>0</v>
      </c>
      <c r="V239" s="15">
        <f>ABRIL!V239+MAYO!AL239</f>
        <v>0</v>
      </c>
      <c r="W239" s="15">
        <f>ABRIL!W239+MAYO!AM239</f>
        <v>0</v>
      </c>
      <c r="X239" s="18">
        <f t="shared" si="197"/>
        <v>0</v>
      </c>
      <c r="Y239" s="19">
        <f>ABRIL!AA239</f>
        <v>0</v>
      </c>
      <c r="Z239" s="364">
        <v>0</v>
      </c>
      <c r="AA239" s="18">
        <f t="shared" si="198"/>
        <v>0</v>
      </c>
      <c r="AB239" s="19">
        <f>ABRIL!AD239</f>
        <v>0</v>
      </c>
      <c r="AC239" s="364">
        <v>0</v>
      </c>
      <c r="AD239" s="18">
        <f t="shared" si="199"/>
        <v>0</v>
      </c>
      <c r="AE239" s="19">
        <f>ABRIL!AG239</f>
        <v>0</v>
      </c>
      <c r="AF239" s="364">
        <v>0</v>
      </c>
      <c r="AG239" s="18">
        <f t="shared" si="200"/>
        <v>0</v>
      </c>
      <c r="AH239" s="19">
        <f t="shared" si="201"/>
        <v>0</v>
      </c>
      <c r="AI239" s="15">
        <f t="shared" si="202"/>
        <v>0</v>
      </c>
      <c r="AJ239" s="16">
        <f t="shared" si="203"/>
        <v>0</v>
      </c>
      <c r="AK239" s="9"/>
      <c r="AL239" s="362">
        <v>0</v>
      </c>
      <c r="AM239" s="365">
        <v>0</v>
      </c>
      <c r="AN239" s="9"/>
    </row>
    <row r="240" spans="1:64" s="372" customFormat="1" ht="24.95" customHeight="1">
      <c r="A240" s="734"/>
      <c r="B240" s="644"/>
      <c r="N240" s="9"/>
      <c r="P240" s="9"/>
      <c r="Q240" s="9"/>
      <c r="S240" s="689" t="str">
        <f>+IF(ABRIL!S240=0,"",ABRIL!S240)</f>
        <v>8001000-5</v>
      </c>
      <c r="T240" s="665" t="str">
        <f>+IF(ABRIL!T240=0,"",ABRIL!T240)</f>
        <v>Subprogr.Construc. Remodelac. Adecuación y Apliac.5</v>
      </c>
      <c r="U240" s="27">
        <f>+ENERO!U240</f>
        <v>0</v>
      </c>
      <c r="V240" s="15">
        <f>ABRIL!V240+MAYO!AL240</f>
        <v>0</v>
      </c>
      <c r="W240" s="15">
        <f>ABRIL!W240+MAYO!AM240</f>
        <v>0</v>
      </c>
      <c r="X240" s="18">
        <f t="shared" si="197"/>
        <v>0</v>
      </c>
      <c r="Y240" s="19">
        <f>ABRIL!AA240</f>
        <v>0</v>
      </c>
      <c r="Z240" s="364">
        <v>0</v>
      </c>
      <c r="AA240" s="18">
        <f t="shared" si="198"/>
        <v>0</v>
      </c>
      <c r="AB240" s="19">
        <f>ABRIL!AD240</f>
        <v>0</v>
      </c>
      <c r="AC240" s="364">
        <v>0</v>
      </c>
      <c r="AD240" s="18">
        <f t="shared" si="199"/>
        <v>0</v>
      </c>
      <c r="AE240" s="19">
        <f>ABRIL!AG240</f>
        <v>0</v>
      </c>
      <c r="AF240" s="364">
        <v>0</v>
      </c>
      <c r="AG240" s="18">
        <f t="shared" si="200"/>
        <v>0</v>
      </c>
      <c r="AH240" s="19">
        <f t="shared" si="201"/>
        <v>0</v>
      </c>
      <c r="AI240" s="15">
        <f t="shared" si="202"/>
        <v>0</v>
      </c>
      <c r="AJ240" s="16">
        <f t="shared" si="203"/>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+IF(ABRIL!S241=0,"",ABRIL!S241)</f>
        <v>8001999</v>
      </c>
      <c r="T241" s="665" t="str">
        <f>+IF(ABRIL!T241=0,"",ABRIL!T241)</f>
        <v>Vigencias Anteriores</v>
      </c>
      <c r="U241" s="27">
        <f>+ENERO!U241</f>
        <v>0</v>
      </c>
      <c r="V241" s="15">
        <f>ABRIL!V241+MAYO!AL241</f>
        <v>0</v>
      </c>
      <c r="W241" s="15">
        <f>ABRIL!W241+MAYO!AM241</f>
        <v>5033343565</v>
      </c>
      <c r="X241" s="18">
        <f t="shared" si="197"/>
        <v>5033343565</v>
      </c>
      <c r="Y241" s="19">
        <f>ABRIL!AA241</f>
        <v>148040083</v>
      </c>
      <c r="Z241" s="364">
        <v>0</v>
      </c>
      <c r="AA241" s="18">
        <f t="shared" si="198"/>
        <v>148040083</v>
      </c>
      <c r="AB241" s="19">
        <f>ABRIL!AD241</f>
        <v>148040083</v>
      </c>
      <c r="AC241" s="364">
        <v>0</v>
      </c>
      <c r="AD241" s="18">
        <f t="shared" si="199"/>
        <v>148040083</v>
      </c>
      <c r="AE241" s="19">
        <f>ABRIL!AG241</f>
        <v>148040083</v>
      </c>
      <c r="AF241" s="364">
        <v>0</v>
      </c>
      <c r="AG241" s="18">
        <f t="shared" si="200"/>
        <v>148040083</v>
      </c>
      <c r="AH241" s="19">
        <f t="shared" si="201"/>
        <v>4885303482</v>
      </c>
      <c r="AI241" s="15">
        <f t="shared" si="202"/>
        <v>4885303482</v>
      </c>
      <c r="AJ241" s="16">
        <f t="shared" si="203"/>
        <v>4885303482</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+IF(ABRIL!S242=0,"",ABRIL!S242)</f>
        <v/>
      </c>
      <c r="T242" s="678" t="str">
        <f>+IF(ABRIL!T242=0,"",ABRIL!T242)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+IF(ABRIL!S243=0,"",ABRIL!S243)</f>
        <v>8002001</v>
      </c>
      <c r="T243" s="663" t="str">
        <f>+IF(ABRIL!T243=0,"",ABRIL!T243)</f>
        <v>Gastos Operativos de Inversion   (Programas Especiales)</v>
      </c>
      <c r="U243" s="132">
        <f t="shared" ref="U243:AJ243" si="204">SUM(U244:U256)</f>
        <v>500000000</v>
      </c>
      <c r="V243" s="122">
        <f t="shared" si="204"/>
        <v>0</v>
      </c>
      <c r="W243" s="122">
        <f t="shared" si="204"/>
        <v>12819896528</v>
      </c>
      <c r="X243" s="129">
        <f t="shared" si="204"/>
        <v>13319896528</v>
      </c>
      <c r="Y243" s="128">
        <f t="shared" si="204"/>
        <v>4853943008</v>
      </c>
      <c r="Z243" s="122">
        <f t="shared" si="204"/>
        <v>464163145</v>
      </c>
      <c r="AA243" s="129">
        <f t="shared" si="204"/>
        <v>5318106153</v>
      </c>
      <c r="AB243" s="128">
        <f t="shared" si="204"/>
        <v>3026282165</v>
      </c>
      <c r="AC243" s="122">
        <f t="shared" si="204"/>
        <v>552346247</v>
      </c>
      <c r="AD243" s="129">
        <f t="shared" si="204"/>
        <v>3578628412</v>
      </c>
      <c r="AE243" s="128">
        <f t="shared" si="204"/>
        <v>2231062878</v>
      </c>
      <c r="AF243" s="122">
        <f t="shared" si="204"/>
        <v>524176032</v>
      </c>
      <c r="AG243" s="129">
        <f t="shared" si="204"/>
        <v>2755238910</v>
      </c>
      <c r="AH243" s="128">
        <f t="shared" si="204"/>
        <v>8001790375</v>
      </c>
      <c r="AI243" s="122">
        <f t="shared" si="204"/>
        <v>9741268116</v>
      </c>
      <c r="AJ243" s="130">
        <f t="shared" si="204"/>
        <v>10564657618</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+IF(ABRIL!S244=0,"",ABRIL!S244)</f>
        <v>8002100-1</v>
      </c>
      <c r="T244" s="665" t="str">
        <f>+IF(ABRIL!T244=0,"",ABRIL!T244)</f>
        <v>Fondo de la Vivienda</v>
      </c>
      <c r="U244" s="27">
        <f>+ENERO!U244</f>
        <v>0</v>
      </c>
      <c r="V244" s="15">
        <f>ABRIL!V244+MAYO!AL244</f>
        <v>0</v>
      </c>
      <c r="W244" s="15">
        <f>ABRIL!W244+MAYO!AM244</f>
        <v>0</v>
      </c>
      <c r="X244" s="18">
        <f t="shared" ref="X244:X256" si="205">SUM(U244:W244)</f>
        <v>0</v>
      </c>
      <c r="Y244" s="19">
        <f>ABRIL!AA244</f>
        <v>0</v>
      </c>
      <c r="Z244" s="364">
        <v>0</v>
      </c>
      <c r="AA244" s="18">
        <f t="shared" ref="AA244:AA256" si="206">SUM(Y244:Z244)</f>
        <v>0</v>
      </c>
      <c r="AB244" s="19">
        <f>ABRIL!AD244</f>
        <v>0</v>
      </c>
      <c r="AC244" s="364">
        <v>0</v>
      </c>
      <c r="AD244" s="18">
        <f t="shared" ref="AD244:AD256" si="207">SUM(AB244:AC244)</f>
        <v>0</v>
      </c>
      <c r="AE244" s="19">
        <f>ABRIL!AG244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+IF(ABRIL!S245=0,"",ABRIL!S245)</f>
        <v>8002100-2</v>
      </c>
      <c r="T245" s="665" t="str">
        <f>+IF(ABRIL!T245=0,"",ABRIL!T245)</f>
        <v>Programas Especial 01</v>
      </c>
      <c r="U245" s="27">
        <f>+ENERO!U245</f>
        <v>0</v>
      </c>
      <c r="V245" s="15">
        <f>ABRIL!V245+MAYO!AL245</f>
        <v>0</v>
      </c>
      <c r="W245" s="15">
        <f>ABRIL!W245+MAYO!AM245</f>
        <v>152517826</v>
      </c>
      <c r="X245" s="18">
        <f t="shared" si="205"/>
        <v>152517826</v>
      </c>
      <c r="Y245" s="19">
        <f>ABRIL!AA245</f>
        <v>0</v>
      </c>
      <c r="Z245" s="364">
        <v>0</v>
      </c>
      <c r="AA245" s="18">
        <f t="shared" si="206"/>
        <v>0</v>
      </c>
      <c r="AB245" s="19">
        <f>ABRIL!AD245</f>
        <v>0</v>
      </c>
      <c r="AC245" s="364">
        <v>0</v>
      </c>
      <c r="AD245" s="18">
        <f t="shared" si="207"/>
        <v>0</v>
      </c>
      <c r="AE245" s="19">
        <f>ABRIL!AG245</f>
        <v>0</v>
      </c>
      <c r="AF245" s="364">
        <v>0</v>
      </c>
      <c r="AG245" s="18">
        <f t="shared" si="208"/>
        <v>0</v>
      </c>
      <c r="AH245" s="19">
        <f t="shared" si="209"/>
        <v>152517826</v>
      </c>
      <c r="AI245" s="15">
        <f t="shared" si="210"/>
        <v>152517826</v>
      </c>
      <c r="AJ245" s="16">
        <f t="shared" si="211"/>
        <v>152517826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+IF(ABRIL!S246=0,"",ABRIL!S246)</f>
        <v>8002100-3</v>
      </c>
      <c r="T246" s="665" t="str">
        <f>+IF(ABRIL!T246=0,"",ABRIL!T246)</f>
        <v>Programas Especial 02</v>
      </c>
      <c r="U246" s="27">
        <f>+ENERO!U246</f>
        <v>0</v>
      </c>
      <c r="V246" s="15">
        <f>ABRIL!V246+MAYO!AL246</f>
        <v>0</v>
      </c>
      <c r="W246" s="15">
        <f>ABRIL!W246+MAYO!AM246</f>
        <v>0</v>
      </c>
      <c r="X246" s="18">
        <f t="shared" si="205"/>
        <v>0</v>
      </c>
      <c r="Y246" s="19">
        <f>ABRIL!AA246</f>
        <v>0</v>
      </c>
      <c r="Z246" s="364">
        <v>0</v>
      </c>
      <c r="AA246" s="18">
        <f t="shared" si="206"/>
        <v>0</v>
      </c>
      <c r="AB246" s="19">
        <f>ABRIL!AD246</f>
        <v>0</v>
      </c>
      <c r="AC246" s="364">
        <v>0</v>
      </c>
      <c r="AD246" s="18">
        <f t="shared" si="207"/>
        <v>0</v>
      </c>
      <c r="AE246" s="19">
        <f>ABRIL!AG246</f>
        <v>0</v>
      </c>
      <c r="AF246" s="364">
        <v>0</v>
      </c>
      <c r="AG246" s="18">
        <f t="shared" si="208"/>
        <v>0</v>
      </c>
      <c r="AH246" s="19">
        <f t="shared" si="209"/>
        <v>0</v>
      </c>
      <c r="AI246" s="15">
        <f t="shared" si="210"/>
        <v>0</v>
      </c>
      <c r="AJ246" s="16">
        <f t="shared" si="211"/>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+IF(ABRIL!S247=0,"",ABRIL!S247)</f>
        <v>8002100-4</v>
      </c>
      <c r="T247" s="665" t="str">
        <f>+IF(ABRIL!T247=0,"",ABRIL!T247)</f>
        <v>Programas Especial 03</v>
      </c>
      <c r="U247" s="27">
        <f>+ENERO!U247</f>
        <v>0</v>
      </c>
      <c r="V247" s="15">
        <f>ABRIL!V247+MAYO!AL247</f>
        <v>0</v>
      </c>
      <c r="W247" s="15">
        <f>ABRIL!W247+MAYO!AM247</f>
        <v>193911300</v>
      </c>
      <c r="X247" s="18">
        <f t="shared" si="205"/>
        <v>193911300</v>
      </c>
      <c r="Y247" s="19">
        <f>ABRIL!AA247</f>
        <v>133688100</v>
      </c>
      <c r="Z247" s="364">
        <v>-508500</v>
      </c>
      <c r="AA247" s="18">
        <f t="shared" si="206"/>
        <v>133179600</v>
      </c>
      <c r="AB247" s="19">
        <f>ABRIL!AD247</f>
        <v>49022100</v>
      </c>
      <c r="AC247" s="364">
        <v>14111000</v>
      </c>
      <c r="AD247" s="18">
        <f t="shared" si="207"/>
        <v>63133100</v>
      </c>
      <c r="AE247" s="19">
        <f>ABRIL!AG247</f>
        <v>49022100</v>
      </c>
      <c r="AF247" s="364">
        <v>14111000</v>
      </c>
      <c r="AG247" s="18">
        <f t="shared" si="208"/>
        <v>63133100</v>
      </c>
      <c r="AH247" s="19">
        <f t="shared" si="209"/>
        <v>60731700</v>
      </c>
      <c r="AI247" s="15">
        <f t="shared" si="210"/>
        <v>130778200</v>
      </c>
      <c r="AJ247" s="16">
        <f t="shared" si="211"/>
        <v>130778200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+IF(ABRIL!S248=0,"",ABRIL!S248)</f>
        <v>8002100-5</v>
      </c>
      <c r="T248" s="665" t="str">
        <f>+IF(ABRIL!T248=0,"",ABRIL!T248)</f>
        <v>Programas Especial 04</v>
      </c>
      <c r="U248" s="27">
        <f>+ENERO!U248</f>
        <v>500000000</v>
      </c>
      <c r="V248" s="15">
        <f>ABRIL!V248+MAYO!AL248</f>
        <v>0</v>
      </c>
      <c r="W248" s="15">
        <f>ABRIL!W248+MAYO!AM248</f>
        <v>2619976000</v>
      </c>
      <c r="X248" s="18">
        <f t="shared" si="205"/>
        <v>3119976000</v>
      </c>
      <c r="Y248" s="19">
        <f>ABRIL!AA248</f>
        <v>2179967478</v>
      </c>
      <c r="Z248" s="364">
        <v>0</v>
      </c>
      <c r="AA248" s="18">
        <f t="shared" si="206"/>
        <v>2179967478</v>
      </c>
      <c r="AB248" s="19">
        <f>ABRIL!AD248</f>
        <v>2164671173</v>
      </c>
      <c r="AC248" s="364">
        <v>0</v>
      </c>
      <c r="AD248" s="18">
        <f t="shared" si="207"/>
        <v>2164671173</v>
      </c>
      <c r="AE248" s="19">
        <f>ABRIL!AG248</f>
        <v>1662085211</v>
      </c>
      <c r="AF248" s="364">
        <v>365720094</v>
      </c>
      <c r="AG248" s="18">
        <f t="shared" si="208"/>
        <v>2027805305</v>
      </c>
      <c r="AH248" s="19">
        <f t="shared" si="209"/>
        <v>940008522</v>
      </c>
      <c r="AI248" s="15">
        <f t="shared" si="210"/>
        <v>955304827</v>
      </c>
      <c r="AJ248" s="16">
        <f t="shared" si="211"/>
        <v>1092170695</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+IF(ABRIL!S249=0,"",ABRIL!S249)</f>
        <v>8002100-6</v>
      </c>
      <c r="T249" s="665" t="str">
        <f>+IF(ABRIL!T249=0,"",ABRIL!T249)</f>
        <v>Programas Especial 05</v>
      </c>
      <c r="U249" s="27">
        <f>+ENERO!U249</f>
        <v>0</v>
      </c>
      <c r="V249" s="15">
        <f>ABRIL!V249+MAYO!AL249</f>
        <v>0</v>
      </c>
      <c r="W249" s="15">
        <f>ABRIL!W249+MAYO!AM249</f>
        <v>20000000</v>
      </c>
      <c r="X249" s="18">
        <f t="shared" si="205"/>
        <v>20000000</v>
      </c>
      <c r="Y249" s="19">
        <f>ABRIL!AA249</f>
        <v>0</v>
      </c>
      <c r="Z249" s="364">
        <v>0</v>
      </c>
      <c r="AA249" s="18">
        <f t="shared" si="206"/>
        <v>0</v>
      </c>
      <c r="AB249" s="19">
        <f>ABRIL!AD249</f>
        <v>0</v>
      </c>
      <c r="AC249" s="364">
        <v>0</v>
      </c>
      <c r="AD249" s="18">
        <f t="shared" si="207"/>
        <v>0</v>
      </c>
      <c r="AE249" s="19">
        <f>ABRIL!AG249</f>
        <v>0</v>
      </c>
      <c r="AF249" s="364">
        <v>0</v>
      </c>
      <c r="AG249" s="1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+IF(ABRIL!S250=0,"",ABRIL!S250)</f>
        <v>8002100-7</v>
      </c>
      <c r="T250" s="665" t="str">
        <f>+IF(ABRIL!T250=0,"",ABRIL!T250)</f>
        <v>Programas Especial 06</v>
      </c>
      <c r="U250" s="27">
        <f>+ENERO!U250</f>
        <v>0</v>
      </c>
      <c r="V250" s="15">
        <f>ABRIL!V250+MAYO!AL250</f>
        <v>0</v>
      </c>
      <c r="W250" s="15">
        <f>ABRIL!W250+MAYO!AM250</f>
        <v>9358200000</v>
      </c>
      <c r="X250" s="18">
        <f>SUM(U250:W250)</f>
        <v>9358200000</v>
      </c>
      <c r="Y250" s="19">
        <f>ABRIL!AA250</f>
        <v>2075640196</v>
      </c>
      <c r="Z250" s="364">
        <v>464671645</v>
      </c>
      <c r="AA250" s="18">
        <f>SUM(Y250:Z250)</f>
        <v>2540311841</v>
      </c>
      <c r="AB250" s="19">
        <f>ABRIL!AD250</f>
        <v>347941658</v>
      </c>
      <c r="AC250" s="364">
        <v>538235247</v>
      </c>
      <c r="AD250" s="18">
        <f>SUM(AB250:AC250)</f>
        <v>886176905</v>
      </c>
      <c r="AE250" s="19">
        <f>ABRIL!AG250</f>
        <v>55308333</v>
      </c>
      <c r="AF250" s="364">
        <v>144344938</v>
      </c>
      <c r="AG250" s="18">
        <f>SUM(AE250:AF250)</f>
        <v>199653271</v>
      </c>
      <c r="AH250" s="19">
        <f>X250-AA250</f>
        <v>6817888159</v>
      </c>
      <c r="AI250" s="15">
        <f>X250-AD250</f>
        <v>8472023095</v>
      </c>
      <c r="AJ250" s="16">
        <f>X250-AG250</f>
        <v>9158546729</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+IF(ABRIL!S251=0,"",ABRIL!S251)</f>
        <v>8002100-8</v>
      </c>
      <c r="T251" s="665" t="str">
        <f>+IF(ABRIL!T251=0,"",ABRIL!T251)</f>
        <v>Programas Especial 07</v>
      </c>
      <c r="U251" s="27">
        <f>+ENERO!U251</f>
        <v>0</v>
      </c>
      <c r="V251" s="15">
        <f>ABRIL!V251+MAYO!AL251</f>
        <v>0</v>
      </c>
      <c r="W251" s="15">
        <f>ABRIL!W251+MAYO!AM251</f>
        <v>0</v>
      </c>
      <c r="X251" s="18">
        <f>SUM(U251:W251)</f>
        <v>0</v>
      </c>
      <c r="Y251" s="19">
        <f>ABRIL!AA251</f>
        <v>0</v>
      </c>
      <c r="Z251" s="364">
        <v>0</v>
      </c>
      <c r="AA251" s="18">
        <f>SUM(Y251:Z251)</f>
        <v>0</v>
      </c>
      <c r="AB251" s="19">
        <f>ABRIL!AD251</f>
        <v>0</v>
      </c>
      <c r="AC251" s="364">
        <v>0</v>
      </c>
      <c r="AD251" s="18">
        <f>SUM(AB251:AC251)</f>
        <v>0</v>
      </c>
      <c r="AE251" s="19">
        <f>ABRIL!AG251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+IF(ABRIL!S252=0,"",ABRIL!S252)</f>
        <v>8002100-9</v>
      </c>
      <c r="T252" s="665" t="str">
        <f>+IF(ABRIL!T252=0,"",ABRIL!T252)</f>
        <v>Programas Especial 08</v>
      </c>
      <c r="U252" s="27">
        <f>+ENERO!U252</f>
        <v>0</v>
      </c>
      <c r="V252" s="15">
        <f>ABRIL!V252+MAYO!AL252</f>
        <v>0</v>
      </c>
      <c r="W252" s="15">
        <f>ABRIL!W252+MAYO!AM252</f>
        <v>0</v>
      </c>
      <c r="X252" s="18">
        <f>SUM(U252:W252)</f>
        <v>0</v>
      </c>
      <c r="Y252" s="19">
        <f>ABRIL!AA252</f>
        <v>0</v>
      </c>
      <c r="Z252" s="364">
        <v>0</v>
      </c>
      <c r="AA252" s="18">
        <f>SUM(Y252:Z252)</f>
        <v>0</v>
      </c>
      <c r="AB252" s="19">
        <f>ABRIL!AD252</f>
        <v>0</v>
      </c>
      <c r="AC252" s="364">
        <v>0</v>
      </c>
      <c r="AD252" s="18">
        <f>SUM(AB252:AC252)</f>
        <v>0</v>
      </c>
      <c r="AE252" s="19">
        <f>ABRIL!AG252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+IF(ABRIL!S253=0,"",ABRIL!S253)</f>
        <v>8002100-10</v>
      </c>
      <c r="T253" s="665" t="str">
        <f>+IF(ABRIL!T253=0,"",ABRIL!T253)</f>
        <v>Programas Especial 09</v>
      </c>
      <c r="U253" s="27">
        <f>+ENERO!U253</f>
        <v>0</v>
      </c>
      <c r="V253" s="15">
        <f>ABRIL!V253+MAYO!AL253</f>
        <v>0</v>
      </c>
      <c r="W253" s="15">
        <f>ABRIL!W253+MAYO!AM253</f>
        <v>0</v>
      </c>
      <c r="X253" s="18">
        <f>SUM(U253:W253)</f>
        <v>0</v>
      </c>
      <c r="Y253" s="19">
        <f>ABRIL!AA253</f>
        <v>0</v>
      </c>
      <c r="Z253" s="364">
        <v>0</v>
      </c>
      <c r="AA253" s="18">
        <f>SUM(Y253:Z253)</f>
        <v>0</v>
      </c>
      <c r="AB253" s="19">
        <f>ABRIL!AD253</f>
        <v>0</v>
      </c>
      <c r="AC253" s="364">
        <v>0</v>
      </c>
      <c r="AD253" s="18">
        <f>SUM(AB253:AC253)</f>
        <v>0</v>
      </c>
      <c r="AE253" s="19">
        <f>ABRIL!AG253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+IF(ABRIL!S254=0,"",ABRIL!S254)</f>
        <v>8002100-11</v>
      </c>
      <c r="T254" s="665" t="str">
        <f>+IF(ABRIL!T254=0,"",ABRIL!T254)</f>
        <v>Programas Especial 10</v>
      </c>
      <c r="U254" s="27">
        <f>+ENERO!U254</f>
        <v>0</v>
      </c>
      <c r="V254" s="15">
        <f>ABRIL!V254+MAYO!AL254</f>
        <v>0</v>
      </c>
      <c r="W254" s="15">
        <f>ABRIL!W254+MAYO!AM254</f>
        <v>0</v>
      </c>
      <c r="X254" s="18">
        <f>SUM(U254:W254)</f>
        <v>0</v>
      </c>
      <c r="Y254" s="19">
        <f>ABRIL!AA254</f>
        <v>0</v>
      </c>
      <c r="Z254" s="364">
        <v>0</v>
      </c>
      <c r="AA254" s="18">
        <f>SUM(Y254:Z254)</f>
        <v>0</v>
      </c>
      <c r="AB254" s="19">
        <f>ABRIL!AD254</f>
        <v>0</v>
      </c>
      <c r="AC254" s="364">
        <v>0</v>
      </c>
      <c r="AD254" s="18">
        <f>SUM(AB254:AC254)</f>
        <v>0</v>
      </c>
      <c r="AE254" s="19">
        <f>ABRIL!AG254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+IF(ABRIL!S255=0,"",ABRIL!S255)</f>
        <v>8002100-12</v>
      </c>
      <c r="T255" s="665" t="str">
        <f>+IF(ABRIL!T255=0,"",ABRIL!T255)</f>
        <v>Programas Especial 11</v>
      </c>
      <c r="U255" s="27">
        <f>+ENERO!U255</f>
        <v>0</v>
      </c>
      <c r="V255" s="15">
        <f>ABRIL!V255+MAYO!AL255</f>
        <v>0</v>
      </c>
      <c r="W255" s="15">
        <f>ABRIL!W255+MAYO!AM255</f>
        <v>0</v>
      </c>
      <c r="X255" s="18">
        <f t="shared" si="205"/>
        <v>0</v>
      </c>
      <c r="Y255" s="19">
        <f>ABRIL!AA255</f>
        <v>0</v>
      </c>
      <c r="Z255" s="364">
        <v>0</v>
      </c>
      <c r="AA255" s="18">
        <f t="shared" si="206"/>
        <v>0</v>
      </c>
      <c r="AB255" s="19">
        <f>ABRIL!AD255</f>
        <v>0</v>
      </c>
      <c r="AC255" s="364">
        <v>0</v>
      </c>
      <c r="AD255" s="18">
        <f t="shared" si="207"/>
        <v>0</v>
      </c>
      <c r="AE255" s="19">
        <f>ABRIL!AG255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+IF(ABRIL!S256=0,"",ABRIL!S256)</f>
        <v>8002999</v>
      </c>
      <c r="T256" s="680" t="str">
        <f>+IF(ABRIL!T256=0,"",ABRIL!T256)</f>
        <v>Vigencias Anteriores</v>
      </c>
      <c r="U256" s="133">
        <f>+ENERO!U256</f>
        <v>0</v>
      </c>
      <c r="V256" s="121">
        <f>ABRIL!V256+MAYO!AL256</f>
        <v>0</v>
      </c>
      <c r="W256" s="121">
        <f>ABRIL!W256+MAYO!AM256</f>
        <v>475291402</v>
      </c>
      <c r="X256" s="126">
        <f t="shared" si="205"/>
        <v>475291402</v>
      </c>
      <c r="Y256" s="124">
        <f>ABRIL!AA256</f>
        <v>464647234</v>
      </c>
      <c r="Z256" s="378">
        <v>0</v>
      </c>
      <c r="AA256" s="126">
        <f t="shared" si="206"/>
        <v>464647234</v>
      </c>
      <c r="AB256" s="124">
        <f>ABRIL!AD256</f>
        <v>464647234</v>
      </c>
      <c r="AC256" s="378">
        <v>0</v>
      </c>
      <c r="AD256" s="126">
        <f t="shared" si="207"/>
        <v>464647234</v>
      </c>
      <c r="AE256" s="124">
        <f>ABRIL!AG256</f>
        <v>464647234</v>
      </c>
      <c r="AF256" s="378">
        <v>0</v>
      </c>
      <c r="AG256" s="126">
        <f t="shared" si="208"/>
        <v>464647234</v>
      </c>
      <c r="AH256" s="124">
        <f t="shared" si="209"/>
        <v>10644168</v>
      </c>
      <c r="AI256" s="121">
        <f t="shared" si="210"/>
        <v>10644168</v>
      </c>
      <c r="AJ256" s="125">
        <f t="shared" si="211"/>
        <v>10644168</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+IF(ABRIL!S257=0,"",ABRIL!S257)</f>
        <v/>
      </c>
      <c r="T257" s="677" t="str">
        <f>+IF(ABRIL!T257=0,"",ABRIL!T257)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2">+(D10+D17+D113)-(V10+V193+V220+V232)</f>
        <v>0</v>
      </c>
      <c r="W258" s="330">
        <f t="shared" si="212"/>
        <v>0</v>
      </c>
      <c r="X258" s="330">
        <f t="shared" si="212"/>
        <v>0</v>
      </c>
      <c r="Y258" s="330">
        <f t="shared" si="212"/>
        <v>-14349169414</v>
      </c>
      <c r="Z258" s="330">
        <f t="shared" si="212"/>
        <v>3001823129</v>
      </c>
      <c r="AA258" s="330">
        <f t="shared" si="212"/>
        <v>-11347346285</v>
      </c>
      <c r="AB258" s="330">
        <f t="shared" si="212"/>
        <v>-2343036086.8499985</v>
      </c>
      <c r="AC258" s="330">
        <f t="shared" si="212"/>
        <v>-4051879904.3899994</v>
      </c>
      <c r="AD258" s="330">
        <f t="shared" si="212"/>
        <v>-6394915991.2400055</v>
      </c>
      <c r="AE258" s="330">
        <f t="shared" si="212"/>
        <v>26317803035</v>
      </c>
      <c r="AF258" s="330">
        <f t="shared" si="212"/>
        <v>59668732760.239998</v>
      </c>
      <c r="AG258" s="330">
        <f t="shared" si="212"/>
        <v>-29134345925</v>
      </c>
      <c r="AH258" s="330">
        <f t="shared" si="212"/>
        <v>-37296217660</v>
      </c>
      <c r="AI258" s="330">
        <f t="shared" si="212"/>
        <v>-51339127506</v>
      </c>
      <c r="AJ258" s="768">
        <f t="shared" si="212"/>
        <v>-74468001503</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40743274278</v>
      </c>
    </row>
    <row r="260" spans="1:39" ht="24.95" customHeight="1" thickBot="1">
      <c r="S260" s="785" t="s">
        <v>562</v>
      </c>
      <c r="T260" s="786"/>
      <c r="U260" s="761">
        <f>+U8-U262</f>
        <v>62391028787</v>
      </c>
      <c r="V260" s="761">
        <f t="shared" ref="V260:AJ260" si="213">+V8-V262</f>
        <v>-1160000000</v>
      </c>
      <c r="W260" s="761">
        <f t="shared" si="213"/>
        <v>24225295788</v>
      </c>
      <c r="X260" s="761">
        <f t="shared" si="213"/>
        <v>85456324575</v>
      </c>
      <c r="Y260" s="761">
        <f t="shared" si="213"/>
        <v>50288230387</v>
      </c>
      <c r="Z260" s="761">
        <f t="shared" si="213"/>
        <v>3399148277</v>
      </c>
      <c r="AA260" s="761">
        <f t="shared" si="213"/>
        <v>53687378664</v>
      </c>
      <c r="AB260" s="761">
        <f t="shared" si="213"/>
        <v>23013961808</v>
      </c>
      <c r="AC260" s="761">
        <f t="shared" si="213"/>
        <v>7887232732</v>
      </c>
      <c r="AD260" s="761">
        <f t="shared" si="213"/>
        <v>30901194540</v>
      </c>
      <c r="AE260" s="761">
        <f t="shared" si="213"/>
        <v>10496135337</v>
      </c>
      <c r="AF260" s="761">
        <f t="shared" si="213"/>
        <v>6019459484</v>
      </c>
      <c r="AG260" s="761">
        <f t="shared" si="213"/>
        <v>16515594821</v>
      </c>
      <c r="AH260" s="761">
        <f t="shared" si="213"/>
        <v>31768945911</v>
      </c>
      <c r="AI260" s="761">
        <f t="shared" si="213"/>
        <v>54555130035</v>
      </c>
      <c r="AJ260" s="762">
        <f t="shared" si="213"/>
        <v>68940729754</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563</v>
      </c>
      <c r="T262" s="788"/>
      <c r="U262" s="765">
        <f>+SUMIF($T$8:$T$256,$T$33,U8:U256)</f>
        <v>4029331818</v>
      </c>
      <c r="V262" s="765">
        <f t="shared" ref="V262:AJ262" si="214">+SUMIF($T$8:$T$256,$T$33,V8:V256)</f>
        <v>1160000000</v>
      </c>
      <c r="W262" s="765">
        <f t="shared" si="214"/>
        <v>12956691035</v>
      </c>
      <c r="X262" s="765">
        <f t="shared" si="214"/>
        <v>18146022853</v>
      </c>
      <c r="Y262" s="765">
        <f t="shared" si="214"/>
        <v>11829625573</v>
      </c>
      <c r="Z262" s="765">
        <f t="shared" si="214"/>
        <v>789125531</v>
      </c>
      <c r="AA262" s="765">
        <f t="shared" si="214"/>
        <v>12618751104</v>
      </c>
      <c r="AB262" s="765">
        <f t="shared" si="214"/>
        <v>11829625573</v>
      </c>
      <c r="AC262" s="765">
        <f t="shared" si="214"/>
        <v>789125531</v>
      </c>
      <c r="AD262" s="765">
        <f t="shared" si="214"/>
        <v>12618751104</v>
      </c>
      <c r="AE262" s="765">
        <f t="shared" si="214"/>
        <v>11829625573</v>
      </c>
      <c r="AF262" s="765">
        <f t="shared" si="214"/>
        <v>789125531</v>
      </c>
      <c r="AG262" s="765">
        <f t="shared" si="214"/>
        <v>12618751104</v>
      </c>
      <c r="AH262" s="765">
        <f t="shared" si="214"/>
        <v>5527271749</v>
      </c>
      <c r="AI262" s="765">
        <f t="shared" si="214"/>
        <v>5527271749</v>
      </c>
      <c r="AJ262" s="789">
        <f t="shared" si="214"/>
        <v>5527271749</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37181986823</v>
      </c>
      <c r="X264" s="783">
        <f t="shared" si="215"/>
        <v>103602347428</v>
      </c>
      <c r="Y264" s="783">
        <f t="shared" si="215"/>
        <v>62117855960</v>
      </c>
      <c r="Z264" s="783">
        <f t="shared" si="215"/>
        <v>4188273808</v>
      </c>
      <c r="AA264" s="783">
        <f t="shared" si="215"/>
        <v>66306129768</v>
      </c>
      <c r="AB264" s="783">
        <f t="shared" si="215"/>
        <v>34843587381</v>
      </c>
      <c r="AC264" s="783">
        <f t="shared" si="215"/>
        <v>8676358263</v>
      </c>
      <c r="AD264" s="783">
        <f t="shared" si="215"/>
        <v>43519945644</v>
      </c>
      <c r="AE264" s="783">
        <f t="shared" si="215"/>
        <v>22325760910</v>
      </c>
      <c r="AF264" s="783">
        <f t="shared" si="215"/>
        <v>6808585015</v>
      </c>
      <c r="AG264" s="783">
        <f t="shared" si="215"/>
        <v>29134345925</v>
      </c>
      <c r="AH264" s="783">
        <f t="shared" si="215"/>
        <v>37296217660</v>
      </c>
      <c r="AI264" s="783">
        <f t="shared" si="215"/>
        <v>60082401784</v>
      </c>
      <c r="AJ264" s="784">
        <f t="shared" si="215"/>
        <v>74468001503</v>
      </c>
    </row>
  </sheetData>
  <sheetProtection password="E5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7"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sheetPr>
  <dimension ref="A1:BS264"/>
  <sheetViews>
    <sheetView showGridLines="0" topLeftCell="A49" zoomScale="84" zoomScaleNormal="84" workbookViewId="0">
      <selection activeCell="A8" sqref="A8"/>
    </sheetView>
  </sheetViews>
  <sheetFormatPr baseColWidth="10" defaultColWidth="0" defaultRowHeight="24.95" customHeight="1"/>
  <cols>
    <col min="1" max="1" width="14.42578125" style="735" customWidth="1"/>
    <col min="2" max="2" width="32.7109375" style="645" customWidth="1"/>
    <col min="3" max="3" width="15" style="262" bestFit="1" customWidth="1"/>
    <col min="4" max="4" width="16.140625" style="262" customWidth="1"/>
    <col min="5" max="5" width="14.42578125" style="262" customWidth="1"/>
    <col min="6" max="6" width="16.85546875" style="262" customWidth="1"/>
    <col min="7" max="8" width="14.42578125" style="262" customWidth="1"/>
    <col min="9" max="9" width="16.5703125" style="262" customWidth="1"/>
    <col min="10"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7109375" style="681" customWidth="1"/>
    <col min="20" max="20" width="31.28515625" style="657" customWidth="1"/>
    <col min="2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2.7109375" style="262" customWidth="1"/>
    <col min="60" max="63" width="17.5703125" style="262" customWidth="1"/>
    <col min="64" max="64" width="28.7109375" style="262" customWidth="1"/>
    <col min="65" max="65" width="76" style="262" customWidth="1"/>
    <col min="66" max="66" width="19" style="262" customWidth="1"/>
    <col min="67" max="67" width="16.42578125" style="262" customWidth="1"/>
    <col min="68" max="68" width="14.5703125" style="262" customWidth="1"/>
    <col min="69" max="69" width="17.5703125"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6</v>
      </c>
      <c r="AP2" s="270" t="s">
        <v>7</v>
      </c>
      <c r="AQ2" s="271"/>
      <c r="AR2" s="3"/>
      <c r="AS2" s="3"/>
      <c r="AT2" s="3"/>
      <c r="AU2" s="3"/>
      <c r="AV2" s="3"/>
      <c r="AW2" s="3"/>
      <c r="AX2" s="3"/>
      <c r="AY2" s="3"/>
      <c r="AZ2" s="4"/>
      <c r="BB2" s="941" t="s">
        <v>588</v>
      </c>
      <c r="BC2" s="958"/>
      <c r="BD2" s="51" t="s">
        <v>380</v>
      </c>
      <c r="BE2" s="268" t="str">
        <f>+L3</f>
        <v>JUNIO</v>
      </c>
      <c r="BF2" s="263"/>
      <c r="BG2" s="941" t="s">
        <v>589</v>
      </c>
      <c r="BH2" s="958"/>
      <c r="BI2" s="958"/>
      <c r="BJ2" s="51" t="s">
        <v>380</v>
      </c>
      <c r="BK2" s="268" t="str">
        <f>+BE2</f>
        <v>JUNIO</v>
      </c>
      <c r="BM2" s="941" t="s">
        <v>589</v>
      </c>
      <c r="BN2" s="958"/>
      <c r="BO2" s="958"/>
      <c r="BP2" s="51" t="s">
        <v>380</v>
      </c>
      <c r="BQ2" s="268" t="str">
        <f>+BK2</f>
        <v>JUNIO</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362</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JUNIO</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2.75" customHeight="1" thickTop="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915" t="s">
        <v>515</v>
      </c>
      <c r="Z5" s="916"/>
      <c r="AA5" s="91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1002" t="s">
        <v>358</v>
      </c>
      <c r="BG5" s="502" t="s">
        <v>32</v>
      </c>
      <c r="BH5" s="966" t="str">
        <f>+CONCATENATE("ACUMULADO ",N3)</f>
        <v>ACUMULADO 2019</v>
      </c>
      <c r="BI5" s="967"/>
      <c r="BJ5" s="967"/>
      <c r="BK5" s="999"/>
      <c r="BL5" s="1000" t="s">
        <v>359</v>
      </c>
      <c r="BM5" s="964" t="s">
        <v>32</v>
      </c>
      <c r="BN5" s="298" t="str">
        <f>+CONCATENATE("ACUMULADO ",BQ3)</f>
        <v>ACUMULADO 2019</v>
      </c>
      <c r="BO5" s="299"/>
      <c r="BP5" s="300"/>
      <c r="BQ5" s="503"/>
    </row>
    <row r="6" spans="1:69" ht="24.9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JUNIO</v>
      </c>
      <c r="AS6" s="306" t="str">
        <f>AR6</f>
        <v>JUNIO</v>
      </c>
      <c r="AT6" s="306" t="str">
        <f>AR6</f>
        <v>JUNIO</v>
      </c>
      <c r="AU6" s="306" t="s">
        <v>14</v>
      </c>
      <c r="AV6" s="306" t="s">
        <v>29</v>
      </c>
      <c r="AW6" s="306"/>
      <c r="AX6" s="306"/>
      <c r="AY6" s="306" t="s">
        <v>14</v>
      </c>
      <c r="AZ6" s="307" t="s">
        <v>29</v>
      </c>
      <c r="BB6" s="308"/>
      <c r="BC6" s="309" t="s">
        <v>45</v>
      </c>
      <c r="BD6" s="310" t="s">
        <v>46</v>
      </c>
      <c r="BE6" s="311" t="s">
        <v>47</v>
      </c>
      <c r="BF6" s="1003"/>
      <c r="BG6" s="504"/>
      <c r="BH6" s="505" t="s">
        <v>45</v>
      </c>
      <c r="BI6" s="505" t="s">
        <v>48</v>
      </c>
      <c r="BJ6" s="505" t="s">
        <v>49</v>
      </c>
      <c r="BK6" s="506" t="s">
        <v>50</v>
      </c>
      <c r="BL6" s="1001"/>
      <c r="BM6" s="965"/>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3560118548</v>
      </c>
      <c r="AR7" s="317">
        <f>I22</f>
        <v>1942073969</v>
      </c>
      <c r="AS7" s="317">
        <f>L22</f>
        <v>705400993</v>
      </c>
      <c r="AT7" s="13"/>
      <c r="AU7" s="318">
        <f t="shared" ref="AU7:AU17" si="0">IF(AQ7=0," ",AR7/AQ7)</f>
        <v>0.54550823036244578</v>
      </c>
      <c r="AV7" s="318">
        <f t="shared" ref="AV7:AV17" si="1">IF(AQ7=0," ",AS7/AQ7)</f>
        <v>0.19813974829469638</v>
      </c>
      <c r="AW7" s="317">
        <f>I23/AO$2*12+I24</f>
        <v>3361653351</v>
      </c>
      <c r="AX7" s="317">
        <f>L23/AO$2*12+L24</f>
        <v>888307399</v>
      </c>
      <c r="AY7" s="317">
        <f t="shared" ref="AY7:AY16" si="2">AW7-AQ7</f>
        <v>-198465197</v>
      </c>
      <c r="AZ7" s="319">
        <f t="shared" ref="AZ7:AZ16" si="3">AX7-AQ7</f>
        <v>-2671811149</v>
      </c>
      <c r="BB7" s="320" t="s">
        <v>53</v>
      </c>
      <c r="BC7" s="54">
        <f>F10</f>
        <v>10176865038</v>
      </c>
      <c r="BD7" s="55">
        <f>I10</f>
        <v>10176865038</v>
      </c>
      <c r="BE7" s="56">
        <f>K10</f>
        <v>0</v>
      </c>
      <c r="BF7" s="53">
        <f>MARZO!BF7+ABRIL!BE7+MAYO!BE7+JUNIO!BE7</f>
        <v>10176865038</v>
      </c>
      <c r="BG7" s="91" t="s">
        <v>54</v>
      </c>
      <c r="BH7" s="116">
        <f>+SUM(BH8:BH11)</f>
        <v>44373642562</v>
      </c>
      <c r="BI7" s="116">
        <f>+SUM(BI8:BI11)</f>
        <v>33065276748</v>
      </c>
      <c r="BJ7" s="116">
        <f>+SUM(BJ8:BJ11)</f>
        <v>19093446371</v>
      </c>
      <c r="BK7" s="116">
        <f>+SUM(BK8:BK11)</f>
        <v>2206463245</v>
      </c>
      <c r="BL7" s="40">
        <f>+BK7+MAYO!BK7+ABRIL!BK7+MARZO!BL7</f>
        <v>10031762413</v>
      </c>
      <c r="BM7" s="61" t="s">
        <v>54</v>
      </c>
      <c r="BN7" s="62">
        <f>BN8+BN15+BN22</f>
        <v>44373642562</v>
      </c>
      <c r="BO7" s="63">
        <f>BO8+BO15+BO22</f>
        <v>33065276748</v>
      </c>
      <c r="BP7" s="63">
        <f>BP8+BP15+BP22</f>
        <v>19093446371</v>
      </c>
      <c r="BQ7" s="64">
        <f>BQ8+BQ15+BQ22</f>
        <v>2206463245</v>
      </c>
    </row>
    <row r="8" spans="1:69" s="9" customFormat="1" ht="24.95" customHeight="1" thickBot="1">
      <c r="A8" s="711">
        <f>+IF(MAYO!A8=0,"",MAYO!A8)</f>
        <v>1</v>
      </c>
      <c r="B8" s="618" t="str">
        <f>+IF(MAYO!B8=0,"",MAYO!B8)</f>
        <v>INGRESOS</v>
      </c>
      <c r="C8" s="321">
        <f>C10+C17+C113</f>
        <v>66420360605</v>
      </c>
      <c r="D8" s="321">
        <f t="shared" ref="D8:Q8" si="4">D10+D17+D113</f>
        <v>0</v>
      </c>
      <c r="E8" s="321">
        <f t="shared" si="4"/>
        <v>37181986823</v>
      </c>
      <c r="F8" s="321">
        <f t="shared" si="4"/>
        <v>103602347428</v>
      </c>
      <c r="G8" s="321">
        <f t="shared" si="4"/>
        <v>54958783483</v>
      </c>
      <c r="H8" s="321">
        <f t="shared" si="4"/>
        <v>11015249249</v>
      </c>
      <c r="I8" s="321">
        <f t="shared" si="4"/>
        <v>65974032732</v>
      </c>
      <c r="J8" s="321">
        <f t="shared" si="4"/>
        <v>37125029652.759995</v>
      </c>
      <c r="K8" s="321">
        <f t="shared" si="4"/>
        <v>11362189234</v>
      </c>
      <c r="L8" s="321">
        <f t="shared" si="4"/>
        <v>48487218886.759995</v>
      </c>
      <c r="M8" s="321">
        <f t="shared" si="4"/>
        <v>37628314696</v>
      </c>
      <c r="N8" s="321">
        <f t="shared" si="4"/>
        <v>55115128541.239998</v>
      </c>
      <c r="O8" s="323"/>
      <c r="P8" s="324">
        <f t="shared" si="4"/>
        <v>0</v>
      </c>
      <c r="Q8" s="322">
        <f t="shared" si="4"/>
        <v>0</v>
      </c>
      <c r="S8" s="684" t="str">
        <f>+IF(MAYO!S8=0,"",MAYO!S8)</f>
        <v/>
      </c>
      <c r="T8" s="658" t="str">
        <f>+IF(MAYO!T8=0,"",MAYO!T8)</f>
        <v>GASTOS</v>
      </c>
      <c r="U8" s="325">
        <f>U10+U193+U220+U232</f>
        <v>66420360605</v>
      </c>
      <c r="V8" s="326">
        <f t="shared" ref="V8:AJ8" si="5">V10+V193+V220+V232</f>
        <v>0</v>
      </c>
      <c r="W8" s="326">
        <f t="shared" si="5"/>
        <v>37181986823</v>
      </c>
      <c r="X8" s="327">
        <f t="shared" si="5"/>
        <v>103602347428</v>
      </c>
      <c r="Y8" s="328">
        <f t="shared" si="5"/>
        <v>66306129768</v>
      </c>
      <c r="Z8" s="326">
        <f t="shared" si="5"/>
        <v>11463920879</v>
      </c>
      <c r="AA8" s="327">
        <f t="shared" si="5"/>
        <v>77770050647</v>
      </c>
      <c r="AB8" s="328">
        <f t="shared" si="5"/>
        <v>43519945644</v>
      </c>
      <c r="AC8" s="326">
        <f t="shared" si="5"/>
        <v>6551638001</v>
      </c>
      <c r="AD8" s="327">
        <f t="shared" si="5"/>
        <v>50071583645</v>
      </c>
      <c r="AE8" s="328">
        <f t="shared" si="5"/>
        <v>29134345925</v>
      </c>
      <c r="AF8" s="326">
        <f t="shared" si="5"/>
        <v>4118659155</v>
      </c>
      <c r="AG8" s="327">
        <f t="shared" si="5"/>
        <v>33253005080</v>
      </c>
      <c r="AH8" s="328">
        <f t="shared" si="5"/>
        <v>25832296781</v>
      </c>
      <c r="AI8" s="326">
        <f t="shared" si="5"/>
        <v>53530763783</v>
      </c>
      <c r="AJ8" s="329">
        <f t="shared" si="5"/>
        <v>70349342348</v>
      </c>
      <c r="AL8" s="330">
        <f>AL10+AL193+AL220+AL232</f>
        <v>0</v>
      </c>
      <c r="AM8" s="331">
        <f>AM10+AM193+AM220+AM232</f>
        <v>0</v>
      </c>
      <c r="AO8" s="21"/>
      <c r="AP8" s="11" t="s">
        <v>56</v>
      </c>
      <c r="AQ8" s="12">
        <f>F25</f>
        <v>39759102891</v>
      </c>
      <c r="AR8" s="12">
        <f>I25</f>
        <v>24230384722</v>
      </c>
      <c r="AS8" s="12">
        <f>L25</f>
        <v>15941049008</v>
      </c>
      <c r="AT8" s="13"/>
      <c r="AU8" s="332">
        <f t="shared" si="0"/>
        <v>0.60942986536763311</v>
      </c>
      <c r="AV8" s="332">
        <f t="shared" si="1"/>
        <v>0.40094086256680778</v>
      </c>
      <c r="AW8" s="12">
        <f>I26/AO$2*12+I27</f>
        <v>40650099101</v>
      </c>
      <c r="AX8" s="12">
        <f>L26/AO$2*12+L27</f>
        <v>24071427673</v>
      </c>
      <c r="AY8" s="12">
        <f t="shared" si="2"/>
        <v>890996210</v>
      </c>
      <c r="AZ8" s="333">
        <f t="shared" si="3"/>
        <v>-15687675218</v>
      </c>
      <c r="BB8" s="140" t="s">
        <v>57</v>
      </c>
      <c r="BC8" s="65">
        <f>BC9+BC19</f>
        <v>81575883736</v>
      </c>
      <c r="BD8" s="66">
        <f>BD9+BD19</f>
        <v>43689114732</v>
      </c>
      <c r="BE8" s="67">
        <f>BE9+BE19</f>
        <v>11175052998</v>
      </c>
      <c r="BF8" s="53">
        <f>MARZO!BF8+ABRIL!BE8+MAYO!BE8+JUNIO!BE8</f>
        <v>26202300887.07</v>
      </c>
      <c r="BG8" s="68" t="s">
        <v>58</v>
      </c>
      <c r="BH8" s="69">
        <f>BN9+BN13</f>
        <v>9982915508</v>
      </c>
      <c r="BI8" s="69">
        <f>BO9+BO13</f>
        <v>2469843644</v>
      </c>
      <c r="BJ8" s="69">
        <f>BP9+BP13</f>
        <v>2469843644</v>
      </c>
      <c r="BK8" s="69">
        <f>BQ9+BQ13</f>
        <v>561876416</v>
      </c>
      <c r="BL8" s="40">
        <f>+BK8+MAYO!BK8+ABRIL!BK8+MARZO!BL8</f>
        <v>2427494584</v>
      </c>
      <c r="BM8" s="71" t="s">
        <v>59</v>
      </c>
      <c r="BN8" s="72">
        <f>BN9+BN14+BN13</f>
        <v>32450468891</v>
      </c>
      <c r="BO8" s="69">
        <f>BO9+BO14+BO13</f>
        <v>24520896346</v>
      </c>
      <c r="BP8" s="69">
        <f>BP9+BP14+BP13</f>
        <v>13459534633</v>
      </c>
      <c r="BQ8" s="70">
        <f>BQ9+BQ14+BQ13</f>
        <v>1473718479</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10928050263</v>
      </c>
      <c r="AR9" s="12">
        <f>I28+I75</f>
        <v>7854198801</v>
      </c>
      <c r="AS9" s="12">
        <f>L28+L75</f>
        <v>2700499218</v>
      </c>
      <c r="AT9" s="13"/>
      <c r="AU9" s="340">
        <f t="shared" si="0"/>
        <v>0.71871913213948213</v>
      </c>
      <c r="AV9" s="340">
        <f t="shared" si="1"/>
        <v>0.24711628817661122</v>
      </c>
      <c r="AW9" s="341">
        <f>(I30+I33+I36+I76)/AO$2*12+I31+I34+I37+I38+I39+I40+I77</f>
        <v>13532083971</v>
      </c>
      <c r="AX9" s="341">
        <f>(L30+L33+L36+L76)/AO$2*12+L31+L34+L37+L38+L39+L40+L77</f>
        <v>3224684805</v>
      </c>
      <c r="AY9" s="341">
        <f t="shared" si="2"/>
        <v>2604033708</v>
      </c>
      <c r="AZ9" s="342">
        <f t="shared" si="3"/>
        <v>-7703365458</v>
      </c>
      <c r="BB9" s="343" t="s">
        <v>412</v>
      </c>
      <c r="BC9" s="73">
        <f>BC10+BC18</f>
        <v>81477711613</v>
      </c>
      <c r="BD9" s="74">
        <f>BD10+BD18</f>
        <v>43626758191</v>
      </c>
      <c r="BE9" s="75">
        <f>BE10+BE18</f>
        <v>11173818706</v>
      </c>
      <c r="BF9" s="53">
        <f>MARZO!BF9+ABRIL!BE9+MAYO!BE9+JUNIO!BE9</f>
        <v>26184765014.07</v>
      </c>
      <c r="BG9" s="77" t="s">
        <v>62</v>
      </c>
      <c r="BH9" s="78">
        <f t="shared" ref="BH9:BK10" si="6">BN14</f>
        <v>22467553383</v>
      </c>
      <c r="BI9" s="78">
        <f t="shared" si="6"/>
        <v>22051052702</v>
      </c>
      <c r="BJ9" s="78">
        <f t="shared" si="6"/>
        <v>10989690989</v>
      </c>
      <c r="BK9" s="78">
        <f t="shared" si="6"/>
        <v>911842063</v>
      </c>
      <c r="BL9" s="40">
        <f>+BK9+MAYO!BK9+ABRIL!BK9+MARZO!BL9</f>
        <v>4085191925</v>
      </c>
      <c r="BM9" s="137" t="s">
        <v>63</v>
      </c>
      <c r="BN9" s="80">
        <f>SUM(BN10:BN12)</f>
        <v>6068685503</v>
      </c>
      <c r="BO9" s="78">
        <f>SUM(BO10:BO12)</f>
        <v>1951615373</v>
      </c>
      <c r="BP9" s="78">
        <f>SUM(BP10:BP12)</f>
        <v>1951615373</v>
      </c>
      <c r="BQ9" s="79">
        <f>SUM(BQ10:BQ12)</f>
        <v>467473048</v>
      </c>
    </row>
    <row r="10" spans="1:69" s="9" customFormat="1" ht="24.95" customHeight="1">
      <c r="A10" s="712">
        <f>+IF(MAYO!A10=0,"",MAYO!A10)</f>
        <v>10</v>
      </c>
      <c r="B10" s="620" t="str">
        <f>+IF(MAYO!B10=0,"",MAYO!B10)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346">
        <f t="shared" si="7"/>
        <v>10176865038</v>
      </c>
      <c r="J10" s="174">
        <f t="shared" si="7"/>
        <v>10176865038</v>
      </c>
      <c r="K10" s="344">
        <f t="shared" si="7"/>
        <v>0</v>
      </c>
      <c r="L10" s="175">
        <f t="shared" si="7"/>
        <v>10176865038</v>
      </c>
      <c r="M10" s="174">
        <f t="shared" si="7"/>
        <v>0</v>
      </c>
      <c r="N10" s="175">
        <f t="shared" si="7"/>
        <v>0</v>
      </c>
      <c r="O10" s="13"/>
      <c r="P10" s="174">
        <f>SUM(P12:P15)</f>
        <v>0</v>
      </c>
      <c r="Q10" s="175">
        <f>SUM(Q12:Q15)</f>
        <v>0</v>
      </c>
      <c r="S10" s="347" t="str">
        <f>+IF(MAYO!S10=0,"",MAYO!S10)</f>
        <v>A</v>
      </c>
      <c r="T10" s="659" t="str">
        <f>+IF(MAYO!T10=0,"",MAYO!T10)</f>
        <v>GASTOS DE FUNCIONAMIENTO</v>
      </c>
      <c r="U10" s="348">
        <f>U12+U110+U170</f>
        <v>50109343517</v>
      </c>
      <c r="V10" s="349">
        <f t="shared" ref="V10:AJ10" si="8">V12+V110+V170</f>
        <v>-1795000000</v>
      </c>
      <c r="W10" s="349">
        <f t="shared" si="8"/>
        <v>3823182074</v>
      </c>
      <c r="X10" s="352">
        <f t="shared" si="8"/>
        <v>52137525591</v>
      </c>
      <c r="Y10" s="351">
        <f t="shared" si="8"/>
        <v>38385660467</v>
      </c>
      <c r="Z10" s="349">
        <f t="shared" si="8"/>
        <v>1760775670</v>
      </c>
      <c r="AA10" s="352">
        <f t="shared" si="8"/>
        <v>40146436137</v>
      </c>
      <c r="AB10" s="351">
        <f t="shared" si="8"/>
        <v>22420532208</v>
      </c>
      <c r="AC10" s="349">
        <f t="shared" si="8"/>
        <v>3754073552</v>
      </c>
      <c r="AD10" s="352">
        <f t="shared" si="8"/>
        <v>26174605760</v>
      </c>
      <c r="AE10" s="351">
        <f t="shared" si="8"/>
        <v>14646089937</v>
      </c>
      <c r="AF10" s="349">
        <f t="shared" si="8"/>
        <v>2466831865</v>
      </c>
      <c r="AG10" s="352">
        <f t="shared" si="8"/>
        <v>17112921802</v>
      </c>
      <c r="AH10" s="351">
        <f t="shared" si="8"/>
        <v>11991089454</v>
      </c>
      <c r="AI10" s="349">
        <f t="shared" si="8"/>
        <v>25962919831</v>
      </c>
      <c r="AJ10" s="350">
        <f t="shared" si="8"/>
        <v>35024603789</v>
      </c>
      <c r="AL10" s="353">
        <f>AL12+AL110+AL170</f>
        <v>-495000000</v>
      </c>
      <c r="AM10" s="354">
        <f>AM12+AM110+AM170</f>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65494812540</v>
      </c>
      <c r="BD10" s="74">
        <f>BD11+BD12+BD13+BD14+BD16+BD17+BD15</f>
        <v>32272313769</v>
      </c>
      <c r="BE10" s="75">
        <f>BE11+BE12+BE13+BE14+BE16+BE17+BE15</f>
        <v>3173818706</v>
      </c>
      <c r="BF10" s="53">
        <f>MARZO!BF10+ABRIL!BE10+MAYO!BE10+JUNIO!BE10</f>
        <v>14830320592.07</v>
      </c>
      <c r="BG10" s="68" t="s">
        <v>66</v>
      </c>
      <c r="BH10" s="81">
        <f t="shared" si="6"/>
        <v>10640819527</v>
      </c>
      <c r="BI10" s="81">
        <f t="shared" si="6"/>
        <v>7970833367</v>
      </c>
      <c r="BJ10" s="81">
        <f t="shared" si="6"/>
        <v>5060364703</v>
      </c>
      <c r="BK10" s="81">
        <f t="shared" si="6"/>
        <v>612994752</v>
      </c>
      <c r="BL10" s="40">
        <f>+BK10+MAYO!BK10+ABRIL!BK10+MARZO!BL10</f>
        <v>2964677693</v>
      </c>
      <c r="BM10" s="134" t="s">
        <v>425</v>
      </c>
      <c r="BN10" s="83">
        <f>X17+X66</f>
        <v>4209004812</v>
      </c>
      <c r="BO10" s="81">
        <f>AA17+AA66</f>
        <v>1643988503</v>
      </c>
      <c r="BP10" s="81">
        <f>AD17+AD66</f>
        <v>1643988503</v>
      </c>
      <c r="BQ10" s="82">
        <f>AF17+AF66</f>
        <v>292637595</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222386275</v>
      </c>
      <c r="AR11" s="12">
        <f>I88</f>
        <v>131092295</v>
      </c>
      <c r="AS11" s="12">
        <f>L88</f>
        <v>131092295</v>
      </c>
      <c r="AT11" s="361">
        <f>AO2/12</f>
        <v>0.5</v>
      </c>
      <c r="AU11" s="340">
        <f t="shared" si="0"/>
        <v>0.58948015114691765</v>
      </c>
      <c r="AV11" s="340">
        <f t="shared" si="1"/>
        <v>0.58948015114691765</v>
      </c>
      <c r="AW11" s="341">
        <f>I88</f>
        <v>131092295</v>
      </c>
      <c r="AX11" s="341">
        <f>L88</f>
        <v>131092295</v>
      </c>
      <c r="AY11" s="341">
        <f t="shared" si="2"/>
        <v>-91293980</v>
      </c>
      <c r="AZ11" s="342">
        <f t="shared" si="3"/>
        <v>-91293980</v>
      </c>
      <c r="BB11" s="355" t="s">
        <v>414</v>
      </c>
      <c r="BC11" s="73">
        <f>F26</f>
        <v>32167564656</v>
      </c>
      <c r="BD11" s="74">
        <f>I26</f>
        <v>16419714379</v>
      </c>
      <c r="BE11" s="75">
        <f>K26</f>
        <v>2838955914</v>
      </c>
      <c r="BF11" s="53">
        <f>MARZO!BF11+ABRIL!BE11+MAYO!BE11+JUNIO!BE11</f>
        <v>8130378665</v>
      </c>
      <c r="BG11" s="68" t="s">
        <v>67</v>
      </c>
      <c r="BH11" s="84">
        <f>BN22</f>
        <v>1282354144</v>
      </c>
      <c r="BI11" s="84">
        <f>BO22</f>
        <v>573547035</v>
      </c>
      <c r="BJ11" s="84">
        <f>BP22</f>
        <v>573547035</v>
      </c>
      <c r="BK11" s="84">
        <f>BQ22</f>
        <v>119750014</v>
      </c>
      <c r="BL11" s="40">
        <f>+BK11+MAYO!BK11+ABRIL!BK11+MARZO!BL11</f>
        <v>554398211</v>
      </c>
      <c r="BM11" s="135" t="s">
        <v>426</v>
      </c>
      <c r="BN11" s="86">
        <f>X18+X67</f>
        <v>336902465</v>
      </c>
      <c r="BO11" s="84">
        <f>AA18+AA67</f>
        <v>57734127</v>
      </c>
      <c r="BP11" s="84">
        <f>AD18+AD67</f>
        <v>57734127</v>
      </c>
      <c r="BQ11" s="85">
        <f>AF18+AF67</f>
        <v>10706039</v>
      </c>
    </row>
    <row r="12" spans="1:69" s="9" customFormat="1" ht="24.95" customHeight="1">
      <c r="A12" s="593">
        <f>+IF(MAYO!A12=0,"",MAYO!A12)</f>
        <v>1001</v>
      </c>
      <c r="B12" s="621" t="str">
        <f>+IF(MAYO!B12=0,"",MAYO!B12)</f>
        <v>Bienestar Social (Caja, Bancos, Inversiones Tempor.) a Dic-31-2018</v>
      </c>
      <c r="C12" s="655">
        <f>+ENERO!C12</f>
        <v>0</v>
      </c>
      <c r="D12" s="363">
        <f>MAYO!D12+JUNIO!P12</f>
        <v>0</v>
      </c>
      <c r="E12" s="363">
        <f>MAYO!E12+JUNIO!Q12</f>
        <v>0</v>
      </c>
      <c r="F12" s="143">
        <f>SUM(C12:E12)</f>
        <v>0</v>
      </c>
      <c r="G12" s="216">
        <f>MAYO!I12</f>
        <v>0</v>
      </c>
      <c r="H12" s="364">
        <v>0</v>
      </c>
      <c r="I12" s="143">
        <f>SUM(G12:H12)</f>
        <v>0</v>
      </c>
      <c r="J12" s="216">
        <f>MAYO!L12</f>
        <v>0</v>
      </c>
      <c r="K12" s="131">
        <f>+H12</f>
        <v>0</v>
      </c>
      <c r="L12" s="143">
        <f>SUM(J12:K12)</f>
        <v>0</v>
      </c>
      <c r="M12" s="216">
        <f>F12-I12</f>
        <v>0</v>
      </c>
      <c r="N12" s="143">
        <f>F12-L12</f>
        <v>0</v>
      </c>
      <c r="O12" s="284"/>
      <c r="P12" s="362">
        <v>0</v>
      </c>
      <c r="Q12" s="365">
        <v>0</v>
      </c>
      <c r="S12" s="685">
        <f>+IF(MAYO!S12=0,"",MAYO!S12)</f>
        <v>1000000</v>
      </c>
      <c r="T12" s="661" t="str">
        <f>+IF(MAYO!T12=0,"",MAYO!T12)</f>
        <v>GASTOS DE PERSONAL</v>
      </c>
      <c r="U12" s="366">
        <f t="shared" ref="U12:AJ12" si="9">U14+U63</f>
        <v>36893269846</v>
      </c>
      <c r="V12" s="367">
        <f t="shared" si="9"/>
        <v>-514000000</v>
      </c>
      <c r="W12" s="367">
        <f t="shared" si="9"/>
        <v>1873182074</v>
      </c>
      <c r="X12" s="368">
        <f t="shared" si="9"/>
        <v>38252451920</v>
      </c>
      <c r="Y12" s="353">
        <f t="shared" si="9"/>
        <v>28863284456</v>
      </c>
      <c r="Z12" s="367">
        <f t="shared" si="9"/>
        <v>947732432</v>
      </c>
      <c r="AA12" s="368">
        <f t="shared" si="9"/>
        <v>29811016888</v>
      </c>
      <c r="AB12" s="353">
        <f t="shared" si="9"/>
        <v>16085876344</v>
      </c>
      <c r="AC12" s="367">
        <f t="shared" si="9"/>
        <v>2663778831</v>
      </c>
      <c r="AD12" s="368">
        <f t="shared" si="9"/>
        <v>18749655175</v>
      </c>
      <c r="AE12" s="353">
        <f t="shared" si="9"/>
        <v>10135879585</v>
      </c>
      <c r="AF12" s="367">
        <f t="shared" si="9"/>
        <v>1666927466</v>
      </c>
      <c r="AG12" s="368">
        <f t="shared" si="9"/>
        <v>11802807051</v>
      </c>
      <c r="AH12" s="353">
        <f t="shared" si="9"/>
        <v>8441435032</v>
      </c>
      <c r="AI12" s="367">
        <f t="shared" si="9"/>
        <v>19502796745</v>
      </c>
      <c r="AJ12" s="354">
        <f t="shared" si="9"/>
        <v>26449644869</v>
      </c>
      <c r="AK12" s="10"/>
      <c r="AL12" s="369">
        <f>AL14+AL63</f>
        <v>-514000000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3087894380</v>
      </c>
      <c r="BD12" s="74">
        <f>I23</f>
        <v>1419579382</v>
      </c>
      <c r="BE12" s="75">
        <f>K23</f>
        <v>45186883</v>
      </c>
      <c r="BF12" s="53">
        <f>MARZO!BF12+ABRIL!BE12+MAYO!BE12+JUNIO!BE12</f>
        <v>182906406</v>
      </c>
      <c r="BG12" s="371" t="s">
        <v>383</v>
      </c>
      <c r="BH12" s="84">
        <f>BN25</f>
        <v>13490718637</v>
      </c>
      <c r="BI12" s="84">
        <f>BO25</f>
        <v>12496012245</v>
      </c>
      <c r="BJ12" s="84">
        <f>BP25</f>
        <v>9689251560</v>
      </c>
      <c r="BK12" s="84">
        <f>BQ25</f>
        <v>583778324</v>
      </c>
      <c r="BL12" s="40">
        <f>+BK12+MAYO!BK12+ABRIL!BK12+MARZO!BL12</f>
        <v>3455950756</v>
      </c>
      <c r="BM12" s="136" t="s">
        <v>427</v>
      </c>
      <c r="BN12" s="86">
        <f>X16+X65-X81-X33-BN10-BN11</f>
        <v>1522778226</v>
      </c>
      <c r="BO12" s="84">
        <f>AA16+AA65-AA81-AA33-BO10-BO11</f>
        <v>249892743</v>
      </c>
      <c r="BP12" s="84">
        <f>AD16+AD65-AD81-AD33-BP10-BP11</f>
        <v>249892743</v>
      </c>
      <c r="BQ12" s="85">
        <f>AF16+AF65-AF81-AF33-BQ10-BQ11</f>
        <v>164129414</v>
      </c>
    </row>
    <row r="13" spans="1:69" s="9" customFormat="1" ht="24.95" customHeight="1">
      <c r="A13" s="593">
        <f>+IF(MAYO!A13=0,"",MAYO!A13)</f>
        <v>1002</v>
      </c>
      <c r="B13" s="621" t="str">
        <f>+IF(MAYO!B13=0,"",MAYO!B13)</f>
        <v>Fondo Vivienda (Caja, Bancos, Inversiones Tempor.) a Dic-31-2018</v>
      </c>
      <c r="C13" s="655">
        <f>+ENERO!C13</f>
        <v>0</v>
      </c>
      <c r="D13" s="363">
        <f>MAYO!D13+JUNIO!P13</f>
        <v>0</v>
      </c>
      <c r="E13" s="363">
        <f>MAYO!E13+JUNIO!Q13</f>
        <v>0</v>
      </c>
      <c r="F13" s="143">
        <f>SUM(C13:E13)</f>
        <v>0</v>
      </c>
      <c r="G13" s="216">
        <f>MAYO!I13</f>
        <v>0</v>
      </c>
      <c r="H13" s="364">
        <v>0</v>
      </c>
      <c r="I13" s="143">
        <f>SUM(G13:H13)</f>
        <v>0</v>
      </c>
      <c r="J13" s="216">
        <f>MAYO!L13</f>
        <v>0</v>
      </c>
      <c r="K13" s="131">
        <f>+H13</f>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6002237649</v>
      </c>
      <c r="BE13" s="89">
        <f>+K30+K33+K36+K38+K39+K40</f>
        <v>110396695</v>
      </c>
      <c r="BF13" s="53">
        <f>MARZO!BF13+ABRIL!BE13+MAYO!BE13+JUNIO!BE13</f>
        <v>960489592</v>
      </c>
      <c r="BG13" s="91" t="s">
        <v>70</v>
      </c>
      <c r="BH13" s="84">
        <f t="shared" ref="BH13:BK15" si="10">BN29</f>
        <v>26829618396</v>
      </c>
      <c r="BI13" s="84">
        <f t="shared" si="10"/>
        <v>19062925858</v>
      </c>
      <c r="BJ13" s="84">
        <f t="shared" si="10"/>
        <v>8143049918</v>
      </c>
      <c r="BK13" s="84">
        <f t="shared" si="10"/>
        <v>930649839</v>
      </c>
      <c r="BL13" s="40">
        <f>+BK13+MAYO!BK13+ABRIL!BK13+MARZO!BL13</f>
        <v>6644981677</v>
      </c>
      <c r="BM13" s="139" t="s">
        <v>428</v>
      </c>
      <c r="BN13" s="83">
        <f>X43-X55+X57-X61+X90-X102+X104-X108</f>
        <v>3914230005</v>
      </c>
      <c r="BO13" s="81">
        <f>AA43-AA55+AA57-AA61+AA90-AA102+AA104-AA108</f>
        <v>518228271</v>
      </c>
      <c r="BP13" s="81">
        <f>AD43-AD55+AD57-AD61+AD90-AD102+AD104-AD108</f>
        <v>518228271</v>
      </c>
      <c r="BQ13" s="82">
        <f>AF43-AF55+AF57-AF61+AF90-AF102+AF104-AF108</f>
        <v>94403368</v>
      </c>
    </row>
    <row r="14" spans="1:69" s="9" customFormat="1" ht="24.95" customHeight="1">
      <c r="A14" s="593">
        <f>+IF(MAYO!A14=0,"",MAYO!A14)</f>
        <v>1003</v>
      </c>
      <c r="B14" s="621" t="str">
        <f>+IF(MAYO!B14=0,"",MAYO!B14)</f>
        <v>Fondos Comunes y Especiales (Caja, Bancos, Invers. Tempor.) a Dic-31-2018</v>
      </c>
      <c r="C14" s="655">
        <f>+ENERO!C14</f>
        <v>4565434734</v>
      </c>
      <c r="D14" s="363">
        <f>MAYO!D14+JUNIO!P14</f>
        <v>0</v>
      </c>
      <c r="E14" s="363">
        <f>MAYO!E14+JUNIO!Q14</f>
        <v>5318248230</v>
      </c>
      <c r="F14" s="143">
        <f>SUM(C14:E14)</f>
        <v>9883682964</v>
      </c>
      <c r="G14" s="216">
        <f>MAYO!I14</f>
        <v>9883682964</v>
      </c>
      <c r="H14" s="364">
        <v>0</v>
      </c>
      <c r="I14" s="143">
        <f>SUM(G14:H14)</f>
        <v>9883682964</v>
      </c>
      <c r="J14" s="216">
        <f>MAYO!L14</f>
        <v>9883682964</v>
      </c>
      <c r="K14" s="131">
        <f>+H14</f>
        <v>0</v>
      </c>
      <c r="L14" s="143">
        <f>SUM(J14:K14)</f>
        <v>9883682964</v>
      </c>
      <c r="M14" s="216">
        <f>F14-I14</f>
        <v>0</v>
      </c>
      <c r="N14" s="143">
        <f>F14-L14</f>
        <v>0</v>
      </c>
      <c r="O14" s="372"/>
      <c r="P14" s="362">
        <v>0</v>
      </c>
      <c r="Q14" s="365">
        <v>0</v>
      </c>
      <c r="S14" s="686">
        <f>+IF(MAYO!S14=0,"",MAYO!S14)</f>
        <v>1010000</v>
      </c>
      <c r="T14" s="662" t="str">
        <f>+IF(MAYO!T14=0,"",MAYO!T14)</f>
        <v>Gastos de Administración</v>
      </c>
      <c r="U14" s="132">
        <f t="shared" ref="U14:AJ14" si="11">U16+U35+U43+U57</f>
        <v>6899222078</v>
      </c>
      <c r="V14" s="122">
        <f t="shared" si="11"/>
        <v>72498932</v>
      </c>
      <c r="W14" s="122">
        <f t="shared" si="11"/>
        <v>220000000</v>
      </c>
      <c r="X14" s="129">
        <f t="shared" si="11"/>
        <v>7191721010</v>
      </c>
      <c r="Y14" s="128">
        <f t="shared" si="11"/>
        <v>5206368026</v>
      </c>
      <c r="Z14" s="122">
        <f t="shared" si="11"/>
        <v>227773644</v>
      </c>
      <c r="AA14" s="129">
        <f t="shared" si="11"/>
        <v>5434141670</v>
      </c>
      <c r="AB14" s="128">
        <f t="shared" si="11"/>
        <v>3011315617</v>
      </c>
      <c r="AC14" s="122">
        <f t="shared" si="11"/>
        <v>550373749</v>
      </c>
      <c r="AD14" s="129">
        <f t="shared" si="11"/>
        <v>3561689366</v>
      </c>
      <c r="AE14" s="128">
        <f t="shared" si="11"/>
        <v>2502103274</v>
      </c>
      <c r="AF14" s="122">
        <f t="shared" si="11"/>
        <v>228619702</v>
      </c>
      <c r="AG14" s="129">
        <f t="shared" si="11"/>
        <v>2730722976</v>
      </c>
      <c r="AH14" s="128">
        <f t="shared" si="11"/>
        <v>1757579340</v>
      </c>
      <c r="AI14" s="122">
        <f t="shared" si="11"/>
        <v>3630031644</v>
      </c>
      <c r="AJ14" s="130">
        <f t="shared" si="11"/>
        <v>4460998034</v>
      </c>
      <c r="AK14" s="10"/>
      <c r="AL14" s="128">
        <f>AL16+AL35+AL43+AL57</f>
        <v>0</v>
      </c>
      <c r="AM14" s="130">
        <f>AM16+AM35+AM43+AM57</f>
        <v>0</v>
      </c>
      <c r="AO14" s="21"/>
      <c r="AP14" s="11" t="s">
        <v>73</v>
      </c>
      <c r="AQ14" s="12">
        <f>F19-AQ7-AQ8-AQ9-AQ10-AQ11-AQ12-AQ13</f>
        <v>22671459911</v>
      </c>
      <c r="AR14" s="12">
        <f>I19-AR7-AR8-AR9-AR10-AR11-AR12-AR13</f>
        <v>10095403597</v>
      </c>
      <c r="AS14" s="12">
        <f>L19-AS7-AS8-AS9-AS10-AS11-AS12-AS13</f>
        <v>7333118692.7599983</v>
      </c>
      <c r="AT14" s="372"/>
      <c r="AU14" s="340">
        <f t="shared" si="0"/>
        <v>0.44529128854652167</v>
      </c>
      <c r="AV14" s="340">
        <f t="shared" si="1"/>
        <v>0.32345154310958296</v>
      </c>
      <c r="AW14" s="341">
        <f>(I41+I46+I49+I52+I55+I58+I61+I64+I67+I70+I73+I78+I81+I82+I83+I85+I94+I104)/AO$2*12+I47+I50+I53+I56+I59+I62+I65+I68+I71+I74</f>
        <v>41282015716</v>
      </c>
      <c r="AX14" s="341">
        <f>(L41+L46+L49+L52+L55+L58+L61+L64+L67+L70+L73+L78+L81+L82+L83+L85+L94+L104)/AO$2*12+L47+L50+L53+L56+L59+L62+L65+L68+L71+L74</f>
        <v>35667804571.830002</v>
      </c>
      <c r="AY14" s="341">
        <f t="shared" si="2"/>
        <v>18610555805</v>
      </c>
      <c r="AZ14" s="342">
        <f t="shared" si="3"/>
        <v>12996344660.830002</v>
      </c>
      <c r="BB14" s="373" t="s">
        <v>417</v>
      </c>
      <c r="BC14" s="92">
        <f>+F64</f>
        <v>8371510292</v>
      </c>
      <c r="BD14" s="93">
        <f>+I64</f>
        <v>2856614454</v>
      </c>
      <c r="BE14" s="94">
        <f>K64</f>
        <v>123863707</v>
      </c>
      <c r="BF14" s="53">
        <f>MARZO!BF14+ABRIL!BE14+MAYO!BE14+JUNIO!BE14</f>
        <v>1214650075.0699999</v>
      </c>
      <c r="BG14" s="91" t="s">
        <v>74</v>
      </c>
      <c r="BH14" s="81">
        <f t="shared" si="10"/>
        <v>262344980</v>
      </c>
      <c r="BI14" s="81">
        <f t="shared" si="10"/>
        <v>154902477</v>
      </c>
      <c r="BJ14" s="81">
        <f t="shared" si="10"/>
        <v>154902477</v>
      </c>
      <c r="BK14" s="81">
        <f t="shared" si="10"/>
        <v>25585532</v>
      </c>
      <c r="BL14" s="40">
        <f>+BK14+MAYO!BK14+ABRIL!BK14+MARZO!BL14</f>
        <v>129376915</v>
      </c>
      <c r="BM14" s="138" t="s">
        <v>424</v>
      </c>
      <c r="BN14" s="86">
        <f>X35-X41+X83-X88</f>
        <v>22467553383</v>
      </c>
      <c r="BO14" s="84">
        <f>AA35-AA41+AA83-AA88</f>
        <v>22051052702</v>
      </c>
      <c r="BP14" s="84">
        <f>AD35-AD41+AD83-AD88</f>
        <v>10989690989</v>
      </c>
      <c r="BQ14" s="85">
        <f>AF35-AF41+AF83-AF88</f>
        <v>911842063</v>
      </c>
    </row>
    <row r="15" spans="1:69" s="9" customFormat="1" ht="24.95" customHeight="1" thickBot="1">
      <c r="A15" s="594">
        <f>+IF(MAYO!A15=0,"",MAYO!A15)</f>
        <v>1004</v>
      </c>
      <c r="B15" s="621" t="str">
        <f>+IF(MAYO!B15=0,"",MAYO!B15)</f>
        <v>Cesantias Ley 50/1990 a Dic-31-2018</v>
      </c>
      <c r="C15" s="759">
        <f>+ENERO!C15</f>
        <v>280000000</v>
      </c>
      <c r="D15" s="375">
        <f>MAYO!D15+JUNIO!P15</f>
        <v>0</v>
      </c>
      <c r="E15" s="375">
        <f>MAYO!E15+JUNIO!Q15</f>
        <v>13182074</v>
      </c>
      <c r="F15" s="376">
        <f>SUM(C15:E15)</f>
        <v>293182074</v>
      </c>
      <c r="G15" s="377">
        <f>MAYO!I15</f>
        <v>293182074</v>
      </c>
      <c r="H15" s="378">
        <v>0</v>
      </c>
      <c r="I15" s="376">
        <f>SUM(G15:H15)</f>
        <v>293182074</v>
      </c>
      <c r="J15" s="377">
        <f>MAYO!L15</f>
        <v>293182074</v>
      </c>
      <c r="K15" s="165">
        <f>+H15</f>
        <v>0</v>
      </c>
      <c r="L15" s="376">
        <f>SUM(J15:K15)</f>
        <v>293182074</v>
      </c>
      <c r="M15" s="377">
        <f>F15-I15</f>
        <v>0</v>
      </c>
      <c r="N15" s="376">
        <f>F15-L15</f>
        <v>0</v>
      </c>
      <c r="O15" s="372"/>
      <c r="P15" s="374">
        <v>0</v>
      </c>
      <c r="Q15" s="379">
        <v>0</v>
      </c>
      <c r="S15" s="356" t="str">
        <f>+IF(MAYO!S15=0,"",MAYO!S15)</f>
        <v/>
      </c>
      <c r="T15" s="678" t="str">
        <f>+IF(MAYO!T15=0,"",MAYO!T15)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203293306</v>
      </c>
      <c r="AR15" s="12">
        <f>I113</f>
        <v>127213347</v>
      </c>
      <c r="AS15" s="12">
        <f>L113</f>
        <v>127213347</v>
      </c>
      <c r="AT15" s="13"/>
      <c r="AU15" s="332">
        <f t="shared" si="0"/>
        <v>0.62576259643295884</v>
      </c>
      <c r="AV15" s="332">
        <f t="shared" si="1"/>
        <v>0.62576259643295884</v>
      </c>
      <c r="AW15" s="12">
        <f>+AR15</f>
        <v>127213347</v>
      </c>
      <c r="AX15" s="12">
        <f>+AS15</f>
        <v>127213347</v>
      </c>
      <c r="AY15" s="12">
        <f t="shared" si="2"/>
        <v>-76079959</v>
      </c>
      <c r="AZ15" s="333">
        <f t="shared" si="3"/>
        <v>-76079959</v>
      </c>
      <c r="BA15" s="372"/>
      <c r="BB15" s="373" t="s">
        <v>77</v>
      </c>
      <c r="BC15" s="92">
        <f>F46+F49</f>
        <v>130489617</v>
      </c>
      <c r="BD15" s="93">
        <f>I46+I49</f>
        <v>421461909</v>
      </c>
      <c r="BE15" s="94">
        <f>K46+K49</f>
        <v>0</v>
      </c>
      <c r="BF15" s="53">
        <f>MARZO!BF15+ABRIL!BE15+MAYO!BE15+JUNIO!BE15</f>
        <v>0</v>
      </c>
      <c r="BG15" s="91" t="s">
        <v>78</v>
      </c>
      <c r="BH15" s="81">
        <f t="shared" si="10"/>
        <v>18646022853</v>
      </c>
      <c r="BI15" s="81">
        <f t="shared" si="10"/>
        <v>12990933319</v>
      </c>
      <c r="BJ15" s="81">
        <f t="shared" si="10"/>
        <v>12990933319</v>
      </c>
      <c r="BK15" s="81">
        <f t="shared" si="10"/>
        <v>372182215</v>
      </c>
      <c r="BL15" s="40">
        <f>+BK15+MAYO!BK15+ABRIL!BK15+MARZO!BL15</f>
        <v>12990933319</v>
      </c>
      <c r="BM15" s="71" t="s">
        <v>66</v>
      </c>
      <c r="BN15" s="83">
        <f>SUM(BN16:BN21)</f>
        <v>10640819527</v>
      </c>
      <c r="BO15" s="81">
        <f>SUM(BO16:BO21)</f>
        <v>7970833367</v>
      </c>
      <c r="BP15" s="81">
        <f>SUM(BP16:BP21)</f>
        <v>5060364703</v>
      </c>
      <c r="BQ15" s="82">
        <f>SUM(BQ16:BQ21)</f>
        <v>612994752</v>
      </c>
    </row>
    <row r="16" spans="1:69" s="9" customFormat="1" ht="24.95" customHeight="1" thickBot="1">
      <c r="A16" s="713" t="str">
        <f>+IF(MAYO!A16=0,"",MAYO!A16)</f>
        <v/>
      </c>
      <c r="B16" s="622" t="str">
        <f>+IF(MAYO!B16=0,"",MAYO!B16)</f>
        <v/>
      </c>
      <c r="C16" s="380"/>
      <c r="D16" s="380"/>
      <c r="E16" s="380"/>
      <c r="F16" s="380"/>
      <c r="G16" s="380"/>
      <c r="H16" s="380"/>
      <c r="I16" s="380"/>
      <c r="J16" s="380"/>
      <c r="K16" s="380"/>
      <c r="L16" s="380"/>
      <c r="M16" s="380"/>
      <c r="N16" s="381"/>
      <c r="O16" s="372"/>
      <c r="P16" s="382"/>
      <c r="Q16" s="383"/>
      <c r="S16" s="687">
        <f>+IF(MAYO!S16=0,"",MAYO!S16)</f>
        <v>1010100</v>
      </c>
      <c r="T16" s="663" t="str">
        <f>+IF(MAYO!T16=0,"",MAYO!T16)</f>
        <v>Servicios Personales Asociados a Nómina</v>
      </c>
      <c r="U16" s="132">
        <f t="shared" ref="U16:AJ16" si="12">SUM(U17:U20)+U33</f>
        <v>1868719642</v>
      </c>
      <c r="V16" s="122">
        <f t="shared" si="12"/>
        <v>-120000000</v>
      </c>
      <c r="W16" s="122">
        <f t="shared" si="12"/>
        <v>120000000</v>
      </c>
      <c r="X16" s="129">
        <f t="shared" si="12"/>
        <v>1868719642</v>
      </c>
      <c r="Y16" s="128">
        <f t="shared" si="12"/>
        <v>546851054</v>
      </c>
      <c r="Z16" s="122">
        <f t="shared" si="12"/>
        <v>174153818</v>
      </c>
      <c r="AA16" s="129">
        <f t="shared" si="12"/>
        <v>721004872</v>
      </c>
      <c r="AB16" s="128">
        <f t="shared" si="12"/>
        <v>546851054</v>
      </c>
      <c r="AC16" s="122">
        <f t="shared" si="12"/>
        <v>174153818</v>
      </c>
      <c r="AD16" s="129">
        <f t="shared" si="12"/>
        <v>721004872</v>
      </c>
      <c r="AE16" s="128">
        <f t="shared" si="12"/>
        <v>546851054</v>
      </c>
      <c r="AF16" s="122">
        <f t="shared" si="12"/>
        <v>174153818</v>
      </c>
      <c r="AG16" s="129">
        <f t="shared" si="12"/>
        <v>721004872</v>
      </c>
      <c r="AH16" s="128">
        <f t="shared" si="12"/>
        <v>1147714770</v>
      </c>
      <c r="AI16" s="122">
        <f t="shared" si="12"/>
        <v>1147714770</v>
      </c>
      <c r="AJ16" s="130">
        <f t="shared" si="12"/>
        <v>1147714770</v>
      </c>
      <c r="AK16" s="10"/>
      <c r="AL16" s="128">
        <f>SUM(AL17:AL20)+AL33</f>
        <v>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53">
        <f>MARZO!BF16+ABRIL!BE16+MAYO!BE16+JUNIO!BE16</f>
        <v>0</v>
      </c>
      <c r="BG16" s="91" t="s">
        <v>82</v>
      </c>
      <c r="BH16" s="96">
        <f>BH7+BH12+BH13+BH14+BH15</f>
        <v>103602347428</v>
      </c>
      <c r="BI16" s="96">
        <f>BI7+BI12+BI13+BI14+BI15</f>
        <v>77770050647</v>
      </c>
      <c r="BJ16" s="96">
        <f>BJ7+BJ12+BJ13+BJ14+BJ15</f>
        <v>50071583645</v>
      </c>
      <c r="BK16" s="96">
        <f>BK7+BK12+BK13+BK14+BK15</f>
        <v>4118659155</v>
      </c>
      <c r="BL16" s="40">
        <f>+BK16+MAYO!BK16+ABRIL!BK16+MARZO!BL16</f>
        <v>33253005080</v>
      </c>
      <c r="BM16" s="137" t="s">
        <v>83</v>
      </c>
      <c r="BN16" s="83">
        <f>X114-X121+X147-X148-X153</f>
        <v>1140000000</v>
      </c>
      <c r="BO16" s="81">
        <f>AA114-AA121+AA147-AA148-AA153</f>
        <v>659923594</v>
      </c>
      <c r="BP16" s="81">
        <f>AD114-AD121+AD147-AD148-AD153</f>
        <v>584707018</v>
      </c>
      <c r="BQ16" s="82">
        <f>AF114-AF121+AF147-AF148-AF153</f>
        <v>316627160</v>
      </c>
    </row>
    <row r="17" spans="1:70" s="372" customFormat="1" ht="24.95" customHeight="1" thickBot="1">
      <c r="A17" s="712">
        <f>+IF(MAYO!A17=0,"",MAYO!A17)</f>
        <v>11</v>
      </c>
      <c r="B17" s="623" t="str">
        <f>+IF(MAYO!B17=0,"",MAYO!B17)</f>
        <v>INGRESOS  CORRIENTES</v>
      </c>
      <c r="C17" s="324">
        <f>C19+C94+C104</f>
        <v>61374630552</v>
      </c>
      <c r="D17" s="321">
        <f t="shared" ref="D17:Q17" si="13">D19+D94+D104</f>
        <v>0</v>
      </c>
      <c r="E17" s="321">
        <f t="shared" si="13"/>
        <v>31847558532</v>
      </c>
      <c r="F17" s="321">
        <f t="shared" si="13"/>
        <v>93222189084</v>
      </c>
      <c r="G17" s="321">
        <f t="shared" si="13"/>
        <v>44655513344</v>
      </c>
      <c r="H17" s="321">
        <f t="shared" si="13"/>
        <v>11014441003</v>
      </c>
      <c r="I17" s="321">
        <f t="shared" si="13"/>
        <v>55669954347</v>
      </c>
      <c r="J17" s="321">
        <f t="shared" si="13"/>
        <v>26821759513.759998</v>
      </c>
      <c r="K17" s="321">
        <f t="shared" si="13"/>
        <v>11361380988</v>
      </c>
      <c r="L17" s="321">
        <f t="shared" si="13"/>
        <v>38183140501.759995</v>
      </c>
      <c r="M17" s="321">
        <f t="shared" si="13"/>
        <v>37552234737</v>
      </c>
      <c r="N17" s="322">
        <f t="shared" si="13"/>
        <v>55039048582.239998</v>
      </c>
      <c r="P17" s="174">
        <f t="shared" si="13"/>
        <v>0</v>
      </c>
      <c r="Q17" s="175">
        <f t="shared" si="13"/>
        <v>0</v>
      </c>
      <c r="R17" s="9"/>
      <c r="S17" s="688">
        <f>+IF(MAYO!S17=0,"",MAYO!S17)</f>
        <v>1010101</v>
      </c>
      <c r="T17" s="664" t="str">
        <f>+IF(MAYO!T17=0,"",MAYO!T17)</f>
        <v>Sueldos del Personal de nómina</v>
      </c>
      <c r="U17" s="27">
        <f>+ENERO!U17</f>
        <v>1519896974</v>
      </c>
      <c r="V17" s="15">
        <f>MAYO!V17+JUNIO!AL17</f>
        <v>0</v>
      </c>
      <c r="W17" s="15">
        <f>MAYO!W17+JUNIO!AM17</f>
        <v>0</v>
      </c>
      <c r="X17" s="18">
        <f>SUM(U17:W17)</f>
        <v>1519896974</v>
      </c>
      <c r="Y17" s="19">
        <f>MAYO!AA17</f>
        <v>519838302</v>
      </c>
      <c r="Z17" s="364">
        <v>112640045</v>
      </c>
      <c r="AA17" s="18">
        <f>SUM(Y17:Z17)</f>
        <v>632478347</v>
      </c>
      <c r="AB17" s="19">
        <f>MAYO!AD17</f>
        <v>519838302</v>
      </c>
      <c r="AC17" s="364">
        <v>112640045</v>
      </c>
      <c r="AD17" s="18">
        <f>SUM(AB17:AC17)</f>
        <v>632478347</v>
      </c>
      <c r="AE17" s="19">
        <f>MAYO!AG17</f>
        <v>519838302</v>
      </c>
      <c r="AF17" s="364">
        <v>112640045</v>
      </c>
      <c r="AG17" s="18">
        <f>SUM(AE17:AF17)</f>
        <v>632478347</v>
      </c>
      <c r="AH17" s="19">
        <f>X17-AA17</f>
        <v>887418627</v>
      </c>
      <c r="AI17" s="15">
        <f>X17-AD17</f>
        <v>887418627</v>
      </c>
      <c r="AJ17" s="16">
        <f>X17-AG17</f>
        <v>887418627</v>
      </c>
      <c r="AK17" s="9"/>
      <c r="AL17" s="362">
        <v>0</v>
      </c>
      <c r="AM17" s="365">
        <v>0</v>
      </c>
      <c r="AN17" s="9"/>
      <c r="AO17" s="339"/>
      <c r="AP17" s="389" t="s">
        <v>85</v>
      </c>
      <c r="AQ17" s="390">
        <f>SUM(AQ7:AQ16)</f>
        <v>87521276232</v>
      </c>
      <c r="AR17" s="391">
        <f>SUM(AR7:AR16)</f>
        <v>54557231769</v>
      </c>
      <c r="AS17" s="392">
        <f>SUM(AS7:AS16)</f>
        <v>37115238591.759995</v>
      </c>
      <c r="AT17" s="393"/>
      <c r="AU17" s="391">
        <f t="shared" si="0"/>
        <v>0.62335964599488425</v>
      </c>
      <c r="AV17" s="391">
        <f t="shared" si="1"/>
        <v>0.42407103951929942</v>
      </c>
      <c r="AW17" s="394">
        <f>SUM(AX7:AX16)</f>
        <v>74287395128.830002</v>
      </c>
      <c r="AX17" s="394">
        <f>SUM(AX7:AX16)</f>
        <v>74287395128.830002</v>
      </c>
      <c r="AY17" s="394">
        <f>SUM(AY7:AY16)</f>
        <v>21739746587</v>
      </c>
      <c r="AZ17" s="395">
        <f>SUM(AZ7:AZ16)</f>
        <v>-13233881103.169998</v>
      </c>
      <c r="BA17" s="9"/>
      <c r="BB17" s="355" t="s">
        <v>419</v>
      </c>
      <c r="BC17" s="73">
        <f>F41+F52+F55+F58+F61+F67+F70+F73+F76+F79+F82+F86+F87+F88+F89+F90+F91</f>
        <v>12784992455</v>
      </c>
      <c r="BD17" s="74">
        <f>I41+I52+I55+I58+I61+I67+I70+I73+I76+I79+I82+I86+I87+I88+I89+I90+I91</f>
        <v>5152705996</v>
      </c>
      <c r="BE17" s="75">
        <f>K41+K52+K55+K58+K61+K67+K70+K73+K76+K79+K82+K86+K87+K88+K89+K90+K91</f>
        <v>55415507</v>
      </c>
      <c r="BF17" s="53">
        <f>MARZO!BF17+ABRIL!BE17+MAYO!BE17+JUNIO!BE17</f>
        <v>4341895854</v>
      </c>
      <c r="BG17" s="98" t="s">
        <v>86</v>
      </c>
      <c r="BH17" s="99">
        <f>BC23-BH16</f>
        <v>-103602347428</v>
      </c>
      <c r="BI17" s="99"/>
      <c r="BJ17" s="99"/>
      <c r="BK17" s="99"/>
      <c r="BL17" s="40">
        <f>+BK17+MAYO!BK17+ABRIL!BK17+MARZO!BL17</f>
        <v>0</v>
      </c>
      <c r="BM17" s="137" t="s">
        <v>434</v>
      </c>
      <c r="BN17" s="83">
        <f>X123-X126-X139+X155-X156-X167-X168</f>
        <v>5039712263</v>
      </c>
      <c r="BO17" s="81">
        <f>AA123-AA126-AA139+AA155-AA156-AA167-AA168</f>
        <v>4272006260</v>
      </c>
      <c r="BP17" s="81">
        <f>AD123-AD126-AD139+AD155-AD156-AD167-AD168</f>
        <v>2501476560</v>
      </c>
      <c r="BQ17" s="82">
        <f>AF123-AF126-AF139+AF155-AF156-AF167-AF168</f>
        <v>164629219</v>
      </c>
      <c r="BR17" s="9"/>
    </row>
    <row r="18" spans="1:70" s="9" customFormat="1" ht="24.95" customHeight="1" thickBot="1">
      <c r="A18" s="593" t="str">
        <f>+IF(MAYO!A18=0,"",MAYO!A18)</f>
        <v/>
      </c>
      <c r="B18" s="624" t="str">
        <f>+IF(MAYO!B18=0,"",MAYO!B18)</f>
        <v/>
      </c>
      <c r="C18" s="284"/>
      <c r="D18" s="284"/>
      <c r="E18" s="284"/>
      <c r="F18" s="284"/>
      <c r="G18" s="284"/>
      <c r="H18" s="284"/>
      <c r="I18" s="284"/>
      <c r="J18" s="284"/>
      <c r="K18" s="284"/>
      <c r="L18" s="284"/>
      <c r="M18" s="284"/>
      <c r="N18" s="453"/>
      <c r="P18" s="397"/>
      <c r="Q18" s="396"/>
      <c r="S18" s="688">
        <f>+IF(MAYO!S18=0,"",MAYO!S18)</f>
        <v>1010102</v>
      </c>
      <c r="T18" s="664" t="str">
        <f>+IF(MAYO!T18=0,"",MAYO!T18)</f>
        <v>Horas Extras,Dominic.,Festivos y Rec. Nocturnos</v>
      </c>
      <c r="U18" s="27">
        <f>+ENERO!U18</f>
        <v>7017105</v>
      </c>
      <c r="V18" s="15">
        <f>MAYO!V18+JUNIO!AL18</f>
        <v>0</v>
      </c>
      <c r="W18" s="15">
        <f>MAYO!W18+JUNIO!AM18</f>
        <v>0</v>
      </c>
      <c r="X18" s="18">
        <f>SUM(U18:W18)</f>
        <v>7017105</v>
      </c>
      <c r="Y18" s="19">
        <f>MAYO!AA18</f>
        <v>3717598</v>
      </c>
      <c r="Z18" s="364">
        <v>609444</v>
      </c>
      <c r="AA18" s="18">
        <f>SUM(Y18:Z18)</f>
        <v>4327042</v>
      </c>
      <c r="AB18" s="19">
        <f>MAYO!AD18</f>
        <v>3717598</v>
      </c>
      <c r="AC18" s="364">
        <v>609444</v>
      </c>
      <c r="AD18" s="18">
        <f>SUM(AB18:AC18)</f>
        <v>4327042</v>
      </c>
      <c r="AE18" s="19">
        <f>MAYO!AG18</f>
        <v>3717598</v>
      </c>
      <c r="AF18" s="364">
        <v>609444</v>
      </c>
      <c r="AG18" s="18">
        <f>SUM(AE18:AF18)</f>
        <v>4327042</v>
      </c>
      <c r="AH18" s="19">
        <f>X18-AA18</f>
        <v>2690063</v>
      </c>
      <c r="AI18" s="15">
        <f>X18-AD18</f>
        <v>2690063</v>
      </c>
      <c r="AJ18" s="16">
        <f>X18-AG18</f>
        <v>2690063</v>
      </c>
      <c r="AL18" s="362">
        <v>0</v>
      </c>
      <c r="AM18" s="365">
        <v>0</v>
      </c>
      <c r="AO18" s="21"/>
      <c r="AP18" s="284" t="s">
        <v>51</v>
      </c>
      <c r="AQ18" s="284"/>
      <c r="AR18" s="284"/>
      <c r="AS18" s="284"/>
      <c r="AT18" s="284"/>
      <c r="AU18" s="284"/>
      <c r="AV18" s="284"/>
      <c r="AW18" s="284"/>
      <c r="AX18" s="284"/>
      <c r="AY18" s="284"/>
      <c r="AZ18" s="284"/>
      <c r="BA18" s="372"/>
      <c r="BB18" s="373" t="s">
        <v>420</v>
      </c>
      <c r="BC18" s="73">
        <f>+F95+F96+F97+F99</f>
        <v>15982899073</v>
      </c>
      <c r="BD18" s="74">
        <f>+I95+I96+I97+I99</f>
        <v>11354444422</v>
      </c>
      <c r="BE18" s="75">
        <f>+K95+K96+K97+K99</f>
        <v>8000000000</v>
      </c>
      <c r="BF18" s="53">
        <f>MARZO!BF18+ABRIL!BE18+MAYO!BE18+JUNIO!BE18</f>
        <v>11354444422</v>
      </c>
      <c r="BM18" s="137" t="s">
        <v>87</v>
      </c>
      <c r="BN18" s="83">
        <f>X148+X156</f>
        <v>3194025000</v>
      </c>
      <c r="BO18" s="81">
        <f>AA148+AA156</f>
        <v>2498795990</v>
      </c>
      <c r="BP18" s="81">
        <f>AD148+AD156</f>
        <v>1434073602</v>
      </c>
      <c r="BQ18" s="82">
        <f>AF148+AF156</f>
        <v>57422557</v>
      </c>
      <c r="BR18" s="372"/>
    </row>
    <row r="19" spans="1:70" s="9" customFormat="1" ht="24.95" customHeight="1" thickBot="1">
      <c r="A19" s="714">
        <f>+IF(MAYO!A19=0,"",MAYO!A19)</f>
        <v>113</v>
      </c>
      <c r="B19" s="625" t="str">
        <f>+IF(MAYO!B19=0,"",MAYO!B19)</f>
        <v>VENTA DE SERVICIOS</v>
      </c>
      <c r="C19" s="324">
        <f t="shared" ref="C19:N19" si="14">C21+C85</f>
        <v>53293559356</v>
      </c>
      <c r="D19" s="321">
        <f t="shared" si="14"/>
        <v>0</v>
      </c>
      <c r="E19" s="321">
        <f t="shared" si="14"/>
        <v>23847558532</v>
      </c>
      <c r="F19" s="322">
        <f t="shared" si="14"/>
        <v>77141117888</v>
      </c>
      <c r="G19" s="324">
        <f t="shared" si="14"/>
        <v>41247927751</v>
      </c>
      <c r="H19" s="321">
        <f t="shared" si="14"/>
        <v>3005225633</v>
      </c>
      <c r="I19" s="322">
        <f t="shared" si="14"/>
        <v>44253153384</v>
      </c>
      <c r="J19" s="324">
        <f t="shared" si="14"/>
        <v>23451013510.759998</v>
      </c>
      <c r="K19" s="321">
        <f t="shared" si="14"/>
        <v>3360146696</v>
      </c>
      <c r="L19" s="322">
        <f t="shared" si="14"/>
        <v>26811160206.759998</v>
      </c>
      <c r="M19" s="324">
        <f t="shared" si="14"/>
        <v>32887964504</v>
      </c>
      <c r="N19" s="322">
        <f t="shared" si="14"/>
        <v>50329957681.239998</v>
      </c>
      <c r="O19" s="372"/>
      <c r="P19" s="43">
        <f>P21+P85</f>
        <v>0</v>
      </c>
      <c r="Q19" s="45">
        <f>Q21+Q85</f>
        <v>0</v>
      </c>
      <c r="S19" s="688">
        <f>+IF(MAYO!S19=0,"",MAYO!S19)</f>
        <v>1010103</v>
      </c>
      <c r="T19" s="664" t="str">
        <f>+IF(MAYO!T19=0,"",MAYO!T19)</f>
        <v>Prima Técnica</v>
      </c>
      <c r="U19" s="27">
        <f>+ENERO!U19</f>
        <v>0</v>
      </c>
      <c r="V19" s="15">
        <f>MAYO!V19+JUNIO!AL19</f>
        <v>0</v>
      </c>
      <c r="W19" s="15">
        <f>MAYO!W19+JUNIO!AM19</f>
        <v>0</v>
      </c>
      <c r="X19" s="18">
        <f>SUM(U19:W19)</f>
        <v>0</v>
      </c>
      <c r="Y19" s="19">
        <f>MAYO!AA19</f>
        <v>0</v>
      </c>
      <c r="Z19" s="364">
        <v>0</v>
      </c>
      <c r="AA19" s="18">
        <f>SUM(Y19:Z19)</f>
        <v>0</v>
      </c>
      <c r="AB19" s="19">
        <f>MAYO!AD19</f>
        <v>0</v>
      </c>
      <c r="AC19" s="364">
        <v>0</v>
      </c>
      <c r="AD19" s="18">
        <f>SUM(AB19:AC19)</f>
        <v>0</v>
      </c>
      <c r="AE19" s="19">
        <f>MAYO!AG19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98172123</v>
      </c>
      <c r="BD19" s="93">
        <f>+I105+I106+I107+I108+I109+I110+I98+I100+I101</f>
        <v>62356541</v>
      </c>
      <c r="BE19" s="94">
        <f>+K105+K106+K107+K108+K109+K110+K98+K100+K101</f>
        <v>1234292</v>
      </c>
      <c r="BF19" s="53">
        <f>MARZO!BF19+ABRIL!BE19+MAYO!BE19+JUNIO!BE19</f>
        <v>17535873</v>
      </c>
      <c r="BG19" s="372"/>
      <c r="BH19" s="372"/>
      <c r="BI19" s="372"/>
      <c r="BJ19" s="372"/>
      <c r="BK19" s="372"/>
      <c r="BM19" s="137" t="s">
        <v>94</v>
      </c>
      <c r="BN19" s="83">
        <f>X126+X167</f>
        <v>740000000</v>
      </c>
      <c r="BO19" s="81">
        <f>AA126+AA167</f>
        <v>375838609</v>
      </c>
      <c r="BP19" s="81">
        <f>AD126+AD167</f>
        <v>375838609</v>
      </c>
      <c r="BQ19" s="82">
        <f>AF126+AF167</f>
        <v>57099504</v>
      </c>
    </row>
    <row r="20" spans="1:70" s="412" customFormat="1" ht="24.95" customHeight="1" thickBot="1">
      <c r="A20" s="593" t="str">
        <f>+IF(MAYO!A20=0,"",MAYO!A20)</f>
        <v/>
      </c>
      <c r="B20" s="626" t="str">
        <f>+IF(MAYO!B20=0,"",MAYO!B20)</f>
        <v/>
      </c>
      <c r="C20" s="284"/>
      <c r="D20" s="284"/>
      <c r="E20" s="284"/>
      <c r="F20" s="284"/>
      <c r="G20" s="284"/>
      <c r="H20" s="284"/>
      <c r="I20" s="284"/>
      <c r="J20" s="284"/>
      <c r="K20" s="284"/>
      <c r="L20" s="284"/>
      <c r="M20" s="284"/>
      <c r="N20" s="453"/>
      <c r="O20" s="9"/>
      <c r="P20" s="397"/>
      <c r="Q20" s="396"/>
      <c r="R20" s="9"/>
      <c r="S20" s="688">
        <f>+IF(MAYO!S20=0,"",MAYO!S20)</f>
        <v>1010104</v>
      </c>
      <c r="T20" s="664" t="str">
        <f>+IF(MAYO!T20=0,"",MAYO!T20)</f>
        <v>Otros</v>
      </c>
      <c r="U20" s="27">
        <f t="shared" ref="U20:AJ20" si="15">SUM(U21:U32)</f>
        <v>341805563</v>
      </c>
      <c r="V20" s="15">
        <f t="shared" si="15"/>
        <v>0</v>
      </c>
      <c r="W20" s="15">
        <f t="shared" si="15"/>
        <v>0</v>
      </c>
      <c r="X20" s="18">
        <f t="shared" si="15"/>
        <v>341805563</v>
      </c>
      <c r="Y20" s="19">
        <f t="shared" si="15"/>
        <v>23295154</v>
      </c>
      <c r="Z20" s="142">
        <f t="shared" si="15"/>
        <v>60904329</v>
      </c>
      <c r="AA20" s="18">
        <f t="shared" si="15"/>
        <v>84199483</v>
      </c>
      <c r="AB20" s="19">
        <f t="shared" si="15"/>
        <v>23295154</v>
      </c>
      <c r="AC20" s="142">
        <f t="shared" si="15"/>
        <v>60904329</v>
      </c>
      <c r="AD20" s="18">
        <f t="shared" si="15"/>
        <v>84199483</v>
      </c>
      <c r="AE20" s="19">
        <f t="shared" si="15"/>
        <v>23295154</v>
      </c>
      <c r="AF20" s="142">
        <f t="shared" si="15"/>
        <v>60904329</v>
      </c>
      <c r="AG20" s="18">
        <f t="shared" si="15"/>
        <v>84199483</v>
      </c>
      <c r="AH20" s="19">
        <f t="shared" si="15"/>
        <v>257606080</v>
      </c>
      <c r="AI20" s="15">
        <f t="shared" si="15"/>
        <v>257606080</v>
      </c>
      <c r="AJ20" s="16">
        <f t="shared" si="15"/>
        <v>257606080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203293306</v>
      </c>
      <c r="BD20" s="66">
        <f>+I115+I117+I119+I120+I121+I123+I124</f>
        <v>127213347</v>
      </c>
      <c r="BE20" s="67">
        <f>+K115+K117+K119+K120+K121+K123+K124</f>
        <v>808246</v>
      </c>
      <c r="BF20" s="53">
        <f>MARZO!BF20+ABRIL!BE20+MAYO!BE20+JUNIO!BE20</f>
        <v>127213347</v>
      </c>
      <c r="BG20" s="372"/>
      <c r="BH20" s="372"/>
      <c r="BI20" s="372"/>
      <c r="BJ20" s="372"/>
      <c r="BK20" s="372"/>
      <c r="BL20" s="372"/>
      <c r="BM20" s="139" t="s">
        <v>429</v>
      </c>
      <c r="BN20" s="83">
        <f>+X141-X143</f>
        <v>527082264</v>
      </c>
      <c r="BO20" s="81">
        <f>+AA141-AA143</f>
        <v>164268914</v>
      </c>
      <c r="BP20" s="81">
        <f>+AD141-AD143</f>
        <v>164268914</v>
      </c>
      <c r="BQ20" s="82">
        <f>+AF141-AF143</f>
        <v>17216312</v>
      </c>
      <c r="BR20" s="9"/>
    </row>
    <row r="21" spans="1:70" s="412" customFormat="1" ht="24.95" customHeight="1" thickBot="1">
      <c r="A21" s="715">
        <f>+IF(MAYO!A21=0,"",MAYO!A21)</f>
        <v>11301</v>
      </c>
      <c r="B21" s="627" t="str">
        <f>+IF(MAYO!B21=0,"",MAYO!B21)</f>
        <v>Venta de Servicios de Salud</v>
      </c>
      <c r="C21" s="174">
        <f t="shared" ref="C21:N21" si="16">C22+C25+C28+C41+C42+C45+C48+C51+C54+C57+C60+C63+C66+C69+C72+C75+C78+C81</f>
        <v>53293559356</v>
      </c>
      <c r="D21" s="344">
        <f t="shared" si="16"/>
        <v>0</v>
      </c>
      <c r="E21" s="344">
        <f t="shared" si="16"/>
        <v>11646996257</v>
      </c>
      <c r="F21" s="344">
        <f t="shared" si="16"/>
        <v>64940555613</v>
      </c>
      <c r="G21" s="344">
        <f t="shared" si="16"/>
        <v>37275947516</v>
      </c>
      <c r="H21" s="344">
        <f t="shared" si="16"/>
        <v>2375632796</v>
      </c>
      <c r="I21" s="344">
        <f t="shared" si="16"/>
        <v>39651580312</v>
      </c>
      <c r="J21" s="344">
        <f t="shared" si="16"/>
        <v>19479033275.759998</v>
      </c>
      <c r="K21" s="344">
        <f t="shared" si="16"/>
        <v>3360146696</v>
      </c>
      <c r="L21" s="344">
        <f t="shared" si="16"/>
        <v>22839179971.759998</v>
      </c>
      <c r="M21" s="344">
        <f t="shared" si="16"/>
        <v>25288975301</v>
      </c>
      <c r="N21" s="175">
        <f t="shared" si="16"/>
        <v>42101375641.239998</v>
      </c>
      <c r="O21" s="372"/>
      <c r="P21" s="43">
        <f>P22+P25+P28+P41+P42+P45+P48+P51+P54+P57+P60+P63+P66+P69+P72+P75+P78+P81</f>
        <v>0</v>
      </c>
      <c r="Q21" s="45">
        <f>Q22+Q25+Q28+Q41+Q42+Q45+Q48+Q51+Q54+Q57+Q60+Q63+Q66+Q69+Q72+Q75+Q78+Q81</f>
        <v>0</v>
      </c>
      <c r="R21" s="9"/>
      <c r="S21" s="689" t="str">
        <f>+IF(MAYO!S21=0,"",MAYO!S21)</f>
        <v>1010104-1</v>
      </c>
      <c r="T21" s="665" t="str">
        <f>+IF(MAYO!T21=0,"",MAYO!T21)</f>
        <v xml:space="preserve">Prima de Navidad </v>
      </c>
      <c r="U21" s="27">
        <f>+ENERO!U21</f>
        <v>142096948</v>
      </c>
      <c r="V21" s="15">
        <f>MAYO!V21+JUNIO!AL21</f>
        <v>0</v>
      </c>
      <c r="W21" s="15">
        <f>MAYO!W21+JUNIO!AM21</f>
        <v>0</v>
      </c>
      <c r="X21" s="18">
        <f t="shared" ref="X21:X33" si="17">SUM(U21:W21)</f>
        <v>142096948</v>
      </c>
      <c r="Y21" s="19">
        <f>MAYO!AA21</f>
        <v>105221</v>
      </c>
      <c r="Z21" s="364">
        <v>0</v>
      </c>
      <c r="AA21" s="18">
        <f t="shared" ref="AA21:AA33" si="18">SUM(Y21:Z21)</f>
        <v>105221</v>
      </c>
      <c r="AB21" s="19">
        <f>MAYO!AD21</f>
        <v>105221</v>
      </c>
      <c r="AC21" s="364">
        <v>0</v>
      </c>
      <c r="AD21" s="18">
        <f t="shared" ref="AD21:AD33" si="19">SUM(AB21:AC21)</f>
        <v>105221</v>
      </c>
      <c r="AE21" s="19">
        <f>MAYO!AG21</f>
        <v>105221</v>
      </c>
      <c r="AF21" s="364">
        <v>0</v>
      </c>
      <c r="AG21" s="18">
        <f t="shared" ref="AG21:AG33" si="20">SUM(AE21:AF21)</f>
        <v>105221</v>
      </c>
      <c r="AH21" s="19">
        <f t="shared" ref="AH21:AH33" si="21">X21-AA21</f>
        <v>141991727</v>
      </c>
      <c r="AI21" s="15">
        <f t="shared" ref="AI21:AI33" si="22">X21-AD21</f>
        <v>141991727</v>
      </c>
      <c r="AJ21" s="16">
        <f t="shared" ref="AJ21:AJ33" si="23">X21-AG21</f>
        <v>141991727</v>
      </c>
      <c r="AK21" s="9"/>
      <c r="AL21" s="362">
        <v>0</v>
      </c>
      <c r="AM21" s="365">
        <v>0</v>
      </c>
      <c r="AN21" s="9"/>
      <c r="AO21" s="339"/>
      <c r="AP21" s="413"/>
      <c r="AQ21" s="414"/>
      <c r="AR21" s="415" t="str">
        <f>AR6</f>
        <v>JUNIO</v>
      </c>
      <c r="AS21" s="416" t="str">
        <f>AR6</f>
        <v>JUNIO</v>
      </c>
      <c r="AT21" s="415" t="str">
        <f>AR6</f>
        <v>JUNIO</v>
      </c>
      <c r="AU21" s="415" t="s">
        <v>44</v>
      </c>
      <c r="AV21" s="415" t="s">
        <v>22</v>
      </c>
      <c r="AW21" s="417"/>
      <c r="AX21" s="417"/>
      <c r="AY21" s="415" t="s">
        <v>44</v>
      </c>
      <c r="AZ21" s="418" t="s">
        <v>22</v>
      </c>
      <c r="BA21" s="9"/>
      <c r="BB21" s="101" t="s">
        <v>422</v>
      </c>
      <c r="BC21" s="65">
        <f>SUMIF($B8:B122,$B24,F8:F122)+F122</f>
        <v>11646305348</v>
      </c>
      <c r="BD21" s="66">
        <f>SUMIF($B8:B122,$B24,I8:I122)+I122</f>
        <v>11980839615</v>
      </c>
      <c r="BE21" s="67">
        <f>SUMIF($B8:B122,$B24,K8:K122)+K122</f>
        <v>186327990</v>
      </c>
      <c r="BF21" s="53">
        <f>MARZO!BF21+ABRIL!BE21+MAYO!BE21+JUNIO!BE21</f>
        <v>11980839614.690001</v>
      </c>
      <c r="BG21" s="372"/>
      <c r="BH21" s="372"/>
      <c r="BI21" s="372"/>
      <c r="BJ21" s="372"/>
      <c r="BK21" s="372"/>
      <c r="BL21" s="372"/>
      <c r="BM21" s="137" t="s">
        <v>99</v>
      </c>
      <c r="BN21" s="83">
        <v>0</v>
      </c>
      <c r="BO21" s="81">
        <v>0</v>
      </c>
      <c r="BP21" s="81">
        <v>0</v>
      </c>
      <c r="BQ21" s="82">
        <v>0</v>
      </c>
      <c r="BR21" s="372"/>
    </row>
    <row r="22" spans="1:70" s="9" customFormat="1" ht="24.95" customHeight="1" thickBot="1">
      <c r="A22" s="714">
        <f>+IF(MAYO!A22=0,"",MAYO!A22)</f>
        <v>1130101</v>
      </c>
      <c r="B22" s="628" t="str">
        <f>+IF(MAYO!B22=0,"",MAYO!B22)</f>
        <v>EPS - REGIMEN CONTRIBUTIVO</v>
      </c>
      <c r="C22" s="43">
        <f t="shared" ref="C22:N22" si="24">SUM(C23:C24)</f>
        <v>3087894380</v>
      </c>
      <c r="D22" s="44">
        <f t="shared" si="24"/>
        <v>0</v>
      </c>
      <c r="E22" s="44">
        <f t="shared" si="24"/>
        <v>472224168</v>
      </c>
      <c r="F22" s="44">
        <f t="shared" si="24"/>
        <v>3560118548</v>
      </c>
      <c r="G22" s="44">
        <f t="shared" si="24"/>
        <v>1839631356</v>
      </c>
      <c r="H22" s="44">
        <f t="shared" si="24"/>
        <v>102442613</v>
      </c>
      <c r="I22" s="44">
        <f t="shared" si="24"/>
        <v>1942073969</v>
      </c>
      <c r="J22" s="44">
        <f t="shared" si="24"/>
        <v>636627678</v>
      </c>
      <c r="K22" s="44">
        <f t="shared" si="24"/>
        <v>68773315</v>
      </c>
      <c r="L22" s="44">
        <f t="shared" si="24"/>
        <v>705400993</v>
      </c>
      <c r="M22" s="44">
        <f t="shared" si="24"/>
        <v>1618044579</v>
      </c>
      <c r="N22" s="45">
        <f t="shared" si="24"/>
        <v>2854717555</v>
      </c>
      <c r="P22" s="43">
        <f>SUM(P23:P24)</f>
        <v>0</v>
      </c>
      <c r="Q22" s="45">
        <f>SUM(Q23:Q24)</f>
        <v>0</v>
      </c>
      <c r="S22" s="689" t="str">
        <f>+IF(MAYO!S22=0,"",MAYO!S22)</f>
        <v>1010104-2</v>
      </c>
      <c r="T22" s="665" t="str">
        <f>+IF(MAYO!T22=0,"",MAYO!T22)</f>
        <v>Prima de Vacaciones</v>
      </c>
      <c r="U22" s="27">
        <f>+ENERO!U22</f>
        <v>72708845</v>
      </c>
      <c r="V22" s="15">
        <f>MAYO!V22+JUNIO!AL22</f>
        <v>0</v>
      </c>
      <c r="W22" s="15">
        <f>MAYO!W22+JUNIO!AM22</f>
        <v>0</v>
      </c>
      <c r="X22" s="18">
        <f t="shared" si="17"/>
        <v>72708845</v>
      </c>
      <c r="Y22" s="19">
        <f>MAYO!AA22</f>
        <v>7256037</v>
      </c>
      <c r="Z22" s="364">
        <v>8782596</v>
      </c>
      <c r="AA22" s="18">
        <f t="shared" si="18"/>
        <v>16038633</v>
      </c>
      <c r="AB22" s="19">
        <f>MAYO!AD22</f>
        <v>7256037</v>
      </c>
      <c r="AC22" s="364">
        <v>8782596</v>
      </c>
      <c r="AD22" s="18">
        <f t="shared" si="19"/>
        <v>16038633</v>
      </c>
      <c r="AE22" s="19">
        <f>MAYO!AG22</f>
        <v>7256037</v>
      </c>
      <c r="AF22" s="364">
        <v>8782596</v>
      </c>
      <c r="AG22" s="18">
        <f t="shared" si="20"/>
        <v>16038633</v>
      </c>
      <c r="AH22" s="19">
        <f t="shared" si="21"/>
        <v>56670212</v>
      </c>
      <c r="AI22" s="15">
        <f t="shared" si="22"/>
        <v>56670212</v>
      </c>
      <c r="AJ22" s="16">
        <f t="shared" si="23"/>
        <v>56670212</v>
      </c>
      <c r="AL22" s="362">
        <v>0</v>
      </c>
      <c r="AM22" s="365">
        <v>0</v>
      </c>
      <c r="AO22" s="21"/>
      <c r="AP22" s="419" t="s">
        <v>104</v>
      </c>
      <c r="AQ22" s="420">
        <f>X17+X66</f>
        <v>4209004812</v>
      </c>
      <c r="AR22" s="420">
        <f>AD17+AD66</f>
        <v>1643988503</v>
      </c>
      <c r="AS22" s="420">
        <f>AG17+AG66</f>
        <v>1643769993</v>
      </c>
      <c r="AT22" s="421"/>
      <c r="AU22" s="422">
        <f t="shared" ref="AU22:AU32" si="25">IF(AQ22=0," ",AR22/AQ22)</f>
        <v>0.39058841137765848</v>
      </c>
      <c r="AV22" s="422">
        <f t="shared" ref="AV22:AV32" si="26">IF(AQ22=0," ",AS22/AQ22)</f>
        <v>0.39053649649284367</v>
      </c>
      <c r="AW22" s="423">
        <f>AR22/$AO$2*12</f>
        <v>3287977006</v>
      </c>
      <c r="AX22" s="423">
        <f>AS22/$AO$2*12</f>
        <v>3287539986</v>
      </c>
      <c r="AY22" s="423">
        <f t="shared" ref="AY22:AY31" si="27">AW22-AQ22</f>
        <v>-921027806</v>
      </c>
      <c r="AZ22" s="424">
        <f t="shared" ref="AZ22:AZ31" si="28">AQ22-AX22</f>
        <v>921464826</v>
      </c>
      <c r="BA22" s="372"/>
      <c r="BB22" s="102" t="s">
        <v>109</v>
      </c>
      <c r="BC22" s="103">
        <f>BC7+BC8+BC20+BC21</f>
        <v>103602347428</v>
      </c>
      <c r="BD22" s="104">
        <f>BD7+BD8+BD20+BD21</f>
        <v>65974032732</v>
      </c>
      <c r="BE22" s="105">
        <f>BE7+BE8+BE20+BE21</f>
        <v>11362189234</v>
      </c>
      <c r="BF22" s="53">
        <f>MARZO!BF22+ABRIL!BE22+MAYO!BE22+JUNIO!BE22</f>
        <v>48487218886.760002</v>
      </c>
      <c r="BG22" s="372"/>
      <c r="BH22" s="372"/>
      <c r="BI22" s="372"/>
      <c r="BJ22" s="372"/>
      <c r="BK22" s="372"/>
      <c r="BM22" s="71" t="s">
        <v>67</v>
      </c>
      <c r="BN22" s="83">
        <f>BN23+BN24</f>
        <v>1282354144</v>
      </c>
      <c r="BO22" s="81">
        <f>BO23+BO24</f>
        <v>573547035</v>
      </c>
      <c r="BP22" s="81">
        <f>BP23+BP24</f>
        <v>573547035</v>
      </c>
      <c r="BQ22" s="82">
        <f>BQ23+BQ24</f>
        <v>119750014</v>
      </c>
      <c r="BR22" s="372"/>
    </row>
    <row r="23" spans="1:70" s="412" customFormat="1" ht="24.95" customHeight="1">
      <c r="A23" s="593" t="str">
        <f>+IF(MAYO!A23=0,"",MAYO!A23)</f>
        <v>1130101-1</v>
      </c>
      <c r="B23" s="629" t="str">
        <f>+CONCATENATE("Vigencia ",INSTRUCCIONES!$F$3)</f>
        <v>Vigencia 2019</v>
      </c>
      <c r="C23" s="655">
        <f>+ENERO!C23</f>
        <v>3087894380</v>
      </c>
      <c r="D23" s="363">
        <f>MAYO!D23+JUNIO!P23</f>
        <v>0</v>
      </c>
      <c r="E23" s="363">
        <f>MAYO!E23+JUNIO!Q23</f>
        <v>0</v>
      </c>
      <c r="F23" s="363">
        <f>SUM(C23:E23)</f>
        <v>3087894380</v>
      </c>
      <c r="G23" s="363">
        <f>MAYO!I23</f>
        <v>1340723201</v>
      </c>
      <c r="H23" s="364">
        <v>78856181</v>
      </c>
      <c r="I23" s="363">
        <f>SUM(G23:H23)</f>
        <v>1419579382</v>
      </c>
      <c r="J23" s="363">
        <f>MAYO!L23</f>
        <v>137719523</v>
      </c>
      <c r="K23" s="364">
        <v>45186883</v>
      </c>
      <c r="L23" s="363">
        <f>SUM(J23:K23)</f>
        <v>182906406</v>
      </c>
      <c r="M23" s="363">
        <f>F23-I23</f>
        <v>1668314998</v>
      </c>
      <c r="N23" s="143">
        <f>F23-L23</f>
        <v>2904987974</v>
      </c>
      <c r="O23" s="9"/>
      <c r="P23" s="362">
        <v>0</v>
      </c>
      <c r="Q23" s="365">
        <v>0</v>
      </c>
      <c r="R23" s="9"/>
      <c r="S23" s="689" t="str">
        <f>+IF(MAYO!S23=0,"",MAYO!S23)</f>
        <v>1010104-3</v>
      </c>
      <c r="T23" s="665" t="str">
        <f>+IF(MAYO!T23=0,"",MAYO!T23)</f>
        <v>Bonificación  por servicios prestados</v>
      </c>
      <c r="U23" s="27">
        <f>+ENERO!U23</f>
        <v>44330324</v>
      </c>
      <c r="V23" s="15">
        <f>MAYO!V23+JUNIO!AL23</f>
        <v>0</v>
      </c>
      <c r="W23" s="15">
        <f>MAYO!W23+JUNIO!AM23</f>
        <v>0</v>
      </c>
      <c r="X23" s="18">
        <f t="shared" si="17"/>
        <v>44330324</v>
      </c>
      <c r="Y23" s="19">
        <f>MAYO!AA23</f>
        <v>14089817</v>
      </c>
      <c r="Z23" s="364">
        <v>635183</v>
      </c>
      <c r="AA23" s="18">
        <f t="shared" si="18"/>
        <v>14725000</v>
      </c>
      <c r="AB23" s="19">
        <f>MAYO!AD23</f>
        <v>14089817</v>
      </c>
      <c r="AC23" s="364">
        <v>635183</v>
      </c>
      <c r="AD23" s="18">
        <f t="shared" si="19"/>
        <v>14725000</v>
      </c>
      <c r="AE23" s="19">
        <f>MAYO!AG23</f>
        <v>14089817</v>
      </c>
      <c r="AF23" s="364">
        <v>635183</v>
      </c>
      <c r="AG23" s="18">
        <f t="shared" si="20"/>
        <v>14725000</v>
      </c>
      <c r="AH23" s="19">
        <f t="shared" si="21"/>
        <v>29605324</v>
      </c>
      <c r="AI23" s="15">
        <f t="shared" si="22"/>
        <v>29605324</v>
      </c>
      <c r="AJ23" s="16">
        <f t="shared" si="23"/>
        <v>29605324</v>
      </c>
      <c r="AK23" s="9"/>
      <c r="AL23" s="362">
        <v>0</v>
      </c>
      <c r="AM23" s="365">
        <v>0</v>
      </c>
      <c r="AN23" s="9"/>
      <c r="AO23" s="360"/>
      <c r="AP23" s="425" t="s">
        <v>108</v>
      </c>
      <c r="AQ23" s="426">
        <f>X16+X65-AQ22</f>
        <v>1859680691</v>
      </c>
      <c r="AR23" s="426">
        <f>AD16+AD65-AR22</f>
        <v>307626870</v>
      </c>
      <c r="AS23" s="426">
        <f>AG16+AG65-AS22</f>
        <v>304531660</v>
      </c>
      <c r="AT23" s="317"/>
      <c r="AU23" s="332">
        <f t="shared" si="25"/>
        <v>0.16541918808361708</v>
      </c>
      <c r="AV23" s="332">
        <f t="shared" si="26"/>
        <v>0.16375481095964126</v>
      </c>
      <c r="AW23" s="426">
        <f>(AR23-AD21-AD22-AD23-AD25-AD30-AD33-AD70-AD71-AD72-AD74-AD78-AD81)/$AO$2*12+AX22/12*2.5+AD30+AD33+AD78+AD81</f>
        <v>1083798348.75</v>
      </c>
      <c r="AX23" s="426">
        <f>(AS23-AG21-AG22-AG23-AG25-AG30-AG33-AG70-AG71-AG72-AG74-AG78-AG81)/$AO$2*12+AX22/12*2.5+AG30+AG33+AG78+AG81</f>
        <v>1080874430.75</v>
      </c>
      <c r="AY23" s="426">
        <f t="shared" si="27"/>
        <v>-775882342.25</v>
      </c>
      <c r="AZ23" s="46">
        <f t="shared" si="28"/>
        <v>778806260.25</v>
      </c>
      <c r="BA23" s="372"/>
      <c r="BF23" s="372"/>
      <c r="BG23" s="372"/>
      <c r="BH23" s="372"/>
      <c r="BI23" s="372"/>
      <c r="BJ23" s="372"/>
      <c r="BK23" s="372"/>
      <c r="BL23" s="372"/>
      <c r="BM23" s="137" t="s">
        <v>105</v>
      </c>
      <c r="BN23" s="83">
        <f>X177</f>
        <v>965336472</v>
      </c>
      <c r="BO23" s="81">
        <f>AA177</f>
        <v>428001514</v>
      </c>
      <c r="BP23" s="81">
        <f>AD177</f>
        <v>428001514</v>
      </c>
      <c r="BQ23" s="82">
        <f>AF177</f>
        <v>119077725</v>
      </c>
      <c r="BR23" s="9"/>
    </row>
    <row r="24" spans="1:70" s="412" customFormat="1" ht="24.95" customHeight="1">
      <c r="A24" s="593" t="str">
        <f>+IF(MAYO!A24=0,"",MAYO!A24)</f>
        <v>1130101-2</v>
      </c>
      <c r="B24" s="629" t="str">
        <f>+IF(MAYO!B24=0,"",MAYO!B24)</f>
        <v>Vigencia Anterior</v>
      </c>
      <c r="C24" s="655">
        <f>+ENERO!C24</f>
        <v>0</v>
      </c>
      <c r="D24" s="363">
        <f>MAYO!D24+JUNIO!P24</f>
        <v>0</v>
      </c>
      <c r="E24" s="363">
        <f>MAYO!E24+JUNIO!Q24</f>
        <v>472224168</v>
      </c>
      <c r="F24" s="363">
        <f>SUM(C24:E24)</f>
        <v>472224168</v>
      </c>
      <c r="G24" s="363">
        <f>MAYO!I24</f>
        <v>498908155</v>
      </c>
      <c r="H24" s="364">
        <v>23586432</v>
      </c>
      <c r="I24" s="363">
        <f>SUM(G24:H24)</f>
        <v>522494587</v>
      </c>
      <c r="J24" s="363">
        <f>MAYO!L24</f>
        <v>498908155</v>
      </c>
      <c r="K24" s="364">
        <v>23586432</v>
      </c>
      <c r="L24" s="363">
        <f>SUM(J24:K24)</f>
        <v>522494587</v>
      </c>
      <c r="M24" s="363">
        <f>F24-I24</f>
        <v>-50270419</v>
      </c>
      <c r="N24" s="143">
        <f>F24-L24</f>
        <v>-50270419</v>
      </c>
      <c r="O24" s="372"/>
      <c r="P24" s="362">
        <v>0</v>
      </c>
      <c r="Q24" s="365">
        <v>0</v>
      </c>
      <c r="R24" s="9"/>
      <c r="S24" s="689" t="str">
        <f>+IF(MAYO!S24=0,"",MAYO!S24)</f>
        <v>1010104-4</v>
      </c>
      <c r="T24" s="665" t="str">
        <f>+IF(MAYO!T24=0,"",MAYO!T24)</f>
        <v>Prima de Servicios</v>
      </c>
      <c r="U24" s="27">
        <f>+ENERO!U24</f>
        <v>67115850</v>
      </c>
      <c r="V24" s="15">
        <f>MAYO!V24+JUNIO!AL24</f>
        <v>0</v>
      </c>
      <c r="W24" s="15">
        <f>MAYO!W24+JUNIO!AM24</f>
        <v>0</v>
      </c>
      <c r="X24" s="18">
        <f t="shared" si="17"/>
        <v>67115850</v>
      </c>
      <c r="Y24" s="19">
        <f>MAYO!AA24</f>
        <v>507152</v>
      </c>
      <c r="Z24" s="364">
        <v>50282190</v>
      </c>
      <c r="AA24" s="18">
        <f t="shared" si="18"/>
        <v>50789342</v>
      </c>
      <c r="AB24" s="19">
        <f>MAYO!AD24</f>
        <v>507152</v>
      </c>
      <c r="AC24" s="364">
        <v>50282190</v>
      </c>
      <c r="AD24" s="18">
        <f t="shared" si="19"/>
        <v>50789342</v>
      </c>
      <c r="AE24" s="19">
        <f>MAYO!AG24</f>
        <v>507152</v>
      </c>
      <c r="AF24" s="364">
        <v>50282190</v>
      </c>
      <c r="AG24" s="18">
        <f t="shared" si="20"/>
        <v>50789342</v>
      </c>
      <c r="AH24" s="19">
        <f t="shared" si="21"/>
        <v>16326508</v>
      </c>
      <c r="AI24" s="15">
        <f t="shared" si="22"/>
        <v>16326508</v>
      </c>
      <c r="AJ24" s="16">
        <f t="shared" si="23"/>
        <v>16326508</v>
      </c>
      <c r="AK24" s="9"/>
      <c r="AL24" s="362">
        <v>0</v>
      </c>
      <c r="AM24" s="365">
        <v>0</v>
      </c>
      <c r="AN24" s="9"/>
      <c r="AO24" s="360"/>
      <c r="AP24" s="405" t="s">
        <v>113</v>
      </c>
      <c r="AQ24" s="421">
        <f>X35+X83</f>
        <v>27976354338</v>
      </c>
      <c r="AR24" s="421">
        <f>AD35+AD83</f>
        <v>15986629457</v>
      </c>
      <c r="AS24" s="421">
        <f>AG35+AG83</f>
        <v>9082130393</v>
      </c>
      <c r="AT24" s="421"/>
      <c r="AU24" s="363">
        <f t="shared" si="25"/>
        <v>0.57143362083048554</v>
      </c>
      <c r="AV24" s="363">
        <f t="shared" si="26"/>
        <v>0.32463595089170838</v>
      </c>
      <c r="AW24" s="363">
        <f>(AR24-AD41-AD88)/$AO$2*12+AD41+AD88</f>
        <v>26976320446</v>
      </c>
      <c r="AX24" s="363">
        <f>(AS24-AG41-AG88)/$AO$2*12+AG41+AG88</f>
        <v>13167322318</v>
      </c>
      <c r="AY24" s="363">
        <f t="shared" si="27"/>
        <v>-1000033892</v>
      </c>
      <c r="AZ24" s="143">
        <f t="shared" si="28"/>
        <v>14809032020</v>
      </c>
      <c r="BA24" s="9"/>
      <c r="BB24" s="427"/>
      <c r="BC24" s="372"/>
      <c r="BD24" s="372"/>
      <c r="BE24" s="372"/>
      <c r="BF24" s="372"/>
      <c r="BG24" s="372"/>
      <c r="BH24" s="372"/>
      <c r="BI24" s="372"/>
      <c r="BJ24" s="372"/>
      <c r="BK24" s="372"/>
      <c r="BL24" s="372"/>
      <c r="BM24" s="137" t="s">
        <v>110</v>
      </c>
      <c r="BN24" s="83">
        <f>X170-X177-X174-X183-X191</f>
        <v>317017672</v>
      </c>
      <c r="BO24" s="81">
        <f>AA170-AA177-AA174-AA183-AA191</f>
        <v>145545521</v>
      </c>
      <c r="BP24" s="81">
        <f>AD170-AD177-AD174-AD183-AD191</f>
        <v>145545521</v>
      </c>
      <c r="BQ24" s="82">
        <f>AF170-AF177-AF174-AF183-AF191</f>
        <v>672289</v>
      </c>
      <c r="BR24" s="372"/>
    </row>
    <row r="25" spans="1:70" s="372" customFormat="1" ht="24.95" customHeight="1">
      <c r="A25" s="714">
        <f>+IF(MAYO!A25=0,"",MAYO!A25)</f>
        <v>1130102</v>
      </c>
      <c r="B25" s="628" t="str">
        <f>+IF(MAYO!B25=0,"",MAYO!B25)</f>
        <v>ARS - REGIMEN SUBSIDIADO</v>
      </c>
      <c r="C25" s="43">
        <f t="shared" ref="C25:N25" si="29">SUM(C26:C27)</f>
        <v>32167564656</v>
      </c>
      <c r="D25" s="44">
        <f t="shared" si="29"/>
        <v>0</v>
      </c>
      <c r="E25" s="44">
        <f t="shared" si="29"/>
        <v>7591538235</v>
      </c>
      <c r="F25" s="44">
        <f t="shared" si="29"/>
        <v>39759102891</v>
      </c>
      <c r="G25" s="44">
        <f t="shared" si="29"/>
        <v>23119949432</v>
      </c>
      <c r="H25" s="44">
        <f t="shared" si="29"/>
        <v>1110435290</v>
      </c>
      <c r="I25" s="44">
        <f t="shared" si="29"/>
        <v>24230384722</v>
      </c>
      <c r="J25" s="44">
        <f t="shared" si="29"/>
        <v>12957219923</v>
      </c>
      <c r="K25" s="44">
        <f t="shared" si="29"/>
        <v>2983829085</v>
      </c>
      <c r="L25" s="44">
        <f t="shared" si="29"/>
        <v>15941049008</v>
      </c>
      <c r="M25" s="44">
        <f t="shared" si="29"/>
        <v>15528718169</v>
      </c>
      <c r="N25" s="45">
        <f t="shared" si="29"/>
        <v>23818053883</v>
      </c>
      <c r="P25" s="43">
        <f>SUM(P26:P27)</f>
        <v>0</v>
      </c>
      <c r="Q25" s="45">
        <f>SUM(Q26:Q27)</f>
        <v>0</v>
      </c>
      <c r="R25" s="9"/>
      <c r="S25" s="689" t="str">
        <f>+IF(MAYO!S25=0,"",MAYO!S25)</f>
        <v>1010104-5</v>
      </c>
      <c r="T25" s="665" t="str">
        <f>+IF(MAYO!T25=0,"",MAYO!T25)</f>
        <v>Bonificación Convencional</v>
      </c>
      <c r="U25" s="27">
        <f>+ENERO!U25</f>
        <v>0</v>
      </c>
      <c r="V25" s="15">
        <f>MAYO!V25+JUNIO!AL25</f>
        <v>0</v>
      </c>
      <c r="W25" s="15">
        <f>MAYO!W25+JUNIO!AM25</f>
        <v>0</v>
      </c>
      <c r="X25" s="18">
        <f t="shared" si="17"/>
        <v>0</v>
      </c>
      <c r="Y25" s="19">
        <f>MAYO!AA25</f>
        <v>0</v>
      </c>
      <c r="Z25" s="364">
        <v>0</v>
      </c>
      <c r="AA25" s="18">
        <f t="shared" si="18"/>
        <v>0</v>
      </c>
      <c r="AB25" s="19">
        <f>MAYO!AD25</f>
        <v>0</v>
      </c>
      <c r="AC25" s="364">
        <v>0</v>
      </c>
      <c r="AD25" s="18">
        <f t="shared" si="19"/>
        <v>0</v>
      </c>
      <c r="AE25" s="19">
        <f>MAYO!AG25</f>
        <v>0</v>
      </c>
      <c r="AF25" s="364">
        <v>0</v>
      </c>
      <c r="AG25" s="18">
        <f t="shared" si="20"/>
        <v>0</v>
      </c>
      <c r="AH25" s="19">
        <f t="shared" si="21"/>
        <v>0</v>
      </c>
      <c r="AI25" s="15">
        <f t="shared" si="22"/>
        <v>0</v>
      </c>
      <c r="AJ25" s="16">
        <f t="shared" si="23"/>
        <v>0</v>
      </c>
      <c r="AK25" s="9"/>
      <c r="AL25" s="362">
        <v>0</v>
      </c>
      <c r="AM25" s="365">
        <v>0</v>
      </c>
      <c r="AN25" s="9"/>
      <c r="AO25" s="21"/>
      <c r="AP25" s="428" t="s">
        <v>116</v>
      </c>
      <c r="AQ25" s="363">
        <f>X43+X57+X90+X104</f>
        <v>4207412079</v>
      </c>
      <c r="AR25" s="363">
        <f>AD43+AD57+AD90+AD104</f>
        <v>811410345</v>
      </c>
      <c r="AS25" s="363">
        <f>AG43+AG57+AG90+AG104</f>
        <v>772375005</v>
      </c>
      <c r="AT25" s="421"/>
      <c r="AU25" s="363">
        <f t="shared" si="25"/>
        <v>0.19285259674228358</v>
      </c>
      <c r="AV25" s="363">
        <f t="shared" si="26"/>
        <v>0.18357484137459976</v>
      </c>
      <c r="AW25" s="363">
        <f>(AR25-AD55-AD61-AD102-AD108)/$AO$2*12+AD55+AD61+AD102+AD108</f>
        <v>1329638616</v>
      </c>
      <c r="AX25" s="363">
        <f>(AS25-AG55-AG61-AG102-AG108)/$AO$2*12+AG55+AG61+AG102+AG108</f>
        <v>1251567936</v>
      </c>
      <c r="AY25" s="363">
        <f t="shared" si="27"/>
        <v>-2877773463</v>
      </c>
      <c r="AZ25" s="143">
        <f t="shared" si="28"/>
        <v>2955844143</v>
      </c>
      <c r="BM25" s="140" t="s">
        <v>430</v>
      </c>
      <c r="BN25" s="106">
        <f>+SUM(BN26:BN28)</f>
        <v>13490718637</v>
      </c>
      <c r="BO25" s="107">
        <f>+SUM(BO26:BO28)</f>
        <v>12496012245</v>
      </c>
      <c r="BP25" s="107">
        <f>+SUM(BP26:BP28)</f>
        <v>9689251560</v>
      </c>
      <c r="BQ25" s="108">
        <f>+SUM(BQ26:BQ28)</f>
        <v>583778324</v>
      </c>
    </row>
    <row r="26" spans="1:70" s="9" customFormat="1" ht="24.95" customHeight="1">
      <c r="A26" s="593" t="str">
        <f>+IF(MAYO!A26=0,"",MAYO!A26)</f>
        <v>1130102-1</v>
      </c>
      <c r="B26" s="629" t="str">
        <f>+CONCATENATE("Vigencia ",INSTRUCCIONES!$F$3)</f>
        <v>Vigencia 2019</v>
      </c>
      <c r="C26" s="655">
        <f>+ENERO!C26</f>
        <v>32167564656</v>
      </c>
      <c r="D26" s="363">
        <f>MAYO!D26+JUNIO!P26</f>
        <v>0</v>
      </c>
      <c r="E26" s="363">
        <f>MAYO!E26+JUNIO!Q26</f>
        <v>0</v>
      </c>
      <c r="F26" s="363">
        <f>SUM(C26:E26)</f>
        <v>32167564656</v>
      </c>
      <c r="G26" s="363">
        <f>MAYO!I26</f>
        <v>15454152260</v>
      </c>
      <c r="H26" s="364">
        <v>965562119</v>
      </c>
      <c r="I26" s="363">
        <f>SUM(G26:H26)</f>
        <v>16419714379</v>
      </c>
      <c r="J26" s="363">
        <f>MAYO!L26</f>
        <v>5291422751</v>
      </c>
      <c r="K26" s="364">
        <v>2838955914</v>
      </c>
      <c r="L26" s="363">
        <f>SUM(J26:K26)</f>
        <v>8130378665</v>
      </c>
      <c r="M26" s="363">
        <f>F26-I26</f>
        <v>15747850277</v>
      </c>
      <c r="N26" s="143">
        <f>F26-L26</f>
        <v>24037185991</v>
      </c>
      <c r="P26" s="362">
        <v>0</v>
      </c>
      <c r="Q26" s="365">
        <v>0</v>
      </c>
      <c r="S26" s="689" t="str">
        <f>+IF(MAYO!S26=0,"",MAYO!S26)</f>
        <v>1010104-6</v>
      </c>
      <c r="T26" s="665" t="str">
        <f>+IF(MAYO!T26=0,"",MAYO!T26)</f>
        <v>Auxilio de Transporte</v>
      </c>
      <c r="U26" s="27">
        <f>+ENERO!U26</f>
        <v>7017105</v>
      </c>
      <c r="V26" s="15">
        <f>MAYO!V26+JUNIO!AL26</f>
        <v>0</v>
      </c>
      <c r="W26" s="15">
        <f>MAYO!W26+JUNIO!AM26</f>
        <v>0</v>
      </c>
      <c r="X26" s="18">
        <f t="shared" si="17"/>
        <v>7017105</v>
      </c>
      <c r="Y26" s="19">
        <f>MAYO!AA26</f>
        <v>410769</v>
      </c>
      <c r="Z26" s="364">
        <v>97032</v>
      </c>
      <c r="AA26" s="18">
        <f t="shared" si="18"/>
        <v>507801</v>
      </c>
      <c r="AB26" s="19">
        <f>MAYO!AD26</f>
        <v>410769</v>
      </c>
      <c r="AC26" s="364">
        <v>97032</v>
      </c>
      <c r="AD26" s="18">
        <f t="shared" si="19"/>
        <v>507801</v>
      </c>
      <c r="AE26" s="19">
        <f>MAYO!AG26</f>
        <v>410769</v>
      </c>
      <c r="AF26" s="364">
        <v>97032</v>
      </c>
      <c r="AG26" s="18">
        <f t="shared" si="20"/>
        <v>507801</v>
      </c>
      <c r="AH26" s="19">
        <f t="shared" si="21"/>
        <v>6509304</v>
      </c>
      <c r="AI26" s="15">
        <f t="shared" si="22"/>
        <v>6509304</v>
      </c>
      <c r="AJ26" s="16">
        <f t="shared" si="23"/>
        <v>6509304</v>
      </c>
      <c r="AL26" s="362">
        <v>0</v>
      </c>
      <c r="AM26" s="365">
        <v>0</v>
      </c>
      <c r="AO26" s="21"/>
      <c r="AP26" s="429" t="s">
        <v>120</v>
      </c>
      <c r="AQ26" s="317">
        <f>X110</f>
        <v>12602719527</v>
      </c>
      <c r="AR26" s="317">
        <f>AD110</f>
        <v>6851403550</v>
      </c>
      <c r="AS26" s="317">
        <f>AG110</f>
        <v>4755716540</v>
      </c>
      <c r="AT26" s="361">
        <f>AO2/12</f>
        <v>0.5</v>
      </c>
      <c r="AU26" s="332">
        <f t="shared" si="25"/>
        <v>0.54364484866314677</v>
      </c>
      <c r="AV26" s="332">
        <f t="shared" si="26"/>
        <v>0.37735637374230047</v>
      </c>
      <c r="AW26" s="426">
        <f>(AR26-AD121-AD139-AD143-AD153-AD168)/$AO$2*12+AD121+AD139+AD143+AD153+AD168</f>
        <v>11911768253</v>
      </c>
      <c r="AX26" s="426">
        <f>(AS26-AG121-AG139-AG143-AG153-AG168)/$AO$2*12+AG121+AG139+AG143+AG153+AG168</f>
        <v>7720394233</v>
      </c>
      <c r="AY26" s="426">
        <f t="shared" si="27"/>
        <v>-690951274</v>
      </c>
      <c r="AZ26" s="46">
        <f t="shared" si="28"/>
        <v>4882325294</v>
      </c>
      <c r="BA26" s="372"/>
      <c r="BB26" s="372"/>
      <c r="BC26" s="372"/>
      <c r="BD26" s="372"/>
      <c r="BE26" s="372"/>
      <c r="BF26" s="372"/>
      <c r="BG26" s="372"/>
      <c r="BH26" s="372"/>
      <c r="BI26" s="372"/>
      <c r="BJ26" s="372"/>
      <c r="BK26" s="372"/>
      <c r="BM26" s="109" t="s">
        <v>431</v>
      </c>
      <c r="BN26" s="86">
        <f>+X198+X212</f>
        <v>5433274278</v>
      </c>
      <c r="BO26" s="84">
        <f>+AA198+AA212</f>
        <v>5238418399</v>
      </c>
      <c r="BP26" s="84">
        <f>+AD198+AD212</f>
        <v>4220963784</v>
      </c>
      <c r="BQ26" s="85">
        <f>+AF198+AF212</f>
        <v>124154637</v>
      </c>
      <c r="BR26" s="372"/>
    </row>
    <row r="27" spans="1:70" s="412" customFormat="1" ht="24.95" customHeight="1">
      <c r="A27" s="593" t="str">
        <f>+IF(MAYO!A27=0,"",MAYO!A27)</f>
        <v>1130102-2</v>
      </c>
      <c r="B27" s="629" t="str">
        <f>+IF(MAYO!B27=0,"",MAYO!B27)</f>
        <v>Vigencia Anterior</v>
      </c>
      <c r="C27" s="655">
        <f>+ENERO!C27</f>
        <v>0</v>
      </c>
      <c r="D27" s="363">
        <f>MAYO!D27+JUNIO!P27</f>
        <v>0</v>
      </c>
      <c r="E27" s="363">
        <f>MAYO!E27+JUNIO!Q27</f>
        <v>7591538235</v>
      </c>
      <c r="F27" s="363">
        <f>SUM(C27:E27)</f>
        <v>7591538235</v>
      </c>
      <c r="G27" s="363">
        <f>MAYO!I27</f>
        <v>7665797172</v>
      </c>
      <c r="H27" s="364">
        <v>144873171</v>
      </c>
      <c r="I27" s="363">
        <f>SUM(G27:H27)</f>
        <v>7810670343</v>
      </c>
      <c r="J27" s="363">
        <f>MAYO!L27</f>
        <v>7665797172</v>
      </c>
      <c r="K27" s="364">
        <v>144873171</v>
      </c>
      <c r="L27" s="363">
        <f>SUM(J27:K27)</f>
        <v>7810670343</v>
      </c>
      <c r="M27" s="363">
        <f>F27-I27</f>
        <v>-219132108</v>
      </c>
      <c r="N27" s="143">
        <f>F27-L27</f>
        <v>-219132108</v>
      </c>
      <c r="O27" s="372"/>
      <c r="P27" s="362">
        <v>0</v>
      </c>
      <c r="Q27" s="365">
        <v>0</v>
      </c>
      <c r="R27" s="9"/>
      <c r="S27" s="689" t="str">
        <f>+IF(MAYO!S27=0,"",MAYO!S27)</f>
        <v>1010104-7</v>
      </c>
      <c r="T27" s="665" t="str">
        <f>+IF(MAYO!T27=0,"",MAYO!T27)</f>
        <v>Auxilio de Alimentación</v>
      </c>
      <c r="U27" s="27">
        <f>+ENERO!U27</f>
        <v>92622</v>
      </c>
      <c r="V27" s="15">
        <f>MAYO!V27+JUNIO!AL27</f>
        <v>0</v>
      </c>
      <c r="W27" s="15">
        <f>MAYO!W27+JUNIO!AM27</f>
        <v>0</v>
      </c>
      <c r="X27" s="18">
        <f t="shared" si="17"/>
        <v>92622</v>
      </c>
      <c r="Y27" s="19">
        <f>MAYO!AA27</f>
        <v>0</v>
      </c>
      <c r="Z27" s="364">
        <v>0</v>
      </c>
      <c r="AA27" s="18">
        <f t="shared" si="18"/>
        <v>0</v>
      </c>
      <c r="AB27" s="19">
        <f>MAYO!AD27</f>
        <v>0</v>
      </c>
      <c r="AC27" s="364">
        <v>0</v>
      </c>
      <c r="AD27" s="18">
        <f t="shared" si="19"/>
        <v>0</v>
      </c>
      <c r="AE27" s="19">
        <f>MAYO!AG27</f>
        <v>0</v>
      </c>
      <c r="AF27" s="364">
        <v>0</v>
      </c>
      <c r="AG27" s="18">
        <f t="shared" si="20"/>
        <v>0</v>
      </c>
      <c r="AH27" s="19">
        <f t="shared" si="21"/>
        <v>92622</v>
      </c>
      <c r="AI27" s="15">
        <f t="shared" si="22"/>
        <v>92622</v>
      </c>
      <c r="AJ27" s="16">
        <f t="shared" si="23"/>
        <v>92622</v>
      </c>
      <c r="AK27" s="9"/>
      <c r="AL27" s="362">
        <v>0</v>
      </c>
      <c r="AM27" s="365">
        <v>0</v>
      </c>
      <c r="AN27" s="9"/>
      <c r="AO27" s="339"/>
      <c r="AP27" s="428" t="s">
        <v>123</v>
      </c>
      <c r="AQ27" s="363">
        <f>X170</f>
        <v>1282354144</v>
      </c>
      <c r="AR27" s="363">
        <f>AD170</f>
        <v>573547035</v>
      </c>
      <c r="AS27" s="363">
        <f>AG170</f>
        <v>554398211</v>
      </c>
      <c r="AT27" s="421"/>
      <c r="AU27" s="363">
        <f t="shared" si="25"/>
        <v>0.44726102978928728</v>
      </c>
      <c r="AV27" s="363">
        <f t="shared" si="26"/>
        <v>0.43232847462143814</v>
      </c>
      <c r="AW27" s="363">
        <f>(AR27-AD174-AD183-AD191)/$AO$2*12+AD174+AD183+AD191</f>
        <v>1147094070</v>
      </c>
      <c r="AX27" s="363">
        <f>(AS27-AG174-AG183-AG191)/$AO$2*12+AG174+AG183+AG191</f>
        <v>1108796422</v>
      </c>
      <c r="AY27" s="363">
        <f t="shared" si="27"/>
        <v>-135260074</v>
      </c>
      <c r="AZ27" s="143">
        <f t="shared" si="28"/>
        <v>173557722</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+IF(MAYO!A28=0,"",MAYO!A28)</f>
        <v>1130103</v>
      </c>
      <c r="B28" s="605" t="str">
        <f>+IF(MAYO!B28=0,"",MAYO!B28)</f>
        <v>SUBSIDIO A LA OFERTA- ATENCION PERSONAS POBRES NO CUBIERTOS CON SUBSIDIO A LA DEMANDA</v>
      </c>
      <c r="C28" s="43">
        <f>C29+C32+C35+C38+C39+C40</f>
        <v>8952361140</v>
      </c>
      <c r="D28" s="44">
        <f>+D29+D32+D35+D38+D39+D40</f>
        <v>0</v>
      </c>
      <c r="E28" s="44">
        <f>+E29+E32+E35+E38+E39+E40</f>
        <v>1624039533</v>
      </c>
      <c r="F28" s="44">
        <f>+F29+F32+F35+F38+F39+F40</f>
        <v>10576400673</v>
      </c>
      <c r="G28" s="44">
        <f t="shared" ref="G28:N28" si="30">G29+G32+G35+G38+G39+G40</f>
        <v>6642662740</v>
      </c>
      <c r="H28" s="44">
        <f t="shared" si="30"/>
        <v>983614442</v>
      </c>
      <c r="I28" s="44">
        <f t="shared" si="30"/>
        <v>7626277182</v>
      </c>
      <c r="J28" s="44">
        <f t="shared" si="30"/>
        <v>2474132430</v>
      </c>
      <c r="K28" s="44">
        <f t="shared" si="30"/>
        <v>110396695</v>
      </c>
      <c r="L28" s="44">
        <f t="shared" si="30"/>
        <v>2584529125</v>
      </c>
      <c r="M28" s="44">
        <f t="shared" si="30"/>
        <v>2950123491</v>
      </c>
      <c r="N28" s="45">
        <f t="shared" si="30"/>
        <v>7991871548</v>
      </c>
      <c r="O28" s="372"/>
      <c r="P28" s="43">
        <f>P29+P32+P35+P38+P39+P940</f>
        <v>0</v>
      </c>
      <c r="Q28" s="45">
        <f>Q29+Q32+Q35+Q38+Q39+Q40</f>
        <v>0</v>
      </c>
      <c r="R28" s="9"/>
      <c r="S28" s="689" t="str">
        <f>+IF(MAYO!S28=0,"",MAYO!S28)</f>
        <v>1010104-8</v>
      </c>
      <c r="T28" s="665" t="str">
        <f>+IF(MAYO!T28=0,"",MAYO!T28)</f>
        <v>Indemnizaciones por Vacaciones o Supresión de Cargos por Reestructuración</v>
      </c>
      <c r="U28" s="27">
        <f>+ENERO!U28</f>
        <v>0</v>
      </c>
      <c r="V28" s="15">
        <f>MAYO!V28+JUNIO!AL28</f>
        <v>0</v>
      </c>
      <c r="W28" s="15">
        <f>MAYO!W28+JUNIO!AM28</f>
        <v>0</v>
      </c>
      <c r="X28" s="18">
        <f t="shared" si="17"/>
        <v>0</v>
      </c>
      <c r="Y28" s="19">
        <f>MAYO!AA28</f>
        <v>0</v>
      </c>
      <c r="Z28" s="364">
        <v>0</v>
      </c>
      <c r="AA28" s="18">
        <f t="shared" si="18"/>
        <v>0</v>
      </c>
      <c r="AB28" s="19">
        <f>MAYO!AD28</f>
        <v>0</v>
      </c>
      <c r="AC28" s="364">
        <v>0</v>
      </c>
      <c r="AD28" s="18">
        <f t="shared" si="19"/>
        <v>0</v>
      </c>
      <c r="AE28" s="19">
        <f>MAYO!AG28</f>
        <v>0</v>
      </c>
      <c r="AF28" s="364">
        <v>0</v>
      </c>
      <c r="AG28" s="18">
        <f t="shared" si="20"/>
        <v>0</v>
      </c>
      <c r="AH28" s="19">
        <f t="shared" si="21"/>
        <v>0</v>
      </c>
      <c r="AI28" s="15">
        <f t="shared" si="22"/>
        <v>0</v>
      </c>
      <c r="AJ28" s="16">
        <f t="shared" si="23"/>
        <v>0</v>
      </c>
      <c r="AK28" s="9"/>
      <c r="AL28" s="362">
        <v>0</v>
      </c>
      <c r="AM28" s="365">
        <v>0</v>
      </c>
      <c r="AN28" s="9"/>
      <c r="AO28" s="339"/>
      <c r="AP28" s="777" t="s">
        <v>566</v>
      </c>
      <c r="AQ28" s="363">
        <f>X195</f>
        <v>18837223494</v>
      </c>
      <c r="AR28" s="363">
        <f>AD195</f>
        <v>14960065519</v>
      </c>
      <c r="AS28" s="363">
        <f>AG195</f>
        <v>8726764715</v>
      </c>
      <c r="AT28" s="421"/>
      <c r="AU28" s="363">
        <f t="shared" si="25"/>
        <v>0.79417571935508724</v>
      </c>
      <c r="AV28" s="363">
        <f t="shared" si="26"/>
        <v>0.46327234572439163</v>
      </c>
      <c r="AW28" s="363">
        <f>(AR28-AD207)/$AO$2*12+AD207</f>
        <v>24649317079</v>
      </c>
      <c r="AX28" s="363">
        <f>(AS28-AG207)/$AO$2*12+AG207</f>
        <v>12182715471</v>
      </c>
      <c r="AY28" s="363">
        <f t="shared" si="27"/>
        <v>5812093585</v>
      </c>
      <c r="AZ28" s="143">
        <f t="shared" si="28"/>
        <v>6654508023</v>
      </c>
      <c r="BA28" s="372"/>
      <c r="BB28" s="372"/>
      <c r="BC28" s="372"/>
      <c r="BD28" s="372"/>
      <c r="BE28" s="372"/>
      <c r="BF28" s="372"/>
      <c r="BG28" s="372"/>
      <c r="BH28" s="372"/>
      <c r="BI28" s="372"/>
      <c r="BJ28" s="372"/>
      <c r="BK28" s="372"/>
      <c r="BL28" s="372"/>
      <c r="BM28" s="71" t="s">
        <v>433</v>
      </c>
      <c r="BN28" s="83">
        <f>+X196-X198-X207</f>
        <v>8057444359</v>
      </c>
      <c r="BO28" s="81">
        <f>+AA196-AA198-AA207</f>
        <v>7257593846</v>
      </c>
      <c r="BP28" s="81">
        <f>+AD196-AD198-AD207</f>
        <v>5468287776</v>
      </c>
      <c r="BQ28" s="82">
        <f>+AF196-AF198-AF207</f>
        <v>459623687</v>
      </c>
      <c r="BR28" s="9"/>
    </row>
    <row r="29" spans="1:70" s="9" customFormat="1" ht="24.95" customHeight="1">
      <c r="A29" s="593" t="str">
        <f>+IF(MAYO!A29=0,"",MAYO!A29)</f>
        <v>1130103-1</v>
      </c>
      <c r="B29" s="630" t="str">
        <f>+IF(MAYO!B29=0,"",MAYO!B29)</f>
        <v>Prestación de Servicios de salud  1er Nivel</v>
      </c>
      <c r="C29" s="19">
        <f t="shared" ref="C29:N29" si="31">SUM(C30:C31)</f>
        <v>0</v>
      </c>
      <c r="D29" s="15">
        <f t="shared" si="31"/>
        <v>0</v>
      </c>
      <c r="E29" s="15">
        <f t="shared" si="31"/>
        <v>0</v>
      </c>
      <c r="F29" s="15">
        <f t="shared" si="31"/>
        <v>0</v>
      </c>
      <c r="G29" s="15">
        <f t="shared" si="31"/>
        <v>0</v>
      </c>
      <c r="H29" s="15">
        <f t="shared" si="31"/>
        <v>0</v>
      </c>
      <c r="I29" s="15">
        <f t="shared" si="31"/>
        <v>0</v>
      </c>
      <c r="J29" s="15">
        <f t="shared" si="31"/>
        <v>0</v>
      </c>
      <c r="K29" s="15">
        <f t="shared" si="31"/>
        <v>0</v>
      </c>
      <c r="L29" s="15">
        <f t="shared" si="31"/>
        <v>0</v>
      </c>
      <c r="M29" s="15">
        <f t="shared" si="31"/>
        <v>0</v>
      </c>
      <c r="N29" s="16">
        <f t="shared" si="31"/>
        <v>0</v>
      </c>
      <c r="O29" s="372"/>
      <c r="P29" s="144">
        <f>SUM(P30:P31)</f>
        <v>0</v>
      </c>
      <c r="Q29" s="145">
        <f>SUM(Q30:Q31)</f>
        <v>0</v>
      </c>
      <c r="S29" s="689" t="str">
        <f>+IF(MAYO!S29=0,"",MAYO!S29)</f>
        <v>1010104-9</v>
      </c>
      <c r="T29" s="665" t="str">
        <f>+IF(MAYO!T29=0,"",MAYO!T29)</f>
        <v>Bonificación Especial por Recreación</v>
      </c>
      <c r="U29" s="27">
        <f>+ENERO!U29</f>
        <v>8443869</v>
      </c>
      <c r="V29" s="15">
        <f>MAYO!V29+JUNIO!AL29</f>
        <v>0</v>
      </c>
      <c r="W29" s="15">
        <f>MAYO!W29+JUNIO!AM29</f>
        <v>0</v>
      </c>
      <c r="X29" s="18">
        <f t="shared" si="17"/>
        <v>8443869</v>
      </c>
      <c r="Y29" s="19">
        <f>MAYO!AA29</f>
        <v>926158</v>
      </c>
      <c r="Z29" s="364">
        <v>1107328</v>
      </c>
      <c r="AA29" s="18">
        <f t="shared" si="18"/>
        <v>2033486</v>
      </c>
      <c r="AB29" s="19">
        <f>MAYO!AD29</f>
        <v>926158</v>
      </c>
      <c r="AC29" s="364">
        <v>1107328</v>
      </c>
      <c r="AD29" s="18">
        <f t="shared" si="19"/>
        <v>2033486</v>
      </c>
      <c r="AE29" s="19">
        <f>MAYO!AG29</f>
        <v>926158</v>
      </c>
      <c r="AF29" s="364">
        <v>1107328</v>
      </c>
      <c r="AG29" s="18">
        <f t="shared" si="20"/>
        <v>2033486</v>
      </c>
      <c r="AH29" s="19">
        <f t="shared" si="21"/>
        <v>6410383</v>
      </c>
      <c r="AI29" s="15">
        <f t="shared" si="22"/>
        <v>6410383</v>
      </c>
      <c r="AJ29" s="16">
        <f t="shared" si="23"/>
        <v>6410383</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26829618396</v>
      </c>
      <c r="BO29" s="107">
        <f>AA232-AA256-AA241</f>
        <v>19062925858</v>
      </c>
      <c r="BP29" s="107">
        <f>AD232-AD256-AD241</f>
        <v>8143049918</v>
      </c>
      <c r="BQ29" s="108">
        <f>AF232-AF256-AF241</f>
        <v>930649839</v>
      </c>
      <c r="BR29" s="372"/>
    </row>
    <row r="30" spans="1:70" s="412" customFormat="1" ht="24.95" customHeight="1">
      <c r="A30" s="593" t="str">
        <f>+IF(MAYO!A30=0,"",MAYO!A30)</f>
        <v>1130103-1-1</v>
      </c>
      <c r="B30" s="629" t="str">
        <f>+CONCATENATE("Vigencia ",INSTRUCCIONES!$F$3)</f>
        <v>Vigencia 2019</v>
      </c>
      <c r="C30" s="655">
        <f>+ENERO!C30</f>
        <v>0</v>
      </c>
      <c r="D30" s="363">
        <f>MAYO!D30+JUNIO!P30</f>
        <v>0</v>
      </c>
      <c r="E30" s="363">
        <f>MAYO!E30+JUNIO!Q30</f>
        <v>0</v>
      </c>
      <c r="F30" s="363">
        <f>SUM(C30:E30)</f>
        <v>0</v>
      </c>
      <c r="G30" s="363">
        <f>MAYO!I30</f>
        <v>0</v>
      </c>
      <c r="H30" s="364">
        <v>0</v>
      </c>
      <c r="I30" s="363">
        <f>SUM(G30:H30)</f>
        <v>0</v>
      </c>
      <c r="J30" s="363">
        <f>MAYO!L30</f>
        <v>0</v>
      </c>
      <c r="K30" s="364">
        <v>0</v>
      </c>
      <c r="L30" s="363">
        <f>SUM(J30:K30)</f>
        <v>0</v>
      </c>
      <c r="M30" s="363">
        <f>F30-I30</f>
        <v>0</v>
      </c>
      <c r="N30" s="143">
        <f>F30-L30</f>
        <v>0</v>
      </c>
      <c r="O30" s="9"/>
      <c r="P30" s="362">
        <v>0</v>
      </c>
      <c r="Q30" s="365">
        <v>0</v>
      </c>
      <c r="R30" s="9"/>
      <c r="S30" s="689" t="str">
        <f>+IF(MAYO!S30=0,"",MAYO!S30)</f>
        <v>1010104-10</v>
      </c>
      <c r="T30" s="665" t="str">
        <f>+IF(MAYO!T30=0,"",MAYO!T30)</f>
        <v>Gastos de Representación</v>
      </c>
      <c r="U30" s="27">
        <f>+ENERO!U30</f>
        <v>0</v>
      </c>
      <c r="V30" s="15">
        <f>MAYO!V30+JUNIO!AL30</f>
        <v>0</v>
      </c>
      <c r="W30" s="15">
        <f>MAYO!W30+JUNIO!AM30</f>
        <v>0</v>
      </c>
      <c r="X30" s="18">
        <f t="shared" si="17"/>
        <v>0</v>
      </c>
      <c r="Y30" s="19">
        <f>MAYO!AA30</f>
        <v>0</v>
      </c>
      <c r="Z30" s="364">
        <v>0</v>
      </c>
      <c r="AA30" s="18">
        <f t="shared" si="18"/>
        <v>0</v>
      </c>
      <c r="AB30" s="19">
        <f>MAYO!AD30</f>
        <v>0</v>
      </c>
      <c r="AC30" s="364">
        <v>0</v>
      </c>
      <c r="AD30" s="18">
        <f t="shared" si="19"/>
        <v>0</v>
      </c>
      <c r="AE30" s="19">
        <f>MAYO!AG30</f>
        <v>0</v>
      </c>
      <c r="AF30" s="364">
        <v>0</v>
      </c>
      <c r="AG30" s="18">
        <f t="shared" si="20"/>
        <v>0</v>
      </c>
      <c r="AH30" s="19">
        <f t="shared" si="21"/>
        <v>0</v>
      </c>
      <c r="AI30" s="15">
        <f t="shared" si="22"/>
        <v>0</v>
      </c>
      <c r="AJ30" s="16">
        <f t="shared" si="23"/>
        <v>0</v>
      </c>
      <c r="AK30" s="9"/>
      <c r="AL30" s="362">
        <v>0</v>
      </c>
      <c r="AM30" s="365">
        <v>0</v>
      </c>
      <c r="AN30" s="9"/>
      <c r="AO30" s="360" t="s">
        <v>51</v>
      </c>
      <c r="AP30" s="428" t="s">
        <v>130</v>
      </c>
      <c r="AQ30" s="363">
        <f>X220+X232</f>
        <v>32627598343</v>
      </c>
      <c r="AR30" s="363">
        <f>AD220+AD232</f>
        <v>8936912366</v>
      </c>
      <c r="AS30" s="363">
        <f>AG220+AG232</f>
        <v>7413318563</v>
      </c>
      <c r="AT30" s="421"/>
      <c r="AU30" s="363">
        <f t="shared" si="25"/>
        <v>0.27390653372798263</v>
      </c>
      <c r="AV30" s="363">
        <f t="shared" si="26"/>
        <v>0.22721005956573787</v>
      </c>
      <c r="AW30" s="363">
        <f>(AR30-AD225-AD230-AD241-AD256)/$AO$2*12+AD225+AD230+AD241+AD256</f>
        <v>17234864761</v>
      </c>
      <c r="AX30" s="363">
        <f>(AS30-AG225-AG230-AG241-AG256)/$AO$2*12+AG225+AG230+AG241+AG256</f>
        <v>14187677155</v>
      </c>
      <c r="AY30" s="363">
        <f t="shared" si="27"/>
        <v>-15392733582</v>
      </c>
      <c r="AZ30" s="143">
        <f t="shared" si="28"/>
        <v>18439921188</v>
      </c>
      <c r="BA30" s="372"/>
      <c r="BG30" s="372"/>
      <c r="BH30" s="372"/>
      <c r="BI30" s="372"/>
      <c r="BJ30" s="372"/>
      <c r="BK30" s="372"/>
      <c r="BL30" s="372"/>
      <c r="BM30" s="110" t="s">
        <v>74</v>
      </c>
      <c r="BN30" s="106">
        <f>X220-X225-X230</f>
        <v>262344980</v>
      </c>
      <c r="BO30" s="107">
        <f>AA220-AA225-AA230</f>
        <v>154902477</v>
      </c>
      <c r="BP30" s="107">
        <f>AD220-AD225-AD230</f>
        <v>154902477</v>
      </c>
      <c r="BQ30" s="108">
        <f>AF220-AF225-AF230</f>
        <v>25585532</v>
      </c>
      <c r="BR30" s="372"/>
    </row>
    <row r="31" spans="1:70" s="412" customFormat="1" ht="24.95" customHeight="1">
      <c r="A31" s="593" t="str">
        <f>+IF(MAYO!A31=0,"",MAYO!A31)</f>
        <v>1130103-1-2</v>
      </c>
      <c r="B31" s="629" t="str">
        <f>+IF(MAYO!B31=0,"",MAYO!B31)</f>
        <v>Vigencia Anterior</v>
      </c>
      <c r="C31" s="655">
        <f>+ENERO!C31</f>
        <v>0</v>
      </c>
      <c r="D31" s="363">
        <f>MAYO!D31+JUNIO!P31</f>
        <v>0</v>
      </c>
      <c r="E31" s="363">
        <f>MAYO!E31+JUNIO!Q31</f>
        <v>0</v>
      </c>
      <c r="F31" s="363">
        <f>SUM(C31:E31)</f>
        <v>0</v>
      </c>
      <c r="G31" s="363">
        <f>MAYO!I31</f>
        <v>0</v>
      </c>
      <c r="H31" s="364">
        <v>0</v>
      </c>
      <c r="I31" s="363">
        <f>SUM(G31:H31)</f>
        <v>0</v>
      </c>
      <c r="J31" s="363">
        <f>MAYO!L31</f>
        <v>0</v>
      </c>
      <c r="K31" s="364">
        <v>0</v>
      </c>
      <c r="L31" s="363">
        <f>SUM(J31:K31)</f>
        <v>0</v>
      </c>
      <c r="M31" s="363">
        <f>F31-I31</f>
        <v>0</v>
      </c>
      <c r="N31" s="143">
        <f>F31-L31</f>
        <v>0</v>
      </c>
      <c r="O31" s="372"/>
      <c r="P31" s="362">
        <v>0</v>
      </c>
      <c r="Q31" s="365">
        <v>0</v>
      </c>
      <c r="R31" s="9"/>
      <c r="S31" s="689" t="str">
        <f>+IF(MAYO!S31=0,"",MAYO!S31)</f>
        <v>1010104-11</v>
      </c>
      <c r="T31" s="665" t="str">
        <f>+IF(MAYO!T31=0,"",MAYO!T31)</f>
        <v/>
      </c>
      <c r="U31" s="27">
        <f>+ENERO!U31</f>
        <v>0</v>
      </c>
      <c r="V31" s="15">
        <f>MAYO!V31+JUNIO!AL31</f>
        <v>0</v>
      </c>
      <c r="W31" s="15">
        <f>MAYO!W31+JUNIO!AM31</f>
        <v>0</v>
      </c>
      <c r="X31" s="18">
        <f t="shared" si="17"/>
        <v>0</v>
      </c>
      <c r="Y31" s="19">
        <f>MAYO!AA31</f>
        <v>0</v>
      </c>
      <c r="Z31" s="364">
        <v>0</v>
      </c>
      <c r="AA31" s="18">
        <f t="shared" si="18"/>
        <v>0</v>
      </c>
      <c r="AB31" s="19">
        <f>MAYO!AD31</f>
        <v>0</v>
      </c>
      <c r="AC31" s="364">
        <v>0</v>
      </c>
      <c r="AD31" s="18">
        <f t="shared" si="19"/>
        <v>0</v>
      </c>
      <c r="AE31" s="19">
        <f>MAYO!AG31</f>
        <v>0</v>
      </c>
      <c r="AF31" s="364">
        <v>0</v>
      </c>
      <c r="AG31" s="18">
        <f t="shared" si="20"/>
        <v>0</v>
      </c>
      <c r="AH31" s="19">
        <f t="shared" si="21"/>
        <v>0</v>
      </c>
      <c r="AI31" s="15">
        <f t="shared" si="22"/>
        <v>0</v>
      </c>
      <c r="AJ31" s="16">
        <f t="shared" si="23"/>
        <v>0</v>
      </c>
      <c r="AK31" s="9"/>
      <c r="AL31" s="362">
        <v>0</v>
      </c>
      <c r="AM31" s="365">
        <v>0</v>
      </c>
      <c r="AN31" s="9"/>
      <c r="AO31" s="339"/>
      <c r="AP31" s="405" t="s">
        <v>133</v>
      </c>
      <c r="AQ31" s="421">
        <f>X258</f>
        <v>0</v>
      </c>
      <c r="AR31" s="421">
        <f>AD258</f>
        <v>-1584364758.2400055</v>
      </c>
      <c r="AS31" s="421">
        <f>AG258</f>
        <v>-33253005080</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18646022853</v>
      </c>
      <c r="BO31" s="107">
        <f>AA33+AA41+AA55+AA61+AA81+AA88+AA102+AA108+AA121+AA139+AA143+AA153+AA168+AA174+AA183+AA191+AA207+AA218+AA230+AA241+AA256+AA225</f>
        <v>12990933319</v>
      </c>
      <c r="BP31" s="107">
        <f>AD33+AD41+AD55+AD61+AD81+AD88+AD102+AD108+AD121+AD139+AD143+AD153+AD168+AD174+AD183+AD191+AD207+AD218+AD230+AD241+AD256+AD225</f>
        <v>12990933319</v>
      </c>
      <c r="BQ31" s="108">
        <f>AF33+AF41+AF55+AF61+AF81+AF88+AF102+AF108+AF121+AF139+AF143+AF153+AF168+AF174+AF183+AF191+AF207+AF218+AF230+AF241+AF256+AF225</f>
        <v>372182215</v>
      </c>
      <c r="BR31" s="9"/>
    </row>
    <row r="32" spans="1:70" s="9" customFormat="1" ht="24.95" customHeight="1" thickBot="1">
      <c r="A32" s="593" t="str">
        <f>+IF(MAYO!A32=0,"",MAYO!A32)</f>
        <v>1130103-2</v>
      </c>
      <c r="B32" s="630" t="str">
        <f>+IF(MAYO!B32=0,"",MAYO!B32)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72"/>
      <c r="P32" s="144">
        <f>SUM(P33:P34)</f>
        <v>0</v>
      </c>
      <c r="Q32" s="145">
        <f>SUM(Q33:Q34)</f>
        <v>0</v>
      </c>
      <c r="S32" s="689" t="str">
        <f>+IF(MAYO!S32=0,"",MAYO!S32)</f>
        <v>1010104-12</v>
      </c>
      <c r="T32" s="665" t="str">
        <f>+IF(MAYO!T32=0,"",MAYO!T32)</f>
        <v/>
      </c>
      <c r="U32" s="27">
        <f>+ENERO!U32</f>
        <v>0</v>
      </c>
      <c r="V32" s="15">
        <f>MAYO!V32+JUNIO!AL32</f>
        <v>0</v>
      </c>
      <c r="W32" s="15">
        <f>MAYO!W32+JUNIO!AM32</f>
        <v>0</v>
      </c>
      <c r="X32" s="18">
        <f t="shared" si="17"/>
        <v>0</v>
      </c>
      <c r="Y32" s="19">
        <f>MAYO!AA32</f>
        <v>0</v>
      </c>
      <c r="Z32" s="364">
        <v>0</v>
      </c>
      <c r="AA32" s="18">
        <f t="shared" si="18"/>
        <v>0</v>
      </c>
      <c r="AB32" s="19">
        <f>MAYO!AD32</f>
        <v>0</v>
      </c>
      <c r="AC32" s="364">
        <v>0</v>
      </c>
      <c r="AD32" s="18">
        <f t="shared" si="19"/>
        <v>0</v>
      </c>
      <c r="AE32" s="19">
        <f>MAYO!AG32</f>
        <v>0</v>
      </c>
      <c r="AF32" s="364">
        <v>0</v>
      </c>
      <c r="AG32" s="18">
        <f t="shared" si="20"/>
        <v>0</v>
      </c>
      <c r="AH32" s="19">
        <f t="shared" si="21"/>
        <v>0</v>
      </c>
      <c r="AI32" s="15">
        <f t="shared" si="22"/>
        <v>0</v>
      </c>
      <c r="AJ32" s="16">
        <f t="shared" si="23"/>
        <v>0</v>
      </c>
      <c r="AL32" s="362">
        <v>0</v>
      </c>
      <c r="AM32" s="365">
        <v>0</v>
      </c>
      <c r="AO32" s="21"/>
      <c r="AP32" s="430" t="s">
        <v>138</v>
      </c>
      <c r="AQ32" s="385">
        <f>SUM(AQ22:AQ31)</f>
        <v>103602347428</v>
      </c>
      <c r="AR32" s="385">
        <f>SUM(AR22:AR31)</f>
        <v>48487218886.759995</v>
      </c>
      <c r="AS32" s="385">
        <f>SUM(AS22:AS31)</f>
        <v>0</v>
      </c>
      <c r="AT32" s="431"/>
      <c r="AU32" s="432">
        <f t="shared" si="25"/>
        <v>0.46801274382761365</v>
      </c>
      <c r="AV32" s="432">
        <f t="shared" si="26"/>
        <v>0</v>
      </c>
      <c r="AW32" s="341">
        <f>SUM(AW22:AW31)</f>
        <v>87620778579.75</v>
      </c>
      <c r="AX32" s="341">
        <f>SUM(AX22:AX31)</f>
        <v>53986887951.75</v>
      </c>
      <c r="AY32" s="341">
        <f>SUM(AY22:AY31)</f>
        <v>-15981568848.25</v>
      </c>
      <c r="AZ32" s="342">
        <f>SUM(AZ22:AZ31)</f>
        <v>49615459476.25</v>
      </c>
      <c r="BA32" s="372"/>
      <c r="BB32" s="412"/>
      <c r="BC32" s="412"/>
      <c r="BD32" s="412"/>
      <c r="BE32" s="412"/>
      <c r="BF32" s="412"/>
      <c r="BG32" s="372"/>
      <c r="BH32" s="372"/>
      <c r="BI32" s="372"/>
      <c r="BJ32" s="372"/>
      <c r="BK32" s="372"/>
      <c r="BM32" s="110" t="s">
        <v>134</v>
      </c>
      <c r="BN32" s="106">
        <f>+BN7+BN25+BN29+BN30+BN31</f>
        <v>103602347428</v>
      </c>
      <c r="BO32" s="107">
        <f>+BO7+BO25+BO29+BO30+BO31</f>
        <v>77770050647</v>
      </c>
      <c r="BP32" s="107">
        <f>+BP7+BP25+BP29+BP30+BP31</f>
        <v>50071583645</v>
      </c>
      <c r="BQ32" s="108">
        <f>+BQ7+BQ25+BQ29+BQ30+BQ31</f>
        <v>4118659155</v>
      </c>
      <c r="BR32" s="372"/>
    </row>
    <row r="33" spans="1:70" s="412" customFormat="1" ht="24.95" customHeight="1" thickBot="1">
      <c r="A33" s="593" t="str">
        <f>+IF(MAYO!A33=0,"",MAYO!A33)</f>
        <v>1130103-2-1</v>
      </c>
      <c r="B33" s="629" t="str">
        <f>+CONCATENATE("Vigencia ",INSTRUCCIONES!$F$3)</f>
        <v>Vigencia 2019</v>
      </c>
      <c r="C33" s="655">
        <f>+ENERO!C33</f>
        <v>0</v>
      </c>
      <c r="D33" s="363">
        <f>MAYO!D33+JUNIO!P33</f>
        <v>0</v>
      </c>
      <c r="E33" s="363">
        <f>MAYO!E33+JUNIO!Q33</f>
        <v>0</v>
      </c>
      <c r="F33" s="363">
        <f>SUM(C33:E33)</f>
        <v>0</v>
      </c>
      <c r="G33" s="363">
        <f>MAYO!I33</f>
        <v>0</v>
      </c>
      <c r="H33" s="364">
        <v>0</v>
      </c>
      <c r="I33" s="363">
        <f>SUM(G33:H33)</f>
        <v>0</v>
      </c>
      <c r="J33" s="363">
        <f>MAYO!L33</f>
        <v>0</v>
      </c>
      <c r="K33" s="364">
        <v>0</v>
      </c>
      <c r="L33" s="363">
        <f>SUM(J33:K33)</f>
        <v>0</v>
      </c>
      <c r="M33" s="363">
        <f>F33-I33</f>
        <v>0</v>
      </c>
      <c r="N33" s="143">
        <f>F33-L33</f>
        <v>0</v>
      </c>
      <c r="O33" s="9"/>
      <c r="P33" s="362">
        <v>0</v>
      </c>
      <c r="Q33" s="365">
        <v>0</v>
      </c>
      <c r="R33" s="9"/>
      <c r="S33" s="688">
        <f>+IF(MAYO!S33=0,"",MAYO!S33)</f>
        <v>1010199</v>
      </c>
      <c r="T33" s="664" t="str">
        <f>+IF(MAYO!T33=0,"",MAYO!T33)</f>
        <v>Vigencias Anteriores</v>
      </c>
      <c r="U33" s="27">
        <f>+ENERO!U33</f>
        <v>0</v>
      </c>
      <c r="V33" s="15">
        <f>MAYO!V33+JUNIO!AL33</f>
        <v>-120000000</v>
      </c>
      <c r="W33" s="15">
        <f>MAYO!W33+JUNIO!AM33</f>
        <v>120000000</v>
      </c>
      <c r="X33" s="18">
        <f t="shared" si="17"/>
        <v>0</v>
      </c>
      <c r="Y33" s="19">
        <f>MAYO!AA33</f>
        <v>0</v>
      </c>
      <c r="Z33" s="364">
        <v>0</v>
      </c>
      <c r="AA33" s="18">
        <f t="shared" si="18"/>
        <v>0</v>
      </c>
      <c r="AB33" s="19">
        <f>MAYO!AD33</f>
        <v>0</v>
      </c>
      <c r="AC33" s="364">
        <v>0</v>
      </c>
      <c r="AD33" s="18">
        <f t="shared" si="19"/>
        <v>0</v>
      </c>
      <c r="AE33" s="19">
        <f>MAYO!AG33</f>
        <v>0</v>
      </c>
      <c r="AF33" s="364">
        <v>0</v>
      </c>
      <c r="AG33" s="1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-11796017915</v>
      </c>
      <c r="BP33" s="113">
        <f>AD258</f>
        <v>-1584364758.2400055</v>
      </c>
      <c r="BQ33" s="114">
        <f>AF258</f>
        <v>50996469386.239998</v>
      </c>
      <c r="BR33" s="372"/>
    </row>
    <row r="34" spans="1:70" s="412" customFormat="1" ht="24.95" customHeight="1" thickBot="1">
      <c r="A34" s="593" t="str">
        <f>+IF(MAYO!A34=0,"",MAYO!A34)</f>
        <v>1130103-2-2</v>
      </c>
      <c r="B34" s="629" t="str">
        <f>+IF(MAYO!B34=0,"",MAYO!B34)</f>
        <v>Vigencia Anterior</v>
      </c>
      <c r="C34" s="655">
        <f>+ENERO!C34</f>
        <v>0</v>
      </c>
      <c r="D34" s="363">
        <f>MAYO!D34+JUNIO!P34</f>
        <v>0</v>
      </c>
      <c r="E34" s="363">
        <f>MAYO!E34+JUNIO!Q34</f>
        <v>0</v>
      </c>
      <c r="F34" s="363">
        <f>SUM(C34:E34)</f>
        <v>0</v>
      </c>
      <c r="G34" s="363">
        <f>MAYO!I34</f>
        <v>0</v>
      </c>
      <c r="H34" s="364">
        <v>0</v>
      </c>
      <c r="I34" s="363">
        <f>SUM(G34:H34)</f>
        <v>0</v>
      </c>
      <c r="J34" s="363">
        <f>MAYO!L34</f>
        <v>0</v>
      </c>
      <c r="K34" s="364">
        <v>0</v>
      </c>
      <c r="L34" s="363">
        <f>SUM(J34:K34)</f>
        <v>0</v>
      </c>
      <c r="M34" s="363">
        <f>F34-I34</f>
        <v>0</v>
      </c>
      <c r="N34" s="143">
        <f>F34-L34</f>
        <v>0</v>
      </c>
      <c r="O34" s="372"/>
      <c r="P34" s="362">
        <v>0</v>
      </c>
      <c r="Q34" s="365">
        <v>0</v>
      </c>
      <c r="R34" s="9"/>
      <c r="S34" s="356" t="str">
        <f>+IF(MAYO!S34=0,"",MAYO!S34)</f>
        <v/>
      </c>
      <c r="T34" s="678" t="str">
        <f>+IF(MAYO!T34=0,"",MAYO!T34)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+IF(MAYO!A35=0,"",MAYO!A35)</f>
        <v>1130103-3</v>
      </c>
      <c r="B35" s="630" t="str">
        <f>+IF(MAYO!B35=0,"",MAYO!B35)</f>
        <v>Prestación de Servicios de salud  3o. Nivel</v>
      </c>
      <c r="C35" s="19">
        <f t="shared" ref="C35:N35" si="33">SUM(C36:C37)</f>
        <v>7627600802</v>
      </c>
      <c r="D35" s="15">
        <f t="shared" si="33"/>
        <v>0</v>
      </c>
      <c r="E35" s="15">
        <f t="shared" si="33"/>
        <v>1624039533</v>
      </c>
      <c r="F35" s="15">
        <f t="shared" si="33"/>
        <v>9251640335</v>
      </c>
      <c r="G35" s="15">
        <f t="shared" si="33"/>
        <v>6201075960</v>
      </c>
      <c r="H35" s="15">
        <f t="shared" si="33"/>
        <v>873217747</v>
      </c>
      <c r="I35" s="15">
        <f t="shared" si="33"/>
        <v>7074293707</v>
      </c>
      <c r="J35" s="15">
        <f t="shared" si="33"/>
        <v>2032545650</v>
      </c>
      <c r="K35" s="15">
        <f t="shared" si="33"/>
        <v>0</v>
      </c>
      <c r="L35" s="15">
        <f t="shared" si="33"/>
        <v>2032545650</v>
      </c>
      <c r="M35" s="15">
        <f t="shared" si="33"/>
        <v>2177346628</v>
      </c>
      <c r="N35" s="16">
        <f t="shared" si="33"/>
        <v>7219094685</v>
      </c>
      <c r="P35" s="144">
        <f>SUM(P36:P37)</f>
        <v>0</v>
      </c>
      <c r="Q35" s="145">
        <f>SUM(Q36:Q37)</f>
        <v>0</v>
      </c>
      <c r="R35" s="9"/>
      <c r="S35" s="687">
        <f>+IF(MAYO!S35=0,"",MAYO!S35)</f>
        <v>1010200</v>
      </c>
      <c r="T35" s="663" t="str">
        <f>+IF(MAYO!T35=0,"",MAYO!T35)</f>
        <v>Servicios Personales Indirectos</v>
      </c>
      <c r="U35" s="132">
        <f t="shared" ref="U35:AJ35" si="34">SUM(U36:U41)</f>
        <v>4253886796</v>
      </c>
      <c r="V35" s="122">
        <f t="shared" si="34"/>
        <v>190000000</v>
      </c>
      <c r="W35" s="122">
        <f t="shared" si="34"/>
        <v>100000000</v>
      </c>
      <c r="X35" s="129">
        <f t="shared" si="34"/>
        <v>4543886796</v>
      </c>
      <c r="Y35" s="128">
        <f t="shared" si="34"/>
        <v>4452687375</v>
      </c>
      <c r="Z35" s="122">
        <f t="shared" si="34"/>
        <v>25000000</v>
      </c>
      <c r="AA35" s="129">
        <f t="shared" si="34"/>
        <v>4477687375</v>
      </c>
      <c r="AB35" s="128">
        <f t="shared" si="34"/>
        <v>2257634966</v>
      </c>
      <c r="AC35" s="122">
        <f t="shared" si="34"/>
        <v>347600105</v>
      </c>
      <c r="AD35" s="129">
        <f t="shared" si="34"/>
        <v>2605235071</v>
      </c>
      <c r="AE35" s="128">
        <f t="shared" si="34"/>
        <v>1757908443</v>
      </c>
      <c r="AF35" s="122">
        <f t="shared" si="34"/>
        <v>31226618</v>
      </c>
      <c r="AG35" s="129">
        <f t="shared" si="34"/>
        <v>1789135061</v>
      </c>
      <c r="AH35" s="128">
        <f t="shared" si="34"/>
        <v>66199421</v>
      </c>
      <c r="AI35" s="122">
        <f t="shared" si="34"/>
        <v>1938651725</v>
      </c>
      <c r="AJ35" s="130">
        <f t="shared" si="34"/>
        <v>2754751735</v>
      </c>
      <c r="AK35" s="9"/>
      <c r="AL35" s="128">
        <f>SUM(AL36:AL41)</f>
        <v>0</v>
      </c>
      <c r="AM35" s="130">
        <f>SUM(AM36:AM41)</f>
        <v>0</v>
      </c>
      <c r="AN35" s="9"/>
      <c r="AO35" s="339"/>
      <c r="AP35" s="440"/>
      <c r="AQ35" s="282"/>
      <c r="AR35" s="441"/>
      <c r="AS35" s="441"/>
      <c r="AT35" s="441"/>
      <c r="AU35" s="442">
        <f>AR17-AR32</f>
        <v>6070012882.2400055</v>
      </c>
      <c r="AV35" s="443">
        <f>AS17-AR32</f>
        <v>-11371980295</v>
      </c>
      <c r="AW35" s="443" t="s">
        <v>151</v>
      </c>
      <c r="AX35" s="444"/>
      <c r="AY35" s="443">
        <f>AY17+AY32</f>
        <v>5758177738.75</v>
      </c>
      <c r="AZ35" s="445">
        <f>AZ17+AY32</f>
        <v>-29215449951.419998</v>
      </c>
      <c r="BB35" s="412"/>
      <c r="BC35" s="412"/>
      <c r="BD35" s="412"/>
      <c r="BE35" s="412"/>
      <c r="BF35" s="412"/>
    </row>
    <row r="36" spans="1:70" s="372" customFormat="1" ht="24.95" customHeight="1" thickBot="1">
      <c r="A36" s="593" t="str">
        <f>+IF(MAYO!A36=0,"",MAYO!A36)</f>
        <v>1130103-3-1</v>
      </c>
      <c r="B36" s="629" t="str">
        <f>+CONCATENATE("Vigencia ",INSTRUCCIONES!$F$3)</f>
        <v>Vigencia 2019</v>
      </c>
      <c r="C36" s="655">
        <f>+ENERO!C36</f>
        <v>7627600802</v>
      </c>
      <c r="D36" s="363">
        <f>MAYO!D36+JUNIO!P36</f>
        <v>0</v>
      </c>
      <c r="E36" s="363">
        <f>MAYO!E36+JUNIO!Q36</f>
        <v>0</v>
      </c>
      <c r="F36" s="363">
        <f t="shared" ref="F36:F41" si="35">SUM(C36:E36)</f>
        <v>7627600802</v>
      </c>
      <c r="G36" s="363">
        <f>MAYO!I36</f>
        <v>4577036427</v>
      </c>
      <c r="H36" s="364">
        <v>873217747</v>
      </c>
      <c r="I36" s="363">
        <f t="shared" ref="I36:I41" si="36">SUM(G36:H36)</f>
        <v>5450254174</v>
      </c>
      <c r="J36" s="363">
        <f>MAYO!L36</f>
        <v>408506117</v>
      </c>
      <c r="K36" s="364">
        <v>0</v>
      </c>
      <c r="L36" s="363">
        <f t="shared" ref="L36:L41" si="37">SUM(J36:K36)</f>
        <v>408506117</v>
      </c>
      <c r="M36" s="363">
        <f t="shared" ref="M36:M41" si="38">F36-I36</f>
        <v>2177346628</v>
      </c>
      <c r="N36" s="143">
        <f t="shared" ref="N36:N41" si="39">F36-L36</f>
        <v>7219094685</v>
      </c>
      <c r="O36" s="9"/>
      <c r="P36" s="362">
        <v>0</v>
      </c>
      <c r="Q36" s="365">
        <v>0</v>
      </c>
      <c r="R36" s="9"/>
      <c r="S36" s="688" t="str">
        <f>+IF(MAYO!S36=0,"",MAYO!S36)</f>
        <v>1010200-1</v>
      </c>
      <c r="T36" s="664" t="str">
        <f>+IF(MAYO!T36=0,"",MAYO!T36)</f>
        <v>Remuneración y Honorarios por Servicios Técnicos y Profesionales</v>
      </c>
      <c r="U36" s="27">
        <f>+ENERO!U36</f>
        <v>1270340000</v>
      </c>
      <c r="V36" s="15">
        <f>MAYO!V36+JUNIO!AL36</f>
        <v>70000000</v>
      </c>
      <c r="W36" s="15">
        <f>MAYO!W36+JUNIO!AM36</f>
        <v>100000000</v>
      </c>
      <c r="X36" s="18">
        <f t="shared" ref="X36:X41" si="40">SUM(U36:W36)</f>
        <v>1440340000</v>
      </c>
      <c r="Y36" s="19">
        <f>MAYO!AA36</f>
        <v>1385980200</v>
      </c>
      <c r="Z36" s="364">
        <v>25000000</v>
      </c>
      <c r="AA36" s="18">
        <f t="shared" ref="AA36:AA41" si="41">SUM(Y36:Z36)</f>
        <v>1410980200</v>
      </c>
      <c r="AB36" s="19">
        <f>MAYO!AD36</f>
        <v>612535881</v>
      </c>
      <c r="AC36" s="364">
        <v>115310000</v>
      </c>
      <c r="AD36" s="18">
        <f t="shared" ref="AD36:AD41" si="42">SUM(AB36:AC36)</f>
        <v>727845881</v>
      </c>
      <c r="AE36" s="19">
        <f>MAYO!AG36</f>
        <v>569486000</v>
      </c>
      <c r="AF36" s="364">
        <v>30812560</v>
      </c>
      <c r="AG36" s="18">
        <f t="shared" ref="AG36:AG41" si="43">SUM(AE36:AF36)</f>
        <v>600298560</v>
      </c>
      <c r="AH36" s="19">
        <f t="shared" ref="AH36:AH41" si="44">X36-AA36</f>
        <v>29359800</v>
      </c>
      <c r="AI36" s="15">
        <f t="shared" ref="AI36:AI41" si="45">X36-AD36</f>
        <v>712494119</v>
      </c>
      <c r="AJ36" s="16">
        <f t="shared" ref="AJ36:AJ41" si="46">X36-AG36</f>
        <v>840041440</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+IF(MAYO!A37=0,"",MAYO!A37)</f>
        <v>1130103-3-2</v>
      </c>
      <c r="B37" s="629" t="str">
        <f>+IF(MAYO!B37=0,"",MAYO!B37)</f>
        <v>Vigencia Anterior</v>
      </c>
      <c r="C37" s="655">
        <f>+ENERO!C37</f>
        <v>0</v>
      </c>
      <c r="D37" s="363">
        <f>MAYO!D37+JUNIO!P37</f>
        <v>0</v>
      </c>
      <c r="E37" s="363">
        <f>MAYO!E37+JUNIO!Q37</f>
        <v>1624039533</v>
      </c>
      <c r="F37" s="363">
        <f t="shared" si="35"/>
        <v>1624039533</v>
      </c>
      <c r="G37" s="363">
        <f>MAYO!I37</f>
        <v>1624039533</v>
      </c>
      <c r="H37" s="364">
        <v>0</v>
      </c>
      <c r="I37" s="363">
        <f t="shared" si="36"/>
        <v>1624039533</v>
      </c>
      <c r="J37" s="363">
        <f>MAYO!L37</f>
        <v>1624039533</v>
      </c>
      <c r="K37" s="364">
        <v>0</v>
      </c>
      <c r="L37" s="363">
        <f t="shared" si="37"/>
        <v>1624039533</v>
      </c>
      <c r="M37" s="363">
        <f t="shared" si="38"/>
        <v>0</v>
      </c>
      <c r="N37" s="143">
        <f t="shared" si="39"/>
        <v>0</v>
      </c>
      <c r="P37" s="362">
        <v>0</v>
      </c>
      <c r="Q37" s="365">
        <v>0</v>
      </c>
      <c r="R37" s="9"/>
      <c r="S37" s="688" t="str">
        <f>+IF(MAYO!S37=0,"",MAYO!S37)</f>
        <v>1010200-2</v>
      </c>
      <c r="T37" s="664" t="str">
        <f>+IF(MAYO!T37=0,"",MAYO!T37)</f>
        <v>Personal Supernumerario</v>
      </c>
      <c r="U37" s="27">
        <f>+ENERO!U37</f>
        <v>0</v>
      </c>
      <c r="V37" s="15">
        <f>MAYO!V37+JUNIO!AL37</f>
        <v>0</v>
      </c>
      <c r="W37" s="15">
        <f>MAYO!W37+JUNIO!AM37</f>
        <v>0</v>
      </c>
      <c r="X37" s="18">
        <f t="shared" si="40"/>
        <v>0</v>
      </c>
      <c r="Y37" s="19">
        <f>MAYO!AA37</f>
        <v>0</v>
      </c>
      <c r="Z37" s="364">
        <v>0</v>
      </c>
      <c r="AA37" s="18">
        <f t="shared" si="41"/>
        <v>0</v>
      </c>
      <c r="AB37" s="19">
        <f>MAYO!AD37</f>
        <v>0</v>
      </c>
      <c r="AC37" s="364">
        <v>0</v>
      </c>
      <c r="AD37" s="18">
        <f t="shared" si="42"/>
        <v>0</v>
      </c>
      <c r="AE37" s="19">
        <f>MAYO!AG37</f>
        <v>0</v>
      </c>
      <c r="AF37" s="364">
        <v>0</v>
      </c>
      <c r="AG37" s="18">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+IF(MAYO!A38=0,"",MAYO!A38)</f>
        <v>1130103-4</v>
      </c>
      <c r="B38" s="631" t="str">
        <f>+IF(MAYO!B38=0,"",MAYO!B38)</f>
        <v xml:space="preserve"> Aportes Patronales  1o. Nivel</v>
      </c>
      <c r="C38" s="655">
        <f>+ENERO!C38</f>
        <v>0</v>
      </c>
      <c r="D38" s="363">
        <f>MAYO!D38+JUNIO!P38</f>
        <v>0</v>
      </c>
      <c r="E38" s="363">
        <f>MAYO!E38+JUNIO!Q38</f>
        <v>0</v>
      </c>
      <c r="F38" s="363">
        <f t="shared" si="35"/>
        <v>0</v>
      </c>
      <c r="G38" s="363">
        <f>MAYO!I38</f>
        <v>0</v>
      </c>
      <c r="H38" s="364">
        <v>0</v>
      </c>
      <c r="I38" s="363">
        <f t="shared" si="36"/>
        <v>0</v>
      </c>
      <c r="J38" s="363">
        <f>MAYO!L38</f>
        <v>0</v>
      </c>
      <c r="K38" s="364">
        <v>0</v>
      </c>
      <c r="L38" s="363">
        <f t="shared" si="37"/>
        <v>0</v>
      </c>
      <c r="M38" s="363">
        <f t="shared" si="38"/>
        <v>0</v>
      </c>
      <c r="N38" s="143">
        <f t="shared" si="39"/>
        <v>0</v>
      </c>
      <c r="O38" s="515"/>
      <c r="P38" s="362">
        <v>0</v>
      </c>
      <c r="Q38" s="365">
        <v>0</v>
      </c>
      <c r="R38" s="9"/>
      <c r="S38" s="688" t="str">
        <f>+IF(MAYO!S38=0,"",MAYO!S38)</f>
        <v>1010200-3</v>
      </c>
      <c r="T38" s="664" t="str">
        <f>+IF(MAYO!T38=0,"",MAYO!T38)</f>
        <v>Honorarios de la Junta Directiva</v>
      </c>
      <c r="U38" s="27">
        <f>+ENERO!U38</f>
        <v>5000000</v>
      </c>
      <c r="V38" s="15">
        <f>MAYO!V38+JUNIO!AL38</f>
        <v>0</v>
      </c>
      <c r="W38" s="15">
        <f>MAYO!W38+JUNIO!AM38</f>
        <v>0</v>
      </c>
      <c r="X38" s="18">
        <f t="shared" si="40"/>
        <v>5000000</v>
      </c>
      <c r="Y38" s="19">
        <f>MAYO!AA38</f>
        <v>2484348</v>
      </c>
      <c r="Z38" s="364">
        <v>0</v>
      </c>
      <c r="AA38" s="18">
        <f t="shared" si="41"/>
        <v>2484348</v>
      </c>
      <c r="AB38" s="19">
        <f>MAYO!AD38</f>
        <v>2070290</v>
      </c>
      <c r="AC38" s="364">
        <v>414058</v>
      </c>
      <c r="AD38" s="18">
        <f t="shared" si="42"/>
        <v>2484348</v>
      </c>
      <c r="AE38" s="19">
        <f>MAYO!AG38</f>
        <v>2070290</v>
      </c>
      <c r="AF38" s="364">
        <v>414058</v>
      </c>
      <c r="AG38" s="18">
        <f t="shared" si="43"/>
        <v>2484348</v>
      </c>
      <c r="AH38" s="19">
        <f t="shared" si="44"/>
        <v>2515652</v>
      </c>
      <c r="AI38" s="15">
        <f t="shared" si="45"/>
        <v>2515652</v>
      </c>
      <c r="AJ38" s="16">
        <f t="shared" si="46"/>
        <v>2515652</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+IF(MAYO!A39=0,"",MAYO!A39)</f>
        <v>1130103-5</v>
      </c>
      <c r="B39" s="631" t="str">
        <f>+IF(MAYO!B39=0,"",MAYO!B39)</f>
        <v xml:space="preserve"> Aportes Patronales  2o. Nivel</v>
      </c>
      <c r="C39" s="655">
        <f>+ENERO!C39</f>
        <v>0</v>
      </c>
      <c r="D39" s="363">
        <f>MAYO!D39+JUNIO!P39</f>
        <v>0</v>
      </c>
      <c r="E39" s="363">
        <f>MAYO!E39+JUNIO!Q39</f>
        <v>0</v>
      </c>
      <c r="F39" s="363">
        <f t="shared" si="35"/>
        <v>0</v>
      </c>
      <c r="G39" s="363">
        <f>MAYO!I39</f>
        <v>0</v>
      </c>
      <c r="H39" s="364">
        <v>0</v>
      </c>
      <c r="I39" s="363">
        <f t="shared" si="36"/>
        <v>0</v>
      </c>
      <c r="J39" s="363">
        <f>MAYO!L39</f>
        <v>0</v>
      </c>
      <c r="K39" s="364">
        <v>0</v>
      </c>
      <c r="L39" s="363">
        <f t="shared" si="37"/>
        <v>0</v>
      </c>
      <c r="M39" s="363">
        <f t="shared" si="38"/>
        <v>0</v>
      </c>
      <c r="N39" s="143">
        <f t="shared" si="39"/>
        <v>0</v>
      </c>
      <c r="O39" s="515"/>
      <c r="P39" s="362">
        <v>0</v>
      </c>
      <c r="Q39" s="365">
        <v>0</v>
      </c>
      <c r="R39" s="9"/>
      <c r="S39" s="688" t="str">
        <f>+IF(MAYO!S39=0,"",MAYO!S39)</f>
        <v>1010200-4</v>
      </c>
      <c r="T39" s="664" t="str">
        <f>+IF(MAYO!T39=0,"",MAYO!T39)</f>
        <v>Otros Honorarios</v>
      </c>
      <c r="U39" s="27">
        <f>+ENERO!U39</f>
        <v>2589745841</v>
      </c>
      <c r="V39" s="15">
        <f>MAYO!V39+JUNIO!AL39</f>
        <v>0</v>
      </c>
      <c r="W39" s="15">
        <f>MAYO!W39+JUNIO!AM39</f>
        <v>0</v>
      </c>
      <c r="X39" s="18">
        <f t="shared" si="40"/>
        <v>2589745841</v>
      </c>
      <c r="Y39" s="19">
        <f>MAYO!AA39</f>
        <v>2589745626</v>
      </c>
      <c r="Z39" s="364">
        <v>0</v>
      </c>
      <c r="AA39" s="18">
        <f t="shared" si="41"/>
        <v>2589745626</v>
      </c>
      <c r="AB39" s="19">
        <f>MAYO!AD39</f>
        <v>1168551594</v>
      </c>
      <c r="AC39" s="364">
        <v>231876047</v>
      </c>
      <c r="AD39" s="18">
        <f t="shared" si="42"/>
        <v>1400427641</v>
      </c>
      <c r="AE39" s="19">
        <f>MAYO!AG39</f>
        <v>711874952</v>
      </c>
      <c r="AF39" s="364">
        <v>0</v>
      </c>
      <c r="AG39" s="18">
        <f t="shared" si="43"/>
        <v>711874952</v>
      </c>
      <c r="AH39" s="19">
        <f t="shared" si="44"/>
        <v>215</v>
      </c>
      <c r="AI39" s="15">
        <f t="shared" si="45"/>
        <v>1189318200</v>
      </c>
      <c r="AJ39" s="16">
        <f t="shared" si="46"/>
        <v>1877870889</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+IF(MAYO!A40=0,"",MAYO!A40)</f>
        <v>1130103-6</v>
      </c>
      <c r="B40" s="631" t="str">
        <f>+IF(MAYO!B40=0,"",MAYO!B40)</f>
        <v xml:space="preserve"> Aportes Patronales  3er. Nivel</v>
      </c>
      <c r="C40" s="655">
        <f>+ENERO!C40</f>
        <v>1324760338</v>
      </c>
      <c r="D40" s="363">
        <f>MAYO!D40+JUNIO!P40</f>
        <v>0</v>
      </c>
      <c r="E40" s="363">
        <f>MAYO!E40+JUNIO!Q40</f>
        <v>0</v>
      </c>
      <c r="F40" s="363">
        <f t="shared" si="35"/>
        <v>1324760338</v>
      </c>
      <c r="G40" s="363">
        <f>MAYO!I40</f>
        <v>441586780</v>
      </c>
      <c r="H40" s="364">
        <v>110396695</v>
      </c>
      <c r="I40" s="363">
        <f t="shared" si="36"/>
        <v>551983475</v>
      </c>
      <c r="J40" s="363">
        <f>MAYO!L40</f>
        <v>441586780</v>
      </c>
      <c r="K40" s="364">
        <v>110396695</v>
      </c>
      <c r="L40" s="363">
        <f t="shared" si="37"/>
        <v>551983475</v>
      </c>
      <c r="M40" s="363">
        <f t="shared" si="38"/>
        <v>772776863</v>
      </c>
      <c r="N40" s="143">
        <f t="shared" si="39"/>
        <v>772776863</v>
      </c>
      <c r="O40" s="515"/>
      <c r="P40" s="362">
        <v>0</v>
      </c>
      <c r="Q40" s="365">
        <v>0</v>
      </c>
      <c r="R40" s="9"/>
      <c r="S40" s="688" t="str">
        <f>+IF(MAYO!S40=0,"",MAYO!S40)</f>
        <v>1010200-5</v>
      </c>
      <c r="T40" s="664" t="str">
        <f>+IF(MAYO!T40=0,"",MAYO!T40)</f>
        <v>Certificación, Habilitación y Acreditación</v>
      </c>
      <c r="U40" s="27">
        <f>+ENERO!U40</f>
        <v>0</v>
      </c>
      <c r="V40" s="15">
        <f>MAYO!V40+JUNIO!AL40</f>
        <v>0</v>
      </c>
      <c r="W40" s="15">
        <f>MAYO!W40+JUNIO!AM40</f>
        <v>0</v>
      </c>
      <c r="X40" s="18">
        <f t="shared" si="40"/>
        <v>0</v>
      </c>
      <c r="Y40" s="19">
        <f>MAYO!AA40</f>
        <v>0</v>
      </c>
      <c r="Z40" s="364">
        <v>0</v>
      </c>
      <c r="AA40" s="18">
        <f t="shared" si="41"/>
        <v>0</v>
      </c>
      <c r="AB40" s="19">
        <f>MAYO!AD40</f>
        <v>0</v>
      </c>
      <c r="AC40" s="364">
        <v>0</v>
      </c>
      <c r="AD40" s="18">
        <f t="shared" si="42"/>
        <v>0</v>
      </c>
      <c r="AE40" s="19">
        <f>MAYO!AG40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+IF(MAYO!A41=0,"",MAYO!A41)</f>
        <v>1130104</v>
      </c>
      <c r="B41" s="628" t="str">
        <f>+IF(MAYO!B41=0,"",MAYO!B41)</f>
        <v>SUBSIDIO A LA OFERTA- ACTIVIDADES NO POS-S</v>
      </c>
      <c r="C41" s="655">
        <f>+ENERO!C41</f>
        <v>0</v>
      </c>
      <c r="D41" s="122">
        <f>MAYO!D41+JUNIO!P41</f>
        <v>0</v>
      </c>
      <c r="E41" s="122">
        <f>MAYO!E41+JUNIO!Q41</f>
        <v>0</v>
      </c>
      <c r="F41" s="122">
        <f t="shared" si="35"/>
        <v>0</v>
      </c>
      <c r="G41" s="122">
        <f>MAYO!I41</f>
        <v>0</v>
      </c>
      <c r="H41" s="364">
        <v>0</v>
      </c>
      <c r="I41" s="122">
        <f t="shared" si="36"/>
        <v>0</v>
      </c>
      <c r="J41" s="122">
        <f>MAYO!L41</f>
        <v>0</v>
      </c>
      <c r="K41" s="364">
        <v>0</v>
      </c>
      <c r="L41" s="122">
        <f t="shared" si="37"/>
        <v>0</v>
      </c>
      <c r="M41" s="122">
        <f t="shared" si="38"/>
        <v>0</v>
      </c>
      <c r="N41" s="130">
        <f t="shared" si="39"/>
        <v>0</v>
      </c>
      <c r="O41" s="372"/>
      <c r="P41" s="364">
        <v>0</v>
      </c>
      <c r="Q41" s="365">
        <v>0</v>
      </c>
      <c r="R41" s="9"/>
      <c r="S41" s="688">
        <f>+IF(MAYO!S41=0,"",MAYO!S41)</f>
        <v>1010299</v>
      </c>
      <c r="T41" s="664" t="str">
        <f>+IF(MAYO!T41=0,"",MAYO!T41)</f>
        <v>Vigencias Anteriores</v>
      </c>
      <c r="U41" s="27">
        <f>+ENERO!U41</f>
        <v>388800955</v>
      </c>
      <c r="V41" s="15">
        <f>MAYO!V41+JUNIO!AL41</f>
        <v>120000000</v>
      </c>
      <c r="W41" s="15">
        <f>MAYO!W41+JUNIO!AM41</f>
        <v>0</v>
      </c>
      <c r="X41" s="18">
        <f t="shared" si="40"/>
        <v>508800955</v>
      </c>
      <c r="Y41" s="19">
        <f>MAYO!AA41</f>
        <v>474477201</v>
      </c>
      <c r="Z41" s="364">
        <v>0</v>
      </c>
      <c r="AA41" s="18">
        <f t="shared" si="41"/>
        <v>474477201</v>
      </c>
      <c r="AB41" s="19">
        <f>MAYO!AD41</f>
        <v>474477201</v>
      </c>
      <c r="AC41" s="364">
        <v>0</v>
      </c>
      <c r="AD41" s="18">
        <f t="shared" si="42"/>
        <v>474477201</v>
      </c>
      <c r="AE41" s="19">
        <f>MAYO!AG41</f>
        <v>474477201</v>
      </c>
      <c r="AF41" s="364">
        <v>0</v>
      </c>
      <c r="AG41" s="1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+IF(MAYO!A42=0,"",MAYO!A42)</f>
        <v>1130106</v>
      </c>
      <c r="B42" s="628" t="str">
        <f>+IF(MAYO!B42=0,"",MAYO!B42)</f>
        <v>SALUD PUBLICA - PLAN DE INTERVENCIONES COLECTIVAS</v>
      </c>
      <c r="C42" s="43">
        <f t="shared" ref="C42:N42" si="47">SUM(C43:C44)</f>
        <v>0</v>
      </c>
      <c r="D42" s="44">
        <f t="shared" si="47"/>
        <v>0</v>
      </c>
      <c r="E42" s="44">
        <f t="shared" si="47"/>
        <v>0</v>
      </c>
      <c r="F42" s="44">
        <f t="shared" si="47"/>
        <v>0</v>
      </c>
      <c r="G42" s="44">
        <f t="shared" si="47"/>
        <v>0</v>
      </c>
      <c r="H42" s="44">
        <f t="shared" si="47"/>
        <v>0</v>
      </c>
      <c r="I42" s="44">
        <f t="shared" si="47"/>
        <v>0</v>
      </c>
      <c r="J42" s="44">
        <f t="shared" si="47"/>
        <v>0</v>
      </c>
      <c r="K42" s="44">
        <f t="shared" si="47"/>
        <v>0</v>
      </c>
      <c r="L42" s="44">
        <f t="shared" si="47"/>
        <v>0</v>
      </c>
      <c r="M42" s="44">
        <f t="shared" si="47"/>
        <v>0</v>
      </c>
      <c r="N42" s="45">
        <f t="shared" si="47"/>
        <v>0</v>
      </c>
      <c r="P42" s="43">
        <f>SUM(P43:P44)</f>
        <v>0</v>
      </c>
      <c r="Q42" s="45">
        <f>SUM(Q43:Q44)</f>
        <v>0</v>
      </c>
      <c r="R42" s="9"/>
      <c r="S42" s="356" t="str">
        <f>+IF(MAYO!S42=0,"",MAYO!S42)</f>
        <v/>
      </c>
      <c r="T42" s="678" t="str">
        <f>+IF(MAYO!T42=0,"",MAYO!T42)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+IF(MAYO!A43=0,"",MAYO!A43)</f>
        <v>1130106-1</v>
      </c>
      <c r="B43" s="629" t="str">
        <f>+CONCATENATE("Vigencia ",INSTRUCCIONES!$F$3)</f>
        <v>Vigencia 2019</v>
      </c>
      <c r="C43" s="655">
        <f>+ENERO!C43</f>
        <v>0</v>
      </c>
      <c r="D43" s="363">
        <f>MAYO!D43+JUNIO!P43</f>
        <v>0</v>
      </c>
      <c r="E43" s="363">
        <f>MAYO!E43+JUNIO!Q43</f>
        <v>0</v>
      </c>
      <c r="F43" s="363">
        <f>SUM(C43:E43)</f>
        <v>0</v>
      </c>
      <c r="G43" s="363">
        <f>MAYO!I43</f>
        <v>0</v>
      </c>
      <c r="H43" s="364">
        <v>0</v>
      </c>
      <c r="I43" s="363">
        <f>SUM(G43:H43)</f>
        <v>0</v>
      </c>
      <c r="J43" s="363">
        <f>MAYO!L43</f>
        <v>0</v>
      </c>
      <c r="K43" s="364">
        <v>0</v>
      </c>
      <c r="L43" s="363">
        <f>SUM(J43:K43)</f>
        <v>0</v>
      </c>
      <c r="M43" s="363">
        <f>F43-I43</f>
        <v>0</v>
      </c>
      <c r="N43" s="143">
        <f>F43-L43</f>
        <v>0</v>
      </c>
      <c r="O43" s="372"/>
      <c r="P43" s="362">
        <v>0</v>
      </c>
      <c r="Q43" s="365">
        <v>0</v>
      </c>
      <c r="R43" s="9"/>
      <c r="S43" s="687">
        <f>+IF(MAYO!S43=0,"",MAYO!S43)</f>
        <v>1010300</v>
      </c>
      <c r="T43" s="663" t="str">
        <f>+IF(MAYO!T43=0,"",MAYO!T43)</f>
        <v>Contribuciones Inherentes nómina al Sector Privado</v>
      </c>
      <c r="U43" s="132">
        <f t="shared" ref="U43:AJ43" si="48">U44+U49+U55</f>
        <v>682314446</v>
      </c>
      <c r="V43" s="122">
        <f t="shared" si="48"/>
        <v>2498932</v>
      </c>
      <c r="W43" s="122">
        <f t="shared" si="48"/>
        <v>0</v>
      </c>
      <c r="X43" s="129">
        <f t="shared" si="48"/>
        <v>684813378</v>
      </c>
      <c r="Y43" s="128">
        <f t="shared" si="48"/>
        <v>179818797</v>
      </c>
      <c r="Z43" s="122">
        <f t="shared" si="48"/>
        <v>20360726</v>
      </c>
      <c r="AA43" s="129">
        <f t="shared" si="48"/>
        <v>200179523</v>
      </c>
      <c r="AB43" s="128">
        <f t="shared" si="48"/>
        <v>179818797</v>
      </c>
      <c r="AC43" s="122">
        <f t="shared" si="48"/>
        <v>20360726</v>
      </c>
      <c r="AD43" s="129">
        <f t="shared" si="48"/>
        <v>200179523</v>
      </c>
      <c r="AE43" s="128">
        <f t="shared" si="48"/>
        <v>175602877</v>
      </c>
      <c r="AF43" s="122">
        <f t="shared" si="48"/>
        <v>17969366</v>
      </c>
      <c r="AG43" s="129">
        <f t="shared" si="48"/>
        <v>193572243</v>
      </c>
      <c r="AH43" s="128">
        <f t="shared" si="48"/>
        <v>484633855</v>
      </c>
      <c r="AI43" s="122">
        <f t="shared" si="48"/>
        <v>484633855</v>
      </c>
      <c r="AJ43" s="130">
        <f t="shared" si="48"/>
        <v>491241135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+IF(MAYO!A44=0,"",MAYO!A44)</f>
        <v>1130106-2</v>
      </c>
      <c r="B44" s="629" t="str">
        <f>+IF(MAYO!B44=0,"",MAYO!B44)</f>
        <v>Vigencia Anterior</v>
      </c>
      <c r="C44" s="655">
        <f>+ENERO!C44</f>
        <v>0</v>
      </c>
      <c r="D44" s="363">
        <f>MAYO!D44+JUNIO!P44</f>
        <v>0</v>
      </c>
      <c r="E44" s="363">
        <f>MAYO!E44+JUNIO!Q44</f>
        <v>0</v>
      </c>
      <c r="F44" s="363">
        <f>SUM(C44:E44)</f>
        <v>0</v>
      </c>
      <c r="G44" s="363">
        <f>MAYO!I44</f>
        <v>0</v>
      </c>
      <c r="H44" s="364">
        <v>0</v>
      </c>
      <c r="I44" s="363">
        <f>SUM(G44:H44)</f>
        <v>0</v>
      </c>
      <c r="J44" s="363">
        <f>MAYO!L44</f>
        <v>0</v>
      </c>
      <c r="K44" s="364">
        <v>0</v>
      </c>
      <c r="L44" s="363">
        <f>SUM(J44:K44)</f>
        <v>0</v>
      </c>
      <c r="M44" s="363">
        <f>F44-I44</f>
        <v>0</v>
      </c>
      <c r="N44" s="143">
        <f>F44-L44</f>
        <v>0</v>
      </c>
      <c r="O44" s="372"/>
      <c r="P44" s="362">
        <v>0</v>
      </c>
      <c r="Q44" s="365">
        <v>0</v>
      </c>
      <c r="R44" s="9"/>
      <c r="S44" s="688">
        <f>+IF(MAYO!S44=0,"",MAYO!S44)</f>
        <v>1010301</v>
      </c>
      <c r="T44" s="664" t="str">
        <f>+IF(MAYO!T44=0,"",MAYO!T44)</f>
        <v>Contribuciones - SGP - Aportes Patronales - Cuenta Maestra</v>
      </c>
      <c r="U44" s="27">
        <f t="shared" ref="U44:AJ44" si="49">SUM(U45:U48)</f>
        <v>224699564</v>
      </c>
      <c r="V44" s="15">
        <f t="shared" si="49"/>
        <v>9000000</v>
      </c>
      <c r="W44" s="15">
        <f t="shared" si="49"/>
        <v>0</v>
      </c>
      <c r="X44" s="18">
        <f t="shared" si="49"/>
        <v>233699564</v>
      </c>
      <c r="Y44" s="19">
        <f t="shared" si="49"/>
        <v>56711225</v>
      </c>
      <c r="Z44" s="142">
        <f t="shared" si="49"/>
        <v>13753446</v>
      </c>
      <c r="AA44" s="18">
        <f t="shared" si="49"/>
        <v>70464671</v>
      </c>
      <c r="AB44" s="19">
        <f t="shared" si="49"/>
        <v>56711225</v>
      </c>
      <c r="AC44" s="142">
        <f t="shared" si="49"/>
        <v>13753446</v>
      </c>
      <c r="AD44" s="18">
        <f t="shared" si="49"/>
        <v>70464671</v>
      </c>
      <c r="AE44" s="19">
        <f t="shared" si="49"/>
        <v>56711225</v>
      </c>
      <c r="AF44" s="142">
        <f t="shared" si="49"/>
        <v>13753446</v>
      </c>
      <c r="AG44" s="18">
        <f t="shared" si="49"/>
        <v>70464671</v>
      </c>
      <c r="AH44" s="19">
        <f t="shared" si="49"/>
        <v>163234893</v>
      </c>
      <c r="AI44" s="15">
        <f t="shared" si="49"/>
        <v>163234893</v>
      </c>
      <c r="AJ44" s="16">
        <f t="shared" si="49"/>
        <v>163234893</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+IF(MAYO!A45=0,"",MAYO!A45)</f>
        <v>1130107</v>
      </c>
      <c r="B45" s="628" t="str">
        <f>+IF(MAYO!B45=0,"",MAYO!B45)</f>
        <v>MINSALUD-FOSYGA-RECLAMACIONES ECAT</v>
      </c>
      <c r="C45" s="43">
        <f t="shared" ref="C45:N45" si="50">SUM(C46:C47)</f>
        <v>130489617</v>
      </c>
      <c r="D45" s="44">
        <f t="shared" si="50"/>
        <v>0</v>
      </c>
      <c r="E45" s="44">
        <f t="shared" si="50"/>
        <v>0</v>
      </c>
      <c r="F45" s="44">
        <f t="shared" si="50"/>
        <v>130489617</v>
      </c>
      <c r="G45" s="44">
        <f t="shared" si="50"/>
        <v>380305214</v>
      </c>
      <c r="H45" s="44">
        <f t="shared" si="50"/>
        <v>46720974</v>
      </c>
      <c r="I45" s="44">
        <f t="shared" si="50"/>
        <v>427026188</v>
      </c>
      <c r="J45" s="44">
        <f t="shared" si="50"/>
        <v>5564279</v>
      </c>
      <c r="K45" s="44">
        <f t="shared" si="50"/>
        <v>0</v>
      </c>
      <c r="L45" s="44">
        <f t="shared" si="50"/>
        <v>5564279</v>
      </c>
      <c r="M45" s="44">
        <f t="shared" si="50"/>
        <v>-296536571</v>
      </c>
      <c r="N45" s="45">
        <f t="shared" si="50"/>
        <v>124925338</v>
      </c>
      <c r="P45" s="43">
        <f>SUM(P46:P47)</f>
        <v>0</v>
      </c>
      <c r="Q45" s="45">
        <f>SUM(Q46:Q47)</f>
        <v>0</v>
      </c>
      <c r="R45" s="9"/>
      <c r="S45" s="689" t="str">
        <f>+IF(MAYO!S45=0,"",MAYO!S45)</f>
        <v>1010301-1</v>
      </c>
      <c r="T45" s="665" t="str">
        <f>+IF(MAYO!T45=0,"",MAYO!T45)</f>
        <v>E.P.S. - Aportes cuenta maestra</v>
      </c>
      <c r="U45" s="27">
        <f>+ENERO!U45</f>
        <v>56701284</v>
      </c>
      <c r="V45" s="15">
        <f>MAYO!V45+JUNIO!AL45</f>
        <v>0</v>
      </c>
      <c r="W45" s="15">
        <f>MAYO!W45+JUNIO!AM45</f>
        <v>0</v>
      </c>
      <c r="X45" s="18">
        <f>SUM(U45:W45)</f>
        <v>56701284</v>
      </c>
      <c r="Y45" s="19">
        <f>MAYO!AA45</f>
        <v>23877109</v>
      </c>
      <c r="Z45" s="364">
        <v>5883820</v>
      </c>
      <c r="AA45" s="18">
        <f>SUM(Y45:Z45)</f>
        <v>29760929</v>
      </c>
      <c r="AB45" s="19">
        <f>MAYO!AD45</f>
        <v>23877109</v>
      </c>
      <c r="AC45" s="364">
        <v>5883820</v>
      </c>
      <c r="AD45" s="18">
        <f>SUM(AB45:AC45)</f>
        <v>29760929</v>
      </c>
      <c r="AE45" s="19">
        <f>MAYO!AG45</f>
        <v>23877109</v>
      </c>
      <c r="AF45" s="364">
        <v>5883820</v>
      </c>
      <c r="AG45" s="18">
        <f>SUM(AE45:AF45)</f>
        <v>29760929</v>
      </c>
      <c r="AH45" s="19">
        <f>X45-AA45</f>
        <v>26940355</v>
      </c>
      <c r="AI45" s="15">
        <f>X45-AD45</f>
        <v>26940355</v>
      </c>
      <c r="AJ45" s="16">
        <f>X45-AG45</f>
        <v>26940355</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+IF(MAYO!A46=0,"",MAYO!A46)</f>
        <v>1130107-1</v>
      </c>
      <c r="B46" s="629" t="str">
        <f>+CONCATENATE("Vigencia ",INSTRUCCIONES!$F$3)</f>
        <v>Vigencia 2019</v>
      </c>
      <c r="C46" s="655">
        <f>+ENERO!C46</f>
        <v>130489617</v>
      </c>
      <c r="D46" s="363">
        <f>MAYO!D46+JUNIO!P46</f>
        <v>0</v>
      </c>
      <c r="E46" s="363">
        <f>MAYO!E46+JUNIO!Q46</f>
        <v>0</v>
      </c>
      <c r="F46" s="363">
        <f>SUM(C46:E46)</f>
        <v>130489617</v>
      </c>
      <c r="G46" s="363">
        <f>MAYO!I46</f>
        <v>374740935</v>
      </c>
      <c r="H46" s="364">
        <v>46720974</v>
      </c>
      <c r="I46" s="363">
        <f>SUM(G46:H46)</f>
        <v>421461909</v>
      </c>
      <c r="J46" s="363">
        <f>MAYO!L46</f>
        <v>0</v>
      </c>
      <c r="K46" s="364">
        <v>0</v>
      </c>
      <c r="L46" s="363">
        <f>SUM(J46:K46)</f>
        <v>0</v>
      </c>
      <c r="M46" s="363">
        <f>F46-I46</f>
        <v>-290972292</v>
      </c>
      <c r="N46" s="143">
        <f>F46-L46</f>
        <v>130489617</v>
      </c>
      <c r="O46" s="372"/>
      <c r="P46" s="362">
        <v>0</v>
      </c>
      <c r="Q46" s="365">
        <v>0</v>
      </c>
      <c r="R46" s="9"/>
      <c r="S46" s="689" t="str">
        <f>+IF(MAYO!S46=0,"",MAYO!S46)</f>
        <v>1010301-2</v>
      </c>
      <c r="T46" s="665" t="str">
        <f>+IF(MAYO!T46=0,"",MAYO!T46)</f>
        <v>Fondos pensionales - Aportes cuenta maestra</v>
      </c>
      <c r="U46" s="27">
        <f>+ENERO!U46</f>
        <v>77319919</v>
      </c>
      <c r="V46" s="15">
        <f>MAYO!V46+JUNIO!AL46</f>
        <v>0</v>
      </c>
      <c r="W46" s="15">
        <f>MAYO!W46+JUNIO!AM46</f>
        <v>0</v>
      </c>
      <c r="X46" s="18">
        <f>SUM(U46:W46)</f>
        <v>77319919</v>
      </c>
      <c r="Y46" s="19">
        <f>MAYO!AA46</f>
        <v>29319276</v>
      </c>
      <c r="Z46" s="364">
        <v>6994566</v>
      </c>
      <c r="AA46" s="18">
        <f>SUM(Y46:Z46)</f>
        <v>36313842</v>
      </c>
      <c r="AB46" s="19">
        <f>MAYO!AD46</f>
        <v>29319276</v>
      </c>
      <c r="AC46" s="364">
        <v>6994566</v>
      </c>
      <c r="AD46" s="18">
        <f>SUM(AB46:AC46)</f>
        <v>36313842</v>
      </c>
      <c r="AE46" s="19">
        <f>MAYO!AG46</f>
        <v>29319276</v>
      </c>
      <c r="AF46" s="364">
        <v>6994566</v>
      </c>
      <c r="AG46" s="18">
        <f>SUM(AE46:AF46)</f>
        <v>36313842</v>
      </c>
      <c r="AH46" s="19">
        <f>X46-AA46</f>
        <v>41006077</v>
      </c>
      <c r="AI46" s="15">
        <f>X46-AD46</f>
        <v>41006077</v>
      </c>
      <c r="AJ46" s="16">
        <f>X46-AG46</f>
        <v>41006077</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+IF(MAYO!A47=0,"",MAYO!A47)</f>
        <v>1130107-2</v>
      </c>
      <c r="B47" s="629" t="str">
        <f>+IF(MAYO!B47=0,"",MAYO!B47)</f>
        <v>Vigencia Anterior</v>
      </c>
      <c r="C47" s="655">
        <f>+ENERO!C47</f>
        <v>0</v>
      </c>
      <c r="D47" s="363">
        <f>MAYO!D47+JUNIO!P47</f>
        <v>0</v>
      </c>
      <c r="E47" s="363">
        <f>MAYO!E47+JUNIO!Q47</f>
        <v>0</v>
      </c>
      <c r="F47" s="363">
        <f>SUM(C47:E47)</f>
        <v>0</v>
      </c>
      <c r="G47" s="363">
        <f>MAYO!I47</f>
        <v>5564279</v>
      </c>
      <c r="H47" s="364">
        <v>0</v>
      </c>
      <c r="I47" s="363">
        <f>SUM(G47:H47)</f>
        <v>5564279</v>
      </c>
      <c r="J47" s="363">
        <f>MAYO!L47</f>
        <v>5564279</v>
      </c>
      <c r="K47" s="364">
        <v>0</v>
      </c>
      <c r="L47" s="363">
        <f>SUM(J47:K47)</f>
        <v>5564279</v>
      </c>
      <c r="M47" s="363">
        <f>F47-I47</f>
        <v>-5564279</v>
      </c>
      <c r="N47" s="143">
        <f>F47-L47</f>
        <v>-5564279</v>
      </c>
      <c r="O47" s="372"/>
      <c r="P47" s="362">
        <v>0</v>
      </c>
      <c r="Q47" s="365">
        <v>0</v>
      </c>
      <c r="R47" s="9"/>
      <c r="S47" s="689" t="str">
        <f>+IF(MAYO!S47=0,"",MAYO!S47)</f>
        <v>1010301-3</v>
      </c>
      <c r="T47" s="665" t="str">
        <f>+IF(MAYO!T47=0,"",MAYO!T47)</f>
        <v>Fondos de cesantías - Aportes cuenta maestra</v>
      </c>
      <c r="U47" s="27">
        <f>+ENERO!U47</f>
        <v>87698777</v>
      </c>
      <c r="V47" s="15">
        <f>MAYO!V47+JUNIO!AL47</f>
        <v>0</v>
      </c>
      <c r="W47" s="15">
        <f>MAYO!W47+JUNIO!AM47</f>
        <v>0</v>
      </c>
      <c r="X47" s="18">
        <f>SUM(U47:W47)</f>
        <v>87698777</v>
      </c>
      <c r="Y47" s="19">
        <f>MAYO!AA47</f>
        <v>0</v>
      </c>
      <c r="Z47" s="364">
        <v>0</v>
      </c>
      <c r="AA47" s="18">
        <f>SUM(Y47:Z47)</f>
        <v>0</v>
      </c>
      <c r="AB47" s="19">
        <f>MAYO!AD47</f>
        <v>0</v>
      </c>
      <c r="AC47" s="364">
        <v>0</v>
      </c>
      <c r="AD47" s="18">
        <f>SUM(AB47:AC47)</f>
        <v>0</v>
      </c>
      <c r="AE47" s="19">
        <f>MAYO!AG47</f>
        <v>0</v>
      </c>
      <c r="AF47" s="364">
        <v>0</v>
      </c>
      <c r="AG47" s="18">
        <f>SUM(AE47:AF47)</f>
        <v>0</v>
      </c>
      <c r="AH47" s="19">
        <f>X47-AA47</f>
        <v>87698777</v>
      </c>
      <c r="AI47" s="15">
        <f>X47-AD47</f>
        <v>87698777</v>
      </c>
      <c r="AJ47" s="16">
        <f>X47-AG47</f>
        <v>87698777</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+IF(MAYO!A48=0,"",MAYO!A48)</f>
        <v>1130108</v>
      </c>
      <c r="B48" s="628" t="str">
        <f>+IF(MAYO!B48=0,"",MAYO!B48)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689" t="str">
        <f>+IF(MAYO!S48=0,"",MAYO!S48)</f>
        <v>1010301-4</v>
      </c>
      <c r="T48" s="665" t="str">
        <f>+IF(MAYO!T48=0,"",MAYO!T48)</f>
        <v>Riesgos laborales - Aportes cuenta maestra</v>
      </c>
      <c r="U48" s="27">
        <f>+ENERO!U48</f>
        <v>2979584</v>
      </c>
      <c r="V48" s="15">
        <f>MAYO!V48+JUNIO!AL48</f>
        <v>9000000</v>
      </c>
      <c r="W48" s="15">
        <f>MAYO!W48+JUNIO!AM48</f>
        <v>0</v>
      </c>
      <c r="X48" s="18">
        <f>SUM(U48:W48)</f>
        <v>11979584</v>
      </c>
      <c r="Y48" s="19">
        <f>MAYO!AA48</f>
        <v>3514840</v>
      </c>
      <c r="Z48" s="364">
        <v>875060</v>
      </c>
      <c r="AA48" s="18">
        <f>SUM(Y48:Z48)</f>
        <v>4389900</v>
      </c>
      <c r="AB48" s="19">
        <f>MAYO!AD48</f>
        <v>3514840</v>
      </c>
      <c r="AC48" s="364">
        <v>875060</v>
      </c>
      <c r="AD48" s="18">
        <f>SUM(AB48:AC48)</f>
        <v>4389900</v>
      </c>
      <c r="AE48" s="19">
        <f>MAYO!AG48</f>
        <v>3514840</v>
      </c>
      <c r="AF48" s="364">
        <v>875060</v>
      </c>
      <c r="AG48" s="18">
        <f>SUM(AE48:AF48)</f>
        <v>4389900</v>
      </c>
      <c r="AH48" s="19">
        <f>X48-AA48</f>
        <v>7589684</v>
      </c>
      <c r="AI48" s="15">
        <f>X48-AD48</f>
        <v>7589684</v>
      </c>
      <c r="AJ48" s="16">
        <f>X48-AG48</f>
        <v>7589684</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+IF(MAYO!A49=0,"",MAYO!A49)</f>
        <v>1130108-1</v>
      </c>
      <c r="B49" s="629" t="str">
        <f>+CONCATENATE("Vigencia ",INSTRUCCIONES!$F$3)</f>
        <v>Vigencia 2019</v>
      </c>
      <c r="C49" s="655">
        <f>+ENERO!C49</f>
        <v>0</v>
      </c>
      <c r="D49" s="363">
        <f>MAYO!D49+JUNIO!P49</f>
        <v>0</v>
      </c>
      <c r="E49" s="363">
        <f>MAYO!E49+JUNIO!Q49</f>
        <v>0</v>
      </c>
      <c r="F49" s="363">
        <f>SUM(C49:E49)</f>
        <v>0</v>
      </c>
      <c r="G49" s="363">
        <f>MAYO!I49</f>
        <v>0</v>
      </c>
      <c r="H49" s="364">
        <v>0</v>
      </c>
      <c r="I49" s="363">
        <f>SUM(G49:H49)</f>
        <v>0</v>
      </c>
      <c r="J49" s="363">
        <f>MAYO!L49</f>
        <v>0</v>
      </c>
      <c r="K49" s="364">
        <v>0</v>
      </c>
      <c r="L49" s="363">
        <f>SUM(J49:K49)</f>
        <v>0</v>
      </c>
      <c r="M49" s="363">
        <f>F49-I49</f>
        <v>0</v>
      </c>
      <c r="N49" s="143">
        <f>F49-L49</f>
        <v>0</v>
      </c>
      <c r="O49" s="372"/>
      <c r="P49" s="362">
        <v>0</v>
      </c>
      <c r="Q49" s="365">
        <v>0</v>
      </c>
      <c r="R49" s="9"/>
      <c r="S49" s="688">
        <f>+IF(MAYO!S49=0,"",MAYO!S49)</f>
        <v>1010302</v>
      </c>
      <c r="T49" s="664" t="str">
        <f>+IF(MAYO!T49=0,"",MAYO!T49)</f>
        <v>Contribuciones - Otros</v>
      </c>
      <c r="U49" s="27">
        <f t="shared" ref="U49:AJ49" si="52">SUM(U50:U54)</f>
        <v>349614882</v>
      </c>
      <c r="V49" s="15">
        <f t="shared" si="52"/>
        <v>0</v>
      </c>
      <c r="W49" s="15">
        <f t="shared" si="52"/>
        <v>0</v>
      </c>
      <c r="X49" s="18">
        <f t="shared" si="52"/>
        <v>349614882</v>
      </c>
      <c r="Y49" s="19">
        <f t="shared" si="52"/>
        <v>21608640</v>
      </c>
      <c r="Z49" s="142">
        <f t="shared" si="52"/>
        <v>6607280</v>
      </c>
      <c r="AA49" s="18">
        <f t="shared" si="52"/>
        <v>28215920</v>
      </c>
      <c r="AB49" s="19">
        <f t="shared" si="52"/>
        <v>21608640</v>
      </c>
      <c r="AC49" s="142">
        <f t="shared" si="52"/>
        <v>6607280</v>
      </c>
      <c r="AD49" s="18">
        <f t="shared" si="52"/>
        <v>28215920</v>
      </c>
      <c r="AE49" s="19">
        <f t="shared" si="52"/>
        <v>17392720</v>
      </c>
      <c r="AF49" s="142">
        <f t="shared" si="52"/>
        <v>4215920</v>
      </c>
      <c r="AG49" s="18">
        <f t="shared" si="52"/>
        <v>21608640</v>
      </c>
      <c r="AH49" s="19">
        <f t="shared" si="52"/>
        <v>321398962</v>
      </c>
      <c r="AI49" s="15">
        <f t="shared" si="52"/>
        <v>321398962</v>
      </c>
      <c r="AJ49" s="16">
        <f t="shared" si="52"/>
        <v>328006242</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+IF(MAYO!A50=0,"",MAYO!A50)</f>
        <v>1130108-2</v>
      </c>
      <c r="B50" s="629" t="str">
        <f>+IF(MAYO!B50=0,"",MAYO!B50)</f>
        <v>Vigencia Anterior</v>
      </c>
      <c r="C50" s="655">
        <f>+ENERO!C50</f>
        <v>0</v>
      </c>
      <c r="D50" s="363">
        <f>MAYO!D50+JUNIO!P50</f>
        <v>0</v>
      </c>
      <c r="E50" s="363">
        <f>MAYO!E50+JUNIO!Q50</f>
        <v>0</v>
      </c>
      <c r="F50" s="363">
        <f>SUM(C50:E50)</f>
        <v>0</v>
      </c>
      <c r="G50" s="363">
        <f>MAYO!I50</f>
        <v>0</v>
      </c>
      <c r="H50" s="364">
        <v>0</v>
      </c>
      <c r="I50" s="363">
        <f>SUM(G50:H50)</f>
        <v>0</v>
      </c>
      <c r="J50" s="363">
        <f>MAYO!L50</f>
        <v>0</v>
      </c>
      <c r="K50" s="364">
        <v>0</v>
      </c>
      <c r="L50" s="363">
        <f>SUM(J50:K50)</f>
        <v>0</v>
      </c>
      <c r="M50" s="363">
        <f>F50-I50</f>
        <v>0</v>
      </c>
      <c r="N50" s="143">
        <f>F50-L50</f>
        <v>0</v>
      </c>
      <c r="O50" s="372"/>
      <c r="P50" s="362">
        <v>0</v>
      </c>
      <c r="Q50" s="365">
        <v>0</v>
      </c>
      <c r="R50" s="9"/>
      <c r="S50" s="689" t="str">
        <f>+IF(MAYO!S50=0,"",MAYO!S50)</f>
        <v>1010302-1</v>
      </c>
      <c r="T50" s="665" t="str">
        <f>+IF(MAYO!T50=0,"",MAYO!T50)</f>
        <v>Aportes a E.P.S. - recursos propios</v>
      </c>
      <c r="U50" s="27">
        <f>+ENERO!U50</f>
        <v>79647420</v>
      </c>
      <c r="V50" s="15">
        <f>MAYO!V50+JUNIO!AL50</f>
        <v>0</v>
      </c>
      <c r="W50" s="15">
        <f>MAYO!W50+JUNIO!AM50</f>
        <v>0</v>
      </c>
      <c r="X50" s="18">
        <f t="shared" ref="X50:X55" si="53">SUM(U50:W50)</f>
        <v>79647420</v>
      </c>
      <c r="Y50" s="19">
        <f>MAYO!AA50</f>
        <v>0</v>
      </c>
      <c r="Z50" s="364">
        <v>0</v>
      </c>
      <c r="AA50" s="18">
        <f t="shared" ref="AA50:AA55" si="54">SUM(Y50:Z50)</f>
        <v>0</v>
      </c>
      <c r="AB50" s="19">
        <f>MAYO!AD50</f>
        <v>0</v>
      </c>
      <c r="AC50" s="364">
        <v>0</v>
      </c>
      <c r="AD50" s="18">
        <f t="shared" ref="AD50:AD55" si="55">SUM(AB50:AC50)</f>
        <v>0</v>
      </c>
      <c r="AE50" s="19">
        <f>MAYO!AG50</f>
        <v>0</v>
      </c>
      <c r="AF50" s="364">
        <v>0</v>
      </c>
      <c r="AG50" s="18">
        <f t="shared" ref="AG50:AG55" si="56">SUM(AE50:AF50)</f>
        <v>0</v>
      </c>
      <c r="AH50" s="19">
        <f t="shared" ref="AH50:AH55" si="57">X50-AA50</f>
        <v>79647420</v>
      </c>
      <c r="AI50" s="15">
        <f t="shared" ref="AI50:AI55" si="58">X50-AD50</f>
        <v>79647420</v>
      </c>
      <c r="AJ50" s="16">
        <f t="shared" ref="AJ50:AJ55" si="59">X50-AG50</f>
        <v>79647420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+IF(MAYO!A51=0,"",MAYO!A51)</f>
        <v>1130109</v>
      </c>
      <c r="B51" s="628" t="str">
        <f>+IF(MAYO!B51=0,"",MAYO!B51)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689" t="str">
        <f>+IF(MAYO!S51=0,"",MAYO!S51)</f>
        <v>1010302-2</v>
      </c>
      <c r="T51" s="665" t="str">
        <f>+IF(MAYO!T51=0,"",MAYO!T51)</f>
        <v>Aportes Fondos Pensionales - recursos propios</v>
      </c>
      <c r="U51" s="27">
        <f>+ENERO!U51</f>
        <v>115172321</v>
      </c>
      <c r="V51" s="15">
        <f>MAYO!V51+JUNIO!AL51</f>
        <v>0</v>
      </c>
      <c r="W51" s="15">
        <f>MAYO!W51+JUNIO!AM51</f>
        <v>0</v>
      </c>
      <c r="X51" s="18">
        <f t="shared" si="53"/>
        <v>115172321</v>
      </c>
      <c r="Y51" s="19">
        <f>MAYO!AA51</f>
        <v>0</v>
      </c>
      <c r="Z51" s="364">
        <v>0</v>
      </c>
      <c r="AA51" s="18">
        <f t="shared" si="54"/>
        <v>0</v>
      </c>
      <c r="AB51" s="19">
        <f>MAYO!AD51</f>
        <v>0</v>
      </c>
      <c r="AC51" s="364">
        <v>0</v>
      </c>
      <c r="AD51" s="18">
        <f t="shared" si="55"/>
        <v>0</v>
      </c>
      <c r="AE51" s="19">
        <f>MAYO!AG51</f>
        <v>0</v>
      </c>
      <c r="AF51" s="364">
        <v>0</v>
      </c>
      <c r="AG51" s="18">
        <f t="shared" si="56"/>
        <v>0</v>
      </c>
      <c r="AH51" s="19">
        <f t="shared" si="57"/>
        <v>115172321</v>
      </c>
      <c r="AI51" s="15">
        <f t="shared" si="58"/>
        <v>115172321</v>
      </c>
      <c r="AJ51" s="16">
        <f t="shared" si="59"/>
        <v>115172321</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+IF(MAYO!A52=0,"",MAYO!A52)</f>
        <v>1130109-1</v>
      </c>
      <c r="B52" s="629" t="str">
        <f>+CONCATENATE("Vigencia ",INSTRUCCIONES!$F$3)</f>
        <v>Vigencia 2019</v>
      </c>
      <c r="C52" s="655">
        <f>+ENERO!C52</f>
        <v>0</v>
      </c>
      <c r="D52" s="363">
        <f>MAYO!D52+JUNIO!P52</f>
        <v>0</v>
      </c>
      <c r="E52" s="363">
        <f>MAYO!E52+JUNIO!Q52</f>
        <v>0</v>
      </c>
      <c r="F52" s="363">
        <f>SUM(C52:E52)</f>
        <v>0</v>
      </c>
      <c r="G52" s="363">
        <f>MAYO!I52</f>
        <v>0</v>
      </c>
      <c r="H52" s="364">
        <v>0</v>
      </c>
      <c r="I52" s="363">
        <f>SUM(G52:H52)</f>
        <v>0</v>
      </c>
      <c r="J52" s="363">
        <f>MAYO!L52</f>
        <v>0</v>
      </c>
      <c r="K52" s="364">
        <v>0</v>
      </c>
      <c r="L52" s="363">
        <f>SUM(J52:K52)</f>
        <v>0</v>
      </c>
      <c r="M52" s="363">
        <f>F52-I52</f>
        <v>0</v>
      </c>
      <c r="N52" s="143">
        <f>F52-L52</f>
        <v>0</v>
      </c>
      <c r="O52" s="372"/>
      <c r="P52" s="362">
        <v>0</v>
      </c>
      <c r="Q52" s="365">
        <v>0</v>
      </c>
      <c r="R52" s="9"/>
      <c r="S52" s="689" t="str">
        <f>+IF(MAYO!S52=0,"",MAYO!S52)</f>
        <v>1010302-3</v>
      </c>
      <c r="T52" s="665" t="str">
        <f>+IF(MAYO!T52=0,"",MAYO!T52)</f>
        <v>Aportes a Fondos de Cesantia - recursos propios</v>
      </c>
      <c r="U52" s="27">
        <f>+ENERO!U52</f>
        <v>73960356</v>
      </c>
      <c r="V52" s="15">
        <f>MAYO!V52+JUNIO!AL52</f>
        <v>0</v>
      </c>
      <c r="W52" s="15">
        <f>MAYO!W52+JUNIO!AM52</f>
        <v>0</v>
      </c>
      <c r="X52" s="18">
        <f t="shared" si="53"/>
        <v>73960356</v>
      </c>
      <c r="Y52" s="19">
        <f>MAYO!AA52</f>
        <v>0</v>
      </c>
      <c r="Z52" s="364">
        <v>0</v>
      </c>
      <c r="AA52" s="18">
        <f t="shared" si="54"/>
        <v>0</v>
      </c>
      <c r="AB52" s="19">
        <f>MAYO!AD52</f>
        <v>0</v>
      </c>
      <c r="AC52" s="364">
        <v>0</v>
      </c>
      <c r="AD52" s="18">
        <f t="shared" si="55"/>
        <v>0</v>
      </c>
      <c r="AE52" s="19">
        <f>MAYO!AG52</f>
        <v>0</v>
      </c>
      <c r="AF52" s="364">
        <v>0</v>
      </c>
      <c r="AG52" s="18">
        <f t="shared" si="56"/>
        <v>0</v>
      </c>
      <c r="AH52" s="19">
        <f t="shared" si="57"/>
        <v>73960356</v>
      </c>
      <c r="AI52" s="15">
        <f t="shared" si="58"/>
        <v>73960356</v>
      </c>
      <c r="AJ52" s="16">
        <f t="shared" si="59"/>
        <v>73960356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+IF(MAYO!A53=0,"",MAYO!A53)</f>
        <v>1130109-2</v>
      </c>
      <c r="B53" s="629" t="str">
        <f>+IF(MAYO!B53=0,"",MAYO!B53)</f>
        <v>Vigencia Anterior</v>
      </c>
      <c r="C53" s="655">
        <f>+ENERO!C53</f>
        <v>0</v>
      </c>
      <c r="D53" s="363">
        <f>MAYO!D53+JUNIO!P53</f>
        <v>0</v>
      </c>
      <c r="E53" s="363">
        <f>MAYO!E53+JUNIO!Q53</f>
        <v>0</v>
      </c>
      <c r="F53" s="363">
        <f>SUM(C53:E53)</f>
        <v>0</v>
      </c>
      <c r="G53" s="363">
        <f>MAYO!I53</f>
        <v>0</v>
      </c>
      <c r="H53" s="364">
        <v>0</v>
      </c>
      <c r="I53" s="363">
        <f>SUM(G53:H53)</f>
        <v>0</v>
      </c>
      <c r="J53" s="363">
        <f>MAYO!L53</f>
        <v>0</v>
      </c>
      <c r="K53" s="364">
        <v>0</v>
      </c>
      <c r="L53" s="363">
        <f>SUM(J53:K53)</f>
        <v>0</v>
      </c>
      <c r="M53" s="363">
        <f>F53-I53</f>
        <v>0</v>
      </c>
      <c r="N53" s="143">
        <f>F53-L53</f>
        <v>0</v>
      </c>
      <c r="O53" s="372"/>
      <c r="P53" s="362">
        <v>0</v>
      </c>
      <c r="Q53" s="365">
        <v>0</v>
      </c>
      <c r="R53" s="9"/>
      <c r="S53" s="689" t="str">
        <f>+IF(MAYO!S53=0,"",MAYO!S53)</f>
        <v>1010302-4</v>
      </c>
      <c r="T53" s="665" t="str">
        <f>+IF(MAYO!T53=0,"",MAYO!T53)</f>
        <v>Aporte a ARL. - recursos propios</v>
      </c>
      <c r="U53" s="27">
        <f>+ENERO!U53</f>
        <v>5393830</v>
      </c>
      <c r="V53" s="15">
        <f>MAYO!V53+JUNIO!AL53</f>
        <v>0</v>
      </c>
      <c r="W53" s="15">
        <f>MAYO!W53+JUNIO!AM53</f>
        <v>0</v>
      </c>
      <c r="X53" s="18">
        <f t="shared" si="53"/>
        <v>5393830</v>
      </c>
      <c r="Y53" s="19">
        <f>MAYO!AA53</f>
        <v>0</v>
      </c>
      <c r="Z53" s="364">
        <v>0</v>
      </c>
      <c r="AA53" s="18">
        <f t="shared" si="54"/>
        <v>0</v>
      </c>
      <c r="AB53" s="19">
        <f>MAYO!AD53</f>
        <v>0</v>
      </c>
      <c r="AC53" s="364">
        <v>0</v>
      </c>
      <c r="AD53" s="18">
        <f t="shared" si="55"/>
        <v>0</v>
      </c>
      <c r="AE53" s="19">
        <f>MAYO!AG53</f>
        <v>0</v>
      </c>
      <c r="AF53" s="364">
        <v>0</v>
      </c>
      <c r="AG53" s="1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+IF(MAYO!A54=0,"",MAYO!A54)</f>
        <v>1130110</v>
      </c>
      <c r="B54" s="628" t="str">
        <f>+IF(MAYO!B54=0,"",MAYO!B54)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689" t="str">
        <f>+IF(MAYO!S54=0,"",MAYO!S54)</f>
        <v>1010302-5</v>
      </c>
      <c r="T54" s="665" t="str">
        <f>+IF(MAYO!T54=0,"",MAYO!T54)</f>
        <v>Aporte a Caja Compensación Familiar</v>
      </c>
      <c r="U54" s="27">
        <f>+ENERO!U54</f>
        <v>75440955</v>
      </c>
      <c r="V54" s="15">
        <f>MAYO!V54+JUNIO!AL54</f>
        <v>0</v>
      </c>
      <c r="W54" s="15">
        <f>MAYO!W54+JUNIO!AM54</f>
        <v>0</v>
      </c>
      <c r="X54" s="18">
        <f t="shared" si="53"/>
        <v>75440955</v>
      </c>
      <c r="Y54" s="19">
        <f>MAYO!AA54</f>
        <v>21608640</v>
      </c>
      <c r="Z54" s="364">
        <v>6607280</v>
      </c>
      <c r="AA54" s="18">
        <f t="shared" si="54"/>
        <v>28215920</v>
      </c>
      <c r="AB54" s="19">
        <f>MAYO!AD54</f>
        <v>21608640</v>
      </c>
      <c r="AC54" s="364">
        <v>6607280</v>
      </c>
      <c r="AD54" s="18">
        <f t="shared" si="55"/>
        <v>28215920</v>
      </c>
      <c r="AE54" s="19">
        <f>MAYO!AG54</f>
        <v>17392720</v>
      </c>
      <c r="AF54" s="364">
        <v>4215920</v>
      </c>
      <c r="AG54" s="18">
        <f t="shared" si="56"/>
        <v>21608640</v>
      </c>
      <c r="AH54" s="19">
        <f t="shared" si="57"/>
        <v>47225035</v>
      </c>
      <c r="AI54" s="15">
        <f t="shared" si="58"/>
        <v>47225035</v>
      </c>
      <c r="AJ54" s="16">
        <f t="shared" si="59"/>
        <v>53832315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+IF(MAYO!A55=0,"",MAYO!A55)</f>
        <v>1130110-1</v>
      </c>
      <c r="B55" s="629" t="str">
        <f>+CONCATENATE("Vigencia ",INSTRUCCIONES!$F$3)</f>
        <v>Vigencia 2019</v>
      </c>
      <c r="C55" s="655">
        <f>+ENERO!C55</f>
        <v>0</v>
      </c>
      <c r="D55" s="363">
        <f>MAYO!D55+JUNIO!P55</f>
        <v>0</v>
      </c>
      <c r="E55" s="363">
        <f>MAYO!E55+JUNIO!Q55</f>
        <v>0</v>
      </c>
      <c r="F55" s="363">
        <f>SUM(C55:E55)</f>
        <v>0</v>
      </c>
      <c r="G55" s="363">
        <f>MAYO!I55</f>
        <v>0</v>
      </c>
      <c r="H55" s="364">
        <v>0</v>
      </c>
      <c r="I55" s="363">
        <f>SUM(G55:H55)</f>
        <v>0</v>
      </c>
      <c r="J55" s="363">
        <f>MAYO!L55</f>
        <v>0</v>
      </c>
      <c r="K55" s="364">
        <v>0</v>
      </c>
      <c r="L55" s="363">
        <f>SUM(J55:K55)</f>
        <v>0</v>
      </c>
      <c r="M55" s="363">
        <f>F55-I55</f>
        <v>0</v>
      </c>
      <c r="N55" s="143">
        <f>F55-L55</f>
        <v>0</v>
      </c>
      <c r="O55" s="372"/>
      <c r="P55" s="362">
        <v>0</v>
      </c>
      <c r="Q55" s="365">
        <v>0</v>
      </c>
      <c r="R55" s="9"/>
      <c r="S55" s="688">
        <f>+IF(MAYO!S55=0,"",MAYO!S55)</f>
        <v>1010399</v>
      </c>
      <c r="T55" s="664" t="str">
        <f>+IF(MAYO!T55=0,"",MAYO!T55)</f>
        <v>Vigencias Anteriores</v>
      </c>
      <c r="U55" s="27">
        <f>+ENERO!U55</f>
        <v>108000000</v>
      </c>
      <c r="V55" s="15">
        <f>MAYO!V55+JUNIO!AL55</f>
        <v>-6501068</v>
      </c>
      <c r="W55" s="15">
        <f>MAYO!W55+JUNIO!AM55</f>
        <v>0</v>
      </c>
      <c r="X55" s="18">
        <f t="shared" si="53"/>
        <v>101498932</v>
      </c>
      <c r="Y55" s="19">
        <f>MAYO!AA55</f>
        <v>101498932</v>
      </c>
      <c r="Z55" s="364">
        <v>0</v>
      </c>
      <c r="AA55" s="18">
        <f t="shared" si="54"/>
        <v>101498932</v>
      </c>
      <c r="AB55" s="19">
        <f>MAYO!AD55</f>
        <v>101498932</v>
      </c>
      <c r="AC55" s="364">
        <v>0</v>
      </c>
      <c r="AD55" s="18">
        <f t="shared" si="55"/>
        <v>101498932</v>
      </c>
      <c r="AE55" s="19">
        <f>MAYO!AG55</f>
        <v>101498932</v>
      </c>
      <c r="AF55" s="364">
        <v>0</v>
      </c>
      <c r="AG55" s="1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+IF(MAYO!A56=0,"",MAYO!A56)</f>
        <v>1130110-2</v>
      </c>
      <c r="B56" s="629" t="str">
        <f>+IF(MAYO!B56=0,"",MAYO!B56)</f>
        <v>Vigencia Anterior</v>
      </c>
      <c r="C56" s="655">
        <f>+ENERO!C56</f>
        <v>0</v>
      </c>
      <c r="D56" s="363">
        <f>MAYO!D56+JUNIO!P56</f>
        <v>0</v>
      </c>
      <c r="E56" s="363">
        <f>MAYO!E56+JUNIO!Q56</f>
        <v>0</v>
      </c>
      <c r="F56" s="363">
        <f>SUM(C56:E56)</f>
        <v>0</v>
      </c>
      <c r="G56" s="363">
        <f>MAYO!I56</f>
        <v>0</v>
      </c>
      <c r="H56" s="364">
        <v>0</v>
      </c>
      <c r="I56" s="363">
        <f>SUM(G56:H56)</f>
        <v>0</v>
      </c>
      <c r="J56" s="363">
        <f>MAYO!L56</f>
        <v>0</v>
      </c>
      <c r="K56" s="364">
        <v>0</v>
      </c>
      <c r="L56" s="363">
        <f>SUM(J56:K56)</f>
        <v>0</v>
      </c>
      <c r="M56" s="363">
        <f>F56-I56</f>
        <v>0</v>
      </c>
      <c r="N56" s="143">
        <f>F56-L56</f>
        <v>0</v>
      </c>
      <c r="O56" s="372"/>
      <c r="P56" s="362">
        <v>0</v>
      </c>
      <c r="Q56" s="365">
        <v>0</v>
      </c>
      <c r="R56" s="9"/>
      <c r="S56" s="356" t="str">
        <f>+IF(MAYO!S56=0,"",MAYO!S56)</f>
        <v/>
      </c>
      <c r="T56" s="678" t="str">
        <f>+IF(MAYO!T56=0,"",MAYO!T56)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+IF(MAYO!A57=0,"",MAYO!A57)</f>
        <v>1130111</v>
      </c>
      <c r="B57" s="628" t="str">
        <f>+IF(MAYO!B57=0,"",MAYO!B57)</f>
        <v>IPS PRIVADAS</v>
      </c>
      <c r="C57" s="43">
        <f t="shared" ref="C57:N57" si="62">SUM(C58:C59)</f>
        <v>205713</v>
      </c>
      <c r="D57" s="44">
        <f t="shared" si="62"/>
        <v>0</v>
      </c>
      <c r="E57" s="44">
        <f t="shared" si="62"/>
        <v>0</v>
      </c>
      <c r="F57" s="44">
        <f t="shared" si="62"/>
        <v>205713</v>
      </c>
      <c r="G57" s="44">
        <f t="shared" si="62"/>
        <v>0</v>
      </c>
      <c r="H57" s="44">
        <f t="shared" si="62"/>
        <v>1082717</v>
      </c>
      <c r="I57" s="44">
        <f t="shared" si="62"/>
        <v>1082717</v>
      </c>
      <c r="J57" s="44">
        <f t="shared" si="62"/>
        <v>0</v>
      </c>
      <c r="K57" s="44">
        <f t="shared" si="62"/>
        <v>0</v>
      </c>
      <c r="L57" s="44">
        <f t="shared" si="62"/>
        <v>0</v>
      </c>
      <c r="M57" s="44">
        <f t="shared" si="62"/>
        <v>-877004</v>
      </c>
      <c r="N57" s="45">
        <f t="shared" si="62"/>
        <v>205713</v>
      </c>
      <c r="P57" s="43">
        <f>SUM(P58:P59)</f>
        <v>0</v>
      </c>
      <c r="Q57" s="45">
        <f>SUM(Q58:Q59)</f>
        <v>0</v>
      </c>
      <c r="R57" s="9"/>
      <c r="S57" s="687">
        <f>+IF(MAYO!S57=0,"",MAYO!S57)</f>
        <v>1010400</v>
      </c>
      <c r="T57" s="663" t="str">
        <f>+IF(MAYO!T57=0,"",MAYO!T57)</f>
        <v>Contribuciones Inherentes nómina del Sector Publico</v>
      </c>
      <c r="U57" s="132">
        <f t="shared" ref="U57:AJ57" si="63">U58+U61</f>
        <v>94301194</v>
      </c>
      <c r="V57" s="122">
        <f t="shared" si="63"/>
        <v>0</v>
      </c>
      <c r="W57" s="122">
        <f t="shared" si="63"/>
        <v>0</v>
      </c>
      <c r="X57" s="129">
        <f t="shared" si="63"/>
        <v>94301194</v>
      </c>
      <c r="Y57" s="128">
        <f t="shared" si="63"/>
        <v>27010800</v>
      </c>
      <c r="Z57" s="122">
        <f t="shared" si="63"/>
        <v>8259100</v>
      </c>
      <c r="AA57" s="129">
        <f t="shared" si="63"/>
        <v>35269900</v>
      </c>
      <c r="AB57" s="128">
        <f t="shared" si="63"/>
        <v>27010800</v>
      </c>
      <c r="AC57" s="122">
        <f t="shared" si="63"/>
        <v>8259100</v>
      </c>
      <c r="AD57" s="129">
        <f t="shared" si="63"/>
        <v>35269900</v>
      </c>
      <c r="AE57" s="128">
        <f t="shared" si="63"/>
        <v>21740900</v>
      </c>
      <c r="AF57" s="122">
        <f t="shared" si="63"/>
        <v>5269900</v>
      </c>
      <c r="AG57" s="129">
        <f t="shared" si="63"/>
        <v>27010800</v>
      </c>
      <c r="AH57" s="128">
        <f t="shared" si="63"/>
        <v>59031294</v>
      </c>
      <c r="AI57" s="122">
        <f t="shared" si="63"/>
        <v>59031294</v>
      </c>
      <c r="AJ57" s="130">
        <f t="shared" si="63"/>
        <v>67290394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+IF(MAYO!A58=0,"",MAYO!A58)</f>
        <v>1130111-1</v>
      </c>
      <c r="B58" s="629" t="str">
        <f>+CONCATENATE("Vigencia ",INSTRUCCIONES!$F$3)</f>
        <v>Vigencia 2019</v>
      </c>
      <c r="C58" s="655">
        <f>+ENERO!C58</f>
        <v>205713</v>
      </c>
      <c r="D58" s="363">
        <f>MAYO!D58+JUNIO!P58</f>
        <v>0</v>
      </c>
      <c r="E58" s="363">
        <f>MAYO!E58+JUNIO!Q58</f>
        <v>0</v>
      </c>
      <c r="F58" s="363">
        <f>SUM(C58:E58)</f>
        <v>205713</v>
      </c>
      <c r="G58" s="363">
        <f>MAYO!I58</f>
        <v>0</v>
      </c>
      <c r="H58" s="364">
        <v>1082717</v>
      </c>
      <c r="I58" s="363">
        <f>SUM(G58:H58)</f>
        <v>1082717</v>
      </c>
      <c r="J58" s="363">
        <f>MAYO!L58</f>
        <v>0</v>
      </c>
      <c r="K58" s="364">
        <v>0</v>
      </c>
      <c r="L58" s="363">
        <f>SUM(J58:K58)</f>
        <v>0</v>
      </c>
      <c r="M58" s="363">
        <f>F58-I58</f>
        <v>-877004</v>
      </c>
      <c r="N58" s="143">
        <f>F58-L58</f>
        <v>205713</v>
      </c>
      <c r="O58" s="372"/>
      <c r="P58" s="362">
        <v>0</v>
      </c>
      <c r="Q58" s="365">
        <v>0</v>
      </c>
      <c r="R58" s="9"/>
      <c r="S58" s="688">
        <f>+IF(MAYO!S58=0,"",MAYO!S58)</f>
        <v>1010402</v>
      </c>
      <c r="T58" s="664" t="str">
        <f>+IF(MAYO!T58=0,"",MAYO!T58)</f>
        <v>Contribuciones - Otros</v>
      </c>
      <c r="U58" s="27">
        <f t="shared" ref="U58:AJ58" si="64">SUM(U59:U60)</f>
        <v>94301194</v>
      </c>
      <c r="V58" s="15">
        <f t="shared" si="64"/>
        <v>0</v>
      </c>
      <c r="W58" s="15">
        <f t="shared" si="64"/>
        <v>0</v>
      </c>
      <c r="X58" s="18">
        <f t="shared" si="64"/>
        <v>94301194</v>
      </c>
      <c r="Y58" s="19">
        <f t="shared" si="64"/>
        <v>27010800</v>
      </c>
      <c r="Z58" s="142">
        <f t="shared" si="64"/>
        <v>8259100</v>
      </c>
      <c r="AA58" s="18">
        <f t="shared" si="64"/>
        <v>35269900</v>
      </c>
      <c r="AB58" s="19">
        <f t="shared" si="64"/>
        <v>27010800</v>
      </c>
      <c r="AC58" s="142">
        <f t="shared" si="64"/>
        <v>8259100</v>
      </c>
      <c r="AD58" s="18">
        <f t="shared" si="64"/>
        <v>35269900</v>
      </c>
      <c r="AE58" s="19">
        <f t="shared" si="64"/>
        <v>21740900</v>
      </c>
      <c r="AF58" s="142">
        <f t="shared" si="64"/>
        <v>5269900</v>
      </c>
      <c r="AG58" s="18">
        <f t="shared" si="64"/>
        <v>27010800</v>
      </c>
      <c r="AH58" s="19">
        <f t="shared" si="64"/>
        <v>59031294</v>
      </c>
      <c r="AI58" s="15">
        <f t="shared" si="64"/>
        <v>59031294</v>
      </c>
      <c r="AJ58" s="16">
        <f t="shared" si="64"/>
        <v>67290394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+IF(MAYO!A59=0,"",MAYO!A59)</f>
        <v>1130111-2</v>
      </c>
      <c r="B59" s="629" t="str">
        <f>+IF(MAYO!B59=0,"",MAYO!B59)</f>
        <v>Vigencia Anterior</v>
      </c>
      <c r="C59" s="655">
        <f>+ENERO!C59</f>
        <v>0</v>
      </c>
      <c r="D59" s="363">
        <f>MAYO!D59+JUNIO!P59</f>
        <v>0</v>
      </c>
      <c r="E59" s="363">
        <f>MAYO!E59+JUNIO!Q59</f>
        <v>0</v>
      </c>
      <c r="F59" s="363">
        <f>SUM(C59:E59)</f>
        <v>0</v>
      </c>
      <c r="G59" s="363">
        <f>MAYO!I59</f>
        <v>0</v>
      </c>
      <c r="H59" s="364">
        <v>0</v>
      </c>
      <c r="I59" s="363">
        <f>SUM(G59:H59)</f>
        <v>0</v>
      </c>
      <c r="J59" s="363">
        <f>MAYO!L59</f>
        <v>0</v>
      </c>
      <c r="K59" s="364">
        <v>0</v>
      </c>
      <c r="L59" s="363">
        <f>SUM(J59:K59)</f>
        <v>0</v>
      </c>
      <c r="M59" s="363">
        <f>F59-I59</f>
        <v>0</v>
      </c>
      <c r="N59" s="143">
        <f>F59-L59</f>
        <v>0</v>
      </c>
      <c r="O59" s="372"/>
      <c r="P59" s="362">
        <v>0</v>
      </c>
      <c r="Q59" s="365">
        <v>0</v>
      </c>
      <c r="R59" s="9"/>
      <c r="S59" s="689" t="str">
        <f>+IF(MAYO!S59=0,"",MAYO!S59)</f>
        <v>1010402-1</v>
      </c>
      <c r="T59" s="664" t="str">
        <f>+IF(MAYO!T59=0,"",MAYO!T59)</f>
        <v>S.E.N.A.</v>
      </c>
      <c r="U59" s="27">
        <f>+ENERO!U59</f>
        <v>37720478</v>
      </c>
      <c r="V59" s="15">
        <f>MAYO!V59+JUNIO!AL59</f>
        <v>0</v>
      </c>
      <c r="W59" s="15">
        <f>MAYO!W59+JUNIO!AM59</f>
        <v>0</v>
      </c>
      <c r="X59" s="18">
        <f>SUM(U59:W59)</f>
        <v>37720478</v>
      </c>
      <c r="Y59" s="19">
        <f>MAYO!AA59</f>
        <v>10804320</v>
      </c>
      <c r="Z59" s="364">
        <v>3303640</v>
      </c>
      <c r="AA59" s="18">
        <f>SUM(Y59:Z59)</f>
        <v>14107960</v>
      </c>
      <c r="AB59" s="19">
        <f>MAYO!AD59</f>
        <v>10804320</v>
      </c>
      <c r="AC59" s="364">
        <v>3303640</v>
      </c>
      <c r="AD59" s="18">
        <f>SUM(AB59:AC59)</f>
        <v>14107960</v>
      </c>
      <c r="AE59" s="19">
        <f>MAYO!AG59</f>
        <v>8696360</v>
      </c>
      <c r="AF59" s="364">
        <v>2107960</v>
      </c>
      <c r="AG59" s="18">
        <f>SUM(AE59:AF59)</f>
        <v>10804320</v>
      </c>
      <c r="AH59" s="19">
        <f>X59-AA59</f>
        <v>23612518</v>
      </c>
      <c r="AI59" s="15">
        <f>X59-AD59</f>
        <v>23612518</v>
      </c>
      <c r="AJ59" s="16">
        <f>X59-AG59</f>
        <v>26916158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+IF(MAYO!A60=0,"",MAYO!A60)</f>
        <v>1130112</v>
      </c>
      <c r="B60" s="628" t="str">
        <f>+IF(MAYO!B60=0,"",MAYO!B60)</f>
        <v>IPS PUBLICAS</v>
      </c>
      <c r="C60" s="43">
        <f t="shared" ref="C60:N60" si="65">SUM(C61:C62)</f>
        <v>0</v>
      </c>
      <c r="D60" s="44">
        <f t="shared" si="65"/>
        <v>0</v>
      </c>
      <c r="E60" s="44">
        <f t="shared" si="65"/>
        <v>1707354</v>
      </c>
      <c r="F60" s="44">
        <f t="shared" si="65"/>
        <v>1707354</v>
      </c>
      <c r="G60" s="44">
        <f t="shared" si="65"/>
        <v>2301635</v>
      </c>
      <c r="H60" s="44">
        <f t="shared" si="65"/>
        <v>16631404</v>
      </c>
      <c r="I60" s="44">
        <f t="shared" si="65"/>
        <v>18933039</v>
      </c>
      <c r="J60" s="44">
        <f t="shared" si="65"/>
        <v>2301635</v>
      </c>
      <c r="K60" s="44">
        <f t="shared" si="65"/>
        <v>16566537</v>
      </c>
      <c r="L60" s="44">
        <f t="shared" si="65"/>
        <v>18868172</v>
      </c>
      <c r="M60" s="44">
        <f t="shared" si="65"/>
        <v>-17225685</v>
      </c>
      <c r="N60" s="45">
        <f t="shared" si="65"/>
        <v>-17160818</v>
      </c>
      <c r="P60" s="43">
        <f>SUM(P61:P62)</f>
        <v>0</v>
      </c>
      <c r="Q60" s="45">
        <f>SUM(Q61:Q62)</f>
        <v>0</v>
      </c>
      <c r="R60" s="9"/>
      <c r="S60" s="689" t="str">
        <f>+IF(MAYO!S60=0,"",MAYO!S60)</f>
        <v>1010402-2</v>
      </c>
      <c r="T60" s="664" t="str">
        <f>+IF(MAYO!T60=0,"",MAYO!T60)</f>
        <v>I.C.B.F.</v>
      </c>
      <c r="U60" s="27">
        <f>+ENERO!U60</f>
        <v>56580716</v>
      </c>
      <c r="V60" s="15">
        <f>MAYO!V60+JUNIO!AL60</f>
        <v>0</v>
      </c>
      <c r="W60" s="15">
        <f>MAYO!W60+JUNIO!AM60</f>
        <v>0</v>
      </c>
      <c r="X60" s="18">
        <f>SUM(U60:W60)</f>
        <v>56580716</v>
      </c>
      <c r="Y60" s="19">
        <f>MAYO!AA60</f>
        <v>16206480</v>
      </c>
      <c r="Z60" s="364">
        <v>4955460</v>
      </c>
      <c r="AA60" s="18">
        <f>SUM(Y60:Z60)</f>
        <v>21161940</v>
      </c>
      <c r="AB60" s="19">
        <f>MAYO!AD60</f>
        <v>16206480</v>
      </c>
      <c r="AC60" s="364">
        <v>4955460</v>
      </c>
      <c r="AD60" s="18">
        <f>SUM(AB60:AC60)</f>
        <v>21161940</v>
      </c>
      <c r="AE60" s="19">
        <f>MAYO!AG60</f>
        <v>13044540</v>
      </c>
      <c r="AF60" s="364">
        <v>3161940</v>
      </c>
      <c r="AG60" s="18">
        <f>SUM(AE60:AF60)</f>
        <v>16206480</v>
      </c>
      <c r="AH60" s="19">
        <f>X60-AA60</f>
        <v>35418776</v>
      </c>
      <c r="AI60" s="15">
        <f>X60-AD60</f>
        <v>35418776</v>
      </c>
      <c r="AJ60" s="16">
        <f>X60-AG60</f>
        <v>40374236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+IF(MAYO!A61=0,"",MAYO!A61)</f>
        <v>1130112-1</v>
      </c>
      <c r="B61" s="629" t="str">
        <f>+CONCATENATE("Vigencia ",INSTRUCCIONES!$F$3)</f>
        <v>Vigencia 2019</v>
      </c>
      <c r="C61" s="655">
        <f>+ENERO!C61</f>
        <v>0</v>
      </c>
      <c r="D61" s="363">
        <f>MAYO!D61+JUNIO!P61</f>
        <v>0</v>
      </c>
      <c r="E61" s="363">
        <f>MAYO!E61+JUNIO!Q61</f>
        <v>0</v>
      </c>
      <c r="F61" s="363">
        <f>SUM(C61:E61)</f>
        <v>0</v>
      </c>
      <c r="G61" s="363">
        <f>MAYO!I61</f>
        <v>437725</v>
      </c>
      <c r="H61" s="364">
        <v>64867</v>
      </c>
      <c r="I61" s="363">
        <f>SUM(G61:H61)</f>
        <v>502592</v>
      </c>
      <c r="J61" s="363">
        <f>MAYO!L61</f>
        <v>437725</v>
      </c>
      <c r="K61" s="364">
        <v>0</v>
      </c>
      <c r="L61" s="363">
        <f>SUM(J61:K61)</f>
        <v>437725</v>
      </c>
      <c r="M61" s="363">
        <f>F61-I61</f>
        <v>-502592</v>
      </c>
      <c r="N61" s="143">
        <f>F61-L61</f>
        <v>-437725</v>
      </c>
      <c r="O61" s="372"/>
      <c r="P61" s="362">
        <v>0</v>
      </c>
      <c r="Q61" s="365">
        <v>0</v>
      </c>
      <c r="R61" s="9"/>
      <c r="S61" s="688">
        <f>+IF(MAYO!S61=0,"",MAYO!S61)</f>
        <v>1010499</v>
      </c>
      <c r="T61" s="664" t="str">
        <f>+IF(MAYO!T61=0,"",MAYO!T61)</f>
        <v>Vigencias Anteriores</v>
      </c>
      <c r="U61" s="27">
        <f>+ENERO!U61</f>
        <v>0</v>
      </c>
      <c r="V61" s="15">
        <f>MAYO!V61+JUNIO!AL61</f>
        <v>0</v>
      </c>
      <c r="W61" s="15">
        <f>MAYO!W61+JUNIO!AM61</f>
        <v>0</v>
      </c>
      <c r="X61" s="18">
        <f>SUM(U61:W61)</f>
        <v>0</v>
      </c>
      <c r="Y61" s="19">
        <f>MAYO!AA61</f>
        <v>0</v>
      </c>
      <c r="Z61" s="364">
        <v>0</v>
      </c>
      <c r="AA61" s="18">
        <f>SUM(Y61:Z61)</f>
        <v>0</v>
      </c>
      <c r="AB61" s="19">
        <f>MAYO!AD61</f>
        <v>0</v>
      </c>
      <c r="AC61" s="364">
        <v>0</v>
      </c>
      <c r="AD61" s="18">
        <f>SUM(AB61:AC61)</f>
        <v>0</v>
      </c>
      <c r="AE61" s="19">
        <f>MAYO!AG61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+IF(MAYO!A62=0,"",MAYO!A62)</f>
        <v>1130112-2</v>
      </c>
      <c r="B62" s="629" t="str">
        <f>+IF(MAYO!B62=0,"",MAYO!B62)</f>
        <v>Vigencia Anterior</v>
      </c>
      <c r="C62" s="655">
        <f>+ENERO!C62</f>
        <v>0</v>
      </c>
      <c r="D62" s="363">
        <f>MAYO!D62+JUNIO!P62</f>
        <v>0</v>
      </c>
      <c r="E62" s="363">
        <f>MAYO!E62+JUNIO!Q62</f>
        <v>1707354</v>
      </c>
      <c r="F62" s="363">
        <f>SUM(C62:E62)</f>
        <v>1707354</v>
      </c>
      <c r="G62" s="363">
        <f>MAYO!I62</f>
        <v>1863910</v>
      </c>
      <c r="H62" s="364">
        <v>16566537</v>
      </c>
      <c r="I62" s="363">
        <f>SUM(G62:H62)</f>
        <v>18430447</v>
      </c>
      <c r="J62" s="363">
        <f>MAYO!L62</f>
        <v>1863910</v>
      </c>
      <c r="K62" s="364">
        <v>16566537</v>
      </c>
      <c r="L62" s="363">
        <f>SUM(J62:K62)</f>
        <v>18430447</v>
      </c>
      <c r="M62" s="363">
        <f>F62-I62</f>
        <v>-16723093</v>
      </c>
      <c r="N62" s="143">
        <f>F62-L62</f>
        <v>-16723093</v>
      </c>
      <c r="O62" s="372"/>
      <c r="P62" s="362">
        <v>0</v>
      </c>
      <c r="Q62" s="365">
        <v>0</v>
      </c>
      <c r="R62" s="9"/>
      <c r="S62" s="356" t="str">
        <f>+IF(MAYO!S62=0,"",MAYO!S62)</f>
        <v/>
      </c>
      <c r="T62" s="678" t="str">
        <f>+IF(MAYO!T62=0,"",MAYO!T62)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+IF(MAYO!A63=0,"",MAYO!A63)</f>
        <v>1130113</v>
      </c>
      <c r="B63" s="628" t="str">
        <f>+IF(MAYO!B63=0,"",MAYO!B63)</f>
        <v>COMPAÑIAS DE SEGUROS  - ACCIDENTES DE TRANSITO (SOAT)</v>
      </c>
      <c r="C63" s="43">
        <f t="shared" ref="C63:N63" si="66">SUM(C64:C65)</f>
        <v>8371510292</v>
      </c>
      <c r="D63" s="44">
        <f t="shared" si="66"/>
        <v>0</v>
      </c>
      <c r="E63" s="44">
        <f t="shared" si="66"/>
        <v>1819891126</v>
      </c>
      <c r="F63" s="44">
        <f t="shared" si="66"/>
        <v>10191401418</v>
      </c>
      <c r="G63" s="44">
        <f t="shared" si="66"/>
        <v>4622715149</v>
      </c>
      <c r="H63" s="44">
        <f t="shared" si="66"/>
        <v>81154472</v>
      </c>
      <c r="I63" s="44">
        <f t="shared" si="66"/>
        <v>4703869621</v>
      </c>
      <c r="J63" s="44">
        <f t="shared" si="66"/>
        <v>2937255363.0699997</v>
      </c>
      <c r="K63" s="44">
        <f t="shared" si="66"/>
        <v>124649879</v>
      </c>
      <c r="L63" s="44">
        <f t="shared" si="66"/>
        <v>3061905242.0699997</v>
      </c>
      <c r="M63" s="44">
        <f t="shared" si="66"/>
        <v>5487531797</v>
      </c>
      <c r="N63" s="45">
        <f t="shared" si="66"/>
        <v>7129496175.9300003</v>
      </c>
      <c r="P63" s="43">
        <f>SUM(P64:P65)</f>
        <v>0</v>
      </c>
      <c r="Q63" s="45">
        <f>SUM(Q64:Q65)</f>
        <v>0</v>
      </c>
      <c r="R63" s="9"/>
      <c r="S63" s="686">
        <f>+IF(MAYO!S63=0,"",MAYO!S63)</f>
        <v>1020010</v>
      </c>
      <c r="T63" s="662" t="str">
        <f>+IF(MAYO!T63=0,"",MAYO!T63)</f>
        <v>Gastos de Operación</v>
      </c>
      <c r="U63" s="132">
        <f t="shared" ref="U63:AJ63" si="67">U65+U83+U90+U104</f>
        <v>29994047768</v>
      </c>
      <c r="V63" s="122">
        <f t="shared" si="67"/>
        <v>-586498932</v>
      </c>
      <c r="W63" s="122">
        <f t="shared" si="67"/>
        <v>1653182074</v>
      </c>
      <c r="X63" s="129">
        <f t="shared" si="67"/>
        <v>31060730910</v>
      </c>
      <c r="Y63" s="128">
        <f t="shared" si="67"/>
        <v>23656916430</v>
      </c>
      <c r="Z63" s="122">
        <f t="shared" si="67"/>
        <v>719958788</v>
      </c>
      <c r="AA63" s="129">
        <f t="shared" si="67"/>
        <v>24376875218</v>
      </c>
      <c r="AB63" s="128">
        <f t="shared" si="67"/>
        <v>13074560727</v>
      </c>
      <c r="AC63" s="122">
        <f t="shared" si="67"/>
        <v>2113405082</v>
      </c>
      <c r="AD63" s="129">
        <f t="shared" si="67"/>
        <v>15187965809</v>
      </c>
      <c r="AE63" s="128">
        <f t="shared" si="67"/>
        <v>7633776311</v>
      </c>
      <c r="AF63" s="122">
        <f t="shared" si="67"/>
        <v>1438307764</v>
      </c>
      <c r="AG63" s="129">
        <f t="shared" si="67"/>
        <v>9072084075</v>
      </c>
      <c r="AH63" s="128">
        <f t="shared" si="67"/>
        <v>6683855692</v>
      </c>
      <c r="AI63" s="122">
        <f t="shared" si="67"/>
        <v>15872765101</v>
      </c>
      <c r="AJ63" s="130">
        <f t="shared" si="67"/>
        <v>21988646835</v>
      </c>
      <c r="AK63" s="9"/>
      <c r="AL63" s="128">
        <f>AL65+AL83+AL90+AL104</f>
        <v>-514000000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+IF(MAYO!A64=0,"",MAYO!A64)</f>
        <v>1130113-1</v>
      </c>
      <c r="B64" s="629" t="str">
        <f>+CONCATENATE("Vigencia ",INSTRUCCIONES!$F$3)</f>
        <v>Vigencia 2019</v>
      </c>
      <c r="C64" s="655">
        <f>+ENERO!C64</f>
        <v>8371510292</v>
      </c>
      <c r="D64" s="363">
        <f>MAYO!D64+JUNIO!P64</f>
        <v>0</v>
      </c>
      <c r="E64" s="363">
        <f>MAYO!E64+JUNIO!Q64</f>
        <v>0</v>
      </c>
      <c r="F64" s="363">
        <f>SUM(C64:E64)</f>
        <v>8371510292</v>
      </c>
      <c r="G64" s="363">
        <f>MAYO!I64</f>
        <v>2776246154</v>
      </c>
      <c r="H64" s="364">
        <v>80368300</v>
      </c>
      <c r="I64" s="363">
        <f>SUM(G64:H64)</f>
        <v>2856614454</v>
      </c>
      <c r="J64" s="363">
        <f>MAYO!L64</f>
        <v>1090786368.0699999</v>
      </c>
      <c r="K64" s="364">
        <v>123863707</v>
      </c>
      <c r="L64" s="363">
        <f>SUM(J64:K64)</f>
        <v>1214650075.0699999</v>
      </c>
      <c r="M64" s="363">
        <f>F64-I64</f>
        <v>5514895838</v>
      </c>
      <c r="N64" s="143">
        <f>F64-L64</f>
        <v>7156860216.9300003</v>
      </c>
      <c r="O64" s="372"/>
      <c r="P64" s="362">
        <v>0</v>
      </c>
      <c r="Q64" s="365">
        <v>0</v>
      </c>
      <c r="R64" s="9"/>
      <c r="S64" s="356" t="str">
        <f>+IF(MAYO!S64=0,"",MAYO!S64)</f>
        <v/>
      </c>
      <c r="T64" s="678" t="str">
        <f>+IF(MAYO!T64=0,"",MAYO!T64)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+IF(MAYO!A65=0,"",MAYO!A65)</f>
        <v>1130113-2</v>
      </c>
      <c r="B65" s="629" t="str">
        <f>+IF(MAYO!B65=0,"",MAYO!B65)</f>
        <v>Vigencia Anterior</v>
      </c>
      <c r="C65" s="655">
        <f>+ENERO!C65</f>
        <v>0</v>
      </c>
      <c r="D65" s="363">
        <f>MAYO!D65+JUNIO!P65</f>
        <v>0</v>
      </c>
      <c r="E65" s="363">
        <f>MAYO!E65+JUNIO!Q65</f>
        <v>1819891126</v>
      </c>
      <c r="F65" s="363">
        <f>SUM(C65:E65)</f>
        <v>1819891126</v>
      </c>
      <c r="G65" s="363">
        <f>MAYO!I65</f>
        <v>1846468995</v>
      </c>
      <c r="H65" s="364">
        <v>786172</v>
      </c>
      <c r="I65" s="363">
        <f>SUM(G65:H65)</f>
        <v>1847255167</v>
      </c>
      <c r="J65" s="363">
        <f>MAYO!L65</f>
        <v>1846468995</v>
      </c>
      <c r="K65" s="364">
        <v>786172</v>
      </c>
      <c r="L65" s="363">
        <f>SUM(J65:K65)</f>
        <v>1847255167</v>
      </c>
      <c r="M65" s="363">
        <f>F65-I65</f>
        <v>-27364041</v>
      </c>
      <c r="N65" s="143">
        <f>F65-L65</f>
        <v>-27364041</v>
      </c>
      <c r="O65" s="372"/>
      <c r="P65" s="362">
        <v>0</v>
      </c>
      <c r="Q65" s="365">
        <v>0</v>
      </c>
      <c r="R65" s="9"/>
      <c r="S65" s="687">
        <f>+IF(MAYO!S65=0,"",MAYO!S65)</f>
        <v>1020100</v>
      </c>
      <c r="T65" s="663" t="str">
        <f>+IF(MAYO!T65=0,"",MAYO!T65)</f>
        <v>Servicios Personales Asociados a Nómina</v>
      </c>
      <c r="U65" s="132">
        <f t="shared" ref="U65:AJ65" si="68">SUM(U66:U69)+U81</f>
        <v>5283965861</v>
      </c>
      <c r="V65" s="122">
        <f t="shared" si="68"/>
        <v>-1084000000</v>
      </c>
      <c r="W65" s="122">
        <f t="shared" si="68"/>
        <v>0</v>
      </c>
      <c r="X65" s="129">
        <f t="shared" si="68"/>
        <v>4199965861</v>
      </c>
      <c r="Y65" s="128">
        <f t="shared" si="68"/>
        <v>933977551</v>
      </c>
      <c r="Z65" s="122">
        <f t="shared" si="68"/>
        <v>296632950</v>
      </c>
      <c r="AA65" s="129">
        <f t="shared" si="68"/>
        <v>1230610501</v>
      </c>
      <c r="AB65" s="128">
        <f t="shared" si="68"/>
        <v>933977551</v>
      </c>
      <c r="AC65" s="122">
        <f t="shared" si="68"/>
        <v>296632950</v>
      </c>
      <c r="AD65" s="129">
        <f t="shared" si="68"/>
        <v>1230610501</v>
      </c>
      <c r="AE65" s="128">
        <f t="shared" si="68"/>
        <v>933977551</v>
      </c>
      <c r="AF65" s="122">
        <f t="shared" si="68"/>
        <v>293319230</v>
      </c>
      <c r="AG65" s="129">
        <f t="shared" si="68"/>
        <v>1227296781</v>
      </c>
      <c r="AH65" s="128">
        <f t="shared" si="68"/>
        <v>2969355360</v>
      </c>
      <c r="AI65" s="122">
        <f t="shared" si="68"/>
        <v>2969355360</v>
      </c>
      <c r="AJ65" s="130">
        <f t="shared" si="68"/>
        <v>2972669080</v>
      </c>
      <c r="AK65" s="9"/>
      <c r="AL65" s="128">
        <f>SUM(AL66:AL69)+AL81</f>
        <v>-1014000000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+IF(MAYO!A66=0,"",MAYO!A66)</f>
        <v>1130114</v>
      </c>
      <c r="B66" s="628" t="str">
        <f>+IF(MAYO!B66=0,"",MAYO!B66)</f>
        <v xml:space="preserve">COMPAÑIAS DE SEGUROS  - PLANES DE SALUD  </v>
      </c>
      <c r="C66" s="43">
        <f t="shared" ref="C66:N66" si="69">SUM(C67:C68)</f>
        <v>11965775</v>
      </c>
      <c r="D66" s="44">
        <f t="shared" si="69"/>
        <v>0</v>
      </c>
      <c r="E66" s="44">
        <f t="shared" si="69"/>
        <v>0</v>
      </c>
      <c r="F66" s="44">
        <f t="shared" si="69"/>
        <v>11965775</v>
      </c>
      <c r="G66" s="44">
        <f t="shared" si="69"/>
        <v>39330588</v>
      </c>
      <c r="H66" s="44">
        <f t="shared" si="69"/>
        <v>-7123827</v>
      </c>
      <c r="I66" s="44">
        <f t="shared" si="69"/>
        <v>32206761</v>
      </c>
      <c r="J66" s="44">
        <f t="shared" si="69"/>
        <v>0</v>
      </c>
      <c r="K66" s="44">
        <f t="shared" si="69"/>
        <v>0</v>
      </c>
      <c r="L66" s="44">
        <f t="shared" si="69"/>
        <v>0</v>
      </c>
      <c r="M66" s="44">
        <f t="shared" si="69"/>
        <v>-20240986</v>
      </c>
      <c r="N66" s="45">
        <f t="shared" si="69"/>
        <v>11965775</v>
      </c>
      <c r="P66" s="43">
        <f>SUM(P67:P68)</f>
        <v>0</v>
      </c>
      <c r="Q66" s="45">
        <f>SUM(Q67:Q68)</f>
        <v>0</v>
      </c>
      <c r="R66" s="9"/>
      <c r="S66" s="688">
        <f>+IF(MAYO!S66=0,"",MAYO!S66)</f>
        <v>1020101</v>
      </c>
      <c r="T66" s="664" t="str">
        <f>+IF(MAYO!T66=0,"",MAYO!T66)</f>
        <v>Sueldos del Personal de nómina</v>
      </c>
      <c r="U66" s="27">
        <f>+ENERO!U66</f>
        <v>3773107838</v>
      </c>
      <c r="V66" s="15">
        <f>MAYO!V66+JUNIO!AL66</f>
        <v>-1084000000</v>
      </c>
      <c r="W66" s="15">
        <f>MAYO!W66+JUNIO!AM66</f>
        <v>0</v>
      </c>
      <c r="X66" s="18">
        <f>SUM(U66:W66)</f>
        <v>2689107838</v>
      </c>
      <c r="Y66" s="19">
        <f>MAYO!AA66</f>
        <v>831294096</v>
      </c>
      <c r="Z66" s="364">
        <v>180216060</v>
      </c>
      <c r="AA66" s="18">
        <f>SUM(Y66:Z66)</f>
        <v>1011510156</v>
      </c>
      <c r="AB66" s="19">
        <f>MAYO!AD66</f>
        <v>831294096</v>
      </c>
      <c r="AC66" s="364">
        <v>180216060</v>
      </c>
      <c r="AD66" s="18">
        <f>SUM(AB66:AC66)</f>
        <v>1011510156</v>
      </c>
      <c r="AE66" s="19">
        <f>MAYO!AG66</f>
        <v>831294096</v>
      </c>
      <c r="AF66" s="364">
        <v>179997550</v>
      </c>
      <c r="AG66" s="18">
        <f>SUM(AE66:AF66)</f>
        <v>1011291646</v>
      </c>
      <c r="AH66" s="19">
        <f>X66-AA66</f>
        <v>1677597682</v>
      </c>
      <c r="AI66" s="15">
        <f>X66-AD66</f>
        <v>1677597682</v>
      </c>
      <c r="AJ66" s="16">
        <f>X66-AG66</f>
        <v>1677816192</v>
      </c>
      <c r="AK66" s="9"/>
      <c r="AL66" s="362">
        <f>-1000000000-14000000</f>
        <v>-1014000000</v>
      </c>
      <c r="AM66" s="365">
        <v>0</v>
      </c>
      <c r="AN66" s="9"/>
      <c r="AO66" s="284"/>
      <c r="AP66" s="284"/>
      <c r="AQ66" s="284"/>
      <c r="AR66" s="284"/>
      <c r="AS66" s="284"/>
      <c r="AT66" s="284"/>
      <c r="AU66" s="284"/>
      <c r="AV66" s="284"/>
      <c r="AW66" s="284"/>
      <c r="AX66" s="284"/>
      <c r="AY66" s="284"/>
      <c r="AZ66" s="284"/>
    </row>
    <row r="67" spans="1:70" s="412" customFormat="1" ht="24.95" customHeight="1">
      <c r="A67" s="593" t="str">
        <f>+IF(MAYO!A67=0,"",MAYO!A67)</f>
        <v>1130114-1</v>
      </c>
      <c r="B67" s="629" t="str">
        <f>+CONCATENATE("Vigencia ",INSTRUCCIONES!$F$3)</f>
        <v>Vigencia 2019</v>
      </c>
      <c r="C67" s="655">
        <f>+ENERO!C67</f>
        <v>11965775</v>
      </c>
      <c r="D67" s="363">
        <f>MAYO!D67+JUNIO!P67</f>
        <v>0</v>
      </c>
      <c r="E67" s="363">
        <f>MAYO!E67+JUNIO!Q67</f>
        <v>0</v>
      </c>
      <c r="F67" s="363">
        <f>SUM(C67:E67)</f>
        <v>11965775</v>
      </c>
      <c r="G67" s="363">
        <f>MAYO!I67</f>
        <v>39330588</v>
      </c>
      <c r="H67" s="364">
        <v>-7123827</v>
      </c>
      <c r="I67" s="363">
        <f>SUM(G67:H67)</f>
        <v>32206761</v>
      </c>
      <c r="J67" s="363">
        <f>MAYO!L67</f>
        <v>0</v>
      </c>
      <c r="K67" s="364">
        <v>0</v>
      </c>
      <c r="L67" s="363">
        <f>SUM(J67:K67)</f>
        <v>0</v>
      </c>
      <c r="M67" s="363">
        <f>F67-I67</f>
        <v>-20240986</v>
      </c>
      <c r="N67" s="143">
        <f>F67-L67</f>
        <v>11965775</v>
      </c>
      <c r="O67" s="372"/>
      <c r="P67" s="362">
        <v>0</v>
      </c>
      <c r="Q67" s="365">
        <v>0</v>
      </c>
      <c r="R67" s="9"/>
      <c r="S67" s="688">
        <f>+IF(MAYO!S67=0,"",MAYO!S67)</f>
        <v>1020102</v>
      </c>
      <c r="T67" s="664" t="str">
        <f>+IF(MAYO!T67=0,"",MAYO!T67)</f>
        <v>Horas Extras,Dominic.,Festivos y Rec. Nocturnos</v>
      </c>
      <c r="U67" s="27">
        <f>+ENERO!U67</f>
        <v>329885360</v>
      </c>
      <c r="V67" s="15">
        <f>MAYO!V67+JUNIO!AL67</f>
        <v>0</v>
      </c>
      <c r="W67" s="15">
        <f>MAYO!W67+JUNIO!AM67</f>
        <v>0</v>
      </c>
      <c r="X67" s="18">
        <f>SUM(U67:W67)</f>
        <v>329885360</v>
      </c>
      <c r="Y67" s="19">
        <f>MAYO!AA67</f>
        <v>43310490</v>
      </c>
      <c r="Z67" s="364">
        <v>10096595</v>
      </c>
      <c r="AA67" s="18">
        <f>SUM(Y67:Z67)</f>
        <v>53407085</v>
      </c>
      <c r="AB67" s="19">
        <f>MAYO!AD67</f>
        <v>43310490</v>
      </c>
      <c r="AC67" s="364">
        <v>10096595</v>
      </c>
      <c r="AD67" s="18">
        <f>SUM(AB67:AC67)</f>
        <v>53407085</v>
      </c>
      <c r="AE67" s="19">
        <f>MAYO!AG67</f>
        <v>43310490</v>
      </c>
      <c r="AF67" s="364">
        <v>10096595</v>
      </c>
      <c r="AG67" s="18">
        <f>SUM(AE67:AF67)</f>
        <v>53407085</v>
      </c>
      <c r="AH67" s="19">
        <f>X67-AA67</f>
        <v>276478275</v>
      </c>
      <c r="AI67" s="15">
        <f>X67-AD67</f>
        <v>276478275</v>
      </c>
      <c r="AJ67" s="16">
        <f>X67-AG67</f>
        <v>276478275</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+IF(MAYO!A68=0,"",MAYO!A68)</f>
        <v>1130114-2</v>
      </c>
      <c r="B68" s="629" t="str">
        <f>+IF(MAYO!B68=0,"",MAYO!B68)</f>
        <v>Vigencia Anterior</v>
      </c>
      <c r="C68" s="655">
        <f>+ENERO!C68</f>
        <v>0</v>
      </c>
      <c r="D68" s="363">
        <f>MAYO!D68+JUNIO!P68</f>
        <v>0</v>
      </c>
      <c r="E68" s="363">
        <f>MAYO!E68+JUNIO!Q68</f>
        <v>0</v>
      </c>
      <c r="F68" s="363">
        <f>SUM(C68:E68)</f>
        <v>0</v>
      </c>
      <c r="G68" s="363">
        <f>MAYO!I68</f>
        <v>0</v>
      </c>
      <c r="H68" s="364">
        <v>0</v>
      </c>
      <c r="I68" s="363">
        <f>SUM(G68:H68)</f>
        <v>0</v>
      </c>
      <c r="J68" s="363">
        <f>MAYO!L68</f>
        <v>0</v>
      </c>
      <c r="K68" s="364">
        <v>0</v>
      </c>
      <c r="L68" s="363">
        <f>SUM(J68:K68)</f>
        <v>0</v>
      </c>
      <c r="M68" s="363">
        <f>F68-I68</f>
        <v>0</v>
      </c>
      <c r="N68" s="143">
        <f>F68-L68</f>
        <v>0</v>
      </c>
      <c r="O68" s="372"/>
      <c r="P68" s="362">
        <v>0</v>
      </c>
      <c r="Q68" s="365">
        <v>0</v>
      </c>
      <c r="R68" s="9"/>
      <c r="S68" s="688">
        <f>+IF(MAYO!S68=0,"",MAYO!S68)</f>
        <v>1020103</v>
      </c>
      <c r="T68" s="664" t="str">
        <f>+IF(MAYO!T68=0,"",MAYO!T68)</f>
        <v>Prima Técnica</v>
      </c>
      <c r="U68" s="27">
        <f>+ENERO!U68</f>
        <v>0</v>
      </c>
      <c r="V68" s="15">
        <f>MAYO!V68+JUNIO!AL68</f>
        <v>0</v>
      </c>
      <c r="W68" s="15">
        <f>MAYO!W68+JUNIO!AM68</f>
        <v>0</v>
      </c>
      <c r="X68" s="18">
        <f>SUM(U68:W68)</f>
        <v>0</v>
      </c>
      <c r="Y68" s="19">
        <f>MAYO!AA68</f>
        <v>0</v>
      </c>
      <c r="Z68" s="364">
        <v>0</v>
      </c>
      <c r="AA68" s="18">
        <f>SUM(Y68:Z68)</f>
        <v>0</v>
      </c>
      <c r="AB68" s="19">
        <f>MAYO!AD68</f>
        <v>0</v>
      </c>
      <c r="AC68" s="364">
        <v>0</v>
      </c>
      <c r="AD68" s="18">
        <f>SUM(AB68:AC68)</f>
        <v>0</v>
      </c>
      <c r="AE68" s="19">
        <f>MAYO!AG68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+IF(MAYO!A69=0,"",MAYO!A69)</f>
        <v>1130115</v>
      </c>
      <c r="B69" s="628" t="str">
        <f>+IF(MAYO!B69=0,"",MAYO!B69)</f>
        <v>ENTIDADES DE REGIMEN ESPECIAL (Magisterio, Fuerza Pca.)</v>
      </c>
      <c r="C69" s="43">
        <f t="shared" ref="C69:N69" si="70">SUM(C70:C71)</f>
        <v>8401952</v>
      </c>
      <c r="D69" s="44">
        <f t="shared" si="70"/>
        <v>0</v>
      </c>
      <c r="E69" s="44">
        <f t="shared" si="70"/>
        <v>122569168</v>
      </c>
      <c r="F69" s="44">
        <f t="shared" si="70"/>
        <v>130971120</v>
      </c>
      <c r="G69" s="44">
        <f t="shared" si="70"/>
        <v>149608667</v>
      </c>
      <c r="H69" s="44">
        <f t="shared" si="70"/>
        <v>14743011</v>
      </c>
      <c r="I69" s="44">
        <f t="shared" si="70"/>
        <v>164351678</v>
      </c>
      <c r="J69" s="44">
        <f t="shared" si="70"/>
        <v>140772179</v>
      </c>
      <c r="K69" s="44">
        <f t="shared" si="70"/>
        <v>245678</v>
      </c>
      <c r="L69" s="44">
        <f t="shared" si="70"/>
        <v>141017857</v>
      </c>
      <c r="M69" s="44">
        <f t="shared" si="70"/>
        <v>-33380558</v>
      </c>
      <c r="N69" s="45">
        <f t="shared" si="70"/>
        <v>-10046737</v>
      </c>
      <c r="P69" s="43">
        <f>SUM(P70:P71)</f>
        <v>0</v>
      </c>
      <c r="Q69" s="45">
        <f>SUM(Q70:Q71)</f>
        <v>0</v>
      </c>
      <c r="R69" s="9"/>
      <c r="S69" s="688">
        <f>+IF(MAYO!S69=0,"",MAYO!S69)</f>
        <v>1020104</v>
      </c>
      <c r="T69" s="664" t="str">
        <f>+IF(MAYO!T69=0,"",MAYO!T69)</f>
        <v>Otros</v>
      </c>
      <c r="U69" s="27">
        <f t="shared" ref="U69:AJ69" si="71">SUM(U70:U80)</f>
        <v>1180972663</v>
      </c>
      <c r="V69" s="15">
        <f t="shared" si="71"/>
        <v>0</v>
      </c>
      <c r="W69" s="15">
        <f t="shared" si="71"/>
        <v>0</v>
      </c>
      <c r="X69" s="18">
        <f t="shared" si="71"/>
        <v>1180972663</v>
      </c>
      <c r="Y69" s="19">
        <f t="shared" si="71"/>
        <v>59372965</v>
      </c>
      <c r="Z69" s="142">
        <f t="shared" si="71"/>
        <v>106320295</v>
      </c>
      <c r="AA69" s="18">
        <f t="shared" si="71"/>
        <v>165693260</v>
      </c>
      <c r="AB69" s="19">
        <f t="shared" si="71"/>
        <v>59372965</v>
      </c>
      <c r="AC69" s="142">
        <f t="shared" si="71"/>
        <v>106320295</v>
      </c>
      <c r="AD69" s="18">
        <f t="shared" si="71"/>
        <v>165693260</v>
      </c>
      <c r="AE69" s="19">
        <f t="shared" si="71"/>
        <v>59372965</v>
      </c>
      <c r="AF69" s="142">
        <f t="shared" si="71"/>
        <v>103225085</v>
      </c>
      <c r="AG69" s="18">
        <f t="shared" si="71"/>
        <v>162598050</v>
      </c>
      <c r="AH69" s="19">
        <f t="shared" si="71"/>
        <v>1015279403</v>
      </c>
      <c r="AI69" s="15">
        <f t="shared" si="71"/>
        <v>1015279403</v>
      </c>
      <c r="AJ69" s="16">
        <f t="shared" si="71"/>
        <v>1018374613</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+IF(MAYO!A70=0,"",MAYO!A70)</f>
        <v>1130115-1</v>
      </c>
      <c r="B70" s="629" t="str">
        <f>+CONCATENATE("Vigencia ",INSTRUCCIONES!$F$3)</f>
        <v>Vigencia 2019</v>
      </c>
      <c r="C70" s="655">
        <f>+ENERO!C70</f>
        <v>8401952</v>
      </c>
      <c r="D70" s="363">
        <f>MAYO!D70+JUNIO!P70</f>
        <v>0</v>
      </c>
      <c r="E70" s="363">
        <f>MAYO!E70+JUNIO!Q70</f>
        <v>690909</v>
      </c>
      <c r="F70" s="363">
        <f>SUM(C70:E70)</f>
        <v>9092861</v>
      </c>
      <c r="G70" s="363">
        <f>MAYO!I70</f>
        <v>27111990</v>
      </c>
      <c r="H70" s="364">
        <v>14497333</v>
      </c>
      <c r="I70" s="363">
        <f>SUM(G70:H70)</f>
        <v>41609323</v>
      </c>
      <c r="J70" s="363">
        <f>MAYO!L70</f>
        <v>18275502</v>
      </c>
      <c r="K70" s="364">
        <v>0</v>
      </c>
      <c r="L70" s="363">
        <f>SUM(J70:K70)</f>
        <v>18275502</v>
      </c>
      <c r="M70" s="363">
        <f>F70-I70</f>
        <v>-32516462</v>
      </c>
      <c r="N70" s="143">
        <f>F70-L70</f>
        <v>-9182641</v>
      </c>
      <c r="O70" s="372"/>
      <c r="P70" s="362">
        <v>0</v>
      </c>
      <c r="Q70" s="365">
        <v>0</v>
      </c>
      <c r="R70" s="9"/>
      <c r="S70" s="689" t="str">
        <f>+IF(MAYO!S70=0,"",MAYO!S70)</f>
        <v>1020104-1</v>
      </c>
      <c r="T70" s="665" t="str">
        <f>+IF(MAYO!T70=0,"",MAYO!T70)</f>
        <v xml:space="preserve">Prima de Navidad </v>
      </c>
      <c r="U70" s="27">
        <f>+ENERO!U70</f>
        <v>352482456</v>
      </c>
      <c r="V70" s="15">
        <f>MAYO!V70+JUNIO!AL70</f>
        <v>0</v>
      </c>
      <c r="W70" s="15">
        <f>MAYO!W70+JUNIO!AM70</f>
        <v>0</v>
      </c>
      <c r="X70" s="18">
        <f t="shared" ref="X70:X81" si="72">SUM(U70:W70)</f>
        <v>352482456</v>
      </c>
      <c r="Y70" s="19">
        <f>MAYO!AA70</f>
        <v>1161332</v>
      </c>
      <c r="Z70" s="364">
        <v>1419101</v>
      </c>
      <c r="AA70" s="18">
        <f t="shared" ref="AA70:AA81" si="73">SUM(Y70:Z70)</f>
        <v>2580433</v>
      </c>
      <c r="AB70" s="19">
        <f>MAYO!AD70</f>
        <v>1161332</v>
      </c>
      <c r="AC70" s="364">
        <v>1419101</v>
      </c>
      <c r="AD70" s="18">
        <f t="shared" ref="AD70:AD81" si="74">SUM(AB70:AC70)</f>
        <v>2580433</v>
      </c>
      <c r="AE70" s="19">
        <f>MAYO!AG70</f>
        <v>1161332</v>
      </c>
      <c r="AF70" s="364">
        <v>425585</v>
      </c>
      <c r="AG70" s="18">
        <f t="shared" ref="AG70:AG81" si="75">SUM(AE70:AF70)</f>
        <v>1586917</v>
      </c>
      <c r="AH70" s="19">
        <f t="shared" ref="AH70:AH81" si="76">X70-AA70</f>
        <v>349902023</v>
      </c>
      <c r="AI70" s="15">
        <f t="shared" ref="AI70:AI81" si="77">X70-AD70</f>
        <v>349902023</v>
      </c>
      <c r="AJ70" s="16">
        <f t="shared" ref="AJ70:AJ81" si="78">X70-AG70</f>
        <v>350895539</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+IF(MAYO!A71=0,"",MAYO!A71)</f>
        <v>1130115-2</v>
      </c>
      <c r="B71" s="629" t="str">
        <f>+IF(MAYO!B71=0,"",MAYO!B71)</f>
        <v>Vigencia Anterior</v>
      </c>
      <c r="C71" s="655">
        <f>+ENERO!C71</f>
        <v>0</v>
      </c>
      <c r="D71" s="363">
        <f>MAYO!D71+JUNIO!P71</f>
        <v>0</v>
      </c>
      <c r="E71" s="363">
        <f>MAYO!E71+JUNIO!Q71</f>
        <v>121878259</v>
      </c>
      <c r="F71" s="363">
        <f>SUM(C71:E71)</f>
        <v>121878259</v>
      </c>
      <c r="G71" s="363">
        <f>MAYO!I71</f>
        <v>122496677</v>
      </c>
      <c r="H71" s="364">
        <v>245678</v>
      </c>
      <c r="I71" s="363">
        <f>SUM(G71:H71)</f>
        <v>122742355</v>
      </c>
      <c r="J71" s="363">
        <f>MAYO!L71</f>
        <v>122496677</v>
      </c>
      <c r="K71" s="364">
        <v>245678</v>
      </c>
      <c r="L71" s="363">
        <f>SUM(J71:K71)</f>
        <v>122742355</v>
      </c>
      <c r="M71" s="363">
        <f>F71-I71</f>
        <v>-864096</v>
      </c>
      <c r="N71" s="143">
        <f>F71-L71</f>
        <v>-864096</v>
      </c>
      <c r="O71" s="372"/>
      <c r="P71" s="362">
        <v>0</v>
      </c>
      <c r="Q71" s="365">
        <v>0</v>
      </c>
      <c r="R71" s="9"/>
      <c r="S71" s="689" t="str">
        <f>+IF(MAYO!S71=0,"",MAYO!S71)</f>
        <v>1020104-2</v>
      </c>
      <c r="T71" s="665" t="str">
        <f>+IF(MAYO!T71=0,"",MAYO!T71)</f>
        <v>Prima de Vacaciones</v>
      </c>
      <c r="U71" s="27">
        <f>+ENERO!U71</f>
        <v>180248873</v>
      </c>
      <c r="V71" s="15">
        <f>MAYO!V71+JUNIO!AL71</f>
        <v>0</v>
      </c>
      <c r="W71" s="15">
        <f>MAYO!W71+JUNIO!AM71</f>
        <v>0</v>
      </c>
      <c r="X71" s="18">
        <f t="shared" si="72"/>
        <v>180248873</v>
      </c>
      <c r="Y71" s="19">
        <f>MAYO!AA71</f>
        <v>20926773</v>
      </c>
      <c r="Z71" s="364">
        <v>15796038</v>
      </c>
      <c r="AA71" s="18">
        <f t="shared" si="73"/>
        <v>36722811</v>
      </c>
      <c r="AB71" s="19">
        <f>MAYO!AD71</f>
        <v>20926773</v>
      </c>
      <c r="AC71" s="364">
        <v>15796038</v>
      </c>
      <c r="AD71" s="18">
        <f t="shared" si="74"/>
        <v>36722811</v>
      </c>
      <c r="AE71" s="19">
        <f>MAYO!AG71</f>
        <v>20926773</v>
      </c>
      <c r="AF71" s="364">
        <v>15577528</v>
      </c>
      <c r="AG71" s="18">
        <f t="shared" si="75"/>
        <v>36504301</v>
      </c>
      <c r="AH71" s="19">
        <f t="shared" si="76"/>
        <v>143526062</v>
      </c>
      <c r="AI71" s="15">
        <f t="shared" si="77"/>
        <v>143526062</v>
      </c>
      <c r="AJ71" s="16">
        <f t="shared" si="78"/>
        <v>143744572</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+IF(MAYO!A72=0,"",MAYO!A72)</f>
        <v>1130116</v>
      </c>
      <c r="B72" s="628" t="str">
        <f>+IF(MAYO!B72=0,"",MAYO!B72)</f>
        <v>ADMINISTRADORAS DE RIESGOS LABORALES</v>
      </c>
      <c r="C72" s="43">
        <f t="shared" ref="C72:N72" si="79">SUM(C73:C74)</f>
        <v>2163183</v>
      </c>
      <c r="D72" s="44">
        <f t="shared" si="79"/>
        <v>0</v>
      </c>
      <c r="E72" s="44">
        <f t="shared" si="79"/>
        <v>0</v>
      </c>
      <c r="F72" s="44">
        <f t="shared" si="79"/>
        <v>2163183</v>
      </c>
      <c r="G72" s="44">
        <f t="shared" si="79"/>
        <v>33196923</v>
      </c>
      <c r="H72" s="44">
        <f t="shared" si="79"/>
        <v>3355834</v>
      </c>
      <c r="I72" s="44">
        <f t="shared" si="79"/>
        <v>36552757</v>
      </c>
      <c r="J72" s="44">
        <f t="shared" si="79"/>
        <v>23475530.690000001</v>
      </c>
      <c r="K72" s="44">
        <f t="shared" si="79"/>
        <v>499613</v>
      </c>
      <c r="L72" s="44">
        <f t="shared" si="79"/>
        <v>23975143.690000001</v>
      </c>
      <c r="M72" s="44">
        <f t="shared" si="79"/>
        <v>-34389574</v>
      </c>
      <c r="N72" s="45">
        <f t="shared" si="79"/>
        <v>-21811960.690000001</v>
      </c>
      <c r="P72" s="43">
        <f>SUM(P73:P74)</f>
        <v>0</v>
      </c>
      <c r="Q72" s="45">
        <f>SUM(Q73:Q74)</f>
        <v>0</v>
      </c>
      <c r="R72" s="9"/>
      <c r="S72" s="689" t="str">
        <f>+IF(MAYO!S72=0,"",MAYO!S72)</f>
        <v>1020104-3</v>
      </c>
      <c r="T72" s="665" t="str">
        <f>+IF(MAYO!T72=0,"",MAYO!T72)</f>
        <v>Bonificación  por servicios prestados</v>
      </c>
      <c r="U72" s="27">
        <f>+ENERO!U72</f>
        <v>110048955</v>
      </c>
      <c r="V72" s="15">
        <f>MAYO!V72+JUNIO!AL72</f>
        <v>0</v>
      </c>
      <c r="W72" s="15">
        <f>MAYO!W72+JUNIO!AM72</f>
        <v>0</v>
      </c>
      <c r="X72" s="18">
        <f t="shared" si="72"/>
        <v>110048955</v>
      </c>
      <c r="Y72" s="19">
        <f>MAYO!AA72</f>
        <v>29017132</v>
      </c>
      <c r="Z72" s="364">
        <v>6688461</v>
      </c>
      <c r="AA72" s="18">
        <f t="shared" si="73"/>
        <v>35705593</v>
      </c>
      <c r="AB72" s="19">
        <f>MAYO!AD72</f>
        <v>29017132</v>
      </c>
      <c r="AC72" s="364">
        <v>6688461</v>
      </c>
      <c r="AD72" s="18">
        <f t="shared" si="74"/>
        <v>35705593</v>
      </c>
      <c r="AE72" s="19">
        <f>MAYO!AG72</f>
        <v>29017132</v>
      </c>
      <c r="AF72" s="364">
        <v>6281676</v>
      </c>
      <c r="AG72" s="18">
        <f t="shared" si="75"/>
        <v>35298808</v>
      </c>
      <c r="AH72" s="19">
        <f t="shared" si="76"/>
        <v>74343362</v>
      </c>
      <c r="AI72" s="15">
        <f t="shared" si="77"/>
        <v>74343362</v>
      </c>
      <c r="AJ72" s="16">
        <f t="shared" si="78"/>
        <v>74750147</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+IF(MAYO!A73=0,"",MAYO!A73)</f>
        <v>1130116-1</v>
      </c>
      <c r="B73" s="629" t="str">
        <f>+CONCATENATE("Vigencia ",INSTRUCCIONES!$F$3)</f>
        <v>Vigencia 2019</v>
      </c>
      <c r="C73" s="655">
        <f>+ENERO!C73</f>
        <v>2163183</v>
      </c>
      <c r="D73" s="363">
        <f>MAYO!D73+JUNIO!P73</f>
        <v>0</v>
      </c>
      <c r="E73" s="363">
        <f>MAYO!E73+JUNIO!Q73</f>
        <v>0</v>
      </c>
      <c r="F73" s="363">
        <f>SUM(C73:E73)</f>
        <v>2163183</v>
      </c>
      <c r="G73" s="363">
        <f>MAYO!I73</f>
        <v>22611177</v>
      </c>
      <c r="H73" s="364">
        <v>3355834</v>
      </c>
      <c r="I73" s="363">
        <f>SUM(G73:H73)</f>
        <v>25967011</v>
      </c>
      <c r="J73" s="363">
        <f>MAYO!L73</f>
        <v>12889785</v>
      </c>
      <c r="K73" s="364">
        <v>499613</v>
      </c>
      <c r="L73" s="363">
        <f>SUM(J73:K73)</f>
        <v>13389398</v>
      </c>
      <c r="M73" s="363">
        <f>F73-I73</f>
        <v>-23803828</v>
      </c>
      <c r="N73" s="143">
        <f>F73-L73</f>
        <v>-11226215</v>
      </c>
      <c r="O73" s="372"/>
      <c r="P73" s="362">
        <v>0</v>
      </c>
      <c r="Q73" s="365">
        <v>0</v>
      </c>
      <c r="R73" s="9"/>
      <c r="S73" s="689" t="str">
        <f>+IF(MAYO!S73=0,"",MAYO!S73)</f>
        <v>1020104-4</v>
      </c>
      <c r="T73" s="665" t="str">
        <f>+IF(MAYO!T73=0,"",MAYO!T73)</f>
        <v>Prima de Servicios</v>
      </c>
      <c r="U73" s="27">
        <f>+ENERO!U73</f>
        <v>166383593</v>
      </c>
      <c r="V73" s="15">
        <f>MAYO!V73+JUNIO!AL73</f>
        <v>0</v>
      </c>
      <c r="W73" s="15">
        <f>MAYO!W73+JUNIO!AM73</f>
        <v>0</v>
      </c>
      <c r="X73" s="18">
        <f t="shared" si="72"/>
        <v>166383593</v>
      </c>
      <c r="Y73" s="19">
        <f>MAYO!AA73</f>
        <v>3009803</v>
      </c>
      <c r="Z73" s="364">
        <v>79874860</v>
      </c>
      <c r="AA73" s="18">
        <f t="shared" si="73"/>
        <v>82884663</v>
      </c>
      <c r="AB73" s="19">
        <f>MAYO!AD73</f>
        <v>3009803</v>
      </c>
      <c r="AC73" s="364">
        <v>79874860</v>
      </c>
      <c r="AD73" s="18">
        <f t="shared" si="74"/>
        <v>82884663</v>
      </c>
      <c r="AE73" s="19">
        <f>MAYO!AG73</f>
        <v>3009803</v>
      </c>
      <c r="AF73" s="364">
        <v>78427341</v>
      </c>
      <c r="AG73" s="18">
        <f t="shared" si="75"/>
        <v>81437144</v>
      </c>
      <c r="AH73" s="19">
        <f t="shared" si="76"/>
        <v>83498930</v>
      </c>
      <c r="AI73" s="15">
        <f t="shared" si="77"/>
        <v>83498930</v>
      </c>
      <c r="AJ73" s="16">
        <f t="shared" si="78"/>
        <v>84946449</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+IF(MAYO!A74=0,"",MAYO!A74)</f>
        <v>1130116-2</v>
      </c>
      <c r="B74" s="629" t="str">
        <f>+IF(MAYO!B74=0,"",MAYO!B74)</f>
        <v>Vigencia Anterior</v>
      </c>
      <c r="C74" s="655">
        <f>+ENERO!C74</f>
        <v>0</v>
      </c>
      <c r="D74" s="363">
        <f>MAYO!D74+JUNIO!P74</f>
        <v>0</v>
      </c>
      <c r="E74" s="363">
        <f>MAYO!E74+JUNIO!Q74</f>
        <v>0</v>
      </c>
      <c r="F74" s="363">
        <f>SUM(C74:E74)</f>
        <v>0</v>
      </c>
      <c r="G74" s="363">
        <f>MAYO!I74</f>
        <v>10585746</v>
      </c>
      <c r="H74" s="364">
        <v>0</v>
      </c>
      <c r="I74" s="363">
        <f>SUM(G74:H74)</f>
        <v>10585746</v>
      </c>
      <c r="J74" s="363">
        <f>MAYO!L74</f>
        <v>10585745.690000001</v>
      </c>
      <c r="K74" s="364">
        <v>0</v>
      </c>
      <c r="L74" s="363">
        <f>SUM(J74:K74)</f>
        <v>10585745.690000001</v>
      </c>
      <c r="M74" s="363">
        <f>F74-I74</f>
        <v>-10585746</v>
      </c>
      <c r="N74" s="143">
        <f>F74-L74</f>
        <v>-10585745.690000001</v>
      </c>
      <c r="O74" s="372"/>
      <c r="P74" s="362">
        <v>0</v>
      </c>
      <c r="Q74" s="365">
        <v>0</v>
      </c>
      <c r="R74" s="9"/>
      <c r="S74" s="689" t="str">
        <f>+IF(MAYO!S74=0,"",MAYO!S74)</f>
        <v>1020104-5</v>
      </c>
      <c r="T74" s="665" t="str">
        <f>+IF(MAYO!T74=0,"",MAYO!T74)</f>
        <v>Bonificación Convencional</v>
      </c>
      <c r="U74" s="27">
        <f>+ENERO!U74</f>
        <v>20961713</v>
      </c>
      <c r="V74" s="15">
        <f>MAYO!V74+JUNIO!AL74</f>
        <v>0</v>
      </c>
      <c r="W74" s="15">
        <f>MAYO!W74+JUNIO!AM74</f>
        <v>0</v>
      </c>
      <c r="X74" s="18">
        <f t="shared" si="72"/>
        <v>20961713</v>
      </c>
      <c r="Y74" s="19">
        <f>MAYO!AA74</f>
        <v>0</v>
      </c>
      <c r="Z74" s="364">
        <v>0</v>
      </c>
      <c r="AA74" s="18">
        <f t="shared" si="73"/>
        <v>0</v>
      </c>
      <c r="AB74" s="19">
        <f>MAYO!AD74</f>
        <v>0</v>
      </c>
      <c r="AC74" s="364">
        <v>0</v>
      </c>
      <c r="AD74" s="18">
        <f t="shared" si="74"/>
        <v>0</v>
      </c>
      <c r="AE74" s="19">
        <f>MAYO!AG74</f>
        <v>0</v>
      </c>
      <c r="AF74" s="364">
        <v>0</v>
      </c>
      <c r="AG74" s="1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+IF(MAYO!A75=0,"",MAYO!A75)</f>
        <v>1130117</v>
      </c>
      <c r="B75" s="628" t="str">
        <f>+IF(MAYO!B75=0,"",MAYO!B75)</f>
        <v>CUOTAS DE RECUPERACION</v>
      </c>
      <c r="C75" s="43">
        <f t="shared" ref="C75:N75" si="80">SUM(C76:C77)</f>
        <v>351388967</v>
      </c>
      <c r="D75" s="44">
        <f t="shared" si="80"/>
        <v>0</v>
      </c>
      <c r="E75" s="44">
        <f t="shared" si="80"/>
        <v>260623</v>
      </c>
      <c r="F75" s="44">
        <f t="shared" si="80"/>
        <v>351649590</v>
      </c>
      <c r="G75" s="44">
        <f t="shared" si="80"/>
        <v>215115772</v>
      </c>
      <c r="H75" s="44">
        <f t="shared" si="80"/>
        <v>12805847</v>
      </c>
      <c r="I75" s="44">
        <f t="shared" si="80"/>
        <v>227921619</v>
      </c>
      <c r="J75" s="44">
        <f t="shared" si="80"/>
        <v>94504680</v>
      </c>
      <c r="K75" s="44">
        <f t="shared" si="80"/>
        <v>21465413</v>
      </c>
      <c r="L75" s="44">
        <f t="shared" si="80"/>
        <v>115970093</v>
      </c>
      <c r="M75" s="44">
        <f t="shared" si="80"/>
        <v>123727971</v>
      </c>
      <c r="N75" s="45">
        <f t="shared" si="80"/>
        <v>235679497</v>
      </c>
      <c r="P75" s="43">
        <f>SUM(P76:P77)</f>
        <v>0</v>
      </c>
      <c r="Q75" s="45">
        <f>SUM(Q76:Q77)</f>
        <v>0</v>
      </c>
      <c r="R75" s="9"/>
      <c r="S75" s="689" t="str">
        <f>+IF(MAYO!S75=0,"",MAYO!S75)</f>
        <v>1020104-6</v>
      </c>
      <c r="T75" s="665" t="str">
        <f>+IF(MAYO!T75=0,"",MAYO!T75)</f>
        <v>Auxilio de Transporte</v>
      </c>
      <c r="U75" s="27">
        <f>+ENERO!U75</f>
        <v>329885360</v>
      </c>
      <c r="V75" s="15">
        <f>MAYO!V75+JUNIO!AL75</f>
        <v>0</v>
      </c>
      <c r="W75" s="15">
        <f>MAYO!W75+JUNIO!AM75</f>
        <v>0</v>
      </c>
      <c r="X75" s="18">
        <f t="shared" si="72"/>
        <v>329885360</v>
      </c>
      <c r="Y75" s="19">
        <f>MAYO!AA75</f>
        <v>2632801</v>
      </c>
      <c r="Z75" s="364">
        <v>562786</v>
      </c>
      <c r="AA75" s="18">
        <f t="shared" si="73"/>
        <v>3195587</v>
      </c>
      <c r="AB75" s="19">
        <f>MAYO!AD75</f>
        <v>2632801</v>
      </c>
      <c r="AC75" s="364">
        <v>562786</v>
      </c>
      <c r="AD75" s="18">
        <f t="shared" si="74"/>
        <v>3195587</v>
      </c>
      <c r="AE75" s="19">
        <f>MAYO!AG75</f>
        <v>2632801</v>
      </c>
      <c r="AF75" s="364">
        <v>562786</v>
      </c>
      <c r="AG75" s="18">
        <f t="shared" si="75"/>
        <v>3195587</v>
      </c>
      <c r="AH75" s="19">
        <f t="shared" si="76"/>
        <v>326689773</v>
      </c>
      <c r="AI75" s="15">
        <f t="shared" si="77"/>
        <v>326689773</v>
      </c>
      <c r="AJ75" s="16">
        <f t="shared" si="78"/>
        <v>326689773</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+IF(MAYO!A76=0,"",MAYO!A76)</f>
        <v>1130117-1</v>
      </c>
      <c r="B76" s="629" t="str">
        <f>+CONCATENATE("Vigencia ",INSTRUCCIONES!$F$3)</f>
        <v>Vigencia 2019</v>
      </c>
      <c r="C76" s="655">
        <f>+ENERO!C76</f>
        <v>351388967</v>
      </c>
      <c r="D76" s="363">
        <f>MAYO!D76+JUNIO!P76</f>
        <v>0</v>
      </c>
      <c r="E76" s="363">
        <f>MAYO!E76+JUNIO!Q76</f>
        <v>0</v>
      </c>
      <c r="F76" s="363">
        <f t="shared" ref="F76:F83" si="81">SUM(C76:E76)</f>
        <v>351388967</v>
      </c>
      <c r="G76" s="363">
        <f>MAYO!I76</f>
        <v>214825149</v>
      </c>
      <c r="H76" s="364">
        <v>12805847</v>
      </c>
      <c r="I76" s="363">
        <f t="shared" ref="I76:I83" si="82">SUM(G76:H76)</f>
        <v>227630996</v>
      </c>
      <c r="J76" s="363">
        <f>MAYO!L76</f>
        <v>94214057</v>
      </c>
      <c r="K76" s="364">
        <v>21465413</v>
      </c>
      <c r="L76" s="363">
        <f t="shared" ref="L76:L83" si="83">SUM(J76:K76)</f>
        <v>115679470</v>
      </c>
      <c r="M76" s="363">
        <f t="shared" ref="M76:M83" si="84">F76-I76</f>
        <v>123757971</v>
      </c>
      <c r="N76" s="143">
        <f t="shared" ref="N76:N83" si="85">F76-L76</f>
        <v>235709497</v>
      </c>
      <c r="O76" s="372"/>
      <c r="P76" s="362">
        <v>0</v>
      </c>
      <c r="Q76" s="365">
        <v>0</v>
      </c>
      <c r="R76" s="9"/>
      <c r="S76" s="689" t="str">
        <f>+IF(MAYO!S76=0,"",MAYO!S76)</f>
        <v>1020104-7</v>
      </c>
      <c r="T76" s="665" t="str">
        <f>+IF(MAYO!T76=0,"",MAYO!T76)</f>
        <v>Auxilio de Alimentación</v>
      </c>
      <c r="U76" s="27">
        <f>+ENERO!U76</f>
        <v>0</v>
      </c>
      <c r="V76" s="15">
        <f>MAYO!V76+JUNIO!AL76</f>
        <v>0</v>
      </c>
      <c r="W76" s="15">
        <f>MAYO!W76+JUNIO!AM76</f>
        <v>0</v>
      </c>
      <c r="X76" s="18">
        <f t="shared" si="72"/>
        <v>0</v>
      </c>
      <c r="Y76" s="19">
        <f>MAYO!AA76</f>
        <v>0</v>
      </c>
      <c r="Z76" s="364">
        <v>0</v>
      </c>
      <c r="AA76" s="18">
        <f t="shared" si="73"/>
        <v>0</v>
      </c>
      <c r="AB76" s="19">
        <f>MAYO!AD76</f>
        <v>0</v>
      </c>
      <c r="AC76" s="364">
        <v>0</v>
      </c>
      <c r="AD76" s="18">
        <f t="shared" si="74"/>
        <v>0</v>
      </c>
      <c r="AE76" s="19">
        <f>MAYO!AG76</f>
        <v>0</v>
      </c>
      <c r="AF76" s="364">
        <v>0</v>
      </c>
      <c r="AG76" s="1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+IF(MAYO!A77=0,"",MAYO!A77)</f>
        <v>1130117-2</v>
      </c>
      <c r="B77" s="629" t="str">
        <f>+IF(MAYO!B77=0,"",MAYO!B77)</f>
        <v>Vigencia Anterior</v>
      </c>
      <c r="C77" s="655">
        <f>+ENERO!C77</f>
        <v>0</v>
      </c>
      <c r="D77" s="363">
        <f>MAYO!D77+JUNIO!P77</f>
        <v>0</v>
      </c>
      <c r="E77" s="363">
        <f>MAYO!E77+JUNIO!Q77</f>
        <v>260623</v>
      </c>
      <c r="F77" s="363">
        <f t="shared" si="81"/>
        <v>260623</v>
      </c>
      <c r="G77" s="363">
        <f>MAYO!I77</f>
        <v>290623</v>
      </c>
      <c r="H77" s="364">
        <v>0</v>
      </c>
      <c r="I77" s="363">
        <f t="shared" si="82"/>
        <v>290623</v>
      </c>
      <c r="J77" s="363">
        <f>MAYO!L77</f>
        <v>290623</v>
      </c>
      <c r="K77" s="364">
        <v>0</v>
      </c>
      <c r="L77" s="363">
        <f t="shared" si="83"/>
        <v>290623</v>
      </c>
      <c r="M77" s="363">
        <f t="shared" si="84"/>
        <v>-30000</v>
      </c>
      <c r="N77" s="143">
        <f t="shared" si="85"/>
        <v>-30000</v>
      </c>
      <c r="O77" s="372"/>
      <c r="P77" s="362">
        <v>0</v>
      </c>
      <c r="Q77" s="365">
        <v>0</v>
      </c>
      <c r="R77" s="9"/>
      <c r="S77" s="689" t="str">
        <f>+IF(MAYO!S77=0,"",MAYO!S77)</f>
        <v>1020104-8</v>
      </c>
      <c r="T77" s="665" t="str">
        <f>+IF(MAYO!T77=0,"",MAYO!T77)</f>
        <v>Indemnizaciones por Vacaciones o Supresión de Cargos por Reestructuración</v>
      </c>
      <c r="U77" s="27">
        <f>+ENERO!U77</f>
        <v>0</v>
      </c>
      <c r="V77" s="15">
        <f>MAYO!V77+JUNIO!AL77</f>
        <v>0</v>
      </c>
      <c r="W77" s="15">
        <f>MAYO!W77+JUNIO!AM77</f>
        <v>0</v>
      </c>
      <c r="X77" s="18">
        <f t="shared" si="72"/>
        <v>0</v>
      </c>
      <c r="Y77" s="19">
        <f>MAYO!AA77</f>
        <v>0</v>
      </c>
      <c r="Z77" s="364">
        <v>0</v>
      </c>
      <c r="AA77" s="18">
        <f t="shared" si="73"/>
        <v>0</v>
      </c>
      <c r="AB77" s="19">
        <f>MAYO!AD77</f>
        <v>0</v>
      </c>
      <c r="AC77" s="364">
        <v>0</v>
      </c>
      <c r="AD77" s="18">
        <f t="shared" si="74"/>
        <v>0</v>
      </c>
      <c r="AE77" s="19">
        <f>MAYO!AG77</f>
        <v>0</v>
      </c>
      <c r="AF77" s="364">
        <v>0</v>
      </c>
      <c r="AG77" s="1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+IF(MAYO!A78=0,"",MAYO!A78)</f>
        <v>1130118</v>
      </c>
      <c r="B78" s="628" t="str">
        <f>+IF(MAYO!B78=0,"",MAYO!B78)</f>
        <v>PARTICULARES   (Venta de Contado)</v>
      </c>
      <c r="C78" s="43">
        <f>SUM(C79:C80)</f>
        <v>209613681</v>
      </c>
      <c r="D78" s="44">
        <f>SUM(D79:D80)</f>
        <v>0</v>
      </c>
      <c r="E78" s="44">
        <f>SUM(E79:E80)</f>
        <v>14766050</v>
      </c>
      <c r="F78" s="44">
        <f t="shared" si="81"/>
        <v>224379731</v>
      </c>
      <c r="G78" s="44">
        <f>SUM(G79:G80)</f>
        <v>231130040</v>
      </c>
      <c r="H78" s="44">
        <f>SUM(H79:H80)</f>
        <v>9770019</v>
      </c>
      <c r="I78" s="44">
        <f t="shared" si="82"/>
        <v>240900059</v>
      </c>
      <c r="J78" s="44">
        <f>SUM(J79:J80)</f>
        <v>207179578</v>
      </c>
      <c r="K78" s="44">
        <f>SUM(K79:K80)</f>
        <v>33720481</v>
      </c>
      <c r="L78" s="44">
        <f t="shared" si="83"/>
        <v>240900059</v>
      </c>
      <c r="M78" s="44">
        <f t="shared" si="84"/>
        <v>-16520328</v>
      </c>
      <c r="N78" s="45">
        <f t="shared" si="85"/>
        <v>-16520328</v>
      </c>
      <c r="O78" s="372"/>
      <c r="P78" s="43">
        <f>SUM(P79:P80)</f>
        <v>0</v>
      </c>
      <c r="Q78" s="45">
        <f>SUM(Q79:Q80)</f>
        <v>0</v>
      </c>
      <c r="R78" s="9"/>
      <c r="S78" s="689" t="str">
        <f>+IF(MAYO!S78=0,"",MAYO!S78)</f>
        <v>1020104-9</v>
      </c>
      <c r="T78" s="665" t="str">
        <f>+IF(MAYO!T78=0,"",MAYO!T78)</f>
        <v>Bonificación Especial por Recreación</v>
      </c>
      <c r="U78" s="27">
        <f>+ENERO!U78</f>
        <v>20961713</v>
      </c>
      <c r="V78" s="15">
        <f>MAYO!V78+JUNIO!AL78</f>
        <v>0</v>
      </c>
      <c r="W78" s="15">
        <f>MAYO!W78+JUNIO!AM78</f>
        <v>0</v>
      </c>
      <c r="X78" s="18">
        <f t="shared" si="72"/>
        <v>20961713</v>
      </c>
      <c r="Y78" s="19">
        <f>MAYO!AA78</f>
        <v>2625124</v>
      </c>
      <c r="Z78" s="364">
        <v>1979049</v>
      </c>
      <c r="AA78" s="18">
        <f t="shared" si="73"/>
        <v>4604173</v>
      </c>
      <c r="AB78" s="19">
        <f>MAYO!AD78</f>
        <v>2625124</v>
      </c>
      <c r="AC78" s="364">
        <v>1979049</v>
      </c>
      <c r="AD78" s="18">
        <f t="shared" si="74"/>
        <v>4604173</v>
      </c>
      <c r="AE78" s="19">
        <f>MAYO!AG78</f>
        <v>2625124</v>
      </c>
      <c r="AF78" s="364">
        <v>1950169</v>
      </c>
      <c r="AG78" s="18">
        <f t="shared" si="75"/>
        <v>4575293</v>
      </c>
      <c r="AH78" s="19">
        <f t="shared" si="76"/>
        <v>16357540</v>
      </c>
      <c r="AI78" s="15">
        <f t="shared" si="77"/>
        <v>16357540</v>
      </c>
      <c r="AJ78" s="16">
        <f t="shared" si="78"/>
        <v>16386420</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+IF(MAYO!A79=0,"",MAYO!A79)</f>
        <v>1130118-1</v>
      </c>
      <c r="B79" s="629" t="str">
        <f>+CONCATENATE("Vigencia ",INSTRUCCIONES!$F$3)</f>
        <v>Vigencia 2019</v>
      </c>
      <c r="C79" s="655">
        <f>+ENERO!C79</f>
        <v>209613681</v>
      </c>
      <c r="D79" s="363">
        <f>MAYO!D79+JUNIO!P79</f>
        <v>0</v>
      </c>
      <c r="E79" s="363">
        <f>MAYO!E79+JUNIO!Q79</f>
        <v>0</v>
      </c>
      <c r="F79" s="363">
        <f t="shared" si="81"/>
        <v>209613681</v>
      </c>
      <c r="G79" s="363">
        <f>MAYO!I79</f>
        <v>212633505</v>
      </c>
      <c r="H79" s="364">
        <f>6963837+2536182</f>
        <v>9500019</v>
      </c>
      <c r="I79" s="363">
        <f t="shared" si="82"/>
        <v>222133524</v>
      </c>
      <c r="J79" s="363">
        <f>MAYO!L79</f>
        <v>188683043</v>
      </c>
      <c r="K79" s="364">
        <v>33450481</v>
      </c>
      <c r="L79" s="363">
        <f t="shared" si="83"/>
        <v>222133524</v>
      </c>
      <c r="M79" s="363">
        <f t="shared" si="84"/>
        <v>-12519843</v>
      </c>
      <c r="N79" s="143">
        <f t="shared" si="85"/>
        <v>-12519843</v>
      </c>
      <c r="P79" s="362">
        <v>0</v>
      </c>
      <c r="Q79" s="365">
        <v>0</v>
      </c>
      <c r="R79" s="9"/>
      <c r="S79" s="689" t="str">
        <f>+IF(MAYO!S79=0,"",MAYO!S79)</f>
        <v>1020104-10</v>
      </c>
      <c r="T79" s="665" t="str">
        <f>+IF(MAYO!T79=0,"",MAYO!T79)</f>
        <v/>
      </c>
      <c r="U79" s="27">
        <f>+ENERO!U79</f>
        <v>0</v>
      </c>
      <c r="V79" s="15">
        <f>MAYO!V79+JUNIO!AL79</f>
        <v>0</v>
      </c>
      <c r="W79" s="15">
        <f>MAYO!W79+JUNIO!AM79</f>
        <v>0</v>
      </c>
      <c r="X79" s="18">
        <f t="shared" si="72"/>
        <v>0</v>
      </c>
      <c r="Y79" s="19">
        <f>MAYO!AA79</f>
        <v>0</v>
      </c>
      <c r="Z79" s="364">
        <v>0</v>
      </c>
      <c r="AA79" s="18">
        <f t="shared" si="73"/>
        <v>0</v>
      </c>
      <c r="AB79" s="19">
        <f>MAYO!AD79</f>
        <v>0</v>
      </c>
      <c r="AC79" s="364">
        <v>0</v>
      </c>
      <c r="AD79" s="18">
        <f t="shared" si="74"/>
        <v>0</v>
      </c>
      <c r="AE79" s="19">
        <f>MAYO!AG79</f>
        <v>0</v>
      </c>
      <c r="AF79" s="364">
        <v>0</v>
      </c>
      <c r="AG79" s="1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+IF(MAYO!A80=0,"",MAYO!A80)</f>
        <v>1130118-2</v>
      </c>
      <c r="B80" s="629" t="str">
        <f>+IF(MAYO!B80=0,"",MAYO!B80)</f>
        <v>Vigencia Anterior</v>
      </c>
      <c r="C80" s="655">
        <f>+ENERO!C80</f>
        <v>0</v>
      </c>
      <c r="D80" s="363">
        <f>MAYO!D80+JUNIO!P80</f>
        <v>0</v>
      </c>
      <c r="E80" s="363">
        <f>MAYO!E80+JUNIO!Q80</f>
        <v>14766050</v>
      </c>
      <c r="F80" s="363">
        <f t="shared" si="81"/>
        <v>14766050</v>
      </c>
      <c r="G80" s="363">
        <f>MAYO!I80</f>
        <v>18496535</v>
      </c>
      <c r="H80" s="364">
        <v>270000</v>
      </c>
      <c r="I80" s="363">
        <f t="shared" si="82"/>
        <v>18766535</v>
      </c>
      <c r="J80" s="363">
        <f>MAYO!L80</f>
        <v>18496535</v>
      </c>
      <c r="K80" s="364">
        <v>270000</v>
      </c>
      <c r="L80" s="363">
        <f t="shared" si="83"/>
        <v>18766535</v>
      </c>
      <c r="M80" s="363">
        <f t="shared" si="84"/>
        <v>-4000485</v>
      </c>
      <c r="N80" s="143">
        <f t="shared" si="85"/>
        <v>-4000485</v>
      </c>
      <c r="O80" s="372"/>
      <c r="P80" s="362">
        <v>0</v>
      </c>
      <c r="Q80" s="365">
        <v>0</v>
      </c>
      <c r="S80" s="689" t="str">
        <f>+IF(MAYO!S80=0,"",MAYO!S80)</f>
        <v>1020104-11</v>
      </c>
      <c r="T80" s="665" t="str">
        <f>+IF(MAYO!T80=0,"",MAYO!T80)</f>
        <v/>
      </c>
      <c r="U80" s="27">
        <f>+ENERO!U80</f>
        <v>0</v>
      </c>
      <c r="V80" s="15">
        <f>MAYO!V80+JUNIO!AL80</f>
        <v>0</v>
      </c>
      <c r="W80" s="15">
        <f>MAYO!W80+JUNIO!AM80</f>
        <v>0</v>
      </c>
      <c r="X80" s="18">
        <f t="shared" si="72"/>
        <v>0</v>
      </c>
      <c r="Y80" s="19">
        <f>MAYO!AA80</f>
        <v>0</v>
      </c>
      <c r="Z80" s="364">
        <v>0</v>
      </c>
      <c r="AA80" s="18">
        <f t="shared" si="73"/>
        <v>0</v>
      </c>
      <c r="AB80" s="19">
        <f>MAYO!AD80</f>
        <v>0</v>
      </c>
      <c r="AC80" s="364">
        <v>0</v>
      </c>
      <c r="AD80" s="18">
        <f t="shared" si="74"/>
        <v>0</v>
      </c>
      <c r="AE80" s="19">
        <f>MAYO!AG80</f>
        <v>0</v>
      </c>
      <c r="AF80" s="364">
        <v>0</v>
      </c>
      <c r="AG80" s="1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c r="A81" s="714">
        <f>+IF(MAYO!A81=0,"",MAYO!A81)</f>
        <v>1130119</v>
      </c>
      <c r="B81" s="632" t="str">
        <f>+IF(MAYO!B81=0,"",MAYO!B81)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688">
        <f>+IF(MAYO!S81=0,"",MAYO!S81)</f>
        <v>1020199</v>
      </c>
      <c r="T81" s="664" t="str">
        <f>+IF(MAYO!T81=0,"",MAYO!T81)</f>
        <v>Vigencias Anteriores</v>
      </c>
      <c r="U81" s="27">
        <f>+ENERO!U81</f>
        <v>0</v>
      </c>
      <c r="V81" s="15">
        <f>MAYO!V81+JUNIO!AL81</f>
        <v>0</v>
      </c>
      <c r="W81" s="15">
        <f>MAYO!W81+JUNIO!AM81</f>
        <v>0</v>
      </c>
      <c r="X81" s="18">
        <f t="shared" si="72"/>
        <v>0</v>
      </c>
      <c r="Y81" s="19">
        <f>MAYO!AA81</f>
        <v>0</v>
      </c>
      <c r="Z81" s="364">
        <v>0</v>
      </c>
      <c r="AA81" s="18">
        <f t="shared" si="73"/>
        <v>0</v>
      </c>
      <c r="AB81" s="19">
        <f>MAYO!AD81</f>
        <v>0</v>
      </c>
      <c r="AC81" s="364">
        <v>0</v>
      </c>
      <c r="AD81" s="18">
        <f t="shared" si="74"/>
        <v>0</v>
      </c>
      <c r="AE81" s="19">
        <f>MAYO!AG81</f>
        <v>0</v>
      </c>
      <c r="AF81" s="364">
        <v>0</v>
      </c>
      <c r="AG81" s="1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+IF(MAYO!A82=0,"",MAYO!A82)</f>
        <v>1130119-1</v>
      </c>
      <c r="B82" s="629" t="str">
        <f>+CONCATENATE("Vigencia ",INSTRUCCIONES!$F$3)</f>
        <v>Vigencia 2019</v>
      </c>
      <c r="C82" s="655">
        <f>+ENERO!C82</f>
        <v>0</v>
      </c>
      <c r="D82" s="363">
        <f>MAYO!D82+JUNIO!P82</f>
        <v>0</v>
      </c>
      <c r="E82" s="363">
        <f>MAYO!E82+JUNIO!Q82</f>
        <v>0</v>
      </c>
      <c r="F82" s="363">
        <f t="shared" si="81"/>
        <v>0</v>
      </c>
      <c r="G82" s="363">
        <f>MAYO!I82</f>
        <v>0</v>
      </c>
      <c r="H82" s="364">
        <v>0</v>
      </c>
      <c r="I82" s="363">
        <f t="shared" si="82"/>
        <v>0</v>
      </c>
      <c r="J82" s="363">
        <f>MAYO!L82</f>
        <v>0</v>
      </c>
      <c r="K82" s="364">
        <v>0</v>
      </c>
      <c r="L82" s="363">
        <f t="shared" si="83"/>
        <v>0</v>
      </c>
      <c r="M82" s="363">
        <f t="shared" si="84"/>
        <v>0</v>
      </c>
      <c r="N82" s="143">
        <f t="shared" si="85"/>
        <v>0</v>
      </c>
      <c r="P82" s="362">
        <v>0</v>
      </c>
      <c r="Q82" s="365">
        <v>0</v>
      </c>
      <c r="R82" s="9"/>
      <c r="S82" s="356" t="str">
        <f>+IF(MAYO!S82=0,"",MAYO!S82)</f>
        <v/>
      </c>
      <c r="T82" s="678" t="str">
        <f>+IF(MAYO!T82=0,"",MAYO!T82)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+IF(MAYO!A83=0,"",MAYO!A83)</f>
        <v>1130119-2</v>
      </c>
      <c r="B83" s="633" t="str">
        <f>+IF(MAYO!B83=0,"",MAYO!B83)</f>
        <v>Vigencia Anterior</v>
      </c>
      <c r="C83" s="759">
        <f>+ENERO!C83</f>
        <v>0</v>
      </c>
      <c r="D83" s="375">
        <f>MAYO!D83+JUNIO!P83</f>
        <v>0</v>
      </c>
      <c r="E83" s="375">
        <f>MAYO!E83+JUNIO!Q83</f>
        <v>0</v>
      </c>
      <c r="F83" s="375">
        <f t="shared" si="81"/>
        <v>0</v>
      </c>
      <c r="G83" s="375">
        <f>MAYO!I83</f>
        <v>0</v>
      </c>
      <c r="H83" s="378">
        <v>0</v>
      </c>
      <c r="I83" s="375">
        <f t="shared" si="82"/>
        <v>0</v>
      </c>
      <c r="J83" s="375">
        <f>MAYO!L83</f>
        <v>0</v>
      </c>
      <c r="K83" s="378">
        <v>0</v>
      </c>
      <c r="L83" s="375">
        <f t="shared" si="83"/>
        <v>0</v>
      </c>
      <c r="M83" s="375">
        <f t="shared" si="84"/>
        <v>0</v>
      </c>
      <c r="N83" s="376">
        <f t="shared" si="85"/>
        <v>0</v>
      </c>
      <c r="P83" s="362">
        <v>0</v>
      </c>
      <c r="Q83" s="365">
        <v>0</v>
      </c>
      <c r="R83" s="9"/>
      <c r="S83" s="687">
        <f>+IF(MAYO!S83=0,"",MAYO!S83)</f>
        <v>1020200</v>
      </c>
      <c r="T83" s="663" t="str">
        <f>+IF(MAYO!T83=0,"",MAYO!T83)</f>
        <v>Servicios Personales Indirectos</v>
      </c>
      <c r="U83" s="132">
        <f t="shared" ref="U83:AJ83" si="87">SUM(U84:U88)</f>
        <v>21292467542</v>
      </c>
      <c r="V83" s="122">
        <f t="shared" si="87"/>
        <v>500000000</v>
      </c>
      <c r="W83" s="122">
        <f t="shared" si="87"/>
        <v>1640000000</v>
      </c>
      <c r="X83" s="129">
        <f t="shared" si="87"/>
        <v>23432467542</v>
      </c>
      <c r="Y83" s="128">
        <f t="shared" si="87"/>
        <v>22226160699</v>
      </c>
      <c r="Z83" s="122">
        <f t="shared" si="87"/>
        <v>344143096</v>
      </c>
      <c r="AA83" s="129">
        <f t="shared" si="87"/>
        <v>22570303795</v>
      </c>
      <c r="AB83" s="128">
        <f t="shared" si="87"/>
        <v>11643804996</v>
      </c>
      <c r="AC83" s="122">
        <f t="shared" si="87"/>
        <v>1737589390</v>
      </c>
      <c r="AD83" s="129">
        <f t="shared" si="87"/>
        <v>13381394386</v>
      </c>
      <c r="AE83" s="128">
        <f t="shared" si="87"/>
        <v>6219170900</v>
      </c>
      <c r="AF83" s="122">
        <f t="shared" si="87"/>
        <v>1073824432</v>
      </c>
      <c r="AG83" s="129">
        <f t="shared" si="87"/>
        <v>7292995332</v>
      </c>
      <c r="AH83" s="128">
        <f t="shared" si="87"/>
        <v>862163747</v>
      </c>
      <c r="AI83" s="122">
        <f t="shared" si="87"/>
        <v>10051073156</v>
      </c>
      <c r="AJ83" s="130">
        <f t="shared" si="87"/>
        <v>16139472210</v>
      </c>
      <c r="AK83" s="9"/>
      <c r="AL83" s="128">
        <f>SUM(AL84:AL88)</f>
        <v>500000000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+IF(MAYO!A84=0,"",MAYO!A84)</f>
        <v/>
      </c>
      <c r="B84" s="634" t="str">
        <f>+IF(MAYO!B84=0,"",MAYO!B84)</f>
        <v/>
      </c>
      <c r="C84" s="284"/>
      <c r="D84" s="284"/>
      <c r="E84" s="284"/>
      <c r="F84" s="284"/>
      <c r="G84" s="284"/>
      <c r="H84" s="284"/>
      <c r="I84" s="284"/>
      <c r="J84" s="284"/>
      <c r="K84" s="284"/>
      <c r="L84" s="284"/>
      <c r="M84" s="284"/>
      <c r="N84" s="453"/>
      <c r="O84" s="451"/>
      <c r="P84" s="457"/>
      <c r="Q84" s="381"/>
      <c r="R84" s="9"/>
      <c r="S84" s="688" t="str">
        <f>+IF(MAYO!S84=0,"",MAYO!S84)</f>
        <v>1020200-1</v>
      </c>
      <c r="T84" s="664" t="str">
        <f>+IF(MAYO!T84=0,"",MAYO!T84)</f>
        <v>Remuneración y Honorarios por Servicios Técnicos y Profesionales</v>
      </c>
      <c r="U84" s="27">
        <f>+ENERO!U84</f>
        <v>304448100</v>
      </c>
      <c r="V84" s="15">
        <f>MAYO!V84+JUNIO!AL84</f>
        <v>110000000</v>
      </c>
      <c r="W84" s="15">
        <f>MAYO!W84+JUNIO!AM84</f>
        <v>90000000</v>
      </c>
      <c r="X84" s="18">
        <f>SUM(U84:W84)</f>
        <v>504448100</v>
      </c>
      <c r="Y84" s="19">
        <f>MAYO!AA84</f>
        <v>497122910</v>
      </c>
      <c r="Z84" s="364">
        <v>0</v>
      </c>
      <c r="AA84" s="18">
        <f>SUM(Y84:Z84)</f>
        <v>497122910</v>
      </c>
      <c r="AB84" s="19">
        <f>MAYO!AD84</f>
        <v>121301659</v>
      </c>
      <c r="AC84" s="364">
        <v>44719554</v>
      </c>
      <c r="AD84" s="18">
        <f>SUM(AB84:AC84)</f>
        <v>166021213</v>
      </c>
      <c r="AE84" s="19">
        <f>MAYO!AG84</f>
        <v>65872811</v>
      </c>
      <c r="AF84" s="364">
        <v>39063666</v>
      </c>
      <c r="AG84" s="18">
        <f>SUM(AE84:AF84)</f>
        <v>104936477</v>
      </c>
      <c r="AH84" s="19">
        <f>X84-AA84</f>
        <v>7325190</v>
      </c>
      <c r="AI84" s="15">
        <f>X84-AD84</f>
        <v>338426887</v>
      </c>
      <c r="AJ84" s="16">
        <f>X84-AG84</f>
        <v>399511623</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+IF(MAYO!A85=0,"",MAYO!A85)</f>
        <v>11302</v>
      </c>
      <c r="B85" s="635" t="str">
        <f>+IF(MAYO!B85=0,"",MAYO!B85)</f>
        <v>Otras Ventas de Servicios de Salud</v>
      </c>
      <c r="C85" s="600">
        <f t="shared" ref="C85:N85" si="88">SUM(C86:C92)</f>
        <v>0</v>
      </c>
      <c r="D85" s="598">
        <f t="shared" si="88"/>
        <v>0</v>
      </c>
      <c r="E85" s="598">
        <f t="shared" si="88"/>
        <v>12200562275</v>
      </c>
      <c r="F85" s="598">
        <f t="shared" si="88"/>
        <v>12200562275</v>
      </c>
      <c r="G85" s="598">
        <f t="shared" si="88"/>
        <v>3971980235</v>
      </c>
      <c r="H85" s="598">
        <f t="shared" si="88"/>
        <v>629592837</v>
      </c>
      <c r="I85" s="598">
        <f t="shared" si="88"/>
        <v>4601573072</v>
      </c>
      <c r="J85" s="598">
        <f t="shared" si="88"/>
        <v>3971980235</v>
      </c>
      <c r="K85" s="598">
        <f t="shared" si="88"/>
        <v>0</v>
      </c>
      <c r="L85" s="598">
        <f t="shared" si="88"/>
        <v>3971980235</v>
      </c>
      <c r="M85" s="598">
        <f t="shared" si="88"/>
        <v>7598989203</v>
      </c>
      <c r="N85" s="599">
        <f t="shared" si="88"/>
        <v>8228582040</v>
      </c>
      <c r="P85" s="43">
        <f>SUM(P86:P92)</f>
        <v>0</v>
      </c>
      <c r="Q85" s="45">
        <f>SUM(Q86:Q92)</f>
        <v>0</v>
      </c>
      <c r="R85" s="9"/>
      <c r="S85" s="688" t="str">
        <f>+IF(MAYO!S85=0,"",MAYO!S85)</f>
        <v>1020200-2</v>
      </c>
      <c r="T85" s="664" t="str">
        <f>+IF(MAYO!T85=0,"",MAYO!T85)</f>
        <v>Personal Supernumerario</v>
      </c>
      <c r="U85" s="27">
        <f>+ENERO!U85</f>
        <v>0</v>
      </c>
      <c r="V85" s="15">
        <f>MAYO!V85+JUNIO!AL85</f>
        <v>0</v>
      </c>
      <c r="W85" s="15">
        <f>MAYO!W85+JUNIO!AM85</f>
        <v>0</v>
      </c>
      <c r="X85" s="18">
        <f>SUM(U85:W85)</f>
        <v>0</v>
      </c>
      <c r="Y85" s="19">
        <f>MAYO!AA85</f>
        <v>0</v>
      </c>
      <c r="Z85" s="364">
        <v>0</v>
      </c>
      <c r="AA85" s="18">
        <f>SUM(Y85:Z85)</f>
        <v>0</v>
      </c>
      <c r="AB85" s="19">
        <f>MAYO!AD85</f>
        <v>0</v>
      </c>
      <c r="AC85" s="364">
        <v>0</v>
      </c>
      <c r="AD85" s="18">
        <f>SUM(AB85:AC85)</f>
        <v>0</v>
      </c>
      <c r="AE85" s="19">
        <f>MAYO!AG85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+IF(MAYO!A86=0,"",MAYO!A86)</f>
        <v>1130201</v>
      </c>
      <c r="B86" s="609" t="str">
        <f>+IF(MAYO!B86=0,"",MAYO!B86)</f>
        <v/>
      </c>
      <c r="C86" s="654">
        <f>+ENERO!C86</f>
        <v>0</v>
      </c>
      <c r="D86" s="363">
        <f>MAYO!D86+JUNIO!P86</f>
        <v>0</v>
      </c>
      <c r="E86" s="363">
        <f>MAYO!E86+JUNIO!Q86</f>
        <v>0</v>
      </c>
      <c r="F86" s="363">
        <f t="shared" ref="F86:F92" si="89">SUM(C86:E86)</f>
        <v>0</v>
      </c>
      <c r="G86" s="363">
        <f>MAYO!I86</f>
        <v>0</v>
      </c>
      <c r="H86" s="364">
        <v>0</v>
      </c>
      <c r="I86" s="363">
        <f t="shared" ref="I86:I92" si="90">SUM(G86:H86)</f>
        <v>0</v>
      </c>
      <c r="J86" s="363">
        <f>MAYO!L86</f>
        <v>0</v>
      </c>
      <c r="K86" s="364">
        <v>0</v>
      </c>
      <c r="L86" s="363">
        <f t="shared" ref="L86:L92" si="91">SUM(J86:K86)</f>
        <v>0</v>
      </c>
      <c r="M86" s="363">
        <f t="shared" ref="M86:M92" si="92">F86-I86</f>
        <v>0</v>
      </c>
      <c r="N86" s="143">
        <f t="shared" ref="N86:N92" si="93">F86-L86</f>
        <v>0</v>
      </c>
      <c r="O86" s="372"/>
      <c r="P86" s="362">
        <v>0</v>
      </c>
      <c r="Q86" s="365">
        <v>0</v>
      </c>
      <c r="S86" s="688" t="str">
        <f>+IF(MAYO!S86=0,"",MAYO!S86)</f>
        <v>1020200-3</v>
      </c>
      <c r="T86" s="664" t="str">
        <f>+IF(MAYO!T86=0,"",MAYO!T86)</f>
        <v>Otros Honorarios</v>
      </c>
      <c r="U86" s="27">
        <f>+ENERO!U86</f>
        <v>18988019442</v>
      </c>
      <c r="V86" s="15">
        <f>MAYO!V86+JUNIO!AL86</f>
        <v>-1110000000</v>
      </c>
      <c r="W86" s="15">
        <f>MAYO!W86+JUNIO!AM86</f>
        <v>50000000</v>
      </c>
      <c r="X86" s="18">
        <f>SUM(U86:W86)</f>
        <v>17928019442</v>
      </c>
      <c r="Y86" s="19">
        <f>MAYO!AA86</f>
        <v>17399785509</v>
      </c>
      <c r="Z86" s="364">
        <v>150934109</v>
      </c>
      <c r="AA86" s="18">
        <f>SUM(Y86:Z86)</f>
        <v>17550719618</v>
      </c>
      <c r="AB86" s="19">
        <f>MAYO!AD86</f>
        <v>7193251057</v>
      </c>
      <c r="AC86" s="364">
        <v>1499660849</v>
      </c>
      <c r="AD86" s="18">
        <f>SUM(AB86:AC86)</f>
        <v>8692911906</v>
      </c>
      <c r="AE86" s="19">
        <f>MAYO!AG86</f>
        <v>1824045809</v>
      </c>
      <c r="AF86" s="364">
        <v>841551779</v>
      </c>
      <c r="AG86" s="18">
        <f>SUM(AE86:AF86)</f>
        <v>2665597588</v>
      </c>
      <c r="AH86" s="19">
        <f>X86-AA86</f>
        <v>377299824</v>
      </c>
      <c r="AI86" s="15">
        <f>X86-AD86</f>
        <v>9235107536</v>
      </c>
      <c r="AJ86" s="16">
        <f>X86-AG86</f>
        <v>15262421854</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c r="A87" s="719">
        <f>+IF(MAYO!A87=0,"",MAYO!A87)</f>
        <v>1130202</v>
      </c>
      <c r="B87" s="609" t="str">
        <f>+IF(MAYO!B87=0,"",MAYO!B87)</f>
        <v/>
      </c>
      <c r="C87" s="654">
        <f>+ENERO!C87</f>
        <v>0</v>
      </c>
      <c r="D87" s="363">
        <f>MAYO!D87+JUNIO!P87</f>
        <v>0</v>
      </c>
      <c r="E87" s="363">
        <f>MAYO!E87+JUNIO!Q87</f>
        <v>0</v>
      </c>
      <c r="F87" s="363">
        <f t="shared" si="89"/>
        <v>0</v>
      </c>
      <c r="G87" s="363">
        <f>MAYO!I87</f>
        <v>0</v>
      </c>
      <c r="H87" s="364">
        <v>0</v>
      </c>
      <c r="I87" s="363">
        <f t="shared" si="90"/>
        <v>0</v>
      </c>
      <c r="J87" s="363">
        <f>MAYO!L87</f>
        <v>0</v>
      </c>
      <c r="K87" s="364">
        <v>0</v>
      </c>
      <c r="L87" s="363">
        <f t="shared" si="91"/>
        <v>0</v>
      </c>
      <c r="M87" s="363">
        <f t="shared" si="92"/>
        <v>0</v>
      </c>
      <c r="N87" s="143">
        <f t="shared" si="93"/>
        <v>0</v>
      </c>
      <c r="P87" s="362">
        <v>0</v>
      </c>
      <c r="Q87" s="365">
        <v>0</v>
      </c>
      <c r="R87" s="9"/>
      <c r="S87" s="688" t="str">
        <f>+IF(MAYO!S87=0,"",MAYO!S87)</f>
        <v>1020200-4</v>
      </c>
      <c r="T87" s="664" t="str">
        <f>+IF(MAYO!T87=0,"",MAYO!T87)</f>
        <v/>
      </c>
      <c r="U87" s="27">
        <f>+ENERO!U87</f>
        <v>0</v>
      </c>
      <c r="V87" s="15">
        <f>MAYO!V87+JUNIO!AL87</f>
        <v>0</v>
      </c>
      <c r="W87" s="15">
        <f>MAYO!W87+JUNIO!AM87</f>
        <v>0</v>
      </c>
      <c r="X87" s="18">
        <f>SUM(U87:W87)</f>
        <v>0</v>
      </c>
      <c r="Y87" s="19">
        <f>MAYO!AA87</f>
        <v>0</v>
      </c>
      <c r="Z87" s="364">
        <v>0</v>
      </c>
      <c r="AA87" s="18">
        <f>SUM(Y87:Z87)</f>
        <v>0</v>
      </c>
      <c r="AB87" s="19">
        <f>MAYO!AD87</f>
        <v>0</v>
      </c>
      <c r="AC87" s="364">
        <v>0</v>
      </c>
      <c r="AD87" s="18">
        <f>SUM(AB87:AC87)</f>
        <v>0</v>
      </c>
      <c r="AE87" s="19">
        <f>MAYO!AG87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+IF(MAYO!A88=0,"",MAYO!A88)</f>
        <v>1130203</v>
      </c>
      <c r="B88" s="610" t="str">
        <f>+IF(MAYO!B88=0,"",MAYO!B88)</f>
        <v>CONVENIOS CON LA NACION LIGADOS A LA VENTA DE SERVICIOS</v>
      </c>
      <c r="C88" s="654">
        <f>+ENERO!C88</f>
        <v>0</v>
      </c>
      <c r="D88" s="363">
        <f>MAYO!D88+JUNIO!P88</f>
        <v>0</v>
      </c>
      <c r="E88" s="363">
        <f>MAYO!E88+JUNIO!Q88</f>
        <v>222386275</v>
      </c>
      <c r="F88" s="363">
        <f t="shared" si="89"/>
        <v>222386275</v>
      </c>
      <c r="G88" s="363">
        <f>MAYO!I88</f>
        <v>131092295</v>
      </c>
      <c r="H88" s="364">
        <v>0</v>
      </c>
      <c r="I88" s="363">
        <f t="shared" si="90"/>
        <v>131092295</v>
      </c>
      <c r="J88" s="363">
        <f>MAYO!L88</f>
        <v>131092295</v>
      </c>
      <c r="K88" s="364">
        <v>0</v>
      </c>
      <c r="L88" s="363">
        <f t="shared" si="91"/>
        <v>131092295</v>
      </c>
      <c r="M88" s="363">
        <f t="shared" si="92"/>
        <v>91293980</v>
      </c>
      <c r="N88" s="143">
        <f t="shared" si="93"/>
        <v>91293980</v>
      </c>
      <c r="P88" s="362">
        <v>0</v>
      </c>
      <c r="Q88" s="365">
        <v>0</v>
      </c>
      <c r="R88" s="9"/>
      <c r="S88" s="688">
        <f>+IF(MAYO!S88=0,"",MAYO!S88)</f>
        <v>1020299</v>
      </c>
      <c r="T88" s="664" t="str">
        <f>+IF(MAYO!T88=0,"",MAYO!T88)</f>
        <v>Vigencias Anteriores</v>
      </c>
      <c r="U88" s="27">
        <f>+ENERO!U88</f>
        <v>2000000000</v>
      </c>
      <c r="V88" s="15">
        <f>MAYO!V88+JUNIO!AL88</f>
        <v>1500000000</v>
      </c>
      <c r="W88" s="15">
        <f>MAYO!W88+JUNIO!AM88</f>
        <v>1500000000</v>
      </c>
      <c r="X88" s="18">
        <f>SUM(U88:W88)</f>
        <v>5000000000</v>
      </c>
      <c r="Y88" s="19">
        <f>MAYO!AA88</f>
        <v>4329252280</v>
      </c>
      <c r="Z88" s="364">
        <v>193208987</v>
      </c>
      <c r="AA88" s="18">
        <f>SUM(Y88:Z88)</f>
        <v>4522461267</v>
      </c>
      <c r="AB88" s="19">
        <f>MAYO!AD88</f>
        <v>4329252280</v>
      </c>
      <c r="AC88" s="364">
        <v>193208987</v>
      </c>
      <c r="AD88" s="18">
        <f>SUM(AB88:AC88)</f>
        <v>4522461267</v>
      </c>
      <c r="AE88" s="19">
        <f>MAYO!AG88</f>
        <v>4329252280</v>
      </c>
      <c r="AF88" s="364">
        <v>193208987</v>
      </c>
      <c r="AG88" s="18">
        <f>SUM(AE88:AF88)</f>
        <v>4522461267</v>
      </c>
      <c r="AH88" s="19">
        <f>X88-AA88</f>
        <v>477538733</v>
      </c>
      <c r="AI88" s="15">
        <f>X88-AD88</f>
        <v>477538733</v>
      </c>
      <c r="AJ88" s="16">
        <f>X88-AG88</f>
        <v>477538733</v>
      </c>
      <c r="AK88" s="9"/>
      <c r="AL88" s="362">
        <v>500000000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+IF(MAYO!A89=0,"",MAYO!A89)</f>
        <v>1130204</v>
      </c>
      <c r="B89" s="610" t="str">
        <f>+IF(MAYO!B89=0,"",MAYO!B89)</f>
        <v>CONVENIOS CON EL DEPARTAMENTO LIGADOS A LA VENTA SERVICIOS</v>
      </c>
      <c r="C89" s="654">
        <f>+ENERO!C89</f>
        <v>0</v>
      </c>
      <c r="D89" s="363">
        <f>MAYO!D89+JUNIO!P89</f>
        <v>0</v>
      </c>
      <c r="E89" s="363">
        <f>MAYO!E89+JUNIO!Q89</f>
        <v>0</v>
      </c>
      <c r="F89" s="363">
        <f t="shared" si="89"/>
        <v>0</v>
      </c>
      <c r="G89" s="363">
        <f>MAYO!I89</f>
        <v>0</v>
      </c>
      <c r="H89" s="364">
        <v>0</v>
      </c>
      <c r="I89" s="363">
        <f t="shared" si="90"/>
        <v>0</v>
      </c>
      <c r="J89" s="363">
        <f>MAYO!L89</f>
        <v>0</v>
      </c>
      <c r="K89" s="364">
        <v>0</v>
      </c>
      <c r="L89" s="363">
        <f t="shared" si="91"/>
        <v>0</v>
      </c>
      <c r="M89" s="363">
        <f t="shared" si="92"/>
        <v>0</v>
      </c>
      <c r="N89" s="143">
        <f t="shared" si="93"/>
        <v>0</v>
      </c>
      <c r="P89" s="362">
        <v>0</v>
      </c>
      <c r="Q89" s="365">
        <v>0</v>
      </c>
      <c r="R89" s="9"/>
      <c r="S89" s="356" t="str">
        <f>+IF(MAYO!S89=0,"",MAYO!S89)</f>
        <v/>
      </c>
      <c r="T89" s="678" t="str">
        <f>+IF(MAYO!T89=0,"",MAYO!T89)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+IF(MAYO!A90=0,"",MAYO!A90)</f>
        <v>1130205</v>
      </c>
      <c r="B90" s="610" t="str">
        <f>+IF(MAYO!B90=0,"",MAYO!B90)</f>
        <v>CONVENIOS CON EL MUNICIPIO LIGADOS A LA VENTA DE SERVICIOS</v>
      </c>
      <c r="C90" s="654">
        <f>+ENERO!C90</f>
        <v>0</v>
      </c>
      <c r="D90" s="363">
        <f>MAYO!D90+JUNIO!P90</f>
        <v>0</v>
      </c>
      <c r="E90" s="363">
        <f>MAYO!E90+JUNIO!Q90</f>
        <v>0</v>
      </c>
      <c r="F90" s="363">
        <f t="shared" si="89"/>
        <v>0</v>
      </c>
      <c r="G90" s="363">
        <f>MAYO!I90</f>
        <v>0</v>
      </c>
      <c r="H90" s="364">
        <v>0</v>
      </c>
      <c r="I90" s="363">
        <f t="shared" si="90"/>
        <v>0</v>
      </c>
      <c r="J90" s="363">
        <f>MAYO!L90</f>
        <v>0</v>
      </c>
      <c r="K90" s="364">
        <v>0</v>
      </c>
      <c r="L90" s="363">
        <f t="shared" si="91"/>
        <v>0</v>
      </c>
      <c r="M90" s="363">
        <f t="shared" si="92"/>
        <v>0</v>
      </c>
      <c r="N90" s="143">
        <f t="shared" si="93"/>
        <v>0</v>
      </c>
      <c r="O90" s="372"/>
      <c r="P90" s="362">
        <v>0</v>
      </c>
      <c r="Q90" s="365">
        <v>0</v>
      </c>
      <c r="R90" s="30"/>
      <c r="S90" s="687">
        <f>+IF(MAYO!S90=0,"",MAYO!S90)</f>
        <v>1020300</v>
      </c>
      <c r="T90" s="663" t="str">
        <f>+IF(MAYO!T90=0,"",MAYO!T90)</f>
        <v>Contribuciones Inherentes nómina al Sector Privado</v>
      </c>
      <c r="U90" s="132">
        <f t="shared" ref="U90:AJ90" si="94">U91+U96+U102</f>
        <v>2996072011</v>
      </c>
      <c r="V90" s="122">
        <f t="shared" si="94"/>
        <v>-2498932</v>
      </c>
      <c r="W90" s="122">
        <f t="shared" si="94"/>
        <v>13182074</v>
      </c>
      <c r="X90" s="129">
        <f t="shared" si="94"/>
        <v>3006755153</v>
      </c>
      <c r="Y90" s="128">
        <f t="shared" si="94"/>
        <v>453305880</v>
      </c>
      <c r="Z90" s="122">
        <f t="shared" si="94"/>
        <v>65755542</v>
      </c>
      <c r="AA90" s="129">
        <f t="shared" si="94"/>
        <v>519061422</v>
      </c>
      <c r="AB90" s="128">
        <f t="shared" si="94"/>
        <v>453305880</v>
      </c>
      <c r="AC90" s="122">
        <f t="shared" si="94"/>
        <v>65755542</v>
      </c>
      <c r="AD90" s="129">
        <f t="shared" si="94"/>
        <v>519061422</v>
      </c>
      <c r="AE90" s="128">
        <f t="shared" si="94"/>
        <v>446127960</v>
      </c>
      <c r="AF90" s="122">
        <f t="shared" si="94"/>
        <v>62191702</v>
      </c>
      <c r="AG90" s="129">
        <f t="shared" si="94"/>
        <v>508319662</v>
      </c>
      <c r="AH90" s="128">
        <f t="shared" si="94"/>
        <v>2487693731</v>
      </c>
      <c r="AI90" s="122">
        <f t="shared" si="94"/>
        <v>2487693731</v>
      </c>
      <c r="AJ90" s="130">
        <f t="shared" si="94"/>
        <v>2498435491</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+IF(MAYO!A91=0,"",MAYO!A91)</f>
        <v>1130206</v>
      </c>
      <c r="B91" s="610" t="str">
        <f>+IF(MAYO!B91=0,"",MAYO!B91)</f>
        <v>OTROS CONVENIOS LIGADOS A LA VENTA DE SERVICIOS</v>
      </c>
      <c r="C91" s="654">
        <f>+ENERO!C91</f>
        <v>0</v>
      </c>
      <c r="D91" s="363">
        <f>MAYO!D91+JUNIO!P91</f>
        <v>0</v>
      </c>
      <c r="E91" s="363">
        <f>MAYO!E91+JUNIO!Q91</f>
        <v>11978176000</v>
      </c>
      <c r="F91" s="363">
        <f t="shared" si="89"/>
        <v>11978176000</v>
      </c>
      <c r="G91" s="363">
        <f>MAYO!I91</f>
        <v>3840887940</v>
      </c>
      <c r="H91" s="364">
        <v>629592837</v>
      </c>
      <c r="I91" s="363">
        <f t="shared" si="90"/>
        <v>4470480777</v>
      </c>
      <c r="J91" s="363">
        <f>MAYO!L91</f>
        <v>3840887940</v>
      </c>
      <c r="K91" s="364">
        <v>0</v>
      </c>
      <c r="L91" s="363">
        <f t="shared" si="91"/>
        <v>3840887940</v>
      </c>
      <c r="M91" s="363">
        <f t="shared" si="92"/>
        <v>7507695223</v>
      </c>
      <c r="N91" s="143">
        <f t="shared" si="93"/>
        <v>8137288060</v>
      </c>
      <c r="O91" s="372"/>
      <c r="P91" s="362">
        <v>0</v>
      </c>
      <c r="Q91" s="365">
        <v>0</v>
      </c>
      <c r="R91" s="30"/>
      <c r="S91" s="688">
        <f>+IF(MAYO!S91=0,"",MAYO!S91)</f>
        <v>1020301</v>
      </c>
      <c r="T91" s="664" t="str">
        <f>+IF(MAYO!T91=0,"",MAYO!T91)</f>
        <v>Contribuciones - SGP - Aportes Patronales - Cuenta Maestra</v>
      </c>
      <c r="U91" s="27">
        <f t="shared" ref="U91:AJ91" si="95">SUM(U92:U95)</f>
        <v>1100060774</v>
      </c>
      <c r="V91" s="15">
        <f t="shared" si="95"/>
        <v>-9000000</v>
      </c>
      <c r="W91" s="15">
        <f t="shared" si="95"/>
        <v>0</v>
      </c>
      <c r="X91" s="18">
        <f t="shared" si="95"/>
        <v>1091060774</v>
      </c>
      <c r="Y91" s="19">
        <f t="shared" si="95"/>
        <v>226844898</v>
      </c>
      <c r="Z91" s="142">
        <f t="shared" si="95"/>
        <v>55013782</v>
      </c>
      <c r="AA91" s="18">
        <f t="shared" si="95"/>
        <v>281858680</v>
      </c>
      <c r="AB91" s="19">
        <f t="shared" si="95"/>
        <v>226844898</v>
      </c>
      <c r="AC91" s="142">
        <f t="shared" si="95"/>
        <v>55013782</v>
      </c>
      <c r="AD91" s="18">
        <f t="shared" si="95"/>
        <v>281858680</v>
      </c>
      <c r="AE91" s="19">
        <f t="shared" si="95"/>
        <v>226844898</v>
      </c>
      <c r="AF91" s="142">
        <f t="shared" si="95"/>
        <v>55013782</v>
      </c>
      <c r="AG91" s="18">
        <f t="shared" si="95"/>
        <v>281858680</v>
      </c>
      <c r="AH91" s="19">
        <f t="shared" si="95"/>
        <v>809202094</v>
      </c>
      <c r="AI91" s="15">
        <f t="shared" si="95"/>
        <v>809202094</v>
      </c>
      <c r="AJ91" s="16">
        <f t="shared" si="95"/>
        <v>809202094</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+IF(MAYO!A92=0,"",MAYO!A92)</f>
        <v>1130207</v>
      </c>
      <c r="B92" s="611" t="str">
        <f>+IF(MAYO!B92=0,"",MAYO!B92)</f>
        <v>Vigencia Anterior</v>
      </c>
      <c r="C92" s="760">
        <f>+ENERO!C92</f>
        <v>0</v>
      </c>
      <c r="D92" s="375">
        <f>MAYO!D92+JUNIO!P92</f>
        <v>0</v>
      </c>
      <c r="E92" s="375">
        <f>MAYO!E92+JUNIO!Q92</f>
        <v>0</v>
      </c>
      <c r="F92" s="375">
        <f t="shared" si="89"/>
        <v>0</v>
      </c>
      <c r="G92" s="375">
        <f>MAYO!I92</f>
        <v>0</v>
      </c>
      <c r="H92" s="378">
        <v>0</v>
      </c>
      <c r="I92" s="375">
        <f t="shared" si="90"/>
        <v>0</v>
      </c>
      <c r="J92" s="375">
        <f>MAYO!L92</f>
        <v>0</v>
      </c>
      <c r="K92" s="378">
        <v>0</v>
      </c>
      <c r="L92" s="375">
        <f t="shared" si="91"/>
        <v>0</v>
      </c>
      <c r="M92" s="375">
        <f t="shared" si="92"/>
        <v>0</v>
      </c>
      <c r="N92" s="376">
        <f t="shared" si="93"/>
        <v>0</v>
      </c>
      <c r="O92" s="372"/>
      <c r="P92" s="362">
        <v>0</v>
      </c>
      <c r="Q92" s="365">
        <v>0</v>
      </c>
      <c r="R92" s="30"/>
      <c r="S92" s="689" t="str">
        <f>+IF(MAYO!S92=0,"",MAYO!S92)</f>
        <v>1020301-1</v>
      </c>
      <c r="T92" s="665" t="str">
        <f>+IF(MAYO!T92=0,"",MAYO!T92)</f>
        <v>E.P.S. - Aportes cuenta maestra</v>
      </c>
      <c r="U92" s="27">
        <f>+ENERO!U92</f>
        <v>273298716</v>
      </c>
      <c r="V92" s="15">
        <f>MAYO!V92+JUNIO!AL92</f>
        <v>0</v>
      </c>
      <c r="W92" s="15">
        <f>MAYO!W92+JUNIO!AM92</f>
        <v>0</v>
      </c>
      <c r="X92" s="18">
        <f>SUM(U92:W92)</f>
        <v>273298716</v>
      </c>
      <c r="Y92" s="19">
        <f>MAYO!AA92</f>
        <v>95508433</v>
      </c>
      <c r="Z92" s="364">
        <v>23535279</v>
      </c>
      <c r="AA92" s="18">
        <f>SUM(Y92:Z92)</f>
        <v>119043712</v>
      </c>
      <c r="AB92" s="19">
        <f>MAYO!AD92</f>
        <v>95508433</v>
      </c>
      <c r="AC92" s="364">
        <v>23535279</v>
      </c>
      <c r="AD92" s="18">
        <f>SUM(AB92:AC92)</f>
        <v>119043712</v>
      </c>
      <c r="AE92" s="19">
        <f>MAYO!AG92</f>
        <v>95508433</v>
      </c>
      <c r="AF92" s="364">
        <v>23535279</v>
      </c>
      <c r="AG92" s="18">
        <f>SUM(AE92:AF92)</f>
        <v>119043712</v>
      </c>
      <c r="AH92" s="19">
        <f>X92-AA92</f>
        <v>154255004</v>
      </c>
      <c r="AI92" s="15">
        <f>X92-AD92</f>
        <v>154255004</v>
      </c>
      <c r="AJ92" s="16">
        <f>X92-AG92</f>
        <v>154255004</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+IF(MAYO!A93=0,"",MAYO!A93)</f>
        <v/>
      </c>
      <c r="B93" s="634" t="str">
        <f>+IF(MAYO!B93=0,"",MAYO!B93)</f>
        <v/>
      </c>
      <c r="C93" s="284"/>
      <c r="D93" s="284"/>
      <c r="E93" s="284"/>
      <c r="F93" s="284"/>
      <c r="G93" s="284"/>
      <c r="H93" s="284"/>
      <c r="I93" s="284"/>
      <c r="J93" s="284"/>
      <c r="K93" s="284"/>
      <c r="L93" s="284"/>
      <c r="M93" s="284"/>
      <c r="N93" s="453"/>
      <c r="P93" s="457"/>
      <c r="Q93" s="381"/>
      <c r="R93" s="30"/>
      <c r="S93" s="689" t="str">
        <f>+IF(MAYO!S93=0,"",MAYO!S93)</f>
        <v>1020301-2</v>
      </c>
      <c r="T93" s="665" t="str">
        <f>+IF(MAYO!T93=0,"",MAYO!T93)</f>
        <v>Fondos pensionales - Aportes cuenta maestra</v>
      </c>
      <c r="U93" s="27">
        <f>+ENERO!U93</f>
        <v>372680081</v>
      </c>
      <c r="V93" s="15">
        <f>MAYO!V93+JUNIO!AL93</f>
        <v>0</v>
      </c>
      <c r="W93" s="15">
        <f>MAYO!W93+JUNIO!AM93</f>
        <v>0</v>
      </c>
      <c r="X93" s="18">
        <f>SUM(U93:W93)</f>
        <v>372680081</v>
      </c>
      <c r="Y93" s="19">
        <f>MAYO!AA93</f>
        <v>117277105</v>
      </c>
      <c r="Z93" s="364">
        <v>27978263</v>
      </c>
      <c r="AA93" s="18">
        <f>SUM(Y93:Z93)</f>
        <v>145255368</v>
      </c>
      <c r="AB93" s="19">
        <f>MAYO!AD93</f>
        <v>117277105</v>
      </c>
      <c r="AC93" s="364">
        <v>27978263</v>
      </c>
      <c r="AD93" s="18">
        <f>SUM(AB93:AC93)</f>
        <v>145255368</v>
      </c>
      <c r="AE93" s="19">
        <f>MAYO!AG93</f>
        <v>117277105</v>
      </c>
      <c r="AF93" s="364">
        <v>27978263</v>
      </c>
      <c r="AG93" s="18">
        <f>SUM(AE93:AF93)</f>
        <v>145255368</v>
      </c>
      <c r="AH93" s="19">
        <f>X93-AA93</f>
        <v>227424713</v>
      </c>
      <c r="AI93" s="15">
        <f>X93-AD93</f>
        <v>227424713</v>
      </c>
      <c r="AJ93" s="16">
        <f>X93-AG93</f>
        <v>227424713</v>
      </c>
      <c r="AK93" s="9"/>
      <c r="AL93" s="362">
        <v>0</v>
      </c>
      <c r="AM93" s="365">
        <v>0</v>
      </c>
      <c r="AN93" s="30"/>
      <c r="AO93" s="450"/>
      <c r="AP93" s="450"/>
      <c r="AQ93" s="450"/>
      <c r="AR93" s="450"/>
      <c r="AS93" s="450"/>
      <c r="AT93" s="450"/>
      <c r="AU93" s="450"/>
      <c r="AV93" s="450"/>
      <c r="AW93" s="450"/>
      <c r="AX93" s="450"/>
      <c r="AY93" s="450"/>
      <c r="AZ93" s="450"/>
      <c r="BL93" s="30"/>
    </row>
    <row r="94" spans="1:70" s="451" customFormat="1" ht="31.5" customHeight="1">
      <c r="A94" s="720">
        <f>+IF(MAYO!A94=0,"",MAYO!A94)</f>
        <v>11303</v>
      </c>
      <c r="B94" s="601" t="str">
        <f>+IF(MAYO!B94=0,"",MAYO!B94)</f>
        <v>Aportes (No ligados a la venta de servicios de salud)</v>
      </c>
      <c r="C94" s="600">
        <f>SUM(C95:C102)</f>
        <v>7982899073</v>
      </c>
      <c r="D94" s="598">
        <f t="shared" ref="D94:N94" si="96">SUM(D95:D102)</f>
        <v>0</v>
      </c>
      <c r="E94" s="598">
        <f t="shared" si="96"/>
        <v>8000000000</v>
      </c>
      <c r="F94" s="598">
        <f t="shared" si="96"/>
        <v>15982899073</v>
      </c>
      <c r="G94" s="598">
        <f t="shared" si="96"/>
        <v>3354444422</v>
      </c>
      <c r="H94" s="598">
        <f t="shared" si="96"/>
        <v>8000000000</v>
      </c>
      <c r="I94" s="598">
        <f t="shared" si="96"/>
        <v>11354444422</v>
      </c>
      <c r="J94" s="598">
        <f t="shared" si="96"/>
        <v>3354444422</v>
      </c>
      <c r="K94" s="598">
        <f t="shared" si="96"/>
        <v>8000000000</v>
      </c>
      <c r="L94" s="598">
        <f t="shared" si="96"/>
        <v>11354444422</v>
      </c>
      <c r="M94" s="598">
        <f t="shared" si="96"/>
        <v>4628454651</v>
      </c>
      <c r="N94" s="599">
        <f t="shared" si="96"/>
        <v>4628454651</v>
      </c>
      <c r="O94" s="372"/>
      <c r="P94" s="43">
        <f>SUM(P95:P102)</f>
        <v>0</v>
      </c>
      <c r="Q94" s="45">
        <f>SUM(Q95:Q102)</f>
        <v>0</v>
      </c>
      <c r="R94" s="30"/>
      <c r="S94" s="689" t="str">
        <f>+IF(MAYO!S94=0,"",MAYO!S94)</f>
        <v>1020301-3</v>
      </c>
      <c r="T94" s="665" t="str">
        <f>+IF(MAYO!T94=0,"",MAYO!T94)</f>
        <v>Fondos de cesantías - Aportes cuenta maestra</v>
      </c>
      <c r="U94" s="27">
        <f>+ENERO!U94</f>
        <v>387061561</v>
      </c>
      <c r="V94" s="15">
        <f>MAYO!V94+JUNIO!AL94</f>
        <v>0</v>
      </c>
      <c r="W94" s="15">
        <f>MAYO!W94+JUNIO!AM94</f>
        <v>0</v>
      </c>
      <c r="X94" s="18">
        <f>SUM(U94:W94)</f>
        <v>387061561</v>
      </c>
      <c r="Y94" s="19">
        <f>MAYO!AA94</f>
        <v>0</v>
      </c>
      <c r="Z94" s="364">
        <v>0</v>
      </c>
      <c r="AA94" s="18">
        <f>SUM(Y94:Z94)</f>
        <v>0</v>
      </c>
      <c r="AB94" s="19">
        <f>MAYO!AD94</f>
        <v>0</v>
      </c>
      <c r="AC94" s="364">
        <v>0</v>
      </c>
      <c r="AD94" s="18">
        <f>SUM(AB94:AC94)</f>
        <v>0</v>
      </c>
      <c r="AE94" s="19">
        <f>MAYO!AG94</f>
        <v>0</v>
      </c>
      <c r="AF94" s="364">
        <v>0</v>
      </c>
      <c r="AG94" s="18">
        <f>SUM(AE94:AF94)</f>
        <v>0</v>
      </c>
      <c r="AH94" s="19">
        <f>X94-AA94</f>
        <v>387061561</v>
      </c>
      <c r="AI94" s="15">
        <f>X94-AD94</f>
        <v>387061561</v>
      </c>
      <c r="AJ94" s="16">
        <f>X94-AG94</f>
        <v>387061561</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+IF(MAYO!A95=0,"",MAYO!A95)</f>
        <v>11303-1</v>
      </c>
      <c r="B95" s="602" t="str">
        <f>+IF(MAYO!B95=0,"",MAYO!B95)</f>
        <v>CONVENIOS CON LA NACION NO LIGADOS A LA VENTA DE SERVICIOS</v>
      </c>
      <c r="C95" s="654">
        <f>+ENERO!C95</f>
        <v>0</v>
      </c>
      <c r="D95" s="363">
        <f>MAYO!D95+JUNIO!P95</f>
        <v>0</v>
      </c>
      <c r="E95" s="363">
        <f>MAYO!E95+JUNIO!Q95</f>
        <v>0</v>
      </c>
      <c r="F95" s="363">
        <f t="shared" ref="F95:F102" si="97">SUM(C95:E95)</f>
        <v>0</v>
      </c>
      <c r="G95" s="363">
        <f>MAYO!I95</f>
        <v>0</v>
      </c>
      <c r="H95" s="364">
        <v>0</v>
      </c>
      <c r="I95" s="363">
        <f t="shared" ref="I95:I102" si="98">SUM(G95:H95)</f>
        <v>0</v>
      </c>
      <c r="J95" s="363">
        <f>MAYO!L95</f>
        <v>0</v>
      </c>
      <c r="K95" s="364">
        <v>0</v>
      </c>
      <c r="L95" s="363">
        <f t="shared" ref="L95:L102" si="99">SUM(J95:K95)</f>
        <v>0</v>
      </c>
      <c r="M95" s="363">
        <f t="shared" ref="M95:M102" si="100">F95-I95</f>
        <v>0</v>
      </c>
      <c r="N95" s="143">
        <f t="shared" ref="N95:N102" si="101">F95-L95</f>
        <v>0</v>
      </c>
      <c r="O95" s="372"/>
      <c r="P95" s="362">
        <v>0</v>
      </c>
      <c r="Q95" s="365">
        <v>0</v>
      </c>
      <c r="R95" s="30"/>
      <c r="S95" s="689" t="str">
        <f>+IF(MAYO!S95=0,"",MAYO!S95)</f>
        <v>1020301-4</v>
      </c>
      <c r="T95" s="665" t="str">
        <f>+IF(MAYO!T95=0,"",MAYO!T95)</f>
        <v>Riesgos laborales - Aportes cuenta maestra</v>
      </c>
      <c r="U95" s="27">
        <f>+ENERO!U95</f>
        <v>67020416</v>
      </c>
      <c r="V95" s="15">
        <f>MAYO!V95+JUNIO!AL95</f>
        <v>-9000000</v>
      </c>
      <c r="W95" s="15">
        <f>MAYO!W95+JUNIO!AM95</f>
        <v>0</v>
      </c>
      <c r="X95" s="18">
        <f>SUM(U95:W95)</f>
        <v>58020416</v>
      </c>
      <c r="Y95" s="19">
        <f>MAYO!AA95</f>
        <v>14059360</v>
      </c>
      <c r="Z95" s="364">
        <v>3500240</v>
      </c>
      <c r="AA95" s="18">
        <f>SUM(Y95:Z95)</f>
        <v>17559600</v>
      </c>
      <c r="AB95" s="19">
        <f>MAYO!AD95</f>
        <v>14059360</v>
      </c>
      <c r="AC95" s="364">
        <v>3500240</v>
      </c>
      <c r="AD95" s="18">
        <f>SUM(AB95:AC95)</f>
        <v>17559600</v>
      </c>
      <c r="AE95" s="19">
        <f>MAYO!AG95</f>
        <v>14059360</v>
      </c>
      <c r="AF95" s="364">
        <v>3500240</v>
      </c>
      <c r="AG95" s="18">
        <f>SUM(AE95:AF95)</f>
        <v>17559600</v>
      </c>
      <c r="AH95" s="19">
        <f>X95-AA95</f>
        <v>40460816</v>
      </c>
      <c r="AI95" s="15">
        <f>X95-AD95</f>
        <v>40460816</v>
      </c>
      <c r="AJ95" s="16">
        <f>X95-AG95</f>
        <v>40460816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+IF(MAYO!A96=0,"",MAYO!A96)</f>
        <v>11303-2</v>
      </c>
      <c r="B96" s="602" t="str">
        <f>+IF(MAYO!B96=0,"",MAYO!B96)</f>
        <v>CONVENIOS CON EL DEPARTAMENTO NO LIGADOS A LA VENTA SERVICIOS</v>
      </c>
      <c r="C96" s="654">
        <f>+ENERO!C96</f>
        <v>7982899073</v>
      </c>
      <c r="D96" s="363">
        <f>MAYO!D96+JUNIO!P96</f>
        <v>0</v>
      </c>
      <c r="E96" s="363">
        <f>MAYO!E96+JUNIO!Q96</f>
        <v>8000000000</v>
      </c>
      <c r="F96" s="363">
        <f t="shared" si="97"/>
        <v>15982899073</v>
      </c>
      <c r="G96" s="363">
        <f>MAYO!I96</f>
        <v>3354444422</v>
      </c>
      <c r="H96" s="364">
        <v>8000000000</v>
      </c>
      <c r="I96" s="363">
        <f t="shared" si="98"/>
        <v>11354444422</v>
      </c>
      <c r="J96" s="363">
        <f>MAYO!L96</f>
        <v>3354444422</v>
      </c>
      <c r="K96" s="364">
        <v>8000000000</v>
      </c>
      <c r="L96" s="363">
        <f t="shared" si="99"/>
        <v>11354444422</v>
      </c>
      <c r="M96" s="363">
        <f t="shared" si="100"/>
        <v>4628454651</v>
      </c>
      <c r="N96" s="143">
        <f t="shared" si="101"/>
        <v>4628454651</v>
      </c>
      <c r="O96" s="372"/>
      <c r="P96" s="362">
        <v>0</v>
      </c>
      <c r="Q96" s="365">
        <v>0</v>
      </c>
      <c r="S96" s="688">
        <f>+IF(MAYO!S96=0,"",MAYO!S96)</f>
        <v>1020302</v>
      </c>
      <c r="T96" s="664" t="str">
        <f>+IF(MAYO!T96=0,"",MAYO!T96)</f>
        <v>Contribuciones - Otros</v>
      </c>
      <c r="U96" s="27">
        <f t="shared" ref="U96:AJ96" si="102">SUM(U97:U101)</f>
        <v>1724011237</v>
      </c>
      <c r="V96" s="15">
        <f t="shared" si="102"/>
        <v>0</v>
      </c>
      <c r="W96" s="15">
        <f t="shared" si="102"/>
        <v>0</v>
      </c>
      <c r="X96" s="18">
        <f t="shared" si="102"/>
        <v>1724011237</v>
      </c>
      <c r="Y96" s="19">
        <f t="shared" si="102"/>
        <v>34777840</v>
      </c>
      <c r="Z96" s="142">
        <f t="shared" si="102"/>
        <v>10741760</v>
      </c>
      <c r="AA96" s="18">
        <f t="shared" si="102"/>
        <v>45519600</v>
      </c>
      <c r="AB96" s="19">
        <f t="shared" si="102"/>
        <v>34777840</v>
      </c>
      <c r="AC96" s="142">
        <f t="shared" si="102"/>
        <v>10741760</v>
      </c>
      <c r="AD96" s="18">
        <f t="shared" si="102"/>
        <v>45519600</v>
      </c>
      <c r="AE96" s="19">
        <f t="shared" si="102"/>
        <v>27599920</v>
      </c>
      <c r="AF96" s="142">
        <f t="shared" si="102"/>
        <v>7177920</v>
      </c>
      <c r="AG96" s="18">
        <f t="shared" si="102"/>
        <v>34777840</v>
      </c>
      <c r="AH96" s="19">
        <f t="shared" si="102"/>
        <v>1678491637</v>
      </c>
      <c r="AI96" s="15">
        <f t="shared" si="102"/>
        <v>1678491637</v>
      </c>
      <c r="AJ96" s="16">
        <f t="shared" si="102"/>
        <v>1689233397</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c r="A97" s="721" t="str">
        <f>+IF(MAYO!A97=0,"",MAYO!A97)</f>
        <v>11303-3</v>
      </c>
      <c r="B97" s="602" t="str">
        <f>+IF(MAYO!B97=0,"",MAYO!B97)</f>
        <v>CONVENIOS CON EL MUNICIPIO NO LIGADOS A LA VENTA DE SERVICIOS</v>
      </c>
      <c r="C97" s="654">
        <f>+ENERO!C97</f>
        <v>0</v>
      </c>
      <c r="D97" s="363">
        <f>MAYO!D97+JUNIO!P97</f>
        <v>0</v>
      </c>
      <c r="E97" s="363">
        <f>MAYO!E97+JUNIO!Q97</f>
        <v>0</v>
      </c>
      <c r="F97" s="363">
        <f t="shared" si="97"/>
        <v>0</v>
      </c>
      <c r="G97" s="363">
        <f>MAYO!I97</f>
        <v>0</v>
      </c>
      <c r="H97" s="364">
        <v>0</v>
      </c>
      <c r="I97" s="363">
        <f t="shared" si="98"/>
        <v>0</v>
      </c>
      <c r="J97" s="363">
        <f>MAYO!L97</f>
        <v>0</v>
      </c>
      <c r="K97" s="364">
        <v>0</v>
      </c>
      <c r="L97" s="363">
        <f t="shared" si="99"/>
        <v>0</v>
      </c>
      <c r="M97" s="363">
        <f t="shared" si="100"/>
        <v>0</v>
      </c>
      <c r="N97" s="143">
        <f t="shared" si="101"/>
        <v>0</v>
      </c>
      <c r="O97" s="372"/>
      <c r="P97" s="362">
        <v>0</v>
      </c>
      <c r="Q97" s="365">
        <v>0</v>
      </c>
      <c r="R97" s="30"/>
      <c r="S97" s="689" t="str">
        <f>+IF(MAYO!S97=0,"",MAYO!S97)</f>
        <v>1020302-1</v>
      </c>
      <c r="T97" s="665" t="str">
        <f>+IF(MAYO!T97=0,"",MAYO!T97)</f>
        <v>Aportes a E.P.S. - recursos propios</v>
      </c>
      <c r="U97" s="27">
        <f>+ENERO!U97</f>
        <v>383898492</v>
      </c>
      <c r="V97" s="15">
        <f>MAYO!V97+JUNIO!AL97</f>
        <v>0</v>
      </c>
      <c r="W97" s="15">
        <f>MAYO!W97+JUNIO!AM97</f>
        <v>0</v>
      </c>
      <c r="X97" s="18">
        <f t="shared" ref="X97:X102" si="103">SUM(U97:W97)</f>
        <v>383898492</v>
      </c>
      <c r="Y97" s="19">
        <f>MAYO!AA97</f>
        <v>0</v>
      </c>
      <c r="Z97" s="364">
        <v>0</v>
      </c>
      <c r="AA97" s="18">
        <f t="shared" ref="AA97:AA102" si="104">SUM(Y97:Z97)</f>
        <v>0</v>
      </c>
      <c r="AB97" s="19">
        <f>MAYO!AD97</f>
        <v>0</v>
      </c>
      <c r="AC97" s="364">
        <v>0</v>
      </c>
      <c r="AD97" s="18">
        <f t="shared" ref="AD97:AD102" si="105">SUM(AB97:AC97)</f>
        <v>0</v>
      </c>
      <c r="AE97" s="19">
        <f>MAYO!AG97</f>
        <v>0</v>
      </c>
      <c r="AF97" s="364">
        <v>0</v>
      </c>
      <c r="AG97" s="18">
        <f t="shared" ref="AG97:AG102" si="106">SUM(AE97:AF97)</f>
        <v>0</v>
      </c>
      <c r="AH97" s="19">
        <f t="shared" ref="AH97:AH102" si="107">X97-AA97</f>
        <v>383898492</v>
      </c>
      <c r="AI97" s="15">
        <f t="shared" ref="AI97:AI102" si="108">X97-AD97</f>
        <v>383898492</v>
      </c>
      <c r="AJ97" s="16">
        <f t="shared" ref="AJ97:AJ102" si="109">X97-AG97</f>
        <v>383898492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+IF(MAYO!A98=0,"",MAYO!A98)</f>
        <v>11303-4</v>
      </c>
      <c r="B98" s="602" t="str">
        <f>+IF(MAYO!B98=0,"",MAYO!B98)</f>
        <v>OTROS CONVENIOS NO LIGADOS A LA VENTA DE SERVICIOS</v>
      </c>
      <c r="C98" s="654">
        <f>+ENERO!C98</f>
        <v>0</v>
      </c>
      <c r="D98" s="363">
        <f>MAYO!D98+JUNIO!P98</f>
        <v>0</v>
      </c>
      <c r="E98" s="363">
        <f>MAYO!E98+JUNIO!Q98</f>
        <v>0</v>
      </c>
      <c r="F98" s="363">
        <f t="shared" si="97"/>
        <v>0</v>
      </c>
      <c r="G98" s="363">
        <f>MAYO!I98</f>
        <v>0</v>
      </c>
      <c r="H98" s="364">
        <v>0</v>
      </c>
      <c r="I98" s="363">
        <f t="shared" si="98"/>
        <v>0</v>
      </c>
      <c r="J98" s="363">
        <f>MAYO!L98</f>
        <v>0</v>
      </c>
      <c r="K98" s="364">
        <v>0</v>
      </c>
      <c r="L98" s="363">
        <f t="shared" si="99"/>
        <v>0</v>
      </c>
      <c r="M98" s="363">
        <f t="shared" si="100"/>
        <v>0</v>
      </c>
      <c r="N98" s="143">
        <f t="shared" si="101"/>
        <v>0</v>
      </c>
      <c r="O98" s="372"/>
      <c r="P98" s="362">
        <v>0</v>
      </c>
      <c r="Q98" s="365">
        <v>0</v>
      </c>
      <c r="R98" s="30"/>
      <c r="S98" s="689" t="str">
        <f>+IF(MAYO!S98=0,"",MAYO!S98)</f>
        <v>1020302-2</v>
      </c>
      <c r="T98" s="665" t="str">
        <f>+IF(MAYO!T98=0,"",MAYO!T98)</f>
        <v>Aportes Fondos Pensionales - recursos propios</v>
      </c>
      <c r="U98" s="27">
        <f>+ENERO!U98</f>
        <v>555127711</v>
      </c>
      <c r="V98" s="15">
        <f>MAYO!V98+JUNIO!AL98</f>
        <v>0</v>
      </c>
      <c r="W98" s="15">
        <f>MAYO!W98+JUNIO!AM98</f>
        <v>0</v>
      </c>
      <c r="X98" s="18">
        <f t="shared" si="103"/>
        <v>555127711</v>
      </c>
      <c r="Y98" s="19">
        <f>MAYO!AA98</f>
        <v>0</v>
      </c>
      <c r="Z98" s="364">
        <v>0</v>
      </c>
      <c r="AA98" s="18">
        <f t="shared" si="104"/>
        <v>0</v>
      </c>
      <c r="AB98" s="19">
        <f>MAYO!AD98</f>
        <v>0</v>
      </c>
      <c r="AC98" s="364">
        <v>0</v>
      </c>
      <c r="AD98" s="18">
        <f t="shared" si="105"/>
        <v>0</v>
      </c>
      <c r="AE98" s="19">
        <f>MAYO!AG98</f>
        <v>0</v>
      </c>
      <c r="AF98" s="364">
        <v>0</v>
      </c>
      <c r="AG98" s="18">
        <f t="shared" si="106"/>
        <v>0</v>
      </c>
      <c r="AH98" s="19">
        <f t="shared" si="107"/>
        <v>555127711</v>
      </c>
      <c r="AI98" s="15">
        <f t="shared" si="108"/>
        <v>555127711</v>
      </c>
      <c r="AJ98" s="16">
        <f t="shared" si="109"/>
        <v>555127711</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+IF(MAYO!A99=0,"",MAYO!A99)</f>
        <v>11303-5</v>
      </c>
      <c r="B99" s="602" t="str">
        <f>+IF(MAYO!B99=0,"",MAYO!B99)</f>
        <v>RECURSOS PARA PROGRAMA DE SANEAMIENTO FINANCIERO</v>
      </c>
      <c r="C99" s="654">
        <f>+ENERO!C99</f>
        <v>0</v>
      </c>
      <c r="D99" s="363">
        <f>MAYO!D99+JUNIO!P99</f>
        <v>0</v>
      </c>
      <c r="E99" s="363">
        <f>MAYO!E99+JUNIO!Q99</f>
        <v>0</v>
      </c>
      <c r="F99" s="363">
        <f t="shared" si="97"/>
        <v>0</v>
      </c>
      <c r="G99" s="363">
        <f>MAYO!I99</f>
        <v>0</v>
      </c>
      <c r="H99" s="364">
        <v>0</v>
      </c>
      <c r="I99" s="363">
        <f t="shared" si="98"/>
        <v>0</v>
      </c>
      <c r="J99" s="363">
        <f>MAYO!L99</f>
        <v>0</v>
      </c>
      <c r="K99" s="364">
        <v>0</v>
      </c>
      <c r="L99" s="363">
        <f t="shared" si="99"/>
        <v>0</v>
      </c>
      <c r="M99" s="363">
        <f t="shared" si="100"/>
        <v>0</v>
      </c>
      <c r="N99" s="143">
        <f t="shared" si="101"/>
        <v>0</v>
      </c>
      <c r="O99" s="372"/>
      <c r="P99" s="362">
        <v>0</v>
      </c>
      <c r="Q99" s="365">
        <v>0</v>
      </c>
      <c r="R99" s="30"/>
      <c r="S99" s="689" t="str">
        <f>+IF(MAYO!S99=0,"",MAYO!S99)</f>
        <v>1020302-3</v>
      </c>
      <c r="T99" s="665" t="str">
        <f>+IF(MAYO!T99=0,"",MAYO!T99)</f>
        <v>Aportes a Fondos de Cesantia - recursos propios</v>
      </c>
      <c r="U99" s="27">
        <f>+ENERO!U99</f>
        <v>326426572</v>
      </c>
      <c r="V99" s="15">
        <f>MAYO!V99+JUNIO!AL99</f>
        <v>0</v>
      </c>
      <c r="W99" s="15">
        <f>MAYO!W99+JUNIO!AM99</f>
        <v>0</v>
      </c>
      <c r="X99" s="18">
        <f t="shared" si="103"/>
        <v>326426572</v>
      </c>
      <c r="Y99" s="19">
        <f>MAYO!AA99</f>
        <v>0</v>
      </c>
      <c r="Z99" s="364">
        <v>0</v>
      </c>
      <c r="AA99" s="18">
        <f t="shared" si="104"/>
        <v>0</v>
      </c>
      <c r="AB99" s="19">
        <f>MAYO!AD99</f>
        <v>0</v>
      </c>
      <c r="AC99" s="364">
        <v>0</v>
      </c>
      <c r="AD99" s="18">
        <f t="shared" si="105"/>
        <v>0</v>
      </c>
      <c r="AE99" s="19">
        <f>MAYO!AG99</f>
        <v>0</v>
      </c>
      <c r="AF99" s="364">
        <v>0</v>
      </c>
      <c r="AG99" s="18">
        <f t="shared" si="106"/>
        <v>0</v>
      </c>
      <c r="AH99" s="19">
        <f t="shared" si="107"/>
        <v>326426572</v>
      </c>
      <c r="AI99" s="15">
        <f t="shared" si="108"/>
        <v>326426572</v>
      </c>
      <c r="AJ99" s="16">
        <f t="shared" si="109"/>
        <v>326426572</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+IF(MAYO!A100=0,"",MAYO!A100)</f>
        <v>11303-6</v>
      </c>
      <c r="B100" s="602" t="str">
        <f>+IF(MAYO!B100=0,"",MAYO!B100)</f>
        <v/>
      </c>
      <c r="C100" s="654">
        <f>+ENERO!C100</f>
        <v>0</v>
      </c>
      <c r="D100" s="363">
        <f>MAYO!D100+JUNIO!P100</f>
        <v>0</v>
      </c>
      <c r="E100" s="363">
        <f>MAYO!E100+JUNIO!Q100</f>
        <v>0</v>
      </c>
      <c r="F100" s="363">
        <f t="shared" si="97"/>
        <v>0</v>
      </c>
      <c r="G100" s="363">
        <f>MAYO!I100</f>
        <v>0</v>
      </c>
      <c r="H100" s="364">
        <v>0</v>
      </c>
      <c r="I100" s="363">
        <f t="shared" si="98"/>
        <v>0</v>
      </c>
      <c r="J100" s="363">
        <f>MAYO!L100</f>
        <v>0</v>
      </c>
      <c r="K100" s="364">
        <v>0</v>
      </c>
      <c r="L100" s="363">
        <f t="shared" si="99"/>
        <v>0</v>
      </c>
      <c r="M100" s="363">
        <f t="shared" si="100"/>
        <v>0</v>
      </c>
      <c r="N100" s="143">
        <f t="shared" si="101"/>
        <v>0</v>
      </c>
      <c r="P100" s="362">
        <v>0</v>
      </c>
      <c r="Q100" s="365">
        <v>0</v>
      </c>
      <c r="R100" s="9"/>
      <c r="S100" s="689" t="str">
        <f>+IF(MAYO!S100=0,"",MAYO!S100)</f>
        <v>1020302-4</v>
      </c>
      <c r="T100" s="665" t="str">
        <f>+IF(MAYO!T100=0,"",MAYO!T100)</f>
        <v>Aporte a ARL. - recursos propios</v>
      </c>
      <c r="U100" s="27">
        <f>+ENERO!U100</f>
        <v>121324579</v>
      </c>
      <c r="V100" s="15">
        <f>MAYO!V100+JUNIO!AL100</f>
        <v>0</v>
      </c>
      <c r="W100" s="15">
        <f>MAYO!W100+JUNIO!AM100</f>
        <v>0</v>
      </c>
      <c r="X100" s="18">
        <f t="shared" si="103"/>
        <v>121324579</v>
      </c>
      <c r="Y100" s="19">
        <f>MAYO!AA100</f>
        <v>0</v>
      </c>
      <c r="Z100" s="364">
        <v>0</v>
      </c>
      <c r="AA100" s="18">
        <f t="shared" si="104"/>
        <v>0</v>
      </c>
      <c r="AB100" s="19">
        <f>MAYO!AD100</f>
        <v>0</v>
      </c>
      <c r="AC100" s="364">
        <v>0</v>
      </c>
      <c r="AD100" s="18">
        <f t="shared" si="105"/>
        <v>0</v>
      </c>
      <c r="AE100" s="19">
        <f>MAYO!AG100</f>
        <v>0</v>
      </c>
      <c r="AF100" s="364">
        <v>0</v>
      </c>
      <c r="AG100" s="18">
        <f t="shared" si="106"/>
        <v>0</v>
      </c>
      <c r="AH100" s="19">
        <f t="shared" si="107"/>
        <v>121324579</v>
      </c>
      <c r="AI100" s="15">
        <f t="shared" si="108"/>
        <v>121324579</v>
      </c>
      <c r="AJ100" s="16">
        <f t="shared" si="109"/>
        <v>121324579</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+IF(MAYO!A101=0,"",MAYO!A101)</f>
        <v>11303-7</v>
      </c>
      <c r="B101" s="602" t="str">
        <f>+IF(MAYO!B101=0,"",MAYO!B101)</f>
        <v/>
      </c>
      <c r="C101" s="654">
        <f>+ENERO!C101</f>
        <v>0</v>
      </c>
      <c r="D101" s="363">
        <f>MAYO!D101+JUNIO!P101</f>
        <v>0</v>
      </c>
      <c r="E101" s="363">
        <f>MAYO!E101+JUNIO!Q101</f>
        <v>0</v>
      </c>
      <c r="F101" s="363">
        <f t="shared" si="97"/>
        <v>0</v>
      </c>
      <c r="G101" s="363">
        <f>MAYO!I101</f>
        <v>0</v>
      </c>
      <c r="H101" s="364">
        <v>0</v>
      </c>
      <c r="I101" s="363">
        <f t="shared" si="98"/>
        <v>0</v>
      </c>
      <c r="J101" s="363">
        <f>MAYO!L101</f>
        <v>0</v>
      </c>
      <c r="K101" s="364">
        <v>0</v>
      </c>
      <c r="L101" s="363">
        <f t="shared" si="99"/>
        <v>0</v>
      </c>
      <c r="M101" s="363">
        <f t="shared" si="100"/>
        <v>0</v>
      </c>
      <c r="N101" s="143">
        <f t="shared" si="101"/>
        <v>0</v>
      </c>
      <c r="P101" s="362">
        <v>0</v>
      </c>
      <c r="Q101" s="365">
        <v>0</v>
      </c>
      <c r="R101" s="9"/>
      <c r="S101" s="689" t="str">
        <f>+IF(MAYO!S101=0,"",MAYO!S101)</f>
        <v>1020302-5</v>
      </c>
      <c r="T101" s="665" t="str">
        <f>+IF(MAYO!T101=0,"",MAYO!T101)</f>
        <v>Aporte a Caja Compensación Familiar</v>
      </c>
      <c r="U101" s="27">
        <f>+ENERO!U101</f>
        <v>337233883</v>
      </c>
      <c r="V101" s="15">
        <f>MAYO!V101+JUNIO!AL101</f>
        <v>0</v>
      </c>
      <c r="W101" s="15">
        <f>MAYO!W101+JUNIO!AM101</f>
        <v>0</v>
      </c>
      <c r="X101" s="18">
        <f t="shared" si="103"/>
        <v>337233883</v>
      </c>
      <c r="Y101" s="19">
        <f>MAYO!AA101</f>
        <v>34777840</v>
      </c>
      <c r="Z101" s="364">
        <v>10741760</v>
      </c>
      <c r="AA101" s="18">
        <f t="shared" si="104"/>
        <v>45519600</v>
      </c>
      <c r="AB101" s="19">
        <f>MAYO!AD101</f>
        <v>34777840</v>
      </c>
      <c r="AC101" s="364">
        <v>10741760</v>
      </c>
      <c r="AD101" s="18">
        <f t="shared" si="105"/>
        <v>45519600</v>
      </c>
      <c r="AE101" s="19">
        <f>MAYO!AG101</f>
        <v>27599920</v>
      </c>
      <c r="AF101" s="364">
        <v>7177920</v>
      </c>
      <c r="AG101" s="18">
        <f t="shared" si="106"/>
        <v>34777840</v>
      </c>
      <c r="AH101" s="19">
        <f t="shared" si="107"/>
        <v>291714283</v>
      </c>
      <c r="AI101" s="15">
        <f t="shared" si="108"/>
        <v>291714283</v>
      </c>
      <c r="AJ101" s="16">
        <f t="shared" si="109"/>
        <v>302456043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+IF(MAYO!A102=0,"",MAYO!A102)</f>
        <v>11303-8</v>
      </c>
      <c r="B102" s="611" t="str">
        <f>+IF(MAYO!B102=0,"",MAYO!B102)</f>
        <v>Vigencia Anterior</v>
      </c>
      <c r="C102" s="760">
        <f>+ENERO!C102</f>
        <v>0</v>
      </c>
      <c r="D102" s="375">
        <f>MAYO!D102+JUNIO!P102</f>
        <v>0</v>
      </c>
      <c r="E102" s="375">
        <f>MAYO!E102+JUNIO!Q102</f>
        <v>0</v>
      </c>
      <c r="F102" s="375">
        <f t="shared" si="97"/>
        <v>0</v>
      </c>
      <c r="G102" s="375">
        <f>MAYO!I102</f>
        <v>0</v>
      </c>
      <c r="H102" s="378">
        <v>0</v>
      </c>
      <c r="I102" s="375">
        <f t="shared" si="98"/>
        <v>0</v>
      </c>
      <c r="J102" s="375">
        <f>MAYO!L102</f>
        <v>0</v>
      </c>
      <c r="K102" s="378">
        <v>0</v>
      </c>
      <c r="L102" s="375">
        <f t="shared" si="99"/>
        <v>0</v>
      </c>
      <c r="M102" s="375">
        <f t="shared" si="100"/>
        <v>0</v>
      </c>
      <c r="N102" s="376">
        <f t="shared" si="101"/>
        <v>0</v>
      </c>
      <c r="P102" s="362">
        <v>0</v>
      </c>
      <c r="Q102" s="365">
        <v>0</v>
      </c>
      <c r="R102" s="9"/>
      <c r="S102" s="688">
        <f>+IF(MAYO!S102=0,"",MAYO!S102)</f>
        <v>1020399</v>
      </c>
      <c r="T102" s="664" t="str">
        <f>+IF(MAYO!T102=0,"",MAYO!T102)</f>
        <v>Vigencias Anteriores</v>
      </c>
      <c r="U102" s="27">
        <f>+ENERO!U102</f>
        <v>172000000</v>
      </c>
      <c r="V102" s="15">
        <f>MAYO!V102+JUNIO!AL102</f>
        <v>6501068</v>
      </c>
      <c r="W102" s="15">
        <f>MAYO!W102+JUNIO!AM102</f>
        <v>13182074</v>
      </c>
      <c r="X102" s="18">
        <f t="shared" si="103"/>
        <v>191683142</v>
      </c>
      <c r="Y102" s="19">
        <f>MAYO!AA102</f>
        <v>191683142</v>
      </c>
      <c r="Z102" s="364">
        <v>0</v>
      </c>
      <c r="AA102" s="18">
        <f t="shared" si="104"/>
        <v>191683142</v>
      </c>
      <c r="AB102" s="19">
        <f>MAYO!AD102</f>
        <v>191683142</v>
      </c>
      <c r="AC102" s="364">
        <v>0</v>
      </c>
      <c r="AD102" s="18">
        <f t="shared" si="105"/>
        <v>191683142</v>
      </c>
      <c r="AE102" s="19">
        <f>MAYO!AG102</f>
        <v>191683142</v>
      </c>
      <c r="AF102" s="364">
        <v>0</v>
      </c>
      <c r="AG102" s="1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+IF(MAYO!A103=0,"",MAYO!A103)</f>
        <v/>
      </c>
      <c r="B103" s="636" t="str">
        <f>+IF(MAYO!B103=0,"",MAYO!B103)</f>
        <v/>
      </c>
      <c r="C103" s="470"/>
      <c r="D103" s="470"/>
      <c r="E103" s="470"/>
      <c r="F103" s="470"/>
      <c r="G103" s="470"/>
      <c r="H103" s="470"/>
      <c r="I103" s="470"/>
      <c r="J103" s="470"/>
      <c r="K103" s="470"/>
      <c r="L103" s="470"/>
      <c r="M103" s="470"/>
      <c r="N103" s="471"/>
      <c r="P103" s="472"/>
      <c r="Q103" s="471"/>
      <c r="R103" s="9"/>
      <c r="S103" s="356" t="str">
        <f>+IF(MAYO!S103=0,"",MAYO!S103)</f>
        <v/>
      </c>
      <c r="T103" s="678" t="str">
        <f>+IF(MAYO!T103=0,"",MAYO!T103)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+IF(MAYO!A104=0,"",MAYO!A104)</f>
        <v>11304</v>
      </c>
      <c r="B104" s="601" t="str">
        <f>+IF(MAYO!B104=0,"",MAYO!B104)</f>
        <v>Otros ingresos corrientes</v>
      </c>
      <c r="C104" s="600">
        <f>SUM(C105:C111)</f>
        <v>98172123</v>
      </c>
      <c r="D104" s="598">
        <f t="shared" ref="D104:N104" si="110">SUM(D105:D111)</f>
        <v>0</v>
      </c>
      <c r="E104" s="598">
        <f t="shared" si="110"/>
        <v>0</v>
      </c>
      <c r="F104" s="598">
        <f t="shared" si="110"/>
        <v>98172123</v>
      </c>
      <c r="G104" s="598">
        <f t="shared" si="110"/>
        <v>53141171</v>
      </c>
      <c r="H104" s="598">
        <f t="shared" si="110"/>
        <v>9215370</v>
      </c>
      <c r="I104" s="598">
        <f t="shared" si="110"/>
        <v>62356541</v>
      </c>
      <c r="J104" s="598">
        <f t="shared" si="110"/>
        <v>16301581</v>
      </c>
      <c r="K104" s="598">
        <f t="shared" si="110"/>
        <v>1234292</v>
      </c>
      <c r="L104" s="598">
        <f t="shared" si="110"/>
        <v>17535873</v>
      </c>
      <c r="M104" s="598">
        <f t="shared" si="110"/>
        <v>35815582</v>
      </c>
      <c r="N104" s="599">
        <f t="shared" si="110"/>
        <v>80636250</v>
      </c>
      <c r="P104" s="43">
        <f>SUM(P105:P111)</f>
        <v>0</v>
      </c>
      <c r="Q104" s="45">
        <f>SUM(Q105:Q111)</f>
        <v>0</v>
      </c>
      <c r="R104" s="9"/>
      <c r="S104" s="687">
        <f>+IF(MAYO!S104=0,"",MAYO!S104)</f>
        <v>1020400</v>
      </c>
      <c r="T104" s="663" t="str">
        <f>+IF(MAYO!T104=0,"",MAYO!T104)</f>
        <v>Contribuciones Inherentes nómina del Sector Publico</v>
      </c>
      <c r="U104" s="132">
        <f t="shared" ref="U104:AJ104" si="111">U105+U108</f>
        <v>421542354</v>
      </c>
      <c r="V104" s="122">
        <f t="shared" si="111"/>
        <v>0</v>
      </c>
      <c r="W104" s="122">
        <f t="shared" si="111"/>
        <v>0</v>
      </c>
      <c r="X104" s="129">
        <f t="shared" si="111"/>
        <v>421542354</v>
      </c>
      <c r="Y104" s="128">
        <f t="shared" si="111"/>
        <v>43472300</v>
      </c>
      <c r="Z104" s="122">
        <f t="shared" si="111"/>
        <v>13427200</v>
      </c>
      <c r="AA104" s="129">
        <f t="shared" si="111"/>
        <v>56899500</v>
      </c>
      <c r="AB104" s="128">
        <f t="shared" si="111"/>
        <v>43472300</v>
      </c>
      <c r="AC104" s="122">
        <f t="shared" si="111"/>
        <v>13427200</v>
      </c>
      <c r="AD104" s="129">
        <f t="shared" si="111"/>
        <v>56899500</v>
      </c>
      <c r="AE104" s="128">
        <f t="shared" si="111"/>
        <v>34499900</v>
      </c>
      <c r="AF104" s="122">
        <f t="shared" si="111"/>
        <v>8972400</v>
      </c>
      <c r="AG104" s="129">
        <f t="shared" si="111"/>
        <v>43472300</v>
      </c>
      <c r="AH104" s="128">
        <f t="shared" si="111"/>
        <v>364642854</v>
      </c>
      <c r="AI104" s="122">
        <f t="shared" si="111"/>
        <v>364642854</v>
      </c>
      <c r="AJ104" s="130">
        <f t="shared" si="111"/>
        <v>378070054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+IF(MAYO!A105=0,"",MAYO!A105)</f>
        <v>11304-1</v>
      </c>
      <c r="B105" s="602" t="str">
        <f>+IF(MAYO!B105=0,"",MAYO!B105)</f>
        <v>ARRENDAMIENTO Y ALQUILER DE BIENES MUEBLES E INMUEBLES</v>
      </c>
      <c r="C105" s="654">
        <f>+ENERO!C105</f>
        <v>35952047</v>
      </c>
      <c r="D105" s="363">
        <f>MAYO!D105+JUNIO!P105</f>
        <v>0</v>
      </c>
      <c r="E105" s="363">
        <f>MAYO!E105+JUNIO!Q105</f>
        <v>0</v>
      </c>
      <c r="F105" s="363">
        <f t="shared" ref="F105:F111" si="112">SUM(C105:E105)</f>
        <v>35952047</v>
      </c>
      <c r="G105" s="363">
        <f>MAYO!I105</f>
        <v>44729100</v>
      </c>
      <c r="H105" s="364">
        <v>8945820</v>
      </c>
      <c r="I105" s="363">
        <f t="shared" ref="I105:I111" si="113">SUM(G105:H105)</f>
        <v>53674920</v>
      </c>
      <c r="J105" s="363">
        <f>MAYO!L105</f>
        <v>7889510</v>
      </c>
      <c r="K105" s="364">
        <v>964742</v>
      </c>
      <c r="L105" s="363">
        <f t="shared" ref="L105:L111" si="114">SUM(J105:K105)</f>
        <v>8854252</v>
      </c>
      <c r="M105" s="363">
        <f t="shared" ref="M105:M111" si="115">F105-I105</f>
        <v>-17722873</v>
      </c>
      <c r="N105" s="143">
        <f t="shared" ref="N105:N111" si="116">F105-L105</f>
        <v>27097795</v>
      </c>
      <c r="P105" s="362">
        <v>0</v>
      </c>
      <c r="Q105" s="365">
        <v>0</v>
      </c>
      <c r="R105" s="9"/>
      <c r="S105" s="688">
        <f>+IF(MAYO!S105=0,"",MAYO!S105)</f>
        <v>1020402</v>
      </c>
      <c r="T105" s="664" t="str">
        <f>+IF(MAYO!T105=0,"",MAYO!T105)</f>
        <v>Contribuciones - Otros</v>
      </c>
      <c r="U105" s="27">
        <f t="shared" ref="U105:AJ105" si="117">SUM(U106:U107)</f>
        <v>421542354</v>
      </c>
      <c r="V105" s="15">
        <f t="shared" si="117"/>
        <v>0</v>
      </c>
      <c r="W105" s="15">
        <f t="shared" si="117"/>
        <v>0</v>
      </c>
      <c r="X105" s="18">
        <f t="shared" si="117"/>
        <v>421542354</v>
      </c>
      <c r="Y105" s="19">
        <f t="shared" si="117"/>
        <v>43472300</v>
      </c>
      <c r="Z105" s="142">
        <f t="shared" si="117"/>
        <v>13427200</v>
      </c>
      <c r="AA105" s="18">
        <f t="shared" si="117"/>
        <v>56899500</v>
      </c>
      <c r="AB105" s="19">
        <f t="shared" si="117"/>
        <v>43472300</v>
      </c>
      <c r="AC105" s="142">
        <f t="shared" si="117"/>
        <v>13427200</v>
      </c>
      <c r="AD105" s="18">
        <f t="shared" si="117"/>
        <v>56899500</v>
      </c>
      <c r="AE105" s="19">
        <f t="shared" si="117"/>
        <v>34499900</v>
      </c>
      <c r="AF105" s="142">
        <f t="shared" si="117"/>
        <v>8972400</v>
      </c>
      <c r="AG105" s="18">
        <f t="shared" si="117"/>
        <v>43472300</v>
      </c>
      <c r="AH105" s="19">
        <f t="shared" si="117"/>
        <v>364642854</v>
      </c>
      <c r="AI105" s="15">
        <f t="shared" si="117"/>
        <v>364642854</v>
      </c>
      <c r="AJ105" s="16">
        <f t="shared" si="117"/>
        <v>378070054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+IF(MAYO!A106=0,"",MAYO!A106)</f>
        <v>11304-2</v>
      </c>
      <c r="B106" s="603" t="str">
        <f>+IF(MAYO!B106=0,"",MAYO!B106)</f>
        <v>COMERCIALIZACIÓN DE MERCANCÍAS</v>
      </c>
      <c r="C106" s="654">
        <f>+ENERO!C106</f>
        <v>0</v>
      </c>
      <c r="D106" s="363">
        <f>MAYO!D106+JUNIO!P106</f>
        <v>0</v>
      </c>
      <c r="E106" s="363">
        <f>MAYO!E106+JUNIO!Q106</f>
        <v>0</v>
      </c>
      <c r="F106" s="363">
        <f t="shared" si="112"/>
        <v>0</v>
      </c>
      <c r="G106" s="363">
        <f>MAYO!I106</f>
        <v>0</v>
      </c>
      <c r="H106" s="364">
        <v>0</v>
      </c>
      <c r="I106" s="363">
        <f t="shared" si="113"/>
        <v>0</v>
      </c>
      <c r="J106" s="363">
        <f>MAYO!L106</f>
        <v>0</v>
      </c>
      <c r="K106" s="364">
        <v>0</v>
      </c>
      <c r="L106" s="363">
        <f t="shared" si="114"/>
        <v>0</v>
      </c>
      <c r="M106" s="363">
        <f t="shared" si="115"/>
        <v>0</v>
      </c>
      <c r="N106" s="143">
        <f t="shared" si="116"/>
        <v>0</v>
      </c>
      <c r="P106" s="362">
        <v>0</v>
      </c>
      <c r="Q106" s="365">
        <v>0</v>
      </c>
      <c r="R106" s="9"/>
      <c r="S106" s="689" t="str">
        <f>+IF(MAYO!S106=0,"",MAYO!S106)</f>
        <v>1020402-1</v>
      </c>
      <c r="T106" s="664" t="str">
        <f>+IF(MAYO!T106=0,"",MAYO!T106)</f>
        <v>S.E.N.A.</v>
      </c>
      <c r="U106" s="27">
        <f>+ENERO!U106</f>
        <v>168616942</v>
      </c>
      <c r="V106" s="15">
        <f>MAYO!V106+JUNIO!AL106</f>
        <v>0</v>
      </c>
      <c r="W106" s="15">
        <f>MAYO!W106+JUNIO!AM106</f>
        <v>0</v>
      </c>
      <c r="X106" s="18">
        <f>SUM(U106:W106)</f>
        <v>168616942</v>
      </c>
      <c r="Y106" s="19">
        <f>MAYO!AA106</f>
        <v>17388920</v>
      </c>
      <c r="Z106" s="364">
        <v>5370880</v>
      </c>
      <c r="AA106" s="18">
        <f>SUM(Y106:Z106)</f>
        <v>22759800</v>
      </c>
      <c r="AB106" s="19">
        <f>MAYO!AD106</f>
        <v>17388920</v>
      </c>
      <c r="AC106" s="364">
        <v>5370880</v>
      </c>
      <c r="AD106" s="18">
        <f>SUM(AB106:AC106)</f>
        <v>22759800</v>
      </c>
      <c r="AE106" s="19">
        <f>MAYO!AG106</f>
        <v>13799960</v>
      </c>
      <c r="AF106" s="364">
        <v>3588960</v>
      </c>
      <c r="AG106" s="18">
        <f>SUM(AE106:AF106)</f>
        <v>17388920</v>
      </c>
      <c r="AH106" s="19">
        <f>X106-AA106</f>
        <v>145857142</v>
      </c>
      <c r="AI106" s="15">
        <f>X106-AD106</f>
        <v>145857142</v>
      </c>
      <c r="AJ106" s="16">
        <f>X106-AG106</f>
        <v>151228022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+IF(MAYO!A107=0,"",MAYO!A107)</f>
        <v>11304-3</v>
      </c>
      <c r="B107" s="602" t="str">
        <f>+IF(MAYO!B107=0,"",MAYO!B107)</f>
        <v>Bienestar Social</v>
      </c>
      <c r="C107" s="654">
        <f>+ENERO!C107</f>
        <v>0</v>
      </c>
      <c r="D107" s="363">
        <f>MAYO!D107+JUNIO!P107</f>
        <v>0</v>
      </c>
      <c r="E107" s="363">
        <f>MAYO!E107+JUNIO!Q107</f>
        <v>0</v>
      </c>
      <c r="F107" s="363">
        <f t="shared" si="112"/>
        <v>0</v>
      </c>
      <c r="G107" s="363">
        <f>MAYO!I107</f>
        <v>0</v>
      </c>
      <c r="H107" s="364">
        <v>0</v>
      </c>
      <c r="I107" s="363">
        <f t="shared" si="113"/>
        <v>0</v>
      </c>
      <c r="J107" s="363">
        <f>MAYO!L107</f>
        <v>0</v>
      </c>
      <c r="K107" s="364">
        <v>0</v>
      </c>
      <c r="L107" s="363">
        <f t="shared" si="114"/>
        <v>0</v>
      </c>
      <c r="M107" s="363">
        <f t="shared" si="115"/>
        <v>0</v>
      </c>
      <c r="N107" s="143">
        <f t="shared" si="116"/>
        <v>0</v>
      </c>
      <c r="P107" s="362">
        <v>0</v>
      </c>
      <c r="Q107" s="365">
        <v>0</v>
      </c>
      <c r="R107" s="9"/>
      <c r="S107" s="689" t="str">
        <f>+IF(MAYO!S107=0,"",MAYO!S107)</f>
        <v>1020402-2</v>
      </c>
      <c r="T107" s="664" t="str">
        <f>+IF(MAYO!T107=0,"",MAYO!T107)</f>
        <v>I.C.B.F.</v>
      </c>
      <c r="U107" s="27">
        <f>+ENERO!U107</f>
        <v>252925412</v>
      </c>
      <c r="V107" s="15">
        <f>MAYO!V107+JUNIO!AL107</f>
        <v>0</v>
      </c>
      <c r="W107" s="15">
        <f>MAYO!W107+JUNIO!AM107</f>
        <v>0</v>
      </c>
      <c r="X107" s="18">
        <f>SUM(U107:W107)</f>
        <v>252925412</v>
      </c>
      <c r="Y107" s="19">
        <f>MAYO!AA107</f>
        <v>26083380</v>
      </c>
      <c r="Z107" s="364">
        <v>8056320</v>
      </c>
      <c r="AA107" s="18">
        <f>SUM(Y107:Z107)</f>
        <v>34139700</v>
      </c>
      <c r="AB107" s="19">
        <f>MAYO!AD107</f>
        <v>26083380</v>
      </c>
      <c r="AC107" s="364">
        <v>8056320</v>
      </c>
      <c r="AD107" s="18">
        <f>SUM(AB107:AC107)</f>
        <v>34139700</v>
      </c>
      <c r="AE107" s="19">
        <f>MAYO!AG107</f>
        <v>20699940</v>
      </c>
      <c r="AF107" s="364">
        <v>5383440</v>
      </c>
      <c r="AG107" s="18">
        <f>SUM(AE107:AF107)</f>
        <v>26083380</v>
      </c>
      <c r="AH107" s="19">
        <f>X107-AA107</f>
        <v>218785712</v>
      </c>
      <c r="AI107" s="15">
        <f>X107-AD107</f>
        <v>218785712</v>
      </c>
      <c r="AJ107" s="16">
        <f>X107-AG107</f>
        <v>226842032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+IF(MAYO!A108=0,"",MAYO!A108)</f>
        <v>11304-4</v>
      </c>
      <c r="B108" s="602" t="str">
        <f>+IF(MAYO!B108=0,"",MAYO!B108)</f>
        <v>Fondo de la Vivienda</v>
      </c>
      <c r="C108" s="654">
        <f>+ENERO!C108</f>
        <v>0</v>
      </c>
      <c r="D108" s="363">
        <f>MAYO!D108+JUNIO!P108</f>
        <v>0</v>
      </c>
      <c r="E108" s="363">
        <f>MAYO!E108+JUNIO!Q108</f>
        <v>0</v>
      </c>
      <c r="F108" s="363">
        <f t="shared" si="112"/>
        <v>0</v>
      </c>
      <c r="G108" s="363">
        <f>MAYO!I108</f>
        <v>0</v>
      </c>
      <c r="H108" s="364">
        <v>0</v>
      </c>
      <c r="I108" s="363">
        <f t="shared" si="113"/>
        <v>0</v>
      </c>
      <c r="J108" s="363">
        <f>MAYO!L108</f>
        <v>0</v>
      </c>
      <c r="K108" s="364">
        <v>0</v>
      </c>
      <c r="L108" s="363">
        <f t="shared" si="114"/>
        <v>0</v>
      </c>
      <c r="M108" s="363">
        <f t="shared" si="115"/>
        <v>0</v>
      </c>
      <c r="N108" s="143">
        <f t="shared" si="116"/>
        <v>0</v>
      </c>
      <c r="P108" s="362">
        <v>0</v>
      </c>
      <c r="Q108" s="365">
        <v>0</v>
      </c>
      <c r="R108" s="9"/>
      <c r="S108" s="688">
        <f>+IF(MAYO!S108=0,"",MAYO!S108)</f>
        <v>1020499</v>
      </c>
      <c r="T108" s="664" t="str">
        <f>+IF(MAYO!T108=0,"",MAYO!T108)</f>
        <v>Vigencias Anteriores</v>
      </c>
      <c r="U108" s="27">
        <f>+ENERO!U108</f>
        <v>0</v>
      </c>
      <c r="V108" s="15">
        <f>MAYO!V108+JUNIO!AL108</f>
        <v>0</v>
      </c>
      <c r="W108" s="15">
        <f>MAYO!W108+JUNIO!AM108</f>
        <v>0</v>
      </c>
      <c r="X108" s="18">
        <f>SUM(U108:W108)</f>
        <v>0</v>
      </c>
      <c r="Y108" s="19">
        <f>MAYO!AA108</f>
        <v>0</v>
      </c>
      <c r="Z108" s="364">
        <v>0</v>
      </c>
      <c r="AA108" s="18">
        <f>SUM(Y108:Z108)</f>
        <v>0</v>
      </c>
      <c r="AB108" s="19">
        <f>MAYO!AD108</f>
        <v>0</v>
      </c>
      <c r="AC108" s="364">
        <v>0</v>
      </c>
      <c r="AD108" s="18">
        <f>SUM(AB108:AC108)</f>
        <v>0</v>
      </c>
      <c r="AE108" s="19">
        <f>MAYO!AG108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+IF(MAYO!A109=0,"",MAYO!A109)</f>
        <v>11304-5</v>
      </c>
      <c r="B109" s="602" t="str">
        <f>+IF(MAYO!B109=0,"",MAYO!B109)</f>
        <v xml:space="preserve">Aprovechamientos </v>
      </c>
      <c r="C109" s="654">
        <f>+ENERO!C109</f>
        <v>62220076</v>
      </c>
      <c r="D109" s="363">
        <f>MAYO!D109+JUNIO!P109</f>
        <v>0</v>
      </c>
      <c r="E109" s="363">
        <f>MAYO!E109+JUNIO!Q109</f>
        <v>0</v>
      </c>
      <c r="F109" s="363">
        <f t="shared" si="112"/>
        <v>62220076</v>
      </c>
      <c r="G109" s="363">
        <f>MAYO!I109</f>
        <v>6206131</v>
      </c>
      <c r="H109" s="364">
        <v>269550</v>
      </c>
      <c r="I109" s="363">
        <f t="shared" si="113"/>
        <v>6475681</v>
      </c>
      <c r="J109" s="363">
        <f>MAYO!L109</f>
        <v>6206131</v>
      </c>
      <c r="K109" s="364">
        <v>269550</v>
      </c>
      <c r="L109" s="363">
        <f t="shared" si="114"/>
        <v>6475681</v>
      </c>
      <c r="M109" s="363">
        <f t="shared" si="115"/>
        <v>55744395</v>
      </c>
      <c r="N109" s="143">
        <f t="shared" si="116"/>
        <v>55744395</v>
      </c>
      <c r="P109" s="362">
        <v>0</v>
      </c>
      <c r="Q109" s="365">
        <v>0</v>
      </c>
      <c r="R109" s="9"/>
      <c r="S109" s="356" t="str">
        <f>+IF(MAYO!S109=0,"",MAYO!S109)</f>
        <v/>
      </c>
      <c r="T109" s="678" t="str">
        <f>+IF(MAYO!T109=0,"",MAYO!T109)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+IF(MAYO!A110=0,"",MAYO!A110)</f>
        <v>11304-6</v>
      </c>
      <c r="B110" s="602" t="str">
        <f>+IF(MAYO!B110=0,"",MAYO!B110)</f>
        <v>Otros</v>
      </c>
      <c r="C110" s="654">
        <f>+ENERO!C110</f>
        <v>0</v>
      </c>
      <c r="D110" s="363">
        <f>MAYO!D110+JUNIO!P110</f>
        <v>0</v>
      </c>
      <c r="E110" s="363">
        <f>MAYO!E110+JUNIO!Q110</f>
        <v>0</v>
      </c>
      <c r="F110" s="363">
        <f t="shared" si="112"/>
        <v>0</v>
      </c>
      <c r="G110" s="363">
        <f>MAYO!I110</f>
        <v>2205940</v>
      </c>
      <c r="H110" s="364">
        <v>0</v>
      </c>
      <c r="I110" s="363">
        <f t="shared" si="113"/>
        <v>2205940</v>
      </c>
      <c r="J110" s="363">
        <f>MAYO!L110</f>
        <v>2205940</v>
      </c>
      <c r="K110" s="364">
        <v>0</v>
      </c>
      <c r="L110" s="363">
        <f t="shared" si="114"/>
        <v>2205940</v>
      </c>
      <c r="M110" s="363">
        <f t="shared" si="115"/>
        <v>-2205940</v>
      </c>
      <c r="N110" s="143">
        <f t="shared" si="116"/>
        <v>-2205940</v>
      </c>
      <c r="P110" s="362">
        <v>0</v>
      </c>
      <c r="Q110" s="365">
        <v>0</v>
      </c>
      <c r="R110" s="9"/>
      <c r="S110" s="686">
        <f>+IF(MAYO!S110=0,"",MAYO!S110)</f>
        <v>2000000</v>
      </c>
      <c r="T110" s="668" t="str">
        <f>+IF(MAYO!T110=0,"",MAYO!T110)</f>
        <v>GASTOS GENERALES</v>
      </c>
      <c r="U110" s="460">
        <f t="shared" ref="U110:AJ110" si="118">U112+U145</f>
        <v>11975719527</v>
      </c>
      <c r="V110" s="461">
        <f t="shared" si="118"/>
        <v>-1323000000</v>
      </c>
      <c r="W110" s="461">
        <f t="shared" si="118"/>
        <v>1950000000</v>
      </c>
      <c r="X110" s="462">
        <f t="shared" si="118"/>
        <v>12602719527</v>
      </c>
      <c r="Y110" s="369">
        <f t="shared" si="118"/>
        <v>9087727814</v>
      </c>
      <c r="Z110" s="461">
        <f t="shared" si="118"/>
        <v>674144400</v>
      </c>
      <c r="AA110" s="462">
        <f t="shared" si="118"/>
        <v>9761872214</v>
      </c>
      <c r="AB110" s="369">
        <f t="shared" si="118"/>
        <v>5900007667</v>
      </c>
      <c r="AC110" s="461">
        <f t="shared" si="118"/>
        <v>951395883</v>
      </c>
      <c r="AD110" s="462">
        <f t="shared" si="118"/>
        <v>6851403550</v>
      </c>
      <c r="AE110" s="369">
        <f t="shared" si="118"/>
        <v>4075562155</v>
      </c>
      <c r="AF110" s="461">
        <f t="shared" si="118"/>
        <v>680154385</v>
      </c>
      <c r="AG110" s="462">
        <f t="shared" si="118"/>
        <v>4755716540</v>
      </c>
      <c r="AH110" s="369">
        <f t="shared" si="118"/>
        <v>2840847313</v>
      </c>
      <c r="AI110" s="461">
        <f t="shared" si="118"/>
        <v>5751315977</v>
      </c>
      <c r="AJ110" s="370">
        <f t="shared" si="118"/>
        <v>7847002987</v>
      </c>
      <c r="AK110" s="10"/>
      <c r="AL110" s="128">
        <f>AL112+AL145</f>
        <v>5000000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+IF(MAYO!A111=0,"",MAYO!A111)</f>
        <v>11304-7</v>
      </c>
      <c r="B111" s="637" t="str">
        <f>+IF(MAYO!B111=0,"",MAYO!B111)</f>
        <v>Vigencia Anterior</v>
      </c>
      <c r="C111" s="760">
        <f>+ENERO!C111</f>
        <v>0</v>
      </c>
      <c r="D111" s="375">
        <f>MAYO!D111+JUNIO!P111</f>
        <v>0</v>
      </c>
      <c r="E111" s="375">
        <f>MAYO!E111+JUNIO!Q111</f>
        <v>0</v>
      </c>
      <c r="F111" s="375">
        <f t="shared" si="112"/>
        <v>0</v>
      </c>
      <c r="G111" s="375">
        <f>MAYO!I111</f>
        <v>0</v>
      </c>
      <c r="H111" s="378">
        <v>0</v>
      </c>
      <c r="I111" s="375">
        <f t="shared" si="113"/>
        <v>0</v>
      </c>
      <c r="J111" s="375">
        <f>MAYO!L111</f>
        <v>0</v>
      </c>
      <c r="K111" s="378">
        <v>0</v>
      </c>
      <c r="L111" s="375">
        <f t="shared" si="114"/>
        <v>0</v>
      </c>
      <c r="M111" s="375">
        <f t="shared" si="115"/>
        <v>0</v>
      </c>
      <c r="N111" s="376">
        <f t="shared" si="116"/>
        <v>0</v>
      </c>
      <c r="P111" s="362">
        <v>0</v>
      </c>
      <c r="Q111" s="365">
        <v>0</v>
      </c>
      <c r="R111" s="9"/>
      <c r="S111" s="356" t="str">
        <f>+IF(MAYO!S111=0,"",MAYO!S111)</f>
        <v/>
      </c>
      <c r="T111" s="678" t="str">
        <f>+IF(MAYO!T111=0,"",MAYO!T111)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+IF(MAYO!A112=0,"",MAYO!A112)</f>
        <v/>
      </c>
      <c r="B112" s="636" t="str">
        <f>+IF(MAYO!B112=0,"",MAYO!B112)</f>
        <v/>
      </c>
      <c r="C112" s="470"/>
      <c r="D112" s="470"/>
      <c r="E112" s="470"/>
      <c r="F112" s="470"/>
      <c r="G112" s="470"/>
      <c r="H112" s="470"/>
      <c r="I112" s="470"/>
      <c r="J112" s="470"/>
      <c r="K112" s="470"/>
      <c r="L112" s="470"/>
      <c r="M112" s="470"/>
      <c r="N112" s="471"/>
      <c r="P112" s="472"/>
      <c r="Q112" s="471"/>
      <c r="R112" s="9"/>
      <c r="S112" s="686">
        <f>+IF(MAYO!S112=0,"",MAYO!S112)</f>
        <v>2010000</v>
      </c>
      <c r="T112" s="662" t="str">
        <f>+IF(MAYO!T112=0,"",MAYO!T112)</f>
        <v>Gastos de Administración</v>
      </c>
      <c r="U112" s="132">
        <f t="shared" ref="U112:AJ112" si="119">U114+U123+U141</f>
        <v>6052082264</v>
      </c>
      <c r="V112" s="122">
        <f t="shared" si="119"/>
        <v>-1615000000</v>
      </c>
      <c r="W112" s="122">
        <f t="shared" si="119"/>
        <v>650000000</v>
      </c>
      <c r="X112" s="129">
        <f t="shared" si="119"/>
        <v>5087082264</v>
      </c>
      <c r="Y112" s="128">
        <f t="shared" si="119"/>
        <v>3511312806</v>
      </c>
      <c r="Z112" s="122">
        <f t="shared" si="119"/>
        <v>216938302</v>
      </c>
      <c r="AA112" s="129">
        <f t="shared" si="119"/>
        <v>3728251108</v>
      </c>
      <c r="AB112" s="128">
        <f t="shared" si="119"/>
        <v>2513519510</v>
      </c>
      <c r="AC112" s="122">
        <f t="shared" si="119"/>
        <v>343579272</v>
      </c>
      <c r="AD112" s="129">
        <f t="shared" si="119"/>
        <v>2857098782</v>
      </c>
      <c r="AE112" s="128">
        <f t="shared" si="119"/>
        <v>1905129336</v>
      </c>
      <c r="AF112" s="122">
        <f t="shared" si="119"/>
        <v>372247185</v>
      </c>
      <c r="AG112" s="129">
        <f t="shared" si="119"/>
        <v>2277376521</v>
      </c>
      <c r="AH112" s="128">
        <f t="shared" si="119"/>
        <v>1358831156</v>
      </c>
      <c r="AI112" s="122">
        <f t="shared" si="119"/>
        <v>2229983482</v>
      </c>
      <c r="AJ112" s="130">
        <f t="shared" si="119"/>
        <v>2809705743</v>
      </c>
      <c r="AK112" s="9"/>
      <c r="AL112" s="128">
        <f>AL114+AL123+AL141</f>
        <v>5000000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+IF(MAYO!A113=0,"",MAYO!A113)</f>
        <v>2000</v>
      </c>
      <c r="B113" s="623" t="str">
        <f>+IF(MAYO!B113=0,"",MAYO!B113)</f>
        <v>INGRESOS DE CAPITAL</v>
      </c>
      <c r="C113" s="606">
        <f>SUM(C115:C124)</f>
        <v>200295319</v>
      </c>
      <c r="D113" s="607">
        <f>SUM(D115:D124)</f>
        <v>0</v>
      </c>
      <c r="E113" s="607">
        <f t="shared" ref="E113:N113" si="120">SUM(E115:E124)</f>
        <v>2997987</v>
      </c>
      <c r="F113" s="607">
        <f t="shared" si="120"/>
        <v>203293306</v>
      </c>
      <c r="G113" s="607">
        <f t="shared" si="120"/>
        <v>126405101</v>
      </c>
      <c r="H113" s="607">
        <f t="shared" si="120"/>
        <v>808246</v>
      </c>
      <c r="I113" s="607">
        <f t="shared" si="120"/>
        <v>127213347</v>
      </c>
      <c r="J113" s="607">
        <f t="shared" si="120"/>
        <v>126405101</v>
      </c>
      <c r="K113" s="607">
        <f t="shared" si="120"/>
        <v>808246</v>
      </c>
      <c r="L113" s="607">
        <f t="shared" si="120"/>
        <v>127213347</v>
      </c>
      <c r="M113" s="607">
        <f t="shared" si="120"/>
        <v>76079959</v>
      </c>
      <c r="N113" s="608">
        <f t="shared" si="120"/>
        <v>76079959</v>
      </c>
      <c r="O113" s="451"/>
      <c r="P113" s="174">
        <f>SUM(P115:P124)</f>
        <v>0</v>
      </c>
      <c r="Q113" s="175">
        <f>SUM(Q115:Q124)</f>
        <v>0</v>
      </c>
      <c r="R113" s="9"/>
      <c r="S113" s="356" t="str">
        <f>+IF(MAYO!S113=0,"",MAYO!S113)</f>
        <v/>
      </c>
      <c r="T113" s="678" t="str">
        <f>+IF(MAYO!T113=0,"",MAYO!T113)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+IF(MAYO!A114=0,"",MAYO!A114)</f>
        <v/>
      </c>
      <c r="B114" s="636" t="str">
        <f>+IF(MAYO!B114=0,"",MAYO!B114)</f>
        <v/>
      </c>
      <c r="C114" s="470"/>
      <c r="D114" s="470"/>
      <c r="E114" s="470"/>
      <c r="F114" s="470"/>
      <c r="G114" s="470"/>
      <c r="H114" s="470"/>
      <c r="I114" s="470"/>
      <c r="J114" s="470"/>
      <c r="K114" s="470"/>
      <c r="L114" s="470"/>
      <c r="M114" s="470"/>
      <c r="N114" s="471"/>
      <c r="P114" s="472"/>
      <c r="Q114" s="471"/>
      <c r="R114" s="9"/>
      <c r="S114" s="687">
        <f>+IF(MAYO!S114=0,"",MAYO!S114)</f>
        <v>2010100</v>
      </c>
      <c r="T114" s="663" t="str">
        <f>+IF(MAYO!T114=0,"",MAYO!T114)</f>
        <v>Adquisición de bienes</v>
      </c>
      <c r="U114" s="132">
        <f t="shared" ref="U114:AJ114" si="121">SUM(U115:U121)</f>
        <v>2750000000</v>
      </c>
      <c r="V114" s="122">
        <f t="shared" si="121"/>
        <v>-1660000000</v>
      </c>
      <c r="W114" s="122">
        <f t="shared" si="121"/>
        <v>400000000</v>
      </c>
      <c r="X114" s="129">
        <f t="shared" si="121"/>
        <v>1490000000</v>
      </c>
      <c r="Y114" s="128">
        <f t="shared" si="121"/>
        <v>1012460959</v>
      </c>
      <c r="Z114" s="122">
        <f t="shared" si="121"/>
        <v>65097373</v>
      </c>
      <c r="AA114" s="129">
        <f t="shared" si="121"/>
        <v>1077558332</v>
      </c>
      <c r="AB114" s="128">
        <f t="shared" si="121"/>
        <v>932069222</v>
      </c>
      <c r="AC114" s="122">
        <f t="shared" si="121"/>
        <v>70272534</v>
      </c>
      <c r="AD114" s="129">
        <f t="shared" si="121"/>
        <v>1002341756</v>
      </c>
      <c r="AE114" s="128">
        <f t="shared" si="121"/>
        <v>594039104</v>
      </c>
      <c r="AF114" s="122">
        <f t="shared" si="121"/>
        <v>286744118</v>
      </c>
      <c r="AG114" s="129">
        <f t="shared" si="121"/>
        <v>880783222</v>
      </c>
      <c r="AH114" s="128">
        <f t="shared" si="121"/>
        <v>412441668</v>
      </c>
      <c r="AI114" s="122">
        <f t="shared" si="121"/>
        <v>487658244</v>
      </c>
      <c r="AJ114" s="130">
        <f t="shared" si="121"/>
        <v>609216778</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+IF(MAYO!A115=0,"",MAYO!A115)</f>
        <v>2100</v>
      </c>
      <c r="B115" s="609" t="str">
        <f>+IF(MAYO!B115=0,"",MAYO!B115)</f>
        <v>CREDITO INTERNO</v>
      </c>
      <c r="C115" s="655">
        <f>+ENERO!C115</f>
        <v>0</v>
      </c>
      <c r="D115" s="454">
        <f>MAYO!D115+JUNIO!P115</f>
        <v>0</v>
      </c>
      <c r="E115" s="454">
        <f>MAYO!E115+JUNIO!Q115</f>
        <v>0</v>
      </c>
      <c r="F115" s="458">
        <f t="shared" ref="F115:F124" si="122">SUM(C115:E115)</f>
        <v>0</v>
      </c>
      <c r="G115" s="456">
        <f>MAYO!I115</f>
        <v>0</v>
      </c>
      <c r="H115" s="364">
        <v>0</v>
      </c>
      <c r="I115" s="458">
        <f t="shared" ref="I115:I124" si="123">SUM(G115:H115)</f>
        <v>0</v>
      </c>
      <c r="J115" s="456">
        <f>MAYO!L115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+IF(MAYO!S115=0,"",MAYO!S115)</f>
        <v>2010100-1</v>
      </c>
      <c r="T115" s="664" t="str">
        <f>+IF(MAYO!T115=0,"",MAYO!T115)</f>
        <v>Compra de Equipos</v>
      </c>
      <c r="U115" s="27">
        <f>+ENERO!U115</f>
        <v>2350000000</v>
      </c>
      <c r="V115" s="15">
        <f>MAYO!V115+JUNIO!AL115</f>
        <v>-1730000000</v>
      </c>
      <c r="W115" s="15">
        <f>MAYO!W115+JUNIO!AM115</f>
        <v>0</v>
      </c>
      <c r="X115" s="18">
        <f t="shared" ref="X115:X121" si="127">SUM(U115:W115)</f>
        <v>620000000</v>
      </c>
      <c r="Y115" s="19">
        <f>MAYO!AA115</f>
        <v>279074011</v>
      </c>
      <c r="Z115" s="364">
        <v>17947139</v>
      </c>
      <c r="AA115" s="18">
        <f t="shared" ref="AA115:AA121" si="128">SUM(Y115:Z115)</f>
        <v>297021150</v>
      </c>
      <c r="AB115" s="19">
        <f>MAYO!AD115</f>
        <v>279074011</v>
      </c>
      <c r="AC115" s="364">
        <v>17947139</v>
      </c>
      <c r="AD115" s="18">
        <f t="shared" ref="AD115:AD121" si="129">SUM(AB115:AC115)</f>
        <v>297021150</v>
      </c>
      <c r="AE115" s="19">
        <f>MAYO!AG115</f>
        <v>8023500</v>
      </c>
      <c r="AF115" s="364">
        <v>270639961</v>
      </c>
      <c r="AG115" s="18">
        <f t="shared" ref="AG115:AG121" si="130">SUM(AE115:AF115)</f>
        <v>278663461</v>
      </c>
      <c r="AH115" s="19">
        <f t="shared" ref="AH115:AH121" si="131">X115-AA115</f>
        <v>322978850</v>
      </c>
      <c r="AI115" s="15">
        <f t="shared" ref="AI115:AI121" si="132">X115-AD115</f>
        <v>322978850</v>
      </c>
      <c r="AJ115" s="16">
        <f t="shared" ref="AJ115:AJ121" si="133">X115-AG115</f>
        <v>341336539</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+IF(MAYO!A116=0,"",MAYO!A116)</f>
        <v>2100-1</v>
      </c>
      <c r="B116" s="610" t="str">
        <f>+IF(MAYO!B116=0,"",MAYO!B116)</f>
        <v>Vigencia Anterior</v>
      </c>
      <c r="C116" s="655">
        <f>+ENERO!C116</f>
        <v>0</v>
      </c>
      <c r="D116" s="454">
        <f>MAYO!D116+JUNIO!P116</f>
        <v>0</v>
      </c>
      <c r="E116" s="454">
        <f>MAYO!E116+JUNIO!Q116</f>
        <v>0</v>
      </c>
      <c r="F116" s="458">
        <f t="shared" si="122"/>
        <v>0</v>
      </c>
      <c r="G116" s="456">
        <f>MAYO!I116</f>
        <v>0</v>
      </c>
      <c r="H116" s="364">
        <v>0</v>
      </c>
      <c r="I116" s="458">
        <f t="shared" si="123"/>
        <v>0</v>
      </c>
      <c r="J116" s="456">
        <f>MAYO!L116</f>
        <v>0</v>
      </c>
      <c r="K116" s="364">
        <v>0</v>
      </c>
      <c r="L116" s="455">
        <f t="shared" si="124"/>
        <v>0</v>
      </c>
      <c r="M116" s="459">
        <f t="shared" si="125"/>
        <v>0</v>
      </c>
      <c r="N116" s="455">
        <f t="shared" si="126"/>
        <v>0</v>
      </c>
      <c r="O116" s="451"/>
      <c r="P116" s="362">
        <v>0</v>
      </c>
      <c r="Q116" s="365">
        <v>0</v>
      </c>
      <c r="R116" s="9"/>
      <c r="S116" s="688" t="str">
        <f>+IF(MAYO!S116=0,"",MAYO!S116)</f>
        <v>2010100-2</v>
      </c>
      <c r="T116" s="664" t="str">
        <f>+IF(MAYO!T116=0,"",MAYO!T116)</f>
        <v>Materiales</v>
      </c>
      <c r="U116" s="27">
        <f>+ENERO!U116</f>
        <v>300000000</v>
      </c>
      <c r="V116" s="15">
        <f>MAYO!V116+JUNIO!AL116</f>
        <v>0</v>
      </c>
      <c r="W116" s="15">
        <f>MAYO!W116+JUNIO!AM116</f>
        <v>0</v>
      </c>
      <c r="X116" s="18">
        <f t="shared" si="127"/>
        <v>300000000</v>
      </c>
      <c r="Y116" s="19">
        <f>MAYO!AA116</f>
        <v>171800089</v>
      </c>
      <c r="Z116" s="364">
        <v>47150234</v>
      </c>
      <c r="AA116" s="18">
        <f t="shared" si="128"/>
        <v>218950323</v>
      </c>
      <c r="AB116" s="19">
        <f>MAYO!AD116</f>
        <v>156408352</v>
      </c>
      <c r="AC116" s="364">
        <v>52325395</v>
      </c>
      <c r="AD116" s="18">
        <f t="shared" si="129"/>
        <v>208733747</v>
      </c>
      <c r="AE116" s="19">
        <f>MAYO!AG116</f>
        <v>89428745</v>
      </c>
      <c r="AF116" s="364">
        <v>16104157</v>
      </c>
      <c r="AG116" s="18">
        <f t="shared" si="130"/>
        <v>105532902</v>
      </c>
      <c r="AH116" s="19">
        <f t="shared" si="131"/>
        <v>81049677</v>
      </c>
      <c r="AI116" s="15">
        <f t="shared" si="132"/>
        <v>91266253</v>
      </c>
      <c r="AJ116" s="16">
        <f t="shared" si="133"/>
        <v>194467098</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+IF(MAYO!A117=0,"",MAYO!A117)</f>
        <v>2200</v>
      </c>
      <c r="B117" s="609" t="str">
        <f>+IF(MAYO!B117=0,"",MAYO!B117)</f>
        <v>CREDITO EXTERNO</v>
      </c>
      <c r="C117" s="655">
        <f>+ENERO!C117</f>
        <v>0</v>
      </c>
      <c r="D117" s="454">
        <f>MAYO!D117+JUNIO!P117</f>
        <v>0</v>
      </c>
      <c r="E117" s="454">
        <f>MAYO!E117+JUNIO!Q117</f>
        <v>0</v>
      </c>
      <c r="F117" s="458">
        <f t="shared" si="122"/>
        <v>0</v>
      </c>
      <c r="G117" s="456">
        <f>MAYO!I117</f>
        <v>0</v>
      </c>
      <c r="H117" s="364">
        <v>0</v>
      </c>
      <c r="I117" s="458">
        <f t="shared" si="123"/>
        <v>0</v>
      </c>
      <c r="J117" s="456">
        <f>MAYO!L117</f>
        <v>0</v>
      </c>
      <c r="K117" s="364">
        <v>0</v>
      </c>
      <c r="L117" s="455">
        <f t="shared" si="124"/>
        <v>0</v>
      </c>
      <c r="M117" s="459">
        <f t="shared" si="125"/>
        <v>0</v>
      </c>
      <c r="N117" s="455">
        <f t="shared" si="126"/>
        <v>0</v>
      </c>
      <c r="O117" s="451"/>
      <c r="P117" s="362">
        <v>0</v>
      </c>
      <c r="Q117" s="365">
        <v>0</v>
      </c>
      <c r="R117" s="9"/>
      <c r="S117" s="688" t="str">
        <f>+IF(MAYO!S117=0,"",MAYO!S117)</f>
        <v>2010100-3</v>
      </c>
      <c r="T117" s="664" t="str">
        <f>+IF(MAYO!T117=0,"",MAYO!T117)</f>
        <v>Salud Ocupacional</v>
      </c>
      <c r="U117" s="27">
        <f>+ENERO!U117</f>
        <v>0</v>
      </c>
      <c r="V117" s="15">
        <f>MAYO!V117+JUNIO!AL117</f>
        <v>0</v>
      </c>
      <c r="W117" s="15">
        <f>MAYO!W117+JUNIO!AM117</f>
        <v>0</v>
      </c>
      <c r="X117" s="18">
        <f t="shared" si="127"/>
        <v>0</v>
      </c>
      <c r="Y117" s="19">
        <f>MAYO!AA117</f>
        <v>0</v>
      </c>
      <c r="Z117" s="364">
        <v>0</v>
      </c>
      <c r="AA117" s="18">
        <f t="shared" si="128"/>
        <v>0</v>
      </c>
      <c r="AB117" s="19">
        <f>MAYO!AD117</f>
        <v>0</v>
      </c>
      <c r="AC117" s="364">
        <v>0</v>
      </c>
      <c r="AD117" s="18">
        <f t="shared" si="129"/>
        <v>0</v>
      </c>
      <c r="AE117" s="19">
        <f>MAYO!AG117</f>
        <v>0</v>
      </c>
      <c r="AF117" s="364">
        <v>0</v>
      </c>
      <c r="AG117" s="18">
        <f t="shared" si="130"/>
        <v>0</v>
      </c>
      <c r="AH117" s="19">
        <f t="shared" si="131"/>
        <v>0</v>
      </c>
      <c r="AI117" s="15">
        <f t="shared" si="132"/>
        <v>0</v>
      </c>
      <c r="AJ117" s="16">
        <f t="shared" si="133"/>
        <v>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+IF(MAYO!A118=0,"",MAYO!A118)</f>
        <v>2200-1</v>
      </c>
      <c r="B118" s="610" t="str">
        <f>+IF(MAYO!B118=0,"",MAYO!B118)</f>
        <v>Vigencia Anterior</v>
      </c>
      <c r="C118" s="655">
        <f>+ENERO!C118</f>
        <v>0</v>
      </c>
      <c r="D118" s="454">
        <f>MAYO!D118+JUNIO!P118</f>
        <v>0</v>
      </c>
      <c r="E118" s="454">
        <f>MAYO!E118+JUNIO!Q118</f>
        <v>0</v>
      </c>
      <c r="F118" s="458">
        <f t="shared" si="122"/>
        <v>0</v>
      </c>
      <c r="G118" s="456">
        <f>MAYO!I118</f>
        <v>0</v>
      </c>
      <c r="H118" s="364">
        <v>0</v>
      </c>
      <c r="I118" s="458">
        <f t="shared" si="123"/>
        <v>0</v>
      </c>
      <c r="J118" s="456">
        <f>MAYO!L118</f>
        <v>0</v>
      </c>
      <c r="K118" s="364">
        <v>0</v>
      </c>
      <c r="L118" s="455">
        <f t="shared" si="124"/>
        <v>0</v>
      </c>
      <c r="M118" s="459">
        <f t="shared" si="125"/>
        <v>0</v>
      </c>
      <c r="N118" s="455">
        <f t="shared" si="126"/>
        <v>0</v>
      </c>
      <c r="O118" s="451"/>
      <c r="P118" s="362">
        <v>0</v>
      </c>
      <c r="Q118" s="365">
        <v>0</v>
      </c>
      <c r="R118" s="9"/>
      <c r="S118" s="688" t="str">
        <f>+IF(MAYO!S118=0,"",MAYO!S118)</f>
        <v>2010100-4</v>
      </c>
      <c r="T118" s="664" t="str">
        <f>+IF(MAYO!T118=0,"",MAYO!T118)</f>
        <v/>
      </c>
      <c r="U118" s="27">
        <f>+ENERO!U118</f>
        <v>0</v>
      </c>
      <c r="V118" s="15">
        <f>MAYO!V118+JUNIO!AL118</f>
        <v>70000000</v>
      </c>
      <c r="W118" s="15">
        <f>MAYO!W118+JUNIO!AM118</f>
        <v>0</v>
      </c>
      <c r="X118" s="18">
        <f t="shared" si="127"/>
        <v>70000000</v>
      </c>
      <c r="Y118" s="19">
        <f>MAYO!AA118</f>
        <v>65000000</v>
      </c>
      <c r="Z118" s="364">
        <v>0</v>
      </c>
      <c r="AA118" s="18">
        <f t="shared" si="128"/>
        <v>65000000</v>
      </c>
      <c r="AB118" s="19">
        <f>MAYO!AD118</f>
        <v>0</v>
      </c>
      <c r="AC118" s="364">
        <v>0</v>
      </c>
      <c r="AD118" s="18">
        <f t="shared" si="129"/>
        <v>0</v>
      </c>
      <c r="AE118" s="19">
        <f>MAYO!AG118</f>
        <v>0</v>
      </c>
      <c r="AF118" s="364">
        <v>0</v>
      </c>
      <c r="AG118" s="18">
        <f t="shared" si="130"/>
        <v>0</v>
      </c>
      <c r="AH118" s="19">
        <f t="shared" si="131"/>
        <v>5000000</v>
      </c>
      <c r="AI118" s="15">
        <f t="shared" si="132"/>
        <v>70000000</v>
      </c>
      <c r="AJ118" s="16">
        <f t="shared" si="133"/>
        <v>70000000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+IF(MAYO!A119=0,"",MAYO!A119)</f>
        <v>2300</v>
      </c>
      <c r="B119" s="609" t="str">
        <f>+IF(MAYO!B119=0,"",MAYO!B119)</f>
        <v>RENDIMIENTOS FINANCIEROS</v>
      </c>
      <c r="C119" s="655">
        <f>+ENERO!C119</f>
        <v>200295319</v>
      </c>
      <c r="D119" s="454">
        <f>MAYO!D119+JUNIO!P119</f>
        <v>0</v>
      </c>
      <c r="E119" s="454">
        <f>MAYO!E119+JUNIO!Q119</f>
        <v>0</v>
      </c>
      <c r="F119" s="458">
        <f t="shared" si="122"/>
        <v>200295319</v>
      </c>
      <c r="G119" s="216">
        <f>MAYO!I119</f>
        <v>7262</v>
      </c>
      <c r="H119" s="364">
        <v>0</v>
      </c>
      <c r="I119" s="463">
        <f t="shared" si="123"/>
        <v>7262</v>
      </c>
      <c r="J119" s="216">
        <f>MAYO!L119</f>
        <v>7262</v>
      </c>
      <c r="K119" s="364">
        <v>0</v>
      </c>
      <c r="L119" s="143">
        <f t="shared" si="124"/>
        <v>7262</v>
      </c>
      <c r="M119" s="428">
        <f t="shared" si="125"/>
        <v>200288057</v>
      </c>
      <c r="N119" s="143">
        <f t="shared" si="126"/>
        <v>200288057</v>
      </c>
      <c r="O119" s="451"/>
      <c r="P119" s="362">
        <v>0</v>
      </c>
      <c r="Q119" s="365">
        <v>0</v>
      </c>
      <c r="R119" s="9"/>
      <c r="S119" s="688" t="str">
        <f>+IF(MAYO!S119=0,"",MAYO!S119)</f>
        <v>2010100-5</v>
      </c>
      <c r="T119" s="664" t="str">
        <f>+IF(MAYO!T119=0,"",MAYO!T119)</f>
        <v/>
      </c>
      <c r="U119" s="27">
        <f>+ENERO!U119</f>
        <v>0</v>
      </c>
      <c r="V119" s="15">
        <f>MAYO!V119+JUNIO!AL119</f>
        <v>0</v>
      </c>
      <c r="W119" s="15">
        <f>MAYO!W119+JUNIO!AM119</f>
        <v>0</v>
      </c>
      <c r="X119" s="18">
        <f t="shared" si="127"/>
        <v>0</v>
      </c>
      <c r="Y119" s="19">
        <f>MAYO!AA119</f>
        <v>0</v>
      </c>
      <c r="Z119" s="364">
        <v>0</v>
      </c>
      <c r="AA119" s="18">
        <f t="shared" si="128"/>
        <v>0</v>
      </c>
      <c r="AB119" s="19">
        <f>MAYO!AD119</f>
        <v>0</v>
      </c>
      <c r="AC119" s="364">
        <v>0</v>
      </c>
      <c r="AD119" s="18">
        <f t="shared" si="129"/>
        <v>0</v>
      </c>
      <c r="AE119" s="19">
        <f>MAYO!AG119</f>
        <v>0</v>
      </c>
      <c r="AF119" s="364">
        <v>0</v>
      </c>
      <c r="AG119" s="1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+IF(MAYO!A120=0,"",MAYO!A120)</f>
        <v>2400</v>
      </c>
      <c r="B120" s="610" t="str">
        <f>+IF(MAYO!B120=0,"",MAYO!B120)</f>
        <v>VENTA DE ACTIVOS</v>
      </c>
      <c r="C120" s="655">
        <f>+ENERO!C120</f>
        <v>0</v>
      </c>
      <c r="D120" s="454">
        <f>MAYO!D120+JUNIO!P120</f>
        <v>0</v>
      </c>
      <c r="E120" s="454">
        <f>MAYO!E120+JUNIO!Q120</f>
        <v>0</v>
      </c>
      <c r="F120" s="458">
        <f t="shared" si="122"/>
        <v>0</v>
      </c>
      <c r="G120" s="216">
        <f>MAYO!I120</f>
        <v>0</v>
      </c>
      <c r="H120" s="364">
        <v>0</v>
      </c>
      <c r="I120" s="463">
        <f t="shared" si="123"/>
        <v>0</v>
      </c>
      <c r="J120" s="216">
        <f>MAYO!L120</f>
        <v>0</v>
      </c>
      <c r="K120" s="364">
        <v>0</v>
      </c>
      <c r="L120" s="143">
        <f t="shared" si="124"/>
        <v>0</v>
      </c>
      <c r="M120" s="428">
        <f t="shared" si="125"/>
        <v>0</v>
      </c>
      <c r="N120" s="143">
        <f t="shared" si="126"/>
        <v>0</v>
      </c>
      <c r="P120" s="362">
        <v>0</v>
      </c>
      <c r="Q120" s="365">
        <v>0</v>
      </c>
      <c r="R120" s="9"/>
      <c r="S120" s="688" t="str">
        <f>+IF(MAYO!S120=0,"",MAYO!S120)</f>
        <v>2010100-6</v>
      </c>
      <c r="T120" s="664" t="str">
        <f>+IF(MAYO!T120=0,"",MAYO!T120)</f>
        <v/>
      </c>
      <c r="U120" s="27">
        <f>+ENERO!U120</f>
        <v>0</v>
      </c>
      <c r="V120" s="15">
        <f>MAYO!V120+JUNIO!AL120</f>
        <v>0</v>
      </c>
      <c r="W120" s="15">
        <f>MAYO!W120+JUNIO!AM120</f>
        <v>0</v>
      </c>
      <c r="X120" s="18">
        <f t="shared" si="127"/>
        <v>0</v>
      </c>
      <c r="Y120" s="19">
        <f>MAYO!AA120</f>
        <v>0</v>
      </c>
      <c r="Z120" s="364">
        <v>0</v>
      </c>
      <c r="AA120" s="18">
        <f t="shared" si="128"/>
        <v>0</v>
      </c>
      <c r="AB120" s="19">
        <f>MAYO!AD120</f>
        <v>0</v>
      </c>
      <c r="AC120" s="364">
        <v>0</v>
      </c>
      <c r="AD120" s="18">
        <f t="shared" si="129"/>
        <v>0</v>
      </c>
      <c r="AE120" s="19">
        <f>MAYO!AG120</f>
        <v>0</v>
      </c>
      <c r="AF120" s="364">
        <v>0</v>
      </c>
      <c r="AG120" s="1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+IF(MAYO!A121=0,"",MAYO!A121)</f>
        <v>2500</v>
      </c>
      <c r="B121" s="610" t="str">
        <f>+IF(MAYO!B121=0,"",MAYO!B121)</f>
        <v>DONACIONES</v>
      </c>
      <c r="C121" s="655">
        <f>+ENERO!C121</f>
        <v>0</v>
      </c>
      <c r="D121" s="454">
        <f>MAYO!D121+JUNIO!P121</f>
        <v>0</v>
      </c>
      <c r="E121" s="454">
        <f>MAYO!E121+JUNIO!Q121</f>
        <v>0</v>
      </c>
      <c r="F121" s="458">
        <f t="shared" si="122"/>
        <v>0</v>
      </c>
      <c r="G121" s="216">
        <f>MAYO!I121</f>
        <v>1500000</v>
      </c>
      <c r="H121" s="364">
        <v>0</v>
      </c>
      <c r="I121" s="463">
        <f t="shared" si="123"/>
        <v>1500000</v>
      </c>
      <c r="J121" s="216">
        <f>MAYO!L121</f>
        <v>1500000</v>
      </c>
      <c r="K121" s="364">
        <v>0</v>
      </c>
      <c r="L121" s="143">
        <f t="shared" si="124"/>
        <v>1500000</v>
      </c>
      <c r="M121" s="428">
        <f t="shared" si="125"/>
        <v>-1500000</v>
      </c>
      <c r="N121" s="143">
        <f t="shared" si="126"/>
        <v>-1500000</v>
      </c>
      <c r="P121" s="362">
        <v>0</v>
      </c>
      <c r="Q121" s="365">
        <v>0</v>
      </c>
      <c r="R121" s="9"/>
      <c r="S121" s="688">
        <f>+IF(MAYO!S121=0,"",MAYO!S121)</f>
        <v>2010199</v>
      </c>
      <c r="T121" s="664" t="str">
        <f>+IF(MAYO!T121=0,"",MAYO!T121)</f>
        <v>Vigencias Anteriores</v>
      </c>
      <c r="U121" s="27">
        <f>+ENERO!U121</f>
        <v>100000000</v>
      </c>
      <c r="V121" s="15">
        <f>MAYO!V121+JUNIO!AL121</f>
        <v>0</v>
      </c>
      <c r="W121" s="15">
        <f>MAYO!W121+JUNIO!AM121</f>
        <v>400000000</v>
      </c>
      <c r="X121" s="18">
        <f t="shared" si="127"/>
        <v>500000000</v>
      </c>
      <c r="Y121" s="19">
        <f>MAYO!AA121</f>
        <v>496586859</v>
      </c>
      <c r="Z121" s="364">
        <v>0</v>
      </c>
      <c r="AA121" s="18">
        <f t="shared" si="128"/>
        <v>496586859</v>
      </c>
      <c r="AB121" s="19">
        <f>MAYO!AD121</f>
        <v>496586859</v>
      </c>
      <c r="AC121" s="364">
        <v>0</v>
      </c>
      <c r="AD121" s="18">
        <f t="shared" si="129"/>
        <v>496586859</v>
      </c>
      <c r="AE121" s="19">
        <f>MAYO!AG121</f>
        <v>496586859</v>
      </c>
      <c r="AF121" s="364">
        <v>0</v>
      </c>
      <c r="AG121" s="18">
        <f t="shared" si="130"/>
        <v>496586859</v>
      </c>
      <c r="AH121" s="19">
        <f t="shared" si="131"/>
        <v>3413141</v>
      </c>
      <c r="AI121" s="15">
        <f t="shared" si="132"/>
        <v>3413141</v>
      </c>
      <c r="AJ121" s="16">
        <f t="shared" si="133"/>
        <v>3413141</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+IF(MAYO!A122=0,"",MAYO!A122)</f>
        <v>2600</v>
      </c>
      <c r="B122" s="610" t="str">
        <f>+IF(MAYO!B122=0,"",MAYO!B122)</f>
        <v>RECUPERACIÓN DE CARTERA (AÑO 2017 Y ANTERIORES)</v>
      </c>
      <c r="C122" s="655">
        <f>+ENERO!C122</f>
        <v>0</v>
      </c>
      <c r="D122" s="454">
        <f>MAYO!D122+JUNIO!P122</f>
        <v>0</v>
      </c>
      <c r="E122" s="454">
        <f>MAYO!E122+JUNIO!Q122</f>
        <v>0</v>
      </c>
      <c r="F122" s="458">
        <f t="shared" si="122"/>
        <v>0</v>
      </c>
      <c r="G122" s="216">
        <f>MAYO!I122</f>
        <v>0</v>
      </c>
      <c r="H122" s="364">
        <v>0</v>
      </c>
      <c r="I122" s="463">
        <f t="shared" si="123"/>
        <v>0</v>
      </c>
      <c r="J122" s="216">
        <f>MAYO!L122</f>
        <v>0</v>
      </c>
      <c r="K122" s="364">
        <v>0</v>
      </c>
      <c r="L122" s="143">
        <f t="shared" si="124"/>
        <v>0</v>
      </c>
      <c r="M122" s="428">
        <f t="shared" si="125"/>
        <v>0</v>
      </c>
      <c r="N122" s="143">
        <f t="shared" si="126"/>
        <v>0</v>
      </c>
      <c r="P122" s="362">
        <v>0</v>
      </c>
      <c r="Q122" s="365">
        <v>0</v>
      </c>
      <c r="R122" s="9"/>
      <c r="S122" s="356" t="str">
        <f>+IF(MAYO!S122=0,"",MAYO!S122)</f>
        <v/>
      </c>
      <c r="T122" s="678" t="str">
        <f>+IF(MAYO!T122=0,"",MAYO!T122)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+IF(MAYO!A123=0,"",MAYO!A123)</f>
        <v>2700</v>
      </c>
      <c r="B123" s="610" t="str">
        <f>+IF(MAYO!B123=0,"",MAYO!B123)</f>
        <v>OTROS INGRESOS DE CAPITAL</v>
      </c>
      <c r="C123" s="655">
        <f>+ENERO!C123</f>
        <v>0</v>
      </c>
      <c r="D123" s="454">
        <f>MAYO!D123+JUNIO!P123</f>
        <v>0</v>
      </c>
      <c r="E123" s="454">
        <f>MAYO!E123+JUNIO!Q123</f>
        <v>2997987</v>
      </c>
      <c r="F123" s="458">
        <f t="shared" si="122"/>
        <v>2997987</v>
      </c>
      <c r="G123" s="216">
        <f>MAYO!I123</f>
        <v>124897839</v>
      </c>
      <c r="H123" s="364">
        <v>808246</v>
      </c>
      <c r="I123" s="463">
        <f t="shared" si="123"/>
        <v>125706085</v>
      </c>
      <c r="J123" s="216">
        <f>MAYO!L123</f>
        <v>124897839</v>
      </c>
      <c r="K123" s="364">
        <v>808246</v>
      </c>
      <c r="L123" s="143">
        <f t="shared" si="124"/>
        <v>125706085</v>
      </c>
      <c r="M123" s="428">
        <f t="shared" si="125"/>
        <v>-122708098</v>
      </c>
      <c r="N123" s="143">
        <f t="shared" si="126"/>
        <v>-122708098</v>
      </c>
      <c r="P123" s="362">
        <v>0</v>
      </c>
      <c r="Q123" s="365">
        <v>0</v>
      </c>
      <c r="R123" s="9"/>
      <c r="S123" s="687">
        <f>+IF(MAYO!S123=0,"",MAYO!S123)</f>
        <v>2010200</v>
      </c>
      <c r="T123" s="663" t="str">
        <f>+IF(MAYO!T123=0,"",MAYO!T123)</f>
        <v>Adquisición de Servicios</v>
      </c>
      <c r="U123" s="132">
        <f t="shared" ref="U123:AJ123" si="134">SUM(U124:U139)</f>
        <v>2775000000</v>
      </c>
      <c r="V123" s="122">
        <f t="shared" si="134"/>
        <v>45000000</v>
      </c>
      <c r="W123" s="122">
        <f t="shared" si="134"/>
        <v>250000000</v>
      </c>
      <c r="X123" s="129">
        <f t="shared" si="134"/>
        <v>3070000000</v>
      </c>
      <c r="Y123" s="128">
        <f t="shared" si="134"/>
        <v>2351799245</v>
      </c>
      <c r="Z123" s="122">
        <f t="shared" si="134"/>
        <v>134624617</v>
      </c>
      <c r="AA123" s="129">
        <f t="shared" si="134"/>
        <v>2486423862</v>
      </c>
      <c r="AB123" s="128">
        <f t="shared" si="134"/>
        <v>1434397686</v>
      </c>
      <c r="AC123" s="122">
        <f t="shared" si="134"/>
        <v>256090426</v>
      </c>
      <c r="AD123" s="129">
        <f t="shared" si="134"/>
        <v>1690488112</v>
      </c>
      <c r="AE123" s="128">
        <f t="shared" si="134"/>
        <v>1164037630</v>
      </c>
      <c r="AF123" s="122">
        <f t="shared" si="134"/>
        <v>68286755</v>
      </c>
      <c r="AG123" s="129">
        <f t="shared" si="134"/>
        <v>1232324385</v>
      </c>
      <c r="AH123" s="128">
        <f t="shared" si="134"/>
        <v>583576138</v>
      </c>
      <c r="AI123" s="122">
        <f t="shared" si="134"/>
        <v>1379511888</v>
      </c>
      <c r="AJ123" s="130">
        <f t="shared" si="134"/>
        <v>1837675615</v>
      </c>
      <c r="AK123" s="9"/>
      <c r="AL123" s="128">
        <f>SUM(AL124:AL139)</f>
        <v>5000000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+IF(MAYO!A124=0,"",MAYO!A124)</f>
        <v>2800</v>
      </c>
      <c r="B124" s="638" t="str">
        <f>+IF(MAYO!B124=0,"",MAYO!B124)</f>
        <v/>
      </c>
      <c r="C124" s="759">
        <f>+ENERO!C124</f>
        <v>0</v>
      </c>
      <c r="D124" s="452">
        <f>MAYO!D124+JUNIO!P124</f>
        <v>0</v>
      </c>
      <c r="E124" s="452">
        <f>MAYO!E124+JUNIO!Q124</f>
        <v>0</v>
      </c>
      <c r="F124" s="464">
        <f t="shared" si="122"/>
        <v>0</v>
      </c>
      <c r="G124" s="377">
        <f>MAYO!I124</f>
        <v>0</v>
      </c>
      <c r="H124" s="378">
        <v>0</v>
      </c>
      <c r="I124" s="465">
        <f t="shared" si="123"/>
        <v>0</v>
      </c>
      <c r="J124" s="377">
        <f>MAYO!L124</f>
        <v>0</v>
      </c>
      <c r="K124" s="378">
        <v>0</v>
      </c>
      <c r="L124" s="376">
        <f t="shared" si="124"/>
        <v>0</v>
      </c>
      <c r="M124" s="466">
        <f t="shared" si="125"/>
        <v>0</v>
      </c>
      <c r="N124" s="376">
        <f t="shared" si="126"/>
        <v>0</v>
      </c>
      <c r="P124" s="374">
        <v>0</v>
      </c>
      <c r="Q124" s="379">
        <v>0</v>
      </c>
      <c r="R124" s="9"/>
      <c r="S124" s="688" t="str">
        <f>+IF(MAYO!S124=0,"",MAYO!S124)</f>
        <v>2010200-1</v>
      </c>
      <c r="T124" s="664" t="str">
        <f>+IF(MAYO!T124=0,"",MAYO!T124)</f>
        <v>Seguros</v>
      </c>
      <c r="U124" s="27">
        <f>+ENERO!U124</f>
        <v>3000000</v>
      </c>
      <c r="V124" s="15">
        <f>MAYO!V124+JUNIO!AL124</f>
        <v>0</v>
      </c>
      <c r="W124" s="15">
        <f>MAYO!W124+JUNIO!AM124</f>
        <v>0</v>
      </c>
      <c r="X124" s="18">
        <f t="shared" ref="X124:X139" si="135">SUM(U124:W124)</f>
        <v>3000000</v>
      </c>
      <c r="Y124" s="19">
        <f>MAYO!AA124</f>
        <v>1958919</v>
      </c>
      <c r="Z124" s="364">
        <v>0</v>
      </c>
      <c r="AA124" s="18">
        <f t="shared" ref="AA124:AA139" si="136">SUM(Y124:Z124)</f>
        <v>1958919</v>
      </c>
      <c r="AB124" s="19">
        <f>MAYO!AD124</f>
        <v>1666765</v>
      </c>
      <c r="AC124" s="364">
        <v>0</v>
      </c>
      <c r="AD124" s="18">
        <f t="shared" ref="AD124:AD139" si="137">SUM(AB124:AC124)</f>
        <v>1666765</v>
      </c>
      <c r="AE124" s="19">
        <f>MAYO!AG124</f>
        <v>673000</v>
      </c>
      <c r="AF124" s="364">
        <v>993765</v>
      </c>
      <c r="AG124" s="18">
        <f t="shared" ref="AG124:AG139" si="138">SUM(AE124:AF124)</f>
        <v>1666765</v>
      </c>
      <c r="AH124" s="19">
        <f t="shared" ref="AH124:AH139" si="139">X124-AA124</f>
        <v>1041081</v>
      </c>
      <c r="AI124" s="15">
        <f t="shared" ref="AI124:AI139" si="140">X124-AD124</f>
        <v>1333235</v>
      </c>
      <c r="AJ124" s="16">
        <f t="shared" ref="AJ124:AJ139" si="141">X124-AG124</f>
        <v>1333235</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+IF(MAYO!S125=0,"",MAYO!S125)</f>
        <v>2010200-2</v>
      </c>
      <c r="T125" s="664" t="str">
        <f>+IF(MAYO!T125=0,"",MAYO!T125)</f>
        <v>Impresos y Publicaciones</v>
      </c>
      <c r="U125" s="27">
        <f>+ENERO!U125</f>
        <v>25000000</v>
      </c>
      <c r="V125" s="15">
        <f>MAYO!V125+JUNIO!AL125</f>
        <v>0</v>
      </c>
      <c r="W125" s="15">
        <f>MAYO!W125+JUNIO!AM125</f>
        <v>0</v>
      </c>
      <c r="X125" s="18">
        <f t="shared" si="135"/>
        <v>25000000</v>
      </c>
      <c r="Y125" s="19">
        <f>MAYO!AA125</f>
        <v>1849000</v>
      </c>
      <c r="Z125" s="364">
        <v>249900</v>
      </c>
      <c r="AA125" s="18">
        <f t="shared" si="136"/>
        <v>2098900</v>
      </c>
      <c r="AB125" s="19">
        <f>MAYO!AD125</f>
        <v>1849000</v>
      </c>
      <c r="AC125" s="364">
        <v>249900</v>
      </c>
      <c r="AD125" s="18">
        <f t="shared" si="137"/>
        <v>2098900</v>
      </c>
      <c r="AE125" s="19">
        <f>MAYO!AG125</f>
        <v>1128000</v>
      </c>
      <c r="AF125" s="364">
        <v>970900</v>
      </c>
      <c r="AG125" s="18">
        <f t="shared" si="138"/>
        <v>2098900</v>
      </c>
      <c r="AH125" s="19">
        <f t="shared" si="139"/>
        <v>22901100</v>
      </c>
      <c r="AI125" s="15">
        <f t="shared" si="140"/>
        <v>22901100</v>
      </c>
      <c r="AJ125" s="16">
        <f t="shared" si="141"/>
        <v>22901100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2">C8-C128</f>
        <v>66420360605</v>
      </c>
      <c r="D126" s="467">
        <f t="shared" si="142"/>
        <v>0</v>
      </c>
      <c r="E126" s="467">
        <f t="shared" si="142"/>
        <v>25535681475</v>
      </c>
      <c r="F126" s="467">
        <f t="shared" si="142"/>
        <v>91956042080</v>
      </c>
      <c r="G126" s="467">
        <f t="shared" si="142"/>
        <v>43164271858</v>
      </c>
      <c r="H126" s="467">
        <f t="shared" si="142"/>
        <v>10828921259</v>
      </c>
      <c r="I126" s="467">
        <f t="shared" si="142"/>
        <v>53993193117</v>
      </c>
      <c r="J126" s="467">
        <f t="shared" si="142"/>
        <v>25330518028.069992</v>
      </c>
      <c r="K126" s="467">
        <f t="shared" si="142"/>
        <v>11175861244</v>
      </c>
      <c r="L126" s="467">
        <f t="shared" si="142"/>
        <v>36506379272.069992</v>
      </c>
      <c r="M126" s="467">
        <f t="shared" si="142"/>
        <v>37962848963</v>
      </c>
      <c r="N126" s="596">
        <f t="shared" si="142"/>
        <v>55449662807.93</v>
      </c>
      <c r="P126" s="468">
        <f>P8-P128</f>
        <v>0</v>
      </c>
      <c r="Q126" s="469">
        <f>Q8-Q128</f>
        <v>0</v>
      </c>
      <c r="R126" s="9"/>
      <c r="S126" s="688" t="str">
        <f>+IF(MAYO!S126=0,"",MAYO!S126)</f>
        <v>2010200-3</v>
      </c>
      <c r="T126" s="664" t="str">
        <f>+IF(MAYO!T126=0,"",MAYO!T126)</f>
        <v xml:space="preserve">Servicios Públicos </v>
      </c>
      <c r="U126" s="27">
        <f>+ENERO!U126</f>
        <v>740000000</v>
      </c>
      <c r="V126" s="15">
        <f>MAYO!V126+JUNIO!AL126</f>
        <v>0</v>
      </c>
      <c r="W126" s="15">
        <f>MAYO!W126+JUNIO!AM126</f>
        <v>0</v>
      </c>
      <c r="X126" s="18">
        <f t="shared" si="135"/>
        <v>740000000</v>
      </c>
      <c r="Y126" s="19">
        <f>MAYO!AA126</f>
        <v>326523710</v>
      </c>
      <c r="Z126" s="364">
        <v>49314899</v>
      </c>
      <c r="AA126" s="18">
        <f t="shared" si="136"/>
        <v>375838609</v>
      </c>
      <c r="AB126" s="19">
        <f>MAYO!AD126</f>
        <v>326523710</v>
      </c>
      <c r="AC126" s="364">
        <v>49314899</v>
      </c>
      <c r="AD126" s="18">
        <f t="shared" si="137"/>
        <v>375838609</v>
      </c>
      <c r="AE126" s="19">
        <f>MAYO!AG126</f>
        <v>269876229</v>
      </c>
      <c r="AF126" s="364">
        <v>57099504</v>
      </c>
      <c r="AG126" s="18">
        <f t="shared" si="138"/>
        <v>326975733</v>
      </c>
      <c r="AH126" s="19">
        <f t="shared" si="139"/>
        <v>364161391</v>
      </c>
      <c r="AI126" s="15">
        <f t="shared" si="140"/>
        <v>364161391</v>
      </c>
      <c r="AJ126" s="16">
        <f t="shared" si="141"/>
        <v>413024267</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+IF(MAYO!S127=0,"",MAYO!S127)</f>
        <v>2010200-4</v>
      </c>
      <c r="T127" s="664" t="str">
        <f>+IF(MAYO!T127=0,"",MAYO!T127)</f>
        <v>Comunicaciones y Transportes</v>
      </c>
      <c r="U127" s="27">
        <f>+ENERO!U127</f>
        <v>118000000</v>
      </c>
      <c r="V127" s="15">
        <f>MAYO!V127+JUNIO!AL127</f>
        <v>40000000</v>
      </c>
      <c r="W127" s="15">
        <f>MAYO!W127+JUNIO!AM127</f>
        <v>0</v>
      </c>
      <c r="X127" s="18">
        <f t="shared" si="135"/>
        <v>158000000</v>
      </c>
      <c r="Y127" s="19">
        <f>MAYO!AA127</f>
        <v>128745512</v>
      </c>
      <c r="Z127" s="364">
        <v>10465600</v>
      </c>
      <c r="AA127" s="18">
        <f t="shared" si="136"/>
        <v>139211112</v>
      </c>
      <c r="AB127" s="19">
        <f>MAYO!AD127</f>
        <v>44575512</v>
      </c>
      <c r="AC127" s="364">
        <v>6035600</v>
      </c>
      <c r="AD127" s="18">
        <f t="shared" si="137"/>
        <v>50611112</v>
      </c>
      <c r="AE127" s="19">
        <f>MAYO!AG127</f>
        <v>42176512</v>
      </c>
      <c r="AF127" s="364">
        <v>2834600</v>
      </c>
      <c r="AG127" s="18">
        <f t="shared" si="138"/>
        <v>45011112</v>
      </c>
      <c r="AH127" s="19">
        <f t="shared" si="139"/>
        <v>18788888</v>
      </c>
      <c r="AI127" s="15">
        <f t="shared" si="140"/>
        <v>107388888</v>
      </c>
      <c r="AJ127" s="16">
        <f t="shared" si="141"/>
        <v>112988888</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11646305348</v>
      </c>
      <c r="F128" s="473">
        <f>SUMIF($B8:$B$122,$B$24,F8:F122)+F122</f>
        <v>11646305348</v>
      </c>
      <c r="G128" s="473">
        <f>SUMIF($B8:$B$122,$B$24,G8:G122)+G122</f>
        <v>11794511625</v>
      </c>
      <c r="H128" s="473">
        <f>SUMIF($B8:$B$122,$B$24,H8:H122)+H122</f>
        <v>186327990</v>
      </c>
      <c r="I128" s="473">
        <f>SUMIF($B8:$B$122,$B$24,I8:I122)+I122</f>
        <v>11980839615</v>
      </c>
      <c r="J128" s="473">
        <f>SUMIF($B8:$B$122,$B$24,J8:J122)+J1212</f>
        <v>11794511624.690001</v>
      </c>
      <c r="K128" s="473">
        <f>SUMIF($B8:$B$122,$B$24,K8:K122)+K122</f>
        <v>186327990</v>
      </c>
      <c r="L128" s="473">
        <f>SUMIF($B8:$B$122,$B$24,L8:L122)+L122</f>
        <v>11980839614.690001</v>
      </c>
      <c r="M128" s="473">
        <f>SUMIF($B8:$B$122,$B$24,M8:M122)+M12</f>
        <v>-334534267</v>
      </c>
      <c r="N128" s="597">
        <f>SUMIF($B8:$B$122,$B$24,N8:N122)+N122</f>
        <v>-334534266.69</v>
      </c>
      <c r="O128" s="451"/>
      <c r="P128" s="473">
        <f>SUMIF($B8:$B$122,$B$24,P8:P122)+P122</f>
        <v>0</v>
      </c>
      <c r="Q128" s="474">
        <f>SUMIF($B8:$B$122,$B$24,Q8:Q122)+Q122</f>
        <v>0</v>
      </c>
      <c r="R128" s="9"/>
      <c r="S128" s="688" t="str">
        <f>+IF(MAYO!S128=0,"",MAYO!S128)</f>
        <v>2010200-5</v>
      </c>
      <c r="T128" s="664" t="str">
        <f>+IF(MAYO!T128=0,"",MAYO!T128)</f>
        <v>Viáticos y Gastos de Viaje</v>
      </c>
      <c r="U128" s="27">
        <f>+ENERO!U128</f>
        <v>22000000</v>
      </c>
      <c r="V128" s="15">
        <f>MAYO!V128+JUNIO!AL128</f>
        <v>0</v>
      </c>
      <c r="W128" s="15">
        <f>MAYO!W128+JUNIO!AM128</f>
        <v>0</v>
      </c>
      <c r="X128" s="18">
        <f t="shared" si="135"/>
        <v>22000000</v>
      </c>
      <c r="Y128" s="19">
        <f>MAYO!AA128</f>
        <v>2938000</v>
      </c>
      <c r="Z128" s="364">
        <v>0</v>
      </c>
      <c r="AA128" s="18">
        <f t="shared" si="136"/>
        <v>2938000</v>
      </c>
      <c r="AB128" s="19">
        <f>MAYO!AD128</f>
        <v>2788000</v>
      </c>
      <c r="AC128" s="364">
        <v>0</v>
      </c>
      <c r="AD128" s="18">
        <f t="shared" si="137"/>
        <v>2788000</v>
      </c>
      <c r="AE128" s="19">
        <f>MAYO!AG128</f>
        <v>2615500</v>
      </c>
      <c r="AF128" s="364">
        <v>0</v>
      </c>
      <c r="AG128" s="18">
        <f t="shared" si="138"/>
        <v>2615500</v>
      </c>
      <c r="AH128" s="19">
        <f t="shared" si="139"/>
        <v>19062000</v>
      </c>
      <c r="AI128" s="15">
        <f t="shared" si="140"/>
        <v>19212000</v>
      </c>
      <c r="AJ128" s="16">
        <f t="shared" si="141"/>
        <v>19384500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+IF(MAYO!S129=0,"",MAYO!S129)</f>
        <v>2010200-6</v>
      </c>
      <c r="T129" s="664" t="str">
        <f>+IF(MAYO!T129=0,"",MAYO!T129)</f>
        <v>Arrendamientos</v>
      </c>
      <c r="U129" s="27">
        <f>+ENERO!U129</f>
        <v>165000000</v>
      </c>
      <c r="V129" s="15">
        <f>MAYO!V129+JUNIO!AL129</f>
        <v>0</v>
      </c>
      <c r="W129" s="15">
        <f>MAYO!W129+JUNIO!AM129</f>
        <v>0</v>
      </c>
      <c r="X129" s="18">
        <f t="shared" si="135"/>
        <v>165000000</v>
      </c>
      <c r="Y129" s="19">
        <f>MAYO!AA129</f>
        <v>110000000</v>
      </c>
      <c r="Z129" s="364">
        <v>0</v>
      </c>
      <c r="AA129" s="18">
        <f t="shared" si="136"/>
        <v>110000000</v>
      </c>
      <c r="AB129" s="19">
        <f>MAYO!AD129</f>
        <v>31930579</v>
      </c>
      <c r="AC129" s="364">
        <v>16535136</v>
      </c>
      <c r="AD129" s="18">
        <f t="shared" si="137"/>
        <v>48465715</v>
      </c>
      <c r="AE129" s="19">
        <f>MAYO!AG129</f>
        <v>31930579</v>
      </c>
      <c r="AF129" s="364">
        <v>0</v>
      </c>
      <c r="AG129" s="18">
        <f t="shared" si="138"/>
        <v>31930579</v>
      </c>
      <c r="AH129" s="19">
        <f t="shared" si="139"/>
        <v>55000000</v>
      </c>
      <c r="AI129" s="15">
        <f t="shared" si="140"/>
        <v>116534285</v>
      </c>
      <c r="AJ129" s="16">
        <f t="shared" si="141"/>
        <v>133069421</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3">C128+C126</f>
        <v>66420360605</v>
      </c>
      <c r="D130" s="476">
        <f t="shared" si="143"/>
        <v>0</v>
      </c>
      <c r="E130" s="476">
        <f t="shared" si="143"/>
        <v>37181986823</v>
      </c>
      <c r="F130" s="477">
        <f t="shared" si="143"/>
        <v>103602347428</v>
      </c>
      <c r="G130" s="475">
        <f t="shared" si="143"/>
        <v>54958783483</v>
      </c>
      <c r="H130" s="476">
        <f t="shared" si="143"/>
        <v>11015249249</v>
      </c>
      <c r="I130" s="477">
        <f t="shared" si="143"/>
        <v>65974032732</v>
      </c>
      <c r="J130" s="475">
        <f t="shared" si="143"/>
        <v>37125029652.759995</v>
      </c>
      <c r="K130" s="476">
        <f t="shared" si="143"/>
        <v>11362189234</v>
      </c>
      <c r="L130" s="477">
        <f t="shared" si="143"/>
        <v>48487218886.759995</v>
      </c>
      <c r="M130" s="475">
        <f t="shared" si="143"/>
        <v>37628314696</v>
      </c>
      <c r="N130" s="477">
        <f t="shared" si="143"/>
        <v>55115128541.239998</v>
      </c>
      <c r="P130" s="468">
        <f>P128+P126</f>
        <v>0</v>
      </c>
      <c r="Q130" s="469">
        <f>Q128+Q126</f>
        <v>0</v>
      </c>
      <c r="R130" s="9"/>
      <c r="S130" s="688" t="str">
        <f>+IF(MAYO!S130=0,"",MAYO!S130)</f>
        <v>2010200-7</v>
      </c>
      <c r="T130" s="664" t="str">
        <f>+IF(MAYO!T130=0,"",MAYO!T130)</f>
        <v>Vigilancia y Aseo</v>
      </c>
      <c r="U130" s="27">
        <f>+ENERO!U130</f>
        <v>1086000000</v>
      </c>
      <c r="V130" s="15">
        <f>MAYO!V130+JUNIO!AL130</f>
        <v>-50000000</v>
      </c>
      <c r="W130" s="15">
        <f>MAYO!W130+JUNIO!AM130</f>
        <v>0</v>
      </c>
      <c r="X130" s="18">
        <f t="shared" si="135"/>
        <v>1036000000</v>
      </c>
      <c r="Y130" s="19">
        <f>MAYO!AA130</f>
        <v>1027184608</v>
      </c>
      <c r="Z130" s="364">
        <v>0</v>
      </c>
      <c r="AA130" s="18">
        <f t="shared" si="136"/>
        <v>1027184608</v>
      </c>
      <c r="AB130" s="19">
        <f>MAYO!AD130</f>
        <v>425677124</v>
      </c>
      <c r="AC130" s="364">
        <v>87433173</v>
      </c>
      <c r="AD130" s="18">
        <f t="shared" si="137"/>
        <v>513110297</v>
      </c>
      <c r="AE130" s="19">
        <f>MAYO!AG130</f>
        <v>220900814</v>
      </c>
      <c r="AF130" s="364">
        <v>0</v>
      </c>
      <c r="AG130" s="18">
        <f t="shared" si="138"/>
        <v>220900814</v>
      </c>
      <c r="AH130" s="19">
        <f t="shared" si="139"/>
        <v>8815392</v>
      </c>
      <c r="AI130" s="15">
        <f t="shared" si="140"/>
        <v>522889703</v>
      </c>
      <c r="AJ130" s="16">
        <f t="shared" si="141"/>
        <v>815099186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+IF(MAYO!S131=0,"",MAYO!S131)</f>
        <v>2010200-8</v>
      </c>
      <c r="T131" s="664" t="str">
        <f>+IF(MAYO!T131=0,"",MAYO!T131)</f>
        <v>Bienestar Social</v>
      </c>
      <c r="U131" s="27">
        <f>+ENERO!U131</f>
        <v>100000000</v>
      </c>
      <c r="V131" s="15">
        <f>MAYO!V131+JUNIO!AL131</f>
        <v>0</v>
      </c>
      <c r="W131" s="15">
        <f>MAYO!W131+JUNIO!AM131</f>
        <v>0</v>
      </c>
      <c r="X131" s="18">
        <f t="shared" si="135"/>
        <v>100000000</v>
      </c>
      <c r="Y131" s="19">
        <f>MAYO!AA131</f>
        <v>4650000</v>
      </c>
      <c r="Z131" s="364">
        <v>71656232</v>
      </c>
      <c r="AA131" s="18">
        <f t="shared" si="136"/>
        <v>76306232</v>
      </c>
      <c r="AB131" s="19">
        <f>MAYO!AD131</f>
        <v>4650000</v>
      </c>
      <c r="AC131" s="364">
        <v>1656232</v>
      </c>
      <c r="AD131" s="18">
        <f t="shared" si="137"/>
        <v>6306232</v>
      </c>
      <c r="AE131" s="19">
        <f>MAYO!AG131</f>
        <v>0</v>
      </c>
      <c r="AF131" s="364">
        <v>3450000</v>
      </c>
      <c r="AG131" s="18">
        <f t="shared" si="138"/>
        <v>3450000</v>
      </c>
      <c r="AH131" s="19">
        <f t="shared" si="139"/>
        <v>23693768</v>
      </c>
      <c r="AI131" s="15">
        <f t="shared" si="140"/>
        <v>93693768</v>
      </c>
      <c r="AJ131" s="16">
        <f t="shared" si="141"/>
        <v>96550000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+IF(MAYO!S132=0,"",MAYO!S132)</f>
        <v>2010200-9</v>
      </c>
      <c r="T132" s="664" t="str">
        <f>+IF(MAYO!T132=0,"",MAYO!T132)</f>
        <v>Capacitación, estimulos, incentivos, programa de calidad</v>
      </c>
      <c r="U132" s="27">
        <f>+ENERO!U132</f>
        <v>50000000</v>
      </c>
      <c r="V132" s="15">
        <f>MAYO!V132+JUNIO!AL132</f>
        <v>0</v>
      </c>
      <c r="W132" s="15">
        <f>MAYO!W132+JUNIO!AM132</f>
        <v>0</v>
      </c>
      <c r="X132" s="18">
        <f t="shared" si="135"/>
        <v>50000000</v>
      </c>
      <c r="Y132" s="19">
        <f>MAYO!AA132</f>
        <v>0</v>
      </c>
      <c r="Z132" s="364">
        <v>0</v>
      </c>
      <c r="AA132" s="18">
        <f t="shared" si="136"/>
        <v>0</v>
      </c>
      <c r="AB132" s="19">
        <f>MAYO!AD132</f>
        <v>0</v>
      </c>
      <c r="AC132" s="364">
        <v>0</v>
      </c>
      <c r="AD132" s="18">
        <f t="shared" si="137"/>
        <v>0</v>
      </c>
      <c r="AE132" s="19">
        <f>MAYO!AG132</f>
        <v>0</v>
      </c>
      <c r="AF132" s="364">
        <v>0</v>
      </c>
      <c r="AG132" s="18">
        <f t="shared" si="138"/>
        <v>0</v>
      </c>
      <c r="AH132" s="19">
        <f t="shared" si="139"/>
        <v>50000000</v>
      </c>
      <c r="AI132" s="15">
        <f t="shared" si="140"/>
        <v>50000000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+IF(MAYO!S133=0,"",MAYO!S133)</f>
        <v>2010200-10</v>
      </c>
      <c r="T133" s="664" t="str">
        <f>+IF(MAYO!T133=0,"",MAYO!T133)</f>
        <v>Pagos otras IPS</v>
      </c>
      <c r="U133" s="27">
        <f>+ENERO!U133</f>
        <v>0</v>
      </c>
      <c r="V133" s="15">
        <f>MAYO!V133+JUNIO!AL133</f>
        <v>0</v>
      </c>
      <c r="W133" s="15">
        <f>MAYO!W133+JUNIO!AM133</f>
        <v>0</v>
      </c>
      <c r="X133" s="18">
        <f t="shared" si="135"/>
        <v>0</v>
      </c>
      <c r="Y133" s="19">
        <f>MAYO!AA133</f>
        <v>0</v>
      </c>
      <c r="Z133" s="364">
        <v>0</v>
      </c>
      <c r="AA133" s="18">
        <f t="shared" si="136"/>
        <v>0</v>
      </c>
      <c r="AB133" s="19">
        <f>MAYO!AD133</f>
        <v>0</v>
      </c>
      <c r="AC133" s="364">
        <v>0</v>
      </c>
      <c r="AD133" s="18">
        <f t="shared" si="137"/>
        <v>0</v>
      </c>
      <c r="AE133" s="19">
        <f>MAYO!AG133</f>
        <v>0</v>
      </c>
      <c r="AF133" s="364">
        <v>0</v>
      </c>
      <c r="AG133" s="1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+IF(MAYO!S134=0,"",MAYO!S134)</f>
        <v>2010200-11</v>
      </c>
      <c r="T134" s="664" t="str">
        <f>+IF(MAYO!T134=0,"",MAYO!T134)</f>
        <v>Gastos financieros</v>
      </c>
      <c r="U134" s="27">
        <f>+ENERO!U134</f>
        <v>16000000</v>
      </c>
      <c r="V134" s="15">
        <f>MAYO!V134+JUNIO!AL134</f>
        <v>5000000</v>
      </c>
      <c r="W134" s="15">
        <f>MAYO!W134+JUNIO!AM134</f>
        <v>0</v>
      </c>
      <c r="X134" s="18">
        <f t="shared" si="135"/>
        <v>21000000</v>
      </c>
      <c r="Y134" s="19">
        <f>MAYO!AA134</f>
        <v>10067959</v>
      </c>
      <c r="Z134" s="364">
        <v>2937986</v>
      </c>
      <c r="AA134" s="18">
        <f t="shared" si="136"/>
        <v>13005945</v>
      </c>
      <c r="AB134" s="19">
        <f>MAYO!AD134</f>
        <v>10067959</v>
      </c>
      <c r="AC134" s="364">
        <v>2937986</v>
      </c>
      <c r="AD134" s="18">
        <f t="shared" si="137"/>
        <v>13005945</v>
      </c>
      <c r="AE134" s="19">
        <f>MAYO!AG134</f>
        <v>10067959</v>
      </c>
      <c r="AF134" s="364">
        <v>2937986</v>
      </c>
      <c r="AG134" s="18">
        <f t="shared" si="138"/>
        <v>13005945</v>
      </c>
      <c r="AH134" s="19">
        <f t="shared" si="139"/>
        <v>7994055</v>
      </c>
      <c r="AI134" s="15">
        <f t="shared" si="140"/>
        <v>7994055</v>
      </c>
      <c r="AJ134" s="16">
        <f t="shared" si="141"/>
        <v>7994055</v>
      </c>
      <c r="AK134" s="9"/>
      <c r="AL134" s="362">
        <v>5000000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+IF(MAYO!S135=0,"",MAYO!S135)</f>
        <v>2010200-12</v>
      </c>
      <c r="T135" s="664" t="str">
        <f>+IF(MAYO!T135=0,"",MAYO!T135)</f>
        <v>Mantenimiento de software</v>
      </c>
      <c r="U135" s="27">
        <f>+ENERO!U135</f>
        <v>350000000</v>
      </c>
      <c r="V135" s="15">
        <f>MAYO!V135+JUNIO!AL135</f>
        <v>0</v>
      </c>
      <c r="W135" s="15">
        <f>MAYO!W135+JUNIO!AM135</f>
        <v>0</v>
      </c>
      <c r="X135" s="18">
        <f t="shared" si="135"/>
        <v>350000000</v>
      </c>
      <c r="Y135" s="19">
        <f>MAYO!AA135</f>
        <v>338498600</v>
      </c>
      <c r="Z135" s="364">
        <v>0</v>
      </c>
      <c r="AA135" s="18">
        <f t="shared" si="136"/>
        <v>338498600</v>
      </c>
      <c r="AB135" s="19">
        <f>MAYO!AD135</f>
        <v>185286100</v>
      </c>
      <c r="AC135" s="364">
        <v>91927500</v>
      </c>
      <c r="AD135" s="18">
        <f t="shared" si="137"/>
        <v>277213600</v>
      </c>
      <c r="AE135" s="19">
        <f>MAYO!AG135</f>
        <v>185286100</v>
      </c>
      <c r="AF135" s="364">
        <v>0</v>
      </c>
      <c r="AG135" s="18">
        <f t="shared" si="138"/>
        <v>185286100</v>
      </c>
      <c r="AH135" s="19">
        <f t="shared" si="139"/>
        <v>11501400</v>
      </c>
      <c r="AI135" s="15">
        <f t="shared" si="140"/>
        <v>72786400</v>
      </c>
      <c r="AJ135" s="16">
        <f t="shared" si="141"/>
        <v>164713900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+IF(MAYO!S136=0,"",MAYO!S136)</f>
        <v>2010200-13</v>
      </c>
      <c r="T136" s="664" t="str">
        <f>+IF(MAYO!T136=0,"",MAYO!T136)</f>
        <v/>
      </c>
      <c r="U136" s="27">
        <f>+ENERO!U136</f>
        <v>0</v>
      </c>
      <c r="V136" s="15">
        <f>MAYO!V136+JUNIO!AL136</f>
        <v>0</v>
      </c>
      <c r="W136" s="15">
        <f>MAYO!W136+JUNIO!AM136</f>
        <v>0</v>
      </c>
      <c r="X136" s="18">
        <f t="shared" si="135"/>
        <v>0</v>
      </c>
      <c r="Y136" s="19">
        <f>MAYO!AA136</f>
        <v>0</v>
      </c>
      <c r="Z136" s="364">
        <v>0</v>
      </c>
      <c r="AA136" s="18">
        <f t="shared" si="136"/>
        <v>0</v>
      </c>
      <c r="AB136" s="19">
        <f>MAYO!AD136</f>
        <v>0</v>
      </c>
      <c r="AC136" s="364">
        <v>0</v>
      </c>
      <c r="AD136" s="18">
        <f t="shared" si="137"/>
        <v>0</v>
      </c>
      <c r="AE136" s="19">
        <f>MAYO!AG136</f>
        <v>0</v>
      </c>
      <c r="AF136" s="364">
        <v>0</v>
      </c>
      <c r="AG136" s="1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+IF(MAYO!S137=0,"",MAYO!S137)</f>
        <v>2010020-14</v>
      </c>
      <c r="T137" s="664" t="str">
        <f>+IF(MAYO!T137=0,"",MAYO!T137)</f>
        <v/>
      </c>
      <c r="U137" s="27">
        <f>+ENERO!U137</f>
        <v>0</v>
      </c>
      <c r="V137" s="15">
        <f>MAYO!V137+JUNIO!AL137</f>
        <v>0</v>
      </c>
      <c r="W137" s="15">
        <f>MAYO!W137+JUNIO!AM137</f>
        <v>0</v>
      </c>
      <c r="X137" s="18">
        <f t="shared" si="135"/>
        <v>0</v>
      </c>
      <c r="Y137" s="19">
        <f>MAYO!AA137</f>
        <v>0</v>
      </c>
      <c r="Z137" s="364">
        <v>0</v>
      </c>
      <c r="AA137" s="18">
        <f t="shared" si="136"/>
        <v>0</v>
      </c>
      <c r="AB137" s="19">
        <f>MAYO!AD137</f>
        <v>0</v>
      </c>
      <c r="AC137" s="364">
        <v>0</v>
      </c>
      <c r="AD137" s="18">
        <f t="shared" si="137"/>
        <v>0</v>
      </c>
      <c r="AE137" s="19">
        <f>MAYO!AG137</f>
        <v>0</v>
      </c>
      <c r="AF137" s="364">
        <v>0</v>
      </c>
      <c r="AG137" s="1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+IF(MAYO!S138=0,"",MAYO!S138)</f>
        <v>2010200-15</v>
      </c>
      <c r="T138" s="664" t="str">
        <f>+IF(MAYO!T138=0,"",MAYO!T138)</f>
        <v/>
      </c>
      <c r="U138" s="27">
        <f>+ENERO!U138</f>
        <v>0</v>
      </c>
      <c r="V138" s="15">
        <f>MAYO!V138+JUNIO!AL138</f>
        <v>0</v>
      </c>
      <c r="W138" s="15">
        <f>MAYO!W138+JUNIO!AM138</f>
        <v>0</v>
      </c>
      <c r="X138" s="18">
        <f t="shared" si="135"/>
        <v>0</v>
      </c>
      <c r="Y138" s="19">
        <f>MAYO!AA138</f>
        <v>0</v>
      </c>
      <c r="Z138" s="364">
        <v>0</v>
      </c>
      <c r="AA138" s="18">
        <f t="shared" si="136"/>
        <v>0</v>
      </c>
      <c r="AB138" s="19">
        <f>MAYO!AD138</f>
        <v>0</v>
      </c>
      <c r="AC138" s="364">
        <v>0</v>
      </c>
      <c r="AD138" s="18">
        <f t="shared" si="137"/>
        <v>0</v>
      </c>
      <c r="AE138" s="19">
        <f>MAYO!AG138</f>
        <v>0</v>
      </c>
      <c r="AF138" s="364">
        <v>0</v>
      </c>
      <c r="AG138" s="1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+IF(MAYO!S139=0,"",MAYO!S139)</f>
        <v>2010299</v>
      </c>
      <c r="T139" s="664" t="str">
        <f>+IF(MAYO!T139=0,"",MAYO!T139)</f>
        <v>Vigencias Anteriores</v>
      </c>
      <c r="U139" s="27">
        <f>+ENERO!U139</f>
        <v>100000000</v>
      </c>
      <c r="V139" s="15">
        <f>MAYO!V139+JUNIO!AL139</f>
        <v>50000000</v>
      </c>
      <c r="W139" s="15">
        <f>MAYO!W139+JUNIO!AM139</f>
        <v>250000000</v>
      </c>
      <c r="X139" s="18">
        <f t="shared" si="135"/>
        <v>400000000</v>
      </c>
      <c r="Y139" s="19">
        <f>MAYO!AA139</f>
        <v>399382937</v>
      </c>
      <c r="Z139" s="364">
        <v>0</v>
      </c>
      <c r="AA139" s="18">
        <f t="shared" si="136"/>
        <v>399382937</v>
      </c>
      <c r="AB139" s="19">
        <f>MAYO!AD139</f>
        <v>399382937</v>
      </c>
      <c r="AC139" s="364">
        <v>0</v>
      </c>
      <c r="AD139" s="18">
        <f t="shared" si="137"/>
        <v>399382937</v>
      </c>
      <c r="AE139" s="19">
        <f>MAYO!AG139</f>
        <v>399382937</v>
      </c>
      <c r="AF139" s="364">
        <v>0</v>
      </c>
      <c r="AG139" s="18">
        <f t="shared" si="138"/>
        <v>399382937</v>
      </c>
      <c r="AH139" s="19">
        <f t="shared" si="139"/>
        <v>617063</v>
      </c>
      <c r="AI139" s="15">
        <f t="shared" si="140"/>
        <v>617063</v>
      </c>
      <c r="AJ139" s="16">
        <f t="shared" si="141"/>
        <v>617063</v>
      </c>
      <c r="AK139" s="9"/>
      <c r="AL139" s="362">
        <v>0</v>
      </c>
      <c r="AM139" s="365">
        <v>0</v>
      </c>
      <c r="AN139" s="9"/>
      <c r="AO139" s="284"/>
      <c r="AP139" s="284"/>
      <c r="AQ139" s="284"/>
    </row>
    <row r="140" spans="1:52" s="372" customFormat="1" ht="24.95" customHeight="1">
      <c r="A140" s="734"/>
      <c r="B140" s="643"/>
      <c r="N140" s="9"/>
      <c r="R140" s="9"/>
      <c r="S140" s="356" t="str">
        <f>+IF(MAYO!S140=0,"",MAYO!S140)</f>
        <v/>
      </c>
      <c r="T140" s="678" t="str">
        <f>+IF(MAYO!T140=0,"",MAYO!T140)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+IF(MAYO!S141=0,"",MAYO!S141)</f>
        <v>2010300</v>
      </c>
      <c r="T141" s="663" t="str">
        <f>+IF(MAYO!T141=0,"",MAYO!T141)</f>
        <v>Impuestos y Multas</v>
      </c>
      <c r="U141" s="132">
        <f t="shared" ref="U141:AJ141" si="144">U142+U143</f>
        <v>527082264</v>
      </c>
      <c r="V141" s="122">
        <f t="shared" si="144"/>
        <v>0</v>
      </c>
      <c r="W141" s="122">
        <f t="shared" si="144"/>
        <v>0</v>
      </c>
      <c r="X141" s="129">
        <f t="shared" si="144"/>
        <v>527082264</v>
      </c>
      <c r="Y141" s="128">
        <f t="shared" si="144"/>
        <v>147052602</v>
      </c>
      <c r="Z141" s="122">
        <f t="shared" si="144"/>
        <v>17216312</v>
      </c>
      <c r="AA141" s="129">
        <f t="shared" si="144"/>
        <v>164268914</v>
      </c>
      <c r="AB141" s="128">
        <f t="shared" si="144"/>
        <v>147052602</v>
      </c>
      <c r="AC141" s="122">
        <f t="shared" si="144"/>
        <v>17216312</v>
      </c>
      <c r="AD141" s="129">
        <f t="shared" si="144"/>
        <v>164268914</v>
      </c>
      <c r="AE141" s="128">
        <f t="shared" si="144"/>
        <v>147052602</v>
      </c>
      <c r="AF141" s="122">
        <f t="shared" si="144"/>
        <v>17216312</v>
      </c>
      <c r="AG141" s="129">
        <f t="shared" si="144"/>
        <v>164268914</v>
      </c>
      <c r="AH141" s="128">
        <f t="shared" si="144"/>
        <v>362813350</v>
      </c>
      <c r="AI141" s="122">
        <f t="shared" si="144"/>
        <v>362813350</v>
      </c>
      <c r="AJ141" s="130">
        <f t="shared" si="144"/>
        <v>362813350</v>
      </c>
      <c r="AK141" s="10"/>
      <c r="AL141" s="128">
        <f>AL142+AL143</f>
        <v>0</v>
      </c>
      <c r="AM141" s="130">
        <f>AM142+AM143</f>
        <v>0</v>
      </c>
      <c r="AN141" s="9"/>
    </row>
    <row r="142" spans="1:52" s="372" customFormat="1" ht="24.95" customHeight="1">
      <c r="A142" s="734"/>
      <c r="B142" s="643"/>
      <c r="N142" s="9"/>
      <c r="R142" s="9"/>
      <c r="S142" s="688" t="str">
        <f>+IF(MAYO!S142=0,"",MAYO!S142)</f>
        <v>2010300-1</v>
      </c>
      <c r="T142" s="664" t="str">
        <f>+IF(MAYO!T142=0,"",MAYO!T142)</f>
        <v>Impuestos (Predial, Vehiculos, Otros)</v>
      </c>
      <c r="U142" s="27">
        <f>+ENERO!U142</f>
        <v>527082264</v>
      </c>
      <c r="V142" s="15">
        <f>MAYO!V142+JUNIO!AL142</f>
        <v>0</v>
      </c>
      <c r="W142" s="15">
        <f>MAYO!W142+JUNIO!AM142</f>
        <v>0</v>
      </c>
      <c r="X142" s="18">
        <f>SUM(U142:W142)</f>
        <v>527082264</v>
      </c>
      <c r="Y142" s="19">
        <f>MAYO!AA142</f>
        <v>147052602</v>
      </c>
      <c r="Z142" s="364">
        <v>17216312</v>
      </c>
      <c r="AA142" s="18">
        <f>SUM(Y142:Z142)</f>
        <v>164268914</v>
      </c>
      <c r="AB142" s="19">
        <f>MAYO!AD142</f>
        <v>147052602</v>
      </c>
      <c r="AC142" s="364">
        <v>17216312</v>
      </c>
      <c r="AD142" s="18">
        <f>SUM(AB142:AC142)</f>
        <v>164268914</v>
      </c>
      <c r="AE142" s="19">
        <f>MAYO!AG142</f>
        <v>147052602</v>
      </c>
      <c r="AF142" s="364">
        <v>17216312</v>
      </c>
      <c r="AG142" s="18">
        <f>SUM(AE142:AF142)</f>
        <v>164268914</v>
      </c>
      <c r="AH142" s="19">
        <f>X142-AA142</f>
        <v>362813350</v>
      </c>
      <c r="AI142" s="15">
        <f>X142-AD142</f>
        <v>362813350</v>
      </c>
      <c r="AJ142" s="16">
        <f>X142-AG142</f>
        <v>362813350</v>
      </c>
      <c r="AK142" s="9"/>
      <c r="AL142" s="362">
        <v>0</v>
      </c>
      <c r="AM142" s="365">
        <v>0</v>
      </c>
      <c r="AN142" s="9"/>
    </row>
    <row r="143" spans="1:52" s="372" customFormat="1" ht="24.95" customHeight="1">
      <c r="A143" s="734"/>
      <c r="B143" s="643"/>
      <c r="N143" s="9"/>
      <c r="R143" s="9"/>
      <c r="S143" s="688">
        <f>+IF(MAYO!S143=0,"",MAYO!S143)</f>
        <v>2010399</v>
      </c>
      <c r="T143" s="664" t="str">
        <f>+IF(MAYO!T143=0,"",MAYO!T143)</f>
        <v>Vigencias Anteriores</v>
      </c>
      <c r="U143" s="27">
        <f>+ENERO!U143</f>
        <v>0</v>
      </c>
      <c r="V143" s="15">
        <f>MAYO!V143+JUNIO!AL143</f>
        <v>0</v>
      </c>
      <c r="W143" s="15">
        <f>MAYO!W143+JUNIO!AM143</f>
        <v>0</v>
      </c>
      <c r="X143" s="18">
        <f>SUM(U143:W143)</f>
        <v>0</v>
      </c>
      <c r="Y143" s="19">
        <f>MAYO!AA143</f>
        <v>0</v>
      </c>
      <c r="Z143" s="364">
        <v>0</v>
      </c>
      <c r="AA143" s="18">
        <f>SUM(Y143:Z143)</f>
        <v>0</v>
      </c>
      <c r="AB143" s="19">
        <f>MAYO!AD143</f>
        <v>0</v>
      </c>
      <c r="AC143" s="364">
        <v>0</v>
      </c>
      <c r="AD143" s="18">
        <f>SUM(AB143:AC143)</f>
        <v>0</v>
      </c>
      <c r="AE143" s="19">
        <f>MAYO!AG143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+IF(MAYO!S144=0,"",MAYO!S144)</f>
        <v/>
      </c>
      <c r="T144" s="678" t="str">
        <f>+IF(MAYO!T144=0,"",MAYO!T144)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+IF(MAYO!S145=0,"",MAYO!S145)</f>
        <v>2020010</v>
      </c>
      <c r="T145" s="662" t="str">
        <f>+IF(MAYO!T145=0,"",MAYO!T145)</f>
        <v>Gastos de Operación</v>
      </c>
      <c r="U145" s="132">
        <f t="shared" ref="U145:AJ145" si="145">U147+U155</f>
        <v>5923637263</v>
      </c>
      <c r="V145" s="122">
        <f t="shared" si="145"/>
        <v>292000000</v>
      </c>
      <c r="W145" s="122">
        <f t="shared" si="145"/>
        <v>1300000000</v>
      </c>
      <c r="X145" s="129">
        <f t="shared" si="145"/>
        <v>7515637263</v>
      </c>
      <c r="Y145" s="128">
        <f t="shared" si="145"/>
        <v>5576415008</v>
      </c>
      <c r="Z145" s="122">
        <f t="shared" si="145"/>
        <v>457206098</v>
      </c>
      <c r="AA145" s="129">
        <f t="shared" si="145"/>
        <v>6033621106</v>
      </c>
      <c r="AB145" s="128">
        <f t="shared" si="145"/>
        <v>3386488157</v>
      </c>
      <c r="AC145" s="122">
        <f t="shared" si="145"/>
        <v>607816611</v>
      </c>
      <c r="AD145" s="129">
        <f t="shared" si="145"/>
        <v>3994304768</v>
      </c>
      <c r="AE145" s="128">
        <f t="shared" si="145"/>
        <v>2170432819</v>
      </c>
      <c r="AF145" s="122">
        <f t="shared" si="145"/>
        <v>307907200</v>
      </c>
      <c r="AG145" s="129">
        <f t="shared" si="145"/>
        <v>2478340019</v>
      </c>
      <c r="AH145" s="128">
        <f t="shared" si="145"/>
        <v>1482016157</v>
      </c>
      <c r="AI145" s="122">
        <f t="shared" si="145"/>
        <v>3521332495</v>
      </c>
      <c r="AJ145" s="130">
        <f t="shared" si="145"/>
        <v>5037297244</v>
      </c>
      <c r="AK145" s="10"/>
      <c r="AL145" s="128">
        <f>AL147+AL155</f>
        <v>0</v>
      </c>
      <c r="AM145" s="130">
        <f>AM147+AM155</f>
        <v>0</v>
      </c>
      <c r="AN145" s="9"/>
    </row>
    <row r="146" spans="1:40" s="372" customFormat="1" ht="24.95" customHeight="1">
      <c r="A146" s="734"/>
      <c r="B146" s="643"/>
      <c r="N146" s="9"/>
      <c r="R146" s="9"/>
      <c r="S146" s="689" t="str">
        <f>+IF(MAYO!S146=0,"",MAYO!S146)</f>
        <v/>
      </c>
      <c r="T146" s="665" t="str">
        <f>+IF(MAYO!T146=0,"",MAYO!T146)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+IF(MAYO!S147=0,"",MAYO!S147)</f>
        <v>2020100</v>
      </c>
      <c r="T147" s="663" t="str">
        <f>+IF(MAYO!T147=0,"",MAYO!T147)</f>
        <v>Adquisición de bienes</v>
      </c>
      <c r="U147" s="132">
        <f t="shared" ref="U147:AJ147" si="146">SUM(U148:U149)+U153</f>
        <v>1211000000</v>
      </c>
      <c r="V147" s="122">
        <f t="shared" si="146"/>
        <v>-308000000</v>
      </c>
      <c r="W147" s="122">
        <f t="shared" si="146"/>
        <v>100000000</v>
      </c>
      <c r="X147" s="129">
        <f t="shared" si="146"/>
        <v>1003000000</v>
      </c>
      <c r="Y147" s="128">
        <f t="shared" si="146"/>
        <v>284910379</v>
      </c>
      <c r="Z147" s="122">
        <f t="shared" si="146"/>
        <v>141571296</v>
      </c>
      <c r="AA147" s="129">
        <f t="shared" si="146"/>
        <v>426481675</v>
      </c>
      <c r="AB147" s="128">
        <f t="shared" si="146"/>
        <v>267767138</v>
      </c>
      <c r="AC147" s="122">
        <f t="shared" si="146"/>
        <v>11610781</v>
      </c>
      <c r="AD147" s="129">
        <f t="shared" si="146"/>
        <v>279377919</v>
      </c>
      <c r="AE147" s="128">
        <f t="shared" si="146"/>
        <v>193603474</v>
      </c>
      <c r="AF147" s="122">
        <f t="shared" si="146"/>
        <v>29883042</v>
      </c>
      <c r="AG147" s="129">
        <f t="shared" si="146"/>
        <v>223486516</v>
      </c>
      <c r="AH147" s="128">
        <f t="shared" si="146"/>
        <v>576518325</v>
      </c>
      <c r="AI147" s="122">
        <f t="shared" si="146"/>
        <v>723622081</v>
      </c>
      <c r="AJ147" s="130">
        <f t="shared" si="146"/>
        <v>779513484</v>
      </c>
      <c r="AK147" s="9"/>
      <c r="AL147" s="128">
        <f>SUM(AL148:AL149)+AL153</f>
        <v>0</v>
      </c>
      <c r="AM147" s="130">
        <f>SUM(AM148:AM149)+AM153</f>
        <v>0</v>
      </c>
      <c r="AN147" s="9"/>
    </row>
    <row r="148" spans="1:40" s="372" customFormat="1" ht="24.95" customHeight="1">
      <c r="A148" s="734"/>
      <c r="B148" s="643"/>
      <c r="N148" s="9"/>
      <c r="R148" s="9"/>
      <c r="S148" s="688">
        <f>+IF(MAYO!S148=0,"",MAYO!S148)</f>
        <v>2020101</v>
      </c>
      <c r="T148" s="664" t="str">
        <f>+IF(MAYO!T148=0,"",MAYO!T148)</f>
        <v>Mantenimiento Hospitalario</v>
      </c>
      <c r="U148" s="27">
        <f>+ENERO!U148</f>
        <v>1000000000</v>
      </c>
      <c r="V148" s="15">
        <f>MAYO!V148+JUNIO!AL148</f>
        <v>-308000000</v>
      </c>
      <c r="W148" s="15">
        <f>MAYO!W148+JUNIO!AM148</f>
        <v>0</v>
      </c>
      <c r="X148" s="18">
        <f>SUM(U148:W148)</f>
        <v>692000000</v>
      </c>
      <c r="Y148" s="19">
        <f>MAYO!AA148</f>
        <v>58774852</v>
      </c>
      <c r="Z148" s="364">
        <v>141571296</v>
      </c>
      <c r="AA148" s="18">
        <f>SUM(Y148:Z148)</f>
        <v>200346148</v>
      </c>
      <c r="AB148" s="19">
        <f>MAYO!AD148</f>
        <v>41631611</v>
      </c>
      <c r="AC148" s="364">
        <v>11610781</v>
      </c>
      <c r="AD148" s="18">
        <f>SUM(AB148:AC148)</f>
        <v>53242392</v>
      </c>
      <c r="AE148" s="19">
        <f>MAYO!AG148</f>
        <v>35100669</v>
      </c>
      <c r="AF148" s="364">
        <v>0</v>
      </c>
      <c r="AG148" s="18">
        <f>SUM(AE148:AF148)</f>
        <v>35100669</v>
      </c>
      <c r="AH148" s="19">
        <f>X148-AA148</f>
        <v>491653852</v>
      </c>
      <c r="AI148" s="15">
        <f>X148-AD148</f>
        <v>638757608</v>
      </c>
      <c r="AJ148" s="16">
        <f>X148-AG148</f>
        <v>656899331</v>
      </c>
      <c r="AK148" s="9"/>
      <c r="AL148" s="362">
        <v>0</v>
      </c>
      <c r="AM148" s="365">
        <v>0</v>
      </c>
      <c r="AN148" s="9"/>
    </row>
    <row r="149" spans="1:40" s="372" customFormat="1" ht="24.95" customHeight="1">
      <c r="A149" s="734"/>
      <c r="B149" s="643"/>
      <c r="N149" s="9"/>
      <c r="R149" s="9"/>
      <c r="S149" s="688">
        <f>+IF(MAYO!S149=0,"",MAYO!S149)</f>
        <v>2020102</v>
      </c>
      <c r="T149" s="664" t="str">
        <f>+IF(MAYO!T149=0,"",MAYO!T149)</f>
        <v>Otros</v>
      </c>
      <c r="U149" s="27">
        <f t="shared" ref="U149:AJ149" si="147">SUM(U150:U152)</f>
        <v>150000000</v>
      </c>
      <c r="V149" s="15">
        <f t="shared" si="147"/>
        <v>0</v>
      </c>
      <c r="W149" s="15">
        <f t="shared" si="147"/>
        <v>0</v>
      </c>
      <c r="X149" s="18">
        <f t="shared" si="147"/>
        <v>150000000</v>
      </c>
      <c r="Y149" s="19">
        <f t="shared" si="147"/>
        <v>78952121</v>
      </c>
      <c r="Z149" s="142">
        <f t="shared" si="147"/>
        <v>0</v>
      </c>
      <c r="AA149" s="18">
        <f t="shared" si="147"/>
        <v>78952121</v>
      </c>
      <c r="AB149" s="19">
        <f t="shared" si="147"/>
        <v>78952121</v>
      </c>
      <c r="AC149" s="142">
        <f t="shared" si="147"/>
        <v>0</v>
      </c>
      <c r="AD149" s="18">
        <f t="shared" si="147"/>
        <v>78952121</v>
      </c>
      <c r="AE149" s="19">
        <f t="shared" si="147"/>
        <v>11319399</v>
      </c>
      <c r="AF149" s="142">
        <f t="shared" si="147"/>
        <v>29883042</v>
      </c>
      <c r="AG149" s="18">
        <f t="shared" si="147"/>
        <v>41202441</v>
      </c>
      <c r="AH149" s="19">
        <f t="shared" si="147"/>
        <v>71047879</v>
      </c>
      <c r="AI149" s="15">
        <f t="shared" si="147"/>
        <v>71047879</v>
      </c>
      <c r="AJ149" s="16">
        <f t="shared" si="147"/>
        <v>108797559</v>
      </c>
      <c r="AK149" s="9"/>
      <c r="AL149" s="29">
        <f>SUM(AL150:AL152)</f>
        <v>0</v>
      </c>
      <c r="AM149" s="26">
        <f>SUM(AM150:AM152)</f>
        <v>0</v>
      </c>
      <c r="AN149" s="9"/>
    </row>
    <row r="150" spans="1:40" s="372" customFormat="1" ht="24.95" customHeight="1">
      <c r="A150" s="734"/>
      <c r="B150" s="643"/>
      <c r="N150" s="9"/>
      <c r="R150" s="9"/>
      <c r="S150" s="689" t="str">
        <f>+IF(MAYO!S150=0,"",MAYO!S150)</f>
        <v>2020102-1</v>
      </c>
      <c r="T150" s="664" t="str">
        <f>+IF(MAYO!T150=0,"",MAYO!T150)</f>
        <v>Compra de Equipo e Instr. Mco. y Laborat.</v>
      </c>
      <c r="U150" s="27">
        <f>+ENERO!U150</f>
        <v>150000000</v>
      </c>
      <c r="V150" s="15">
        <f>MAYO!V150+JUNIO!AL150</f>
        <v>0</v>
      </c>
      <c r="W150" s="15">
        <f>MAYO!W150+JUNIO!AM150</f>
        <v>0</v>
      </c>
      <c r="X150" s="18">
        <f>SUM(U150:W150)</f>
        <v>150000000</v>
      </c>
      <c r="Y150" s="19">
        <f>MAYO!AA150</f>
        <v>78952121</v>
      </c>
      <c r="Z150" s="364">
        <v>0</v>
      </c>
      <c r="AA150" s="18">
        <f>SUM(Y150:Z150)</f>
        <v>78952121</v>
      </c>
      <c r="AB150" s="19">
        <f>MAYO!AD150</f>
        <v>78952121</v>
      </c>
      <c r="AC150" s="364">
        <v>0</v>
      </c>
      <c r="AD150" s="18">
        <f>SUM(AB150:AC150)</f>
        <v>78952121</v>
      </c>
      <c r="AE150" s="19">
        <f>MAYO!AG150</f>
        <v>11319399</v>
      </c>
      <c r="AF150" s="364">
        <v>29883042</v>
      </c>
      <c r="AG150" s="18">
        <f>SUM(AE150:AF150)</f>
        <v>41202441</v>
      </c>
      <c r="AH150" s="19">
        <f>X150-AA150</f>
        <v>71047879</v>
      </c>
      <c r="AI150" s="15">
        <f>X150-AD150</f>
        <v>71047879</v>
      </c>
      <c r="AJ150" s="16">
        <f>X150-AG150</f>
        <v>108797559</v>
      </c>
      <c r="AK150" s="9"/>
      <c r="AL150" s="362">
        <v>0</v>
      </c>
      <c r="AM150" s="365">
        <v>0</v>
      </c>
      <c r="AN150" s="9"/>
    </row>
    <row r="151" spans="1:40" s="372" customFormat="1" ht="24.95" customHeight="1">
      <c r="A151" s="734"/>
      <c r="B151" s="643"/>
      <c r="N151" s="9"/>
      <c r="R151" s="9"/>
      <c r="S151" s="689" t="str">
        <f>+IF(MAYO!S151=0,"",MAYO!S151)</f>
        <v>2020102-2</v>
      </c>
      <c r="T151" s="664" t="str">
        <f>+IF(MAYO!T151=0,"",MAYO!T151)</f>
        <v>Materiales</v>
      </c>
      <c r="U151" s="27">
        <f>+ENERO!U151</f>
        <v>0</v>
      </c>
      <c r="V151" s="15">
        <f>MAYO!V151+JUNIO!AL151</f>
        <v>0</v>
      </c>
      <c r="W151" s="15">
        <f>MAYO!W151+JUNIO!AM151</f>
        <v>0</v>
      </c>
      <c r="X151" s="18">
        <f>SUM(U151:W151)</f>
        <v>0</v>
      </c>
      <c r="Y151" s="19">
        <f>MAYO!AA151</f>
        <v>0</v>
      </c>
      <c r="Z151" s="364">
        <v>0</v>
      </c>
      <c r="AA151" s="18">
        <f>SUM(Y151:Z151)</f>
        <v>0</v>
      </c>
      <c r="AB151" s="19">
        <f>MAYO!AD151</f>
        <v>0</v>
      </c>
      <c r="AC151" s="364">
        <v>0</v>
      </c>
      <c r="AD151" s="18">
        <f>SUM(AB151:AC151)</f>
        <v>0</v>
      </c>
      <c r="AE151" s="19">
        <f>MAYO!AG151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+IF(MAYO!S152=0,"",MAYO!S152)</f>
        <v>2020102-3</v>
      </c>
      <c r="T152" s="664" t="str">
        <f>+IF(MAYO!T152=0,"",MAYO!T152)</f>
        <v/>
      </c>
      <c r="U152" s="27">
        <f>+ENERO!U152</f>
        <v>0</v>
      </c>
      <c r="V152" s="15">
        <f>MAYO!V152+JUNIO!AL152</f>
        <v>0</v>
      </c>
      <c r="W152" s="15">
        <f>MAYO!W152+JUNIO!AM152</f>
        <v>0</v>
      </c>
      <c r="X152" s="18">
        <f>SUM(U152:W152)</f>
        <v>0</v>
      </c>
      <c r="Y152" s="19">
        <f>MAYO!AA152</f>
        <v>0</v>
      </c>
      <c r="Z152" s="364">
        <v>0</v>
      </c>
      <c r="AA152" s="18">
        <f>SUM(Y152:Z152)</f>
        <v>0</v>
      </c>
      <c r="AB152" s="19">
        <f>MAYO!AD152</f>
        <v>0</v>
      </c>
      <c r="AC152" s="364">
        <v>0</v>
      </c>
      <c r="AD152" s="18">
        <f>SUM(AB152:AC152)</f>
        <v>0</v>
      </c>
      <c r="AE152" s="19">
        <f>MAYO!AG152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+IF(MAYO!S153=0,"",MAYO!S153)</f>
        <v>2020199</v>
      </c>
      <c r="T153" s="664" t="str">
        <f>+IF(MAYO!T153=0,"",MAYO!T153)</f>
        <v>Vigencias Anteriores</v>
      </c>
      <c r="U153" s="27">
        <f>+ENERO!U153</f>
        <v>61000000</v>
      </c>
      <c r="V153" s="15">
        <f>MAYO!V153+JUNIO!AL153</f>
        <v>0</v>
      </c>
      <c r="W153" s="15">
        <f>MAYO!W153+JUNIO!AM153</f>
        <v>100000000</v>
      </c>
      <c r="X153" s="18">
        <f>SUM(U153:W153)</f>
        <v>161000000</v>
      </c>
      <c r="Y153" s="19">
        <f>MAYO!AA153</f>
        <v>147183406</v>
      </c>
      <c r="Z153" s="364">
        <v>0</v>
      </c>
      <c r="AA153" s="18">
        <f>SUM(Y153:Z153)</f>
        <v>147183406</v>
      </c>
      <c r="AB153" s="19">
        <f>MAYO!AD153</f>
        <v>147183406</v>
      </c>
      <c r="AC153" s="364">
        <v>0</v>
      </c>
      <c r="AD153" s="18">
        <f>SUM(AB153:AC153)</f>
        <v>147183406</v>
      </c>
      <c r="AE153" s="19">
        <f>MAYO!AG153</f>
        <v>147183406</v>
      </c>
      <c r="AF153" s="364">
        <v>0</v>
      </c>
      <c r="AG153" s="18">
        <f>SUM(AE153:AF153)</f>
        <v>147183406</v>
      </c>
      <c r="AH153" s="19">
        <f>X153-AA153</f>
        <v>13816594</v>
      </c>
      <c r="AI153" s="15">
        <f>X153-AD153</f>
        <v>13816594</v>
      </c>
      <c r="AJ153" s="16">
        <f>X153-AG153</f>
        <v>13816594</v>
      </c>
      <c r="AK153" s="9"/>
      <c r="AL153" s="362">
        <v>0</v>
      </c>
      <c r="AM153" s="365">
        <v>0</v>
      </c>
      <c r="AN153" s="9"/>
    </row>
    <row r="154" spans="1:40" s="372" customFormat="1" ht="24.95" customHeight="1">
      <c r="A154" s="734"/>
      <c r="B154" s="643"/>
      <c r="N154" s="9"/>
      <c r="R154" s="9"/>
      <c r="S154" s="356" t="str">
        <f>+IF(MAYO!S154=0,"",MAYO!S154)</f>
        <v/>
      </c>
      <c r="T154" s="678" t="str">
        <f>+IF(MAYO!T154=0,"",MAYO!T154)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+IF(MAYO!S155=0,"",MAYO!S155)</f>
        <v>2020200</v>
      </c>
      <c r="T155" s="663" t="str">
        <f>+IF(MAYO!T155=0,"",MAYO!T155)</f>
        <v>Adquisición de Servicios</v>
      </c>
      <c r="U155" s="132">
        <f t="shared" ref="U155:AJ155" si="148">SUM(U156:U157)+U168</f>
        <v>4712637263</v>
      </c>
      <c r="V155" s="122">
        <f t="shared" si="148"/>
        <v>600000000</v>
      </c>
      <c r="W155" s="122">
        <f t="shared" si="148"/>
        <v>1200000000</v>
      </c>
      <c r="X155" s="129">
        <f t="shared" si="148"/>
        <v>6512637263</v>
      </c>
      <c r="Y155" s="128">
        <f t="shared" si="148"/>
        <v>5291504629</v>
      </c>
      <c r="Z155" s="122">
        <f t="shared" si="148"/>
        <v>315634802</v>
      </c>
      <c r="AA155" s="129">
        <f t="shared" si="148"/>
        <v>5607139431</v>
      </c>
      <c r="AB155" s="128">
        <f t="shared" si="148"/>
        <v>3118721019</v>
      </c>
      <c r="AC155" s="122">
        <f t="shared" si="148"/>
        <v>596205830</v>
      </c>
      <c r="AD155" s="129">
        <f t="shared" si="148"/>
        <v>3714926849</v>
      </c>
      <c r="AE155" s="128">
        <f t="shared" si="148"/>
        <v>1976829345</v>
      </c>
      <c r="AF155" s="122">
        <f t="shared" si="148"/>
        <v>278024158</v>
      </c>
      <c r="AG155" s="129">
        <f t="shared" si="148"/>
        <v>2254853503</v>
      </c>
      <c r="AH155" s="128">
        <f t="shared" si="148"/>
        <v>905497832</v>
      </c>
      <c r="AI155" s="122">
        <f t="shared" si="148"/>
        <v>2797710414</v>
      </c>
      <c r="AJ155" s="130">
        <f t="shared" si="148"/>
        <v>4257783760</v>
      </c>
      <c r="AK155" s="9"/>
      <c r="AL155" s="128">
        <f>SUM(AL156:AL157)+AL168</f>
        <v>0</v>
      </c>
      <c r="AM155" s="130">
        <f>SUM(AM156:AM157)+AM168</f>
        <v>0</v>
      </c>
      <c r="AN155" s="9"/>
    </row>
    <row r="156" spans="1:40" s="372" customFormat="1" ht="24.95" customHeight="1">
      <c r="A156" s="734"/>
      <c r="B156" s="643"/>
      <c r="N156" s="9"/>
      <c r="P156" s="9"/>
      <c r="Q156" s="9"/>
      <c r="R156" s="9"/>
      <c r="S156" s="688">
        <f>+IF(MAYO!S156=0,"",MAYO!S156)</f>
        <v>2020201</v>
      </c>
      <c r="T156" s="664" t="str">
        <f>+IF(MAYO!T156=0,"",MAYO!T156)</f>
        <v>Mantenimiento Hospitalario</v>
      </c>
      <c r="U156" s="27">
        <f>+ENERO!U156</f>
        <v>2002025000</v>
      </c>
      <c r="V156" s="15">
        <f>MAYO!V156+JUNIO!AL156</f>
        <v>500000000</v>
      </c>
      <c r="W156" s="15">
        <f>MAYO!W156+JUNIO!AM156</f>
        <v>0</v>
      </c>
      <c r="X156" s="18">
        <f>SUM(U156:W156)</f>
        <v>2502025000</v>
      </c>
      <c r="Y156" s="19">
        <f>MAYO!AA156</f>
        <v>2091938151</v>
      </c>
      <c r="Z156" s="364">
        <v>206511691</v>
      </c>
      <c r="AA156" s="18">
        <f>SUM(Y156:Z156)</f>
        <v>2298449842</v>
      </c>
      <c r="AB156" s="19">
        <f>MAYO!AD156</f>
        <v>1112907050</v>
      </c>
      <c r="AC156" s="364">
        <v>267924160</v>
      </c>
      <c r="AD156" s="18">
        <f>SUM(AB156:AC156)</f>
        <v>1380831210</v>
      </c>
      <c r="AE156" s="19">
        <f>MAYO!AG156</f>
        <v>835945138</v>
      </c>
      <c r="AF156" s="364">
        <v>57422557</v>
      </c>
      <c r="AG156" s="18">
        <f>SUM(AE156:AF156)</f>
        <v>893367695</v>
      </c>
      <c r="AH156" s="19">
        <f>X156-AA156</f>
        <v>203575158</v>
      </c>
      <c r="AI156" s="15">
        <f>X156-AD156</f>
        <v>1121193790</v>
      </c>
      <c r="AJ156" s="16">
        <f>X156-AG156</f>
        <v>1608657305</v>
      </c>
      <c r="AK156" s="9"/>
      <c r="AL156" s="362">
        <v>0</v>
      </c>
      <c r="AM156" s="365">
        <v>0</v>
      </c>
      <c r="AN156" s="9"/>
    </row>
    <row r="157" spans="1:40" s="372" customFormat="1" ht="24.95" customHeight="1">
      <c r="A157" s="734"/>
      <c r="B157" s="643"/>
      <c r="N157" s="9"/>
      <c r="P157" s="9"/>
      <c r="Q157" s="9"/>
      <c r="R157" s="9"/>
      <c r="S157" s="688">
        <f>+IF(MAYO!S157=0,"",MAYO!S157)</f>
        <v>2020202</v>
      </c>
      <c r="T157" s="664" t="str">
        <f>+IF(MAYO!T157=0,"",MAYO!T157)</f>
        <v>Otros</v>
      </c>
      <c r="U157" s="27">
        <f t="shared" ref="U157:AJ157" si="149">SUM(U158:U167)</f>
        <v>2609712263</v>
      </c>
      <c r="V157" s="15">
        <f t="shared" si="149"/>
        <v>0</v>
      </c>
      <c r="W157" s="15">
        <f t="shared" si="149"/>
        <v>500000000</v>
      </c>
      <c r="X157" s="18">
        <f t="shared" si="149"/>
        <v>3109712263</v>
      </c>
      <c r="Y157" s="19">
        <f t="shared" si="149"/>
        <v>2518840466</v>
      </c>
      <c r="Z157" s="142">
        <f t="shared" si="149"/>
        <v>41963478</v>
      </c>
      <c r="AA157" s="18">
        <f t="shared" si="149"/>
        <v>2560803944</v>
      </c>
      <c r="AB157" s="19">
        <f t="shared" si="149"/>
        <v>1325087957</v>
      </c>
      <c r="AC157" s="142">
        <f t="shared" si="149"/>
        <v>261122037</v>
      </c>
      <c r="AD157" s="18">
        <f t="shared" si="149"/>
        <v>1586209994</v>
      </c>
      <c r="AE157" s="19">
        <f t="shared" si="149"/>
        <v>460158195</v>
      </c>
      <c r="AF157" s="142">
        <f t="shared" si="149"/>
        <v>153441968</v>
      </c>
      <c r="AG157" s="18">
        <f t="shared" si="149"/>
        <v>613600163</v>
      </c>
      <c r="AH157" s="19">
        <f t="shared" si="149"/>
        <v>548908319</v>
      </c>
      <c r="AI157" s="15">
        <f t="shared" si="149"/>
        <v>1523502269</v>
      </c>
      <c r="AJ157" s="16">
        <f t="shared" si="149"/>
        <v>2496112100</v>
      </c>
      <c r="AK157" s="10"/>
      <c r="AL157" s="29">
        <f>SUM(AL158:AL167)</f>
        <v>0</v>
      </c>
      <c r="AM157" s="26">
        <f>SUM(AM158:AM167)</f>
        <v>0</v>
      </c>
      <c r="AN157" s="9"/>
    </row>
    <row r="158" spans="1:40" s="372" customFormat="1" ht="24.95" customHeight="1">
      <c r="A158" s="734"/>
      <c r="B158" s="643"/>
      <c r="N158" s="9"/>
      <c r="P158" s="9"/>
      <c r="Q158" s="9"/>
      <c r="R158" s="9"/>
      <c r="S158" s="689" t="str">
        <f>+IF(MAYO!S158=0,"",MAYO!S158)</f>
        <v>2020202-1</v>
      </c>
      <c r="T158" s="665" t="str">
        <f>+IF(MAYO!T158=0,"",MAYO!T158)</f>
        <v>Seguros</v>
      </c>
      <c r="U158" s="27">
        <f>+ENERO!U158</f>
        <v>200000000</v>
      </c>
      <c r="V158" s="15">
        <f>MAYO!V158+JUNIO!AL158</f>
        <v>0</v>
      </c>
      <c r="W158" s="15">
        <f>MAYO!W158+JUNIO!AM158</f>
        <v>0</v>
      </c>
      <c r="X158" s="18">
        <f t="shared" ref="X158:X168" si="150">SUM(U158:W158)</f>
        <v>200000000</v>
      </c>
      <c r="Y158" s="19">
        <f>MAYO!AA158</f>
        <v>112830686</v>
      </c>
      <c r="Z158" s="364">
        <v>476000</v>
      </c>
      <c r="AA158" s="18">
        <f t="shared" ref="AA158:AA168" si="151">SUM(Y158:Z158)</f>
        <v>113306686</v>
      </c>
      <c r="AB158" s="19">
        <f>MAYO!AD158</f>
        <v>21558821</v>
      </c>
      <c r="AC158" s="364">
        <v>30287596</v>
      </c>
      <c r="AD158" s="18">
        <f t="shared" ref="AD158:AD168" si="152">SUM(AB158:AC158)</f>
        <v>51846417</v>
      </c>
      <c r="AE158" s="19">
        <f>MAYO!AG158</f>
        <v>21558821</v>
      </c>
      <c r="AF158" s="364">
        <v>30287596</v>
      </c>
      <c r="AG158" s="18">
        <f t="shared" ref="AG158:AG168" si="153">SUM(AE158:AF158)</f>
        <v>51846417</v>
      </c>
      <c r="AH158" s="19">
        <f t="shared" ref="AH158:AH168" si="154">X158-AA158</f>
        <v>86693314</v>
      </c>
      <c r="AI158" s="15">
        <f t="shared" ref="AI158:AI168" si="155">X158-AD158</f>
        <v>148153583</v>
      </c>
      <c r="AJ158" s="16">
        <f t="shared" ref="AJ158:AJ168" si="156">X158-AG158</f>
        <v>148153583</v>
      </c>
      <c r="AK158" s="9"/>
      <c r="AL158" s="362">
        <v>0</v>
      </c>
      <c r="AM158" s="365">
        <v>0</v>
      </c>
      <c r="AN158" s="9"/>
    </row>
    <row r="159" spans="1:40" s="372" customFormat="1" ht="24.95" customHeight="1">
      <c r="A159" s="734"/>
      <c r="B159" s="643"/>
      <c r="N159" s="9"/>
      <c r="P159" s="9"/>
      <c r="Q159" s="9"/>
      <c r="R159" s="9"/>
      <c r="S159" s="689" t="str">
        <f>+IF(MAYO!S159=0,"",MAYO!S159)</f>
        <v>2020202-2</v>
      </c>
      <c r="T159" s="665" t="str">
        <f>+IF(MAYO!T159=0,"",MAYO!T159)</f>
        <v>Impresos y Publicaciones</v>
      </c>
      <c r="U159" s="27">
        <f>+ENERO!U159</f>
        <v>40000000</v>
      </c>
      <c r="V159" s="15">
        <f>MAYO!V159+JUNIO!AL159</f>
        <v>0</v>
      </c>
      <c r="W159" s="15">
        <f>MAYO!W159+JUNIO!AM159</f>
        <v>0</v>
      </c>
      <c r="X159" s="18">
        <f t="shared" si="150"/>
        <v>40000000</v>
      </c>
      <c r="Y159" s="19">
        <f>MAYO!AA159</f>
        <v>11759983</v>
      </c>
      <c r="Z159" s="364">
        <v>13866714</v>
      </c>
      <c r="AA159" s="18">
        <f t="shared" si="151"/>
        <v>25626697</v>
      </c>
      <c r="AB159" s="19">
        <f>MAYO!AD159</f>
        <v>11759983</v>
      </c>
      <c r="AC159" s="364">
        <v>13866714</v>
      </c>
      <c r="AD159" s="18">
        <f t="shared" si="152"/>
        <v>25626697</v>
      </c>
      <c r="AE159" s="19">
        <f>MAYO!AG159</f>
        <v>10699692</v>
      </c>
      <c r="AF159" s="364">
        <v>0</v>
      </c>
      <c r="AG159" s="18">
        <f t="shared" si="153"/>
        <v>10699692</v>
      </c>
      <c r="AH159" s="19">
        <f t="shared" si="154"/>
        <v>14373303</v>
      </c>
      <c r="AI159" s="15">
        <f t="shared" si="155"/>
        <v>14373303</v>
      </c>
      <c r="AJ159" s="16">
        <f t="shared" si="156"/>
        <v>29300308</v>
      </c>
      <c r="AK159" s="9"/>
      <c r="AL159" s="362">
        <v>0</v>
      </c>
      <c r="AM159" s="365">
        <v>0</v>
      </c>
      <c r="AN159" s="9"/>
    </row>
    <row r="160" spans="1:40" s="372" customFormat="1" ht="24.95" customHeight="1">
      <c r="A160" s="734"/>
      <c r="B160" s="643"/>
      <c r="N160" s="9"/>
      <c r="P160" s="9"/>
      <c r="Q160" s="9"/>
      <c r="R160" s="9"/>
      <c r="S160" s="689" t="str">
        <f>+IF(MAYO!S160=0,"",MAYO!S160)</f>
        <v>2020202-3</v>
      </c>
      <c r="T160" s="665" t="str">
        <f>+IF(MAYO!T160=0,"",MAYO!T160)</f>
        <v>Pago a otras IPS</v>
      </c>
      <c r="U160" s="27">
        <f>+ENERO!U160</f>
        <v>0</v>
      </c>
      <c r="V160" s="15">
        <f>MAYO!V160+JUNIO!AL160</f>
        <v>0</v>
      </c>
      <c r="W160" s="15">
        <f>MAYO!W160+JUNIO!AM160</f>
        <v>0</v>
      </c>
      <c r="X160" s="18">
        <f t="shared" si="150"/>
        <v>0</v>
      </c>
      <c r="Y160" s="19">
        <f>MAYO!AA160</f>
        <v>0</v>
      </c>
      <c r="Z160" s="364">
        <v>0</v>
      </c>
      <c r="AA160" s="18">
        <f t="shared" si="151"/>
        <v>0</v>
      </c>
      <c r="AB160" s="19">
        <f>MAYO!AD160</f>
        <v>0</v>
      </c>
      <c r="AC160" s="364">
        <v>0</v>
      </c>
      <c r="AD160" s="18">
        <f t="shared" si="152"/>
        <v>0</v>
      </c>
      <c r="AE160" s="19">
        <f>MAYO!AG160</f>
        <v>0</v>
      </c>
      <c r="AF160" s="364">
        <v>0</v>
      </c>
      <c r="AG160" s="18">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N161" s="9"/>
      <c r="P161" s="9"/>
      <c r="Q161" s="9"/>
      <c r="R161" s="9"/>
      <c r="S161" s="689" t="str">
        <f>+IF(MAYO!S161=0,"",MAYO!S161)</f>
        <v>2020202-4</v>
      </c>
      <c r="T161" s="665" t="str">
        <f>+IF(MAYO!T161=0,"",MAYO!T161)</f>
        <v>Comunicaciones y Transportes</v>
      </c>
      <c r="U161" s="27">
        <f>+ENERO!U161</f>
        <v>5000000</v>
      </c>
      <c r="V161" s="15">
        <f>MAYO!V161+JUNIO!AL161</f>
        <v>0</v>
      </c>
      <c r="W161" s="15">
        <f>MAYO!W161+JUNIO!AM161</f>
        <v>0</v>
      </c>
      <c r="X161" s="18">
        <f t="shared" si="150"/>
        <v>5000000</v>
      </c>
      <c r="Y161" s="19">
        <f>MAYO!AA161</f>
        <v>0</v>
      </c>
      <c r="Z161" s="364">
        <v>0</v>
      </c>
      <c r="AA161" s="18">
        <f t="shared" si="151"/>
        <v>0</v>
      </c>
      <c r="AB161" s="19">
        <f>MAYO!AD161</f>
        <v>0</v>
      </c>
      <c r="AC161" s="364">
        <v>0</v>
      </c>
      <c r="AD161" s="18">
        <f t="shared" si="152"/>
        <v>0</v>
      </c>
      <c r="AE161" s="19">
        <f>MAYO!AG161</f>
        <v>0</v>
      </c>
      <c r="AF161" s="364">
        <v>0</v>
      </c>
      <c r="AG161" s="18">
        <f t="shared" si="153"/>
        <v>0</v>
      </c>
      <c r="AH161" s="19">
        <f t="shared" si="154"/>
        <v>5000000</v>
      </c>
      <c r="AI161" s="15">
        <f t="shared" si="155"/>
        <v>5000000</v>
      </c>
      <c r="AJ161" s="16">
        <f t="shared" si="156"/>
        <v>5000000</v>
      </c>
      <c r="AK161" s="9"/>
      <c r="AL161" s="362">
        <v>0</v>
      </c>
      <c r="AM161" s="365">
        <v>0</v>
      </c>
      <c r="AN161" s="9"/>
    </row>
    <row r="162" spans="1:40" s="372" customFormat="1" ht="24.95" customHeight="1">
      <c r="A162" s="734"/>
      <c r="B162" s="643"/>
      <c r="N162" s="9"/>
      <c r="P162" s="9"/>
      <c r="Q162" s="9"/>
      <c r="R162" s="9"/>
      <c r="S162" s="689" t="str">
        <f>+IF(MAYO!S162=0,"",MAYO!S162)</f>
        <v>2020202-5</v>
      </c>
      <c r="T162" s="665" t="str">
        <f>+IF(MAYO!T162=0,"",MAYO!T162)</f>
        <v>Viáticos y Gastos de Viaje</v>
      </c>
      <c r="U162" s="27">
        <f>+ENERO!U162</f>
        <v>5000000</v>
      </c>
      <c r="V162" s="15">
        <f>MAYO!V162+JUNIO!AL162</f>
        <v>0</v>
      </c>
      <c r="W162" s="15">
        <f>MAYO!W162+JUNIO!AM162</f>
        <v>0</v>
      </c>
      <c r="X162" s="18">
        <f t="shared" si="150"/>
        <v>5000000</v>
      </c>
      <c r="Y162" s="19">
        <f>MAYO!AA162</f>
        <v>712500</v>
      </c>
      <c r="Z162" s="364">
        <v>0</v>
      </c>
      <c r="AA162" s="18">
        <f t="shared" si="151"/>
        <v>712500</v>
      </c>
      <c r="AB162" s="19">
        <f>MAYO!AD162</f>
        <v>712500</v>
      </c>
      <c r="AC162" s="364">
        <v>0</v>
      </c>
      <c r="AD162" s="18">
        <f t="shared" si="152"/>
        <v>712500</v>
      </c>
      <c r="AE162" s="19">
        <f>MAYO!AG162</f>
        <v>712500</v>
      </c>
      <c r="AF162" s="364">
        <v>0</v>
      </c>
      <c r="AG162" s="18">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N163" s="9"/>
      <c r="P163" s="9"/>
      <c r="Q163" s="9"/>
      <c r="R163" s="9"/>
      <c r="S163" s="689" t="str">
        <f>+IF(MAYO!S163=0,"",MAYO!S163)</f>
        <v>2020202-6</v>
      </c>
      <c r="T163" s="665" t="str">
        <f>+IF(MAYO!T163=0,"",MAYO!T163)</f>
        <v>Plan Integral de Manejo de Residuos Sólidos Hospitalarios</v>
      </c>
      <c r="U163" s="27">
        <f>+ENERO!U163</f>
        <v>300000000</v>
      </c>
      <c r="V163" s="15">
        <f>MAYO!V163+JUNIO!AL163</f>
        <v>0</v>
      </c>
      <c r="W163" s="15">
        <f>MAYO!W163+JUNIO!AM163</f>
        <v>0</v>
      </c>
      <c r="X163" s="18">
        <f t="shared" si="150"/>
        <v>300000000</v>
      </c>
      <c r="Y163" s="19">
        <f>MAYO!AA163</f>
        <v>162521534</v>
      </c>
      <c r="Z163" s="364">
        <v>11555764</v>
      </c>
      <c r="AA163" s="18">
        <f t="shared" si="151"/>
        <v>174077298</v>
      </c>
      <c r="AB163" s="19">
        <f>MAYO!AD163</f>
        <v>93956504</v>
      </c>
      <c r="AC163" s="364">
        <v>26224334</v>
      </c>
      <c r="AD163" s="18">
        <f t="shared" si="152"/>
        <v>120180838</v>
      </c>
      <c r="AE163" s="19">
        <f>MAYO!AG163</f>
        <v>61775299</v>
      </c>
      <c r="AF163" s="364">
        <v>15520620</v>
      </c>
      <c r="AG163" s="18">
        <f t="shared" si="153"/>
        <v>77295919</v>
      </c>
      <c r="AH163" s="19">
        <f t="shared" si="154"/>
        <v>125922702</v>
      </c>
      <c r="AI163" s="15">
        <f t="shared" si="155"/>
        <v>179819162</v>
      </c>
      <c r="AJ163" s="16">
        <f t="shared" si="156"/>
        <v>222704081</v>
      </c>
      <c r="AK163" s="9"/>
      <c r="AL163" s="362">
        <v>0</v>
      </c>
      <c r="AM163" s="365">
        <v>0</v>
      </c>
      <c r="AN163" s="9"/>
    </row>
    <row r="164" spans="1:40" s="372" customFormat="1" ht="24.95" customHeight="1">
      <c r="A164" s="734"/>
      <c r="B164" s="643"/>
      <c r="N164" s="9"/>
      <c r="P164" s="9"/>
      <c r="Q164" s="9"/>
      <c r="R164" s="9"/>
      <c r="S164" s="689" t="str">
        <f>+IF(MAYO!S164=0,"",MAYO!S164)</f>
        <v>2020202-7</v>
      </c>
      <c r="T164" s="665" t="str">
        <f>+IF(MAYO!T164=0,"",MAYO!T164)</f>
        <v>Servicios de Laboratorio contratados con terceros</v>
      </c>
      <c r="U164" s="27">
        <f>+ENERO!U164</f>
        <v>778712263</v>
      </c>
      <c r="V164" s="15">
        <f>MAYO!V164+JUNIO!AL164</f>
        <v>0</v>
      </c>
      <c r="W164" s="15">
        <f>MAYO!W164+JUNIO!AM164</f>
        <v>0</v>
      </c>
      <c r="X164" s="18">
        <f t="shared" si="150"/>
        <v>778712263</v>
      </c>
      <c r="Y164" s="19">
        <f>MAYO!AA164</f>
        <v>682267263</v>
      </c>
      <c r="Z164" s="364">
        <v>0</v>
      </c>
      <c r="AA164" s="18">
        <f t="shared" si="151"/>
        <v>682267263</v>
      </c>
      <c r="AB164" s="19">
        <f>MAYO!AD164</f>
        <v>555713689</v>
      </c>
      <c r="AC164" s="364">
        <v>29756573</v>
      </c>
      <c r="AD164" s="18">
        <f t="shared" si="152"/>
        <v>585470262</v>
      </c>
      <c r="AE164" s="19">
        <f>MAYO!AG164</f>
        <v>138872712</v>
      </c>
      <c r="AF164" s="364">
        <v>0</v>
      </c>
      <c r="AG164" s="18">
        <f t="shared" si="153"/>
        <v>138872712</v>
      </c>
      <c r="AH164" s="19">
        <f t="shared" si="154"/>
        <v>96445000</v>
      </c>
      <c r="AI164" s="15">
        <f t="shared" si="155"/>
        <v>193242001</v>
      </c>
      <c r="AJ164" s="16">
        <f t="shared" si="156"/>
        <v>639839551</v>
      </c>
      <c r="AK164" s="9"/>
      <c r="AL164" s="362">
        <v>0</v>
      </c>
      <c r="AM164" s="365">
        <v>0</v>
      </c>
      <c r="AN164" s="9"/>
    </row>
    <row r="165" spans="1:40" s="372" customFormat="1" ht="24.95" customHeight="1">
      <c r="A165" s="734"/>
      <c r="B165" s="643"/>
      <c r="N165" s="9"/>
      <c r="P165" s="9"/>
      <c r="Q165" s="9"/>
      <c r="R165" s="9"/>
      <c r="S165" s="689" t="str">
        <f>+IF(MAYO!S165=0,"",MAYO!S165)</f>
        <v>2020202-8</v>
      </c>
      <c r="T165" s="665" t="str">
        <f>+IF(MAYO!T165=0,"",MAYO!T165)</f>
        <v>Servicios de Rayos X e Imaginología contratado con terceros</v>
      </c>
      <c r="U165" s="27">
        <f>+ENERO!U165</f>
        <v>1116000000</v>
      </c>
      <c r="V165" s="15">
        <f>MAYO!V165+JUNIO!AL165</f>
        <v>0</v>
      </c>
      <c r="W165" s="15">
        <f>MAYO!W165+JUNIO!AM165</f>
        <v>500000000</v>
      </c>
      <c r="X165" s="18">
        <f t="shared" si="150"/>
        <v>1616000000</v>
      </c>
      <c r="Y165" s="19">
        <f>MAYO!AA165</f>
        <v>1545000000</v>
      </c>
      <c r="Z165" s="364">
        <v>0</v>
      </c>
      <c r="AA165" s="18">
        <f t="shared" si="151"/>
        <v>1545000000</v>
      </c>
      <c r="AB165" s="19">
        <f>MAYO!AD165</f>
        <v>637637960</v>
      </c>
      <c r="AC165" s="364">
        <v>144921820</v>
      </c>
      <c r="AD165" s="18">
        <f t="shared" si="152"/>
        <v>782559780</v>
      </c>
      <c r="AE165" s="19">
        <f>MAYO!AG165</f>
        <v>222790671</v>
      </c>
      <c r="AF165" s="364">
        <v>107633752</v>
      </c>
      <c r="AG165" s="18">
        <f t="shared" si="153"/>
        <v>330424423</v>
      </c>
      <c r="AH165" s="19">
        <f t="shared" si="154"/>
        <v>71000000</v>
      </c>
      <c r="AI165" s="15">
        <f t="shared" si="155"/>
        <v>833440220</v>
      </c>
      <c r="AJ165" s="16">
        <f t="shared" si="156"/>
        <v>1285575577</v>
      </c>
      <c r="AK165" s="9"/>
      <c r="AL165" s="362">
        <v>0</v>
      </c>
      <c r="AM165" s="365">
        <v>0</v>
      </c>
      <c r="AN165" s="9"/>
    </row>
    <row r="166" spans="1:40" s="372" customFormat="1" ht="24.95" customHeight="1">
      <c r="A166" s="734"/>
      <c r="B166" s="643"/>
      <c r="N166" s="9"/>
      <c r="P166" s="9"/>
      <c r="Q166" s="9"/>
      <c r="R166" s="9"/>
      <c r="S166" s="689" t="str">
        <f>+IF(MAYO!S166=0,"",MAYO!S166)</f>
        <v>2020202-9</v>
      </c>
      <c r="T166" s="665" t="str">
        <f>+IF(MAYO!T166=0,"",MAYO!T166)</f>
        <v>Arrendamientos</v>
      </c>
      <c r="U166" s="27">
        <f>+ENERO!U166</f>
        <v>165000000</v>
      </c>
      <c r="V166" s="15">
        <f>MAYO!V166+JUNIO!AL166</f>
        <v>0</v>
      </c>
      <c r="W166" s="15">
        <f>MAYO!W166+JUNIO!AM166</f>
        <v>0</v>
      </c>
      <c r="X166" s="18">
        <f t="shared" si="150"/>
        <v>165000000</v>
      </c>
      <c r="Y166" s="19">
        <f>MAYO!AA166</f>
        <v>3748500</v>
      </c>
      <c r="Z166" s="364">
        <v>16065000</v>
      </c>
      <c r="AA166" s="18">
        <f t="shared" si="151"/>
        <v>19813500</v>
      </c>
      <c r="AB166" s="19">
        <f>MAYO!AD166</f>
        <v>3748500</v>
      </c>
      <c r="AC166" s="364">
        <v>16065000</v>
      </c>
      <c r="AD166" s="18">
        <f t="shared" si="152"/>
        <v>19813500</v>
      </c>
      <c r="AE166" s="19">
        <f>MAYO!AG166</f>
        <v>3748500</v>
      </c>
      <c r="AF166" s="364"/>
      <c r="AG166" s="18">
        <f t="shared" si="153"/>
        <v>3748500</v>
      </c>
      <c r="AH166" s="19">
        <f t="shared" si="154"/>
        <v>145186500</v>
      </c>
      <c r="AI166" s="15">
        <f t="shared" si="155"/>
        <v>145186500</v>
      </c>
      <c r="AJ166" s="16">
        <f t="shared" si="156"/>
        <v>161251500</v>
      </c>
      <c r="AK166" s="9"/>
      <c r="AL166" s="362">
        <v>0</v>
      </c>
      <c r="AM166" s="365">
        <v>0</v>
      </c>
      <c r="AN166" s="9"/>
    </row>
    <row r="167" spans="1:40" s="372" customFormat="1" ht="24.95" customHeight="1">
      <c r="A167" s="734"/>
      <c r="B167" s="643"/>
      <c r="N167" s="9"/>
      <c r="P167" s="9"/>
      <c r="Q167" s="9"/>
      <c r="R167" s="9"/>
      <c r="S167" s="689" t="str">
        <f>+IF(MAYO!S167=0,"",MAYO!S167)</f>
        <v>2020202-10</v>
      </c>
      <c r="T167" s="665" t="str">
        <f>+IF(MAYO!T167=0,"",MAYO!T167)</f>
        <v>Servicios Públicos</v>
      </c>
      <c r="U167" s="27">
        <f>+ENERO!U167</f>
        <v>0</v>
      </c>
      <c r="V167" s="15">
        <f>MAYO!V167+JUNIO!AL167</f>
        <v>0</v>
      </c>
      <c r="W167" s="15">
        <f>MAYO!W167+JUNIO!AM167</f>
        <v>0</v>
      </c>
      <c r="X167" s="18">
        <f>SUM(U167:W167)</f>
        <v>0</v>
      </c>
      <c r="Y167" s="19">
        <f>MAYO!AA167</f>
        <v>0</v>
      </c>
      <c r="Z167" s="364">
        <v>0</v>
      </c>
      <c r="AA167" s="18">
        <f>SUM(Y167:Z167)</f>
        <v>0</v>
      </c>
      <c r="AB167" s="19">
        <f>MAYO!AD167</f>
        <v>0</v>
      </c>
      <c r="AC167" s="364">
        <v>0</v>
      </c>
      <c r="AD167" s="18">
        <f>SUM(AB167:AC167)</f>
        <v>0</v>
      </c>
      <c r="AE167" s="19">
        <f>MAYO!AG167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+IF(MAYO!S168=0,"",MAYO!S168)</f>
        <v>2020299</v>
      </c>
      <c r="T168" s="664" t="str">
        <f>+IF(MAYO!T168=0,"",MAYO!T168)</f>
        <v>Vigencias Anteriores</v>
      </c>
      <c r="U168" s="27">
        <f>+ENERO!U168</f>
        <v>100900000</v>
      </c>
      <c r="V168" s="15">
        <f>MAYO!V168+JUNIO!AL168</f>
        <v>100000000</v>
      </c>
      <c r="W168" s="15">
        <f>MAYO!W168+JUNIO!AM168</f>
        <v>700000000</v>
      </c>
      <c r="X168" s="18">
        <f t="shared" si="150"/>
        <v>900900000</v>
      </c>
      <c r="Y168" s="19">
        <f>MAYO!AA168</f>
        <v>680726012</v>
      </c>
      <c r="Z168" s="364">
        <v>67159633</v>
      </c>
      <c r="AA168" s="18">
        <f t="shared" si="151"/>
        <v>747885645</v>
      </c>
      <c r="AB168" s="19">
        <f>MAYO!AD168</f>
        <v>680726012</v>
      </c>
      <c r="AC168" s="364">
        <v>67159633</v>
      </c>
      <c r="AD168" s="18">
        <f t="shared" si="152"/>
        <v>747885645</v>
      </c>
      <c r="AE168" s="19">
        <f>MAYO!AG168</f>
        <v>680726012</v>
      </c>
      <c r="AF168" s="364">
        <v>67159633</v>
      </c>
      <c r="AG168" s="18">
        <f t="shared" si="153"/>
        <v>747885645</v>
      </c>
      <c r="AH168" s="19">
        <f t="shared" si="154"/>
        <v>153014355</v>
      </c>
      <c r="AI168" s="15">
        <f t="shared" si="155"/>
        <v>153014355</v>
      </c>
      <c r="AJ168" s="16">
        <f t="shared" si="156"/>
        <v>153014355</v>
      </c>
      <c r="AK168" s="9"/>
      <c r="AL168" s="362">
        <v>0</v>
      </c>
      <c r="AM168" s="365">
        <v>0</v>
      </c>
      <c r="AN168" s="9"/>
    </row>
    <row r="169" spans="1:40" s="372" customFormat="1" ht="24.95" customHeight="1">
      <c r="A169" s="734"/>
      <c r="B169" s="643"/>
      <c r="N169" s="9"/>
      <c r="P169" s="9"/>
      <c r="Q169" s="9"/>
      <c r="R169" s="9"/>
      <c r="S169" s="356" t="str">
        <f>+IF(MAYO!S169=0,"",MAYO!S169)</f>
        <v/>
      </c>
      <c r="T169" s="678" t="str">
        <f>+IF(MAYO!T169=0,"",MAYO!T169)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row>
    <row r="170" spans="1:40" s="372" customFormat="1" ht="24.95" customHeight="1">
      <c r="A170" s="734"/>
      <c r="B170" s="643"/>
      <c r="N170" s="9"/>
      <c r="P170" s="9"/>
      <c r="Q170" s="9"/>
      <c r="R170" s="9"/>
      <c r="S170" s="686">
        <f>+IF(MAYO!S170=0,"",MAYO!S170)</f>
        <v>3000000</v>
      </c>
      <c r="T170" s="668" t="str">
        <f>+IF(MAYO!T170=0,"",MAYO!T170)</f>
        <v>TRANSFERENCIAS CORRIENTES</v>
      </c>
      <c r="U170" s="460">
        <f t="shared" ref="U170:AJ170" si="157">U172+U176+U185</f>
        <v>1240354144</v>
      </c>
      <c r="V170" s="461">
        <f t="shared" si="157"/>
        <v>42000000</v>
      </c>
      <c r="W170" s="461">
        <f t="shared" si="157"/>
        <v>0</v>
      </c>
      <c r="X170" s="462">
        <f t="shared" si="157"/>
        <v>1282354144</v>
      </c>
      <c r="Y170" s="369">
        <f t="shared" si="157"/>
        <v>434648197</v>
      </c>
      <c r="Z170" s="461">
        <f t="shared" si="157"/>
        <v>138898838</v>
      </c>
      <c r="AA170" s="462">
        <f t="shared" si="157"/>
        <v>573547035</v>
      </c>
      <c r="AB170" s="369">
        <f t="shared" si="157"/>
        <v>434648197</v>
      </c>
      <c r="AC170" s="461">
        <f t="shared" si="157"/>
        <v>138898838</v>
      </c>
      <c r="AD170" s="462">
        <f t="shared" si="157"/>
        <v>573547035</v>
      </c>
      <c r="AE170" s="369">
        <f t="shared" si="157"/>
        <v>434648197</v>
      </c>
      <c r="AF170" s="461">
        <f t="shared" si="157"/>
        <v>119750014</v>
      </c>
      <c r="AG170" s="462">
        <f t="shared" si="157"/>
        <v>554398211</v>
      </c>
      <c r="AH170" s="369">
        <f t="shared" si="157"/>
        <v>708807109</v>
      </c>
      <c r="AI170" s="461">
        <f t="shared" si="157"/>
        <v>708807109</v>
      </c>
      <c r="AJ170" s="370">
        <f t="shared" si="157"/>
        <v>727955933</v>
      </c>
      <c r="AK170" s="9"/>
      <c r="AL170" s="128">
        <f>AL172+AL176+AL185</f>
        <v>14000000</v>
      </c>
      <c r="AM170" s="130">
        <f>AM172+AM176+AM185</f>
        <v>0</v>
      </c>
      <c r="AN170" s="9"/>
    </row>
    <row r="171" spans="1:40" s="372" customFormat="1" ht="24.95" customHeight="1">
      <c r="A171" s="734"/>
      <c r="B171" s="643"/>
      <c r="N171" s="9"/>
      <c r="P171" s="9"/>
      <c r="Q171" s="9"/>
      <c r="R171" s="9"/>
      <c r="S171" s="356" t="str">
        <f>+IF(MAYO!S171=0,"",MAYO!S171)</f>
        <v/>
      </c>
      <c r="T171" s="678" t="str">
        <f>+IF(MAYO!T171=0,"",MAYO!T171)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+IF(MAYO!S172=0,"",MAYO!S172)</f>
        <v>3100000</v>
      </c>
      <c r="T172" s="663" t="str">
        <f>+IF(MAYO!T172=0,"",MAYO!T172)</f>
        <v>Transferencias al Sector Público</v>
      </c>
      <c r="U172" s="132">
        <f t="shared" ref="U172:AJ172" si="158">SUM(U173:U174)</f>
        <v>50000000</v>
      </c>
      <c r="V172" s="122">
        <f t="shared" si="158"/>
        <v>34000000</v>
      </c>
      <c r="W172" s="122">
        <f t="shared" si="158"/>
        <v>0</v>
      </c>
      <c r="X172" s="129">
        <f t="shared" si="158"/>
        <v>84000000</v>
      </c>
      <c r="Y172" s="128">
        <f t="shared" si="158"/>
        <v>68101230</v>
      </c>
      <c r="Z172" s="122">
        <f t="shared" si="158"/>
        <v>14394826</v>
      </c>
      <c r="AA172" s="129">
        <f t="shared" si="158"/>
        <v>82496056</v>
      </c>
      <c r="AB172" s="128">
        <f t="shared" si="158"/>
        <v>68101230</v>
      </c>
      <c r="AC172" s="122">
        <f t="shared" si="158"/>
        <v>14394826</v>
      </c>
      <c r="AD172" s="129">
        <f t="shared" si="158"/>
        <v>82496056</v>
      </c>
      <c r="AE172" s="128">
        <f t="shared" si="158"/>
        <v>68101230</v>
      </c>
      <c r="AF172" s="122">
        <f t="shared" si="158"/>
        <v>0</v>
      </c>
      <c r="AG172" s="129">
        <f t="shared" si="158"/>
        <v>68101230</v>
      </c>
      <c r="AH172" s="128">
        <f t="shared" si="158"/>
        <v>1503944</v>
      </c>
      <c r="AI172" s="122">
        <f t="shared" si="158"/>
        <v>1503944</v>
      </c>
      <c r="AJ172" s="130">
        <f t="shared" si="158"/>
        <v>15898770</v>
      </c>
      <c r="AK172" s="9"/>
      <c r="AL172" s="128">
        <f>SUM(AL173:AL174)</f>
        <v>14000000</v>
      </c>
      <c r="AM172" s="130">
        <f>SUM(AM173:AM174)</f>
        <v>0</v>
      </c>
      <c r="AN172" s="9"/>
    </row>
    <row r="173" spans="1:40" s="372" customFormat="1" ht="24.95" customHeight="1">
      <c r="A173" s="734"/>
      <c r="B173" s="643"/>
      <c r="N173" s="9"/>
      <c r="P173" s="9"/>
      <c r="Q173" s="9"/>
      <c r="R173" s="9"/>
      <c r="S173" s="688">
        <f>+IF(MAYO!S173=0,"",MAYO!S173)</f>
        <v>3100003</v>
      </c>
      <c r="T173" s="664" t="str">
        <f>+IF(MAYO!T173=0,"",MAYO!T173)</f>
        <v>Entidades Públicas (Contraloria, Supersalud,…)</v>
      </c>
      <c r="U173" s="27">
        <f>+ENERO!U173</f>
        <v>50000000</v>
      </c>
      <c r="V173" s="15">
        <f>MAYO!V173+JUNIO!AL173</f>
        <v>34000000</v>
      </c>
      <c r="W173" s="15">
        <f>MAYO!W173+JUNIO!AM173</f>
        <v>0</v>
      </c>
      <c r="X173" s="18">
        <f>SUM(U173:W173)</f>
        <v>84000000</v>
      </c>
      <c r="Y173" s="19">
        <f>MAYO!AA173</f>
        <v>68101230</v>
      </c>
      <c r="Z173" s="364">
        <v>14394826</v>
      </c>
      <c r="AA173" s="18">
        <f>SUM(Y173:Z173)</f>
        <v>82496056</v>
      </c>
      <c r="AB173" s="19">
        <f>MAYO!AD173</f>
        <v>68101230</v>
      </c>
      <c r="AC173" s="364">
        <v>14394826</v>
      </c>
      <c r="AD173" s="18">
        <f>SUM(AB173:AC173)</f>
        <v>82496056</v>
      </c>
      <c r="AE173" s="19">
        <f>MAYO!AG173</f>
        <v>68101230</v>
      </c>
      <c r="AF173" s="364">
        <v>0</v>
      </c>
      <c r="AG173" s="18">
        <f>SUM(AE173:AF173)</f>
        <v>68101230</v>
      </c>
      <c r="AH173" s="19">
        <f>X173-AA173</f>
        <v>1503944</v>
      </c>
      <c r="AI173" s="15">
        <f>X173-AD173</f>
        <v>1503944</v>
      </c>
      <c r="AJ173" s="16">
        <f>X173-AG173</f>
        <v>15898770</v>
      </c>
      <c r="AK173" s="9"/>
      <c r="AL173" s="362">
        <v>14000000</v>
      </c>
      <c r="AM173" s="365">
        <v>0</v>
      </c>
      <c r="AN173" s="9"/>
    </row>
    <row r="174" spans="1:40" s="372" customFormat="1" ht="24.95" customHeight="1">
      <c r="A174" s="734"/>
      <c r="B174" s="643"/>
      <c r="N174" s="9"/>
      <c r="P174" s="9"/>
      <c r="Q174" s="9"/>
      <c r="R174" s="9"/>
      <c r="S174" s="688">
        <f>+IF(MAYO!S174=0,"",MAYO!S174)</f>
        <v>3199999</v>
      </c>
      <c r="T174" s="664" t="str">
        <f>+IF(MAYO!T174=0,"",MAYO!T174)</f>
        <v>Vigencias Anteriores</v>
      </c>
      <c r="U174" s="27">
        <f>+ENERO!U174</f>
        <v>0</v>
      </c>
      <c r="V174" s="15">
        <f>MAYO!V174+JUNIO!AL174</f>
        <v>0</v>
      </c>
      <c r="W174" s="15">
        <f>MAYO!W174+JUNIO!AM174</f>
        <v>0</v>
      </c>
      <c r="X174" s="18">
        <f>SUM(U174:W174)</f>
        <v>0</v>
      </c>
      <c r="Y174" s="19">
        <f>MAYO!AA174</f>
        <v>0</v>
      </c>
      <c r="Z174" s="364">
        <v>0</v>
      </c>
      <c r="AA174" s="18">
        <f>SUM(Y174:Z174)</f>
        <v>0</v>
      </c>
      <c r="AB174" s="19">
        <f>MAYO!AD174</f>
        <v>0</v>
      </c>
      <c r="AC174" s="364">
        <v>0</v>
      </c>
      <c r="AD174" s="18">
        <f>SUM(AB174:AC174)</f>
        <v>0</v>
      </c>
      <c r="AE174" s="19">
        <f>MAYO!AG174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+IF(MAYO!S175=0,"",MAYO!S175)</f>
        <v/>
      </c>
      <c r="T175" s="678" t="str">
        <f>+IF(MAYO!T175=0,"",MAYO!T175)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+IF(MAYO!S176=0,"",MAYO!S176)</f>
        <v>320000</v>
      </c>
      <c r="T176" s="663" t="str">
        <f>+IF(MAYO!T176=0,"",MAYO!T176)</f>
        <v>Transf. Previsión y Seguridad Social</v>
      </c>
      <c r="U176" s="132">
        <f t="shared" ref="U176:AJ176" si="159">SUM(U177:U183)</f>
        <v>1110354144</v>
      </c>
      <c r="V176" s="122">
        <f t="shared" si="159"/>
        <v>0</v>
      </c>
      <c r="W176" s="122">
        <f t="shared" si="159"/>
        <v>0</v>
      </c>
      <c r="X176" s="129">
        <f t="shared" si="159"/>
        <v>1110354144</v>
      </c>
      <c r="Y176" s="128">
        <f t="shared" si="159"/>
        <v>347628451</v>
      </c>
      <c r="Z176" s="122">
        <f t="shared" si="159"/>
        <v>124281012</v>
      </c>
      <c r="AA176" s="129">
        <f t="shared" si="159"/>
        <v>471909463</v>
      </c>
      <c r="AB176" s="128">
        <f t="shared" si="159"/>
        <v>347628451</v>
      </c>
      <c r="AC176" s="122">
        <f t="shared" si="159"/>
        <v>124281012</v>
      </c>
      <c r="AD176" s="129">
        <f t="shared" si="159"/>
        <v>471909463</v>
      </c>
      <c r="AE176" s="128">
        <f t="shared" si="159"/>
        <v>347628451</v>
      </c>
      <c r="AF176" s="122">
        <f t="shared" si="159"/>
        <v>119527014</v>
      </c>
      <c r="AG176" s="129">
        <f t="shared" si="159"/>
        <v>467155465</v>
      </c>
      <c r="AH176" s="128">
        <f t="shared" si="159"/>
        <v>638444681</v>
      </c>
      <c r="AI176" s="122">
        <f t="shared" si="159"/>
        <v>638444681</v>
      </c>
      <c r="AJ176" s="130">
        <f t="shared" si="159"/>
        <v>643198679</v>
      </c>
      <c r="AK176" s="9"/>
      <c r="AL176" s="128">
        <f>SUM(AL177:AL183)</f>
        <v>0</v>
      </c>
      <c r="AM176" s="130">
        <f>SUM(AM177:AM183)</f>
        <v>0</v>
      </c>
      <c r="AN176" s="9"/>
    </row>
    <row r="177" spans="1:40" s="372" customFormat="1" ht="24.95" customHeight="1">
      <c r="A177" s="734"/>
      <c r="B177" s="643"/>
      <c r="N177" s="9"/>
      <c r="P177" s="9"/>
      <c r="Q177" s="9"/>
      <c r="R177" s="9"/>
      <c r="S177" s="688">
        <f>+IF(MAYO!S177=0,"",MAYO!S177)</f>
        <v>3200100</v>
      </c>
      <c r="T177" s="664" t="str">
        <f>+IF(MAYO!T177=0,"",MAYO!T177)</f>
        <v>Pensiones y Jubilaciones (Pago Directo)</v>
      </c>
      <c r="U177" s="27">
        <f>+ENERO!U177</f>
        <v>965336472</v>
      </c>
      <c r="V177" s="15">
        <f>MAYO!V177+JUNIO!AL177</f>
        <v>0</v>
      </c>
      <c r="W177" s="15">
        <f>MAYO!W177+JUNIO!AM177</f>
        <v>0</v>
      </c>
      <c r="X177" s="18">
        <f t="shared" ref="X177:X183" si="160">SUM(U177:W177)</f>
        <v>965336472</v>
      </c>
      <c r="Y177" s="19">
        <f>MAYO!AA177</f>
        <v>305245689</v>
      </c>
      <c r="Z177" s="364">
        <v>122755825</v>
      </c>
      <c r="AA177" s="18">
        <f t="shared" ref="AA177:AA183" si="161">SUM(Y177:Z177)</f>
        <v>428001514</v>
      </c>
      <c r="AB177" s="19">
        <f>MAYO!AD177</f>
        <v>305245689</v>
      </c>
      <c r="AC177" s="364">
        <v>122755825</v>
      </c>
      <c r="AD177" s="18">
        <f t="shared" ref="AD177:AD183" si="162">SUM(AB177:AC177)</f>
        <v>428001514</v>
      </c>
      <c r="AE177" s="19">
        <f>MAYO!AG177</f>
        <v>305245689</v>
      </c>
      <c r="AF177" s="364">
        <v>119077725</v>
      </c>
      <c r="AG177" s="18">
        <f t="shared" ref="AG177:AG183" si="163">SUM(AE177:AF177)</f>
        <v>424323414</v>
      </c>
      <c r="AH177" s="19">
        <f t="shared" ref="AH177:AH183" si="164">X177-AA177</f>
        <v>537334958</v>
      </c>
      <c r="AI177" s="15">
        <f t="shared" ref="AI177:AI183" si="165">X177-AD177</f>
        <v>537334958</v>
      </c>
      <c r="AJ177" s="16">
        <f t="shared" ref="AJ177:AJ183" si="166">X177-AG177</f>
        <v>541013058</v>
      </c>
      <c r="AK177" s="9"/>
      <c r="AL177" s="362">
        <v>0</v>
      </c>
      <c r="AM177" s="365">
        <v>0</v>
      </c>
      <c r="AN177" s="9"/>
    </row>
    <row r="178" spans="1:40" s="372" customFormat="1" ht="24.95" customHeight="1">
      <c r="A178" s="734"/>
      <c r="B178" s="643"/>
      <c r="N178" s="9"/>
      <c r="P178" s="9"/>
      <c r="Q178" s="9"/>
      <c r="R178" s="9"/>
      <c r="S178" s="688">
        <f>+IF(MAYO!S178=0,"",MAYO!S178)</f>
        <v>3200200</v>
      </c>
      <c r="T178" s="664" t="str">
        <f>+IF(MAYO!T178=0,"",MAYO!T178)</f>
        <v>Cesantías Pago Directo (Pago Directo)</v>
      </c>
      <c r="U178" s="27">
        <f>+ENERO!U178</f>
        <v>20000000</v>
      </c>
      <c r="V178" s="15">
        <f>MAYO!V178+JUNIO!AL178</f>
        <v>0</v>
      </c>
      <c r="W178" s="15">
        <f>MAYO!W178+JUNIO!AM178</f>
        <v>0</v>
      </c>
      <c r="X178" s="18">
        <f t="shared" si="160"/>
        <v>20000000</v>
      </c>
      <c r="Y178" s="19">
        <f>MAYO!AA178</f>
        <v>6749035</v>
      </c>
      <c r="Z178" s="364">
        <v>1489879</v>
      </c>
      <c r="AA178" s="18">
        <f t="shared" si="161"/>
        <v>8238914</v>
      </c>
      <c r="AB178" s="19">
        <f>MAYO!AD178</f>
        <v>6749035</v>
      </c>
      <c r="AC178" s="364">
        <v>1489879</v>
      </c>
      <c r="AD178" s="18">
        <f t="shared" si="162"/>
        <v>8238914</v>
      </c>
      <c r="AE178" s="19">
        <f>MAYO!AG178</f>
        <v>6749035</v>
      </c>
      <c r="AF178" s="364">
        <v>444901</v>
      </c>
      <c r="AG178" s="18">
        <f t="shared" si="163"/>
        <v>7193936</v>
      </c>
      <c r="AH178" s="19">
        <f t="shared" si="164"/>
        <v>11761086</v>
      </c>
      <c r="AI178" s="15">
        <f t="shared" si="165"/>
        <v>11761086</v>
      </c>
      <c r="AJ178" s="16">
        <f t="shared" si="166"/>
        <v>12806064</v>
      </c>
      <c r="AK178" s="9"/>
      <c r="AL178" s="362">
        <v>0</v>
      </c>
      <c r="AM178" s="365">
        <v>0</v>
      </c>
      <c r="AN178" s="9"/>
    </row>
    <row r="179" spans="1:40" s="372" customFormat="1" ht="24.95" customHeight="1">
      <c r="A179" s="734"/>
      <c r="B179" s="643"/>
      <c r="N179" s="9"/>
      <c r="P179" s="9"/>
      <c r="Q179" s="9"/>
      <c r="R179" s="9"/>
      <c r="S179" s="688">
        <f>+IF(MAYO!S179=0,"",MAYO!S179)</f>
        <v>3200300</v>
      </c>
      <c r="T179" s="664" t="str">
        <f>+IF(MAYO!T179=0,"",MAYO!T179)</f>
        <v>Bonos, Cuotas de Bonos y cuotas partes jubilatorias</v>
      </c>
      <c r="U179" s="27">
        <f>+ENERO!U179</f>
        <v>20000000</v>
      </c>
      <c r="V179" s="15">
        <f>MAYO!V179+JUNIO!AL179</f>
        <v>0</v>
      </c>
      <c r="W179" s="15">
        <f>MAYO!W179+JUNIO!AM179</f>
        <v>0</v>
      </c>
      <c r="X179" s="18">
        <f t="shared" si="160"/>
        <v>20000000</v>
      </c>
      <c r="Y179" s="19">
        <f>MAYO!AA179</f>
        <v>0</v>
      </c>
      <c r="Z179" s="364">
        <v>0</v>
      </c>
      <c r="AA179" s="18">
        <f t="shared" si="161"/>
        <v>0</v>
      </c>
      <c r="AB179" s="19">
        <f>MAYO!AD179</f>
        <v>0</v>
      </c>
      <c r="AC179" s="364">
        <v>0</v>
      </c>
      <c r="AD179" s="18">
        <f t="shared" si="162"/>
        <v>0</v>
      </c>
      <c r="AE179" s="19">
        <f>MAYO!AG179</f>
        <v>0</v>
      </c>
      <c r="AF179" s="364">
        <v>0</v>
      </c>
      <c r="AG179" s="18">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N180" s="9"/>
      <c r="P180" s="9"/>
      <c r="Q180" s="9"/>
      <c r="R180" s="9"/>
      <c r="S180" s="688">
        <f>+IF(MAYO!S180=0,"",MAYO!S180)</f>
        <v>3200400</v>
      </c>
      <c r="T180" s="664" t="str">
        <f>+IF(MAYO!T180=0,"",MAYO!T180)</f>
        <v>Intereses a las cesantias</v>
      </c>
      <c r="U180" s="27">
        <f>+ENERO!U180</f>
        <v>105017672</v>
      </c>
      <c r="V180" s="15">
        <f>MAYO!V180+JUNIO!AL180</f>
        <v>0</v>
      </c>
      <c r="W180" s="15">
        <f>MAYO!W180+JUNIO!AM180</f>
        <v>0</v>
      </c>
      <c r="X180" s="18">
        <f t="shared" si="160"/>
        <v>105017672</v>
      </c>
      <c r="Y180" s="19">
        <f>MAYO!AA180</f>
        <v>35633727</v>
      </c>
      <c r="Z180" s="364">
        <v>35308</v>
      </c>
      <c r="AA180" s="18">
        <f t="shared" si="161"/>
        <v>35669035</v>
      </c>
      <c r="AB180" s="19">
        <f>MAYO!AD180</f>
        <v>35633727</v>
      </c>
      <c r="AC180" s="364">
        <v>35308</v>
      </c>
      <c r="AD180" s="18">
        <f t="shared" si="162"/>
        <v>35669035</v>
      </c>
      <c r="AE180" s="19">
        <f>MAYO!AG180</f>
        <v>35633727</v>
      </c>
      <c r="AF180" s="364">
        <v>4388</v>
      </c>
      <c r="AG180" s="18">
        <f t="shared" si="163"/>
        <v>35638115</v>
      </c>
      <c r="AH180" s="19">
        <f t="shared" si="164"/>
        <v>69348637</v>
      </c>
      <c r="AI180" s="15">
        <f t="shared" si="165"/>
        <v>69348637</v>
      </c>
      <c r="AJ180" s="16">
        <f t="shared" si="166"/>
        <v>69379557</v>
      </c>
      <c r="AK180" s="9"/>
      <c r="AL180" s="362">
        <v>0</v>
      </c>
      <c r="AM180" s="365">
        <v>0</v>
      </c>
      <c r="AN180" s="9"/>
    </row>
    <row r="181" spans="1:40" s="372" customFormat="1" ht="24.95" customHeight="1">
      <c r="A181" s="734"/>
      <c r="B181" s="643"/>
      <c r="N181" s="9"/>
      <c r="P181" s="9"/>
      <c r="Q181" s="9"/>
      <c r="R181" s="9"/>
      <c r="S181" s="688">
        <f>+IF(MAYO!S181=0,"",MAYO!S181)</f>
        <v>3200500</v>
      </c>
      <c r="T181" s="664" t="str">
        <f>+IF(MAYO!T181=0,"",MAYO!T181)</f>
        <v/>
      </c>
      <c r="U181" s="27">
        <f>+ENERO!U181</f>
        <v>0</v>
      </c>
      <c r="V181" s="15">
        <f>MAYO!V181+JUNIO!AL181</f>
        <v>0</v>
      </c>
      <c r="W181" s="15">
        <f>MAYO!W181+JUNIO!AM181</f>
        <v>0</v>
      </c>
      <c r="X181" s="18">
        <f t="shared" si="160"/>
        <v>0</v>
      </c>
      <c r="Y181" s="19">
        <f>MAYO!AA181</f>
        <v>0</v>
      </c>
      <c r="Z181" s="364">
        <v>0</v>
      </c>
      <c r="AA181" s="18">
        <f t="shared" si="161"/>
        <v>0</v>
      </c>
      <c r="AB181" s="19">
        <f>MAYO!AD181</f>
        <v>0</v>
      </c>
      <c r="AC181" s="364">
        <v>0</v>
      </c>
      <c r="AD181" s="18">
        <f t="shared" si="162"/>
        <v>0</v>
      </c>
      <c r="AE181" s="19">
        <f>MAYO!AG181</f>
        <v>0</v>
      </c>
      <c r="AF181" s="364">
        <v>0</v>
      </c>
      <c r="AG181" s="18">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N182" s="9"/>
      <c r="P182" s="9"/>
      <c r="Q182" s="9"/>
      <c r="R182" s="9"/>
      <c r="S182" s="688">
        <f>+IF(MAYO!S182=0,"",MAYO!S182)</f>
        <v>3200600</v>
      </c>
      <c r="T182" s="664" t="str">
        <f>+IF(MAYO!T182=0,"",MAYO!T182)</f>
        <v/>
      </c>
      <c r="U182" s="27">
        <f>+ENERO!U182</f>
        <v>0</v>
      </c>
      <c r="V182" s="15">
        <f>MAYO!V182+JUNIO!AL182</f>
        <v>0</v>
      </c>
      <c r="W182" s="15">
        <f>MAYO!W182+JUNIO!AM182</f>
        <v>0</v>
      </c>
      <c r="X182" s="18">
        <f t="shared" si="160"/>
        <v>0</v>
      </c>
      <c r="Y182" s="19">
        <f>MAYO!AA182</f>
        <v>0</v>
      </c>
      <c r="Z182" s="364">
        <v>0</v>
      </c>
      <c r="AA182" s="18">
        <f t="shared" si="161"/>
        <v>0</v>
      </c>
      <c r="AB182" s="19">
        <f>MAYO!AD182</f>
        <v>0</v>
      </c>
      <c r="AC182" s="364">
        <v>0</v>
      </c>
      <c r="AD182" s="18">
        <f t="shared" si="162"/>
        <v>0</v>
      </c>
      <c r="AE182" s="19">
        <f>MAYO!AG182</f>
        <v>0</v>
      </c>
      <c r="AF182" s="364">
        <v>0</v>
      </c>
      <c r="AG182" s="18">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N183" s="9"/>
      <c r="P183" s="9"/>
      <c r="Q183" s="9"/>
      <c r="R183" s="9"/>
      <c r="S183" s="688">
        <f>+IF(MAYO!S183=0,"",MAYO!S183)</f>
        <v>3299999</v>
      </c>
      <c r="T183" s="664" t="str">
        <f>+IF(MAYO!T183=0,"",MAYO!T183)</f>
        <v>Vigencias Anteriores</v>
      </c>
      <c r="U183" s="27">
        <f>+ENERO!U183</f>
        <v>0</v>
      </c>
      <c r="V183" s="15">
        <f>MAYO!V183+JUNIO!AL183</f>
        <v>0</v>
      </c>
      <c r="W183" s="15">
        <f>MAYO!W183+JUNIO!AM183</f>
        <v>0</v>
      </c>
      <c r="X183" s="18">
        <f t="shared" si="160"/>
        <v>0</v>
      </c>
      <c r="Y183" s="19">
        <f>MAYO!AA183</f>
        <v>0</v>
      </c>
      <c r="Z183" s="364">
        <v>0</v>
      </c>
      <c r="AA183" s="18">
        <f t="shared" si="161"/>
        <v>0</v>
      </c>
      <c r="AB183" s="19">
        <f>MAYO!AD183</f>
        <v>0</v>
      </c>
      <c r="AC183" s="364">
        <v>0</v>
      </c>
      <c r="AD183" s="18">
        <f t="shared" si="162"/>
        <v>0</v>
      </c>
      <c r="AE183" s="19">
        <f>MAYO!AG183</f>
        <v>0</v>
      </c>
      <c r="AF183" s="364">
        <v>0</v>
      </c>
      <c r="AG183" s="18">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N184" s="9"/>
      <c r="P184" s="9"/>
      <c r="Q184" s="9"/>
      <c r="R184" s="9"/>
      <c r="S184" s="356" t="str">
        <f>+IF(MAYO!S184=0,"",MAYO!S184)</f>
        <v/>
      </c>
      <c r="T184" s="678" t="str">
        <f>+IF(MAYO!T184=0,"",MAYO!T184)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+IF(MAYO!S185=0,"",MAYO!S185)</f>
        <v>3300000</v>
      </c>
      <c r="T185" s="663" t="str">
        <f>+IF(MAYO!T185=0,"",MAYO!T185)</f>
        <v>Otras Transferencias</v>
      </c>
      <c r="U185" s="132">
        <f t="shared" ref="U185:AJ185" si="167">U186+U187+U191</f>
        <v>80000000</v>
      </c>
      <c r="V185" s="122">
        <f t="shared" si="167"/>
        <v>8000000</v>
      </c>
      <c r="W185" s="122">
        <f t="shared" si="167"/>
        <v>0</v>
      </c>
      <c r="X185" s="129">
        <f t="shared" si="167"/>
        <v>88000000</v>
      </c>
      <c r="Y185" s="128">
        <f t="shared" si="167"/>
        <v>18918516</v>
      </c>
      <c r="Z185" s="122">
        <f t="shared" si="167"/>
        <v>223000</v>
      </c>
      <c r="AA185" s="129">
        <f t="shared" si="167"/>
        <v>19141516</v>
      </c>
      <c r="AB185" s="128">
        <f t="shared" si="167"/>
        <v>18918516</v>
      </c>
      <c r="AC185" s="122">
        <f t="shared" si="167"/>
        <v>223000</v>
      </c>
      <c r="AD185" s="129">
        <f t="shared" si="167"/>
        <v>19141516</v>
      </c>
      <c r="AE185" s="128">
        <f t="shared" si="167"/>
        <v>18918516</v>
      </c>
      <c r="AF185" s="122">
        <f t="shared" si="167"/>
        <v>223000</v>
      </c>
      <c r="AG185" s="129">
        <f t="shared" si="167"/>
        <v>19141516</v>
      </c>
      <c r="AH185" s="128">
        <f t="shared" si="167"/>
        <v>68858484</v>
      </c>
      <c r="AI185" s="122">
        <f t="shared" si="167"/>
        <v>68858484</v>
      </c>
      <c r="AJ185" s="130">
        <f t="shared" si="167"/>
        <v>68858484</v>
      </c>
      <c r="AK185" s="9"/>
      <c r="AL185" s="128">
        <f>AL186+AL187+AL191</f>
        <v>0</v>
      </c>
      <c r="AM185" s="130">
        <f>AM186+AM187+AM191</f>
        <v>0</v>
      </c>
      <c r="AN185" s="9"/>
    </row>
    <row r="186" spans="1:40" s="372" customFormat="1" ht="24.95" customHeight="1">
      <c r="A186" s="734"/>
      <c r="B186" s="643"/>
      <c r="N186" s="9"/>
      <c r="P186" s="9"/>
      <c r="Q186" s="9"/>
      <c r="R186" s="9"/>
      <c r="S186" s="688">
        <f>+IF(MAYO!S186=0,"",MAYO!S186)</f>
        <v>3300100</v>
      </c>
      <c r="T186" s="664" t="str">
        <f>+IF(MAYO!T186=0,"",MAYO!T186)</f>
        <v>Sentencias y Conciliaciones</v>
      </c>
      <c r="U186" s="27">
        <f>+ENERO!U186</f>
        <v>60000000</v>
      </c>
      <c r="V186" s="15">
        <f>MAYO!V186+JUNIO!AL186</f>
        <v>0</v>
      </c>
      <c r="W186" s="15">
        <f>MAYO!W186+JUNIO!AM186</f>
        <v>0</v>
      </c>
      <c r="X186" s="18">
        <f>SUM(U186:W186)</f>
        <v>60000000</v>
      </c>
      <c r="Y186" s="19">
        <f>MAYO!AA186</f>
        <v>0</v>
      </c>
      <c r="Z186" s="364">
        <v>0</v>
      </c>
      <c r="AA186" s="18">
        <f>SUM(Y186:Z186)</f>
        <v>0</v>
      </c>
      <c r="AB186" s="19">
        <f>MAYO!AD186</f>
        <v>0</v>
      </c>
      <c r="AC186" s="364">
        <v>0</v>
      </c>
      <c r="AD186" s="18">
        <f>SUM(AB186:AC186)</f>
        <v>0</v>
      </c>
      <c r="AE186" s="19">
        <f>MAYO!AG186</f>
        <v>0</v>
      </c>
      <c r="AF186" s="364">
        <v>0</v>
      </c>
      <c r="AG186" s="18">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N187" s="9"/>
      <c r="P187" s="9"/>
      <c r="Q187" s="9"/>
      <c r="R187" s="9"/>
      <c r="S187" s="688">
        <f>+IF(MAYO!S187=0,"",MAYO!S187)</f>
        <v>3300200</v>
      </c>
      <c r="T187" s="664" t="str">
        <f>+IF(MAYO!T187=0,"",MAYO!T187)</f>
        <v>Destinatarios de otras transferencias</v>
      </c>
      <c r="U187" s="27">
        <f t="shared" ref="U187:AM187" si="168">SUM(U188:U190)</f>
        <v>20000000</v>
      </c>
      <c r="V187" s="15">
        <f t="shared" si="168"/>
        <v>8000000</v>
      </c>
      <c r="W187" s="15">
        <f t="shared" si="168"/>
        <v>0</v>
      </c>
      <c r="X187" s="18">
        <f t="shared" si="168"/>
        <v>28000000</v>
      </c>
      <c r="Y187" s="19">
        <f t="shared" si="168"/>
        <v>18918516</v>
      </c>
      <c r="Z187" s="142">
        <f t="shared" si="168"/>
        <v>223000</v>
      </c>
      <c r="AA187" s="18">
        <f t="shared" si="168"/>
        <v>19141516</v>
      </c>
      <c r="AB187" s="19">
        <f t="shared" si="168"/>
        <v>18918516</v>
      </c>
      <c r="AC187" s="142">
        <f t="shared" si="168"/>
        <v>223000</v>
      </c>
      <c r="AD187" s="18">
        <f t="shared" si="168"/>
        <v>19141516</v>
      </c>
      <c r="AE187" s="19">
        <f t="shared" si="168"/>
        <v>18918516</v>
      </c>
      <c r="AF187" s="142">
        <f t="shared" si="168"/>
        <v>223000</v>
      </c>
      <c r="AG187" s="18">
        <f t="shared" si="168"/>
        <v>19141516</v>
      </c>
      <c r="AH187" s="19">
        <f t="shared" si="168"/>
        <v>8858484</v>
      </c>
      <c r="AI187" s="15">
        <f t="shared" si="168"/>
        <v>8858484</v>
      </c>
      <c r="AJ187" s="16">
        <f t="shared" si="168"/>
        <v>8858484</v>
      </c>
      <c r="AK187" s="9"/>
      <c r="AL187" s="29">
        <f t="shared" si="168"/>
        <v>0</v>
      </c>
      <c r="AM187" s="26">
        <f t="shared" si="168"/>
        <v>0</v>
      </c>
      <c r="AN187" s="9"/>
    </row>
    <row r="188" spans="1:40" s="372" customFormat="1" ht="24.95" customHeight="1">
      <c r="A188" s="734"/>
      <c r="B188" s="644"/>
      <c r="N188" s="9"/>
      <c r="P188" s="9"/>
      <c r="Q188" s="9"/>
      <c r="R188" s="9"/>
      <c r="S188" s="689" t="str">
        <f>+IF(MAYO!S188=0,"",MAYO!S188)</f>
        <v>3300200-1</v>
      </c>
      <c r="T188" s="664" t="str">
        <f>+IF(MAYO!T188=0,"",MAYO!T188)</f>
        <v>COHAN</v>
      </c>
      <c r="U188" s="27">
        <f>+ENERO!U188</f>
        <v>10000000</v>
      </c>
      <c r="V188" s="15">
        <f>MAYO!V188+JUNIO!AL188</f>
        <v>8000000</v>
      </c>
      <c r="W188" s="15">
        <f>MAYO!W188+JUNIO!AM188</f>
        <v>0</v>
      </c>
      <c r="X188" s="18">
        <f>SUM(U188:W188)</f>
        <v>18000000</v>
      </c>
      <c r="Y188" s="19">
        <f>MAYO!AA188</f>
        <v>17803516</v>
      </c>
      <c r="Z188" s="364">
        <v>0</v>
      </c>
      <c r="AA188" s="18">
        <f>SUM(Y188:Z188)</f>
        <v>17803516</v>
      </c>
      <c r="AB188" s="19">
        <f>MAYO!AD188</f>
        <v>17803516</v>
      </c>
      <c r="AC188" s="364">
        <v>0</v>
      </c>
      <c r="AD188" s="18">
        <f>SUM(AB188:AC188)</f>
        <v>17803516</v>
      </c>
      <c r="AE188" s="19">
        <f>MAYO!AG188</f>
        <v>17803516</v>
      </c>
      <c r="AF188" s="364">
        <v>0</v>
      </c>
      <c r="AG188" s="18">
        <f>SUM(AE188:AF188)</f>
        <v>17803516</v>
      </c>
      <c r="AH188" s="19">
        <f>X188-AA188</f>
        <v>196484</v>
      </c>
      <c r="AI188" s="15">
        <f>X188-AD188</f>
        <v>196484</v>
      </c>
      <c r="AJ188" s="16">
        <f>X188-AG188</f>
        <v>196484</v>
      </c>
      <c r="AK188" s="9"/>
      <c r="AL188" s="362">
        <v>0</v>
      </c>
      <c r="AM188" s="365">
        <v>0</v>
      </c>
      <c r="AN188" s="9"/>
    </row>
    <row r="189" spans="1:40" s="372" customFormat="1" ht="24.95" customHeight="1">
      <c r="A189" s="734"/>
      <c r="B189" s="644"/>
      <c r="N189" s="9"/>
      <c r="P189" s="9"/>
      <c r="Q189" s="9"/>
      <c r="R189" s="9"/>
      <c r="S189" s="689" t="str">
        <f>+IF(MAYO!S189=0,"",MAYO!S189)</f>
        <v>3300200-2</v>
      </c>
      <c r="T189" s="664" t="str">
        <f>+IF(MAYO!T189=0,"",MAYO!T189)</f>
        <v>AESA</v>
      </c>
      <c r="U189" s="27">
        <f>+ENERO!U189</f>
        <v>5000000</v>
      </c>
      <c r="V189" s="15">
        <f>MAYO!V189+JUNIO!AL189</f>
        <v>0</v>
      </c>
      <c r="W189" s="15">
        <f>MAYO!W189+JUNIO!AM189</f>
        <v>0</v>
      </c>
      <c r="X189" s="18">
        <f>SUM(U189:W189)</f>
        <v>5000000</v>
      </c>
      <c r="Y189" s="19">
        <f>MAYO!AA189</f>
        <v>0</v>
      </c>
      <c r="Z189" s="364">
        <v>0</v>
      </c>
      <c r="AA189" s="18">
        <f>SUM(Y189:Z189)</f>
        <v>0</v>
      </c>
      <c r="AB189" s="19">
        <f>MAYO!AD189</f>
        <v>0</v>
      </c>
      <c r="AC189" s="364">
        <v>0</v>
      </c>
      <c r="AD189" s="18">
        <f>SUM(AB189:AC189)</f>
        <v>0</v>
      </c>
      <c r="AE189" s="19">
        <f>MAYO!AG189</f>
        <v>0</v>
      </c>
      <c r="AF189" s="364">
        <v>0</v>
      </c>
      <c r="AG189" s="18">
        <f>SUM(AE189:AF189)</f>
        <v>0</v>
      </c>
      <c r="AH189" s="19">
        <f>X189-AA189</f>
        <v>5000000</v>
      </c>
      <c r="AI189" s="15">
        <f>X189-AD189</f>
        <v>5000000</v>
      </c>
      <c r="AJ189" s="16">
        <f>X189-AG189</f>
        <v>5000000</v>
      </c>
      <c r="AK189" s="9"/>
      <c r="AL189" s="362">
        <v>0</v>
      </c>
      <c r="AM189" s="365">
        <v>0</v>
      </c>
      <c r="AN189" s="9"/>
    </row>
    <row r="190" spans="1:40" s="372" customFormat="1" ht="24.95" customHeight="1">
      <c r="A190" s="734"/>
      <c r="B190" s="644"/>
      <c r="N190" s="9"/>
      <c r="P190" s="9"/>
      <c r="Q190" s="9"/>
      <c r="R190" s="9"/>
      <c r="S190" s="689" t="str">
        <f>+IF(MAYO!S190=0,"",MAYO!S190)</f>
        <v>3300200-3</v>
      </c>
      <c r="T190" s="664" t="str">
        <f>+IF(MAYO!T190=0,"",MAYO!T190)</f>
        <v xml:space="preserve">OTRAS </v>
      </c>
      <c r="U190" s="27">
        <f>+ENERO!U190</f>
        <v>5000000</v>
      </c>
      <c r="V190" s="15">
        <f>MAYO!V190+JUNIO!AL190</f>
        <v>0</v>
      </c>
      <c r="W190" s="15">
        <f>MAYO!W190+JUNIO!AM190</f>
        <v>0</v>
      </c>
      <c r="X190" s="18">
        <f>SUM(U190:W190)</f>
        <v>5000000</v>
      </c>
      <c r="Y190" s="19">
        <f>MAYO!AA190</f>
        <v>1115000</v>
      </c>
      <c r="Z190" s="364">
        <v>223000</v>
      </c>
      <c r="AA190" s="18">
        <f>SUM(Y190:Z190)</f>
        <v>1338000</v>
      </c>
      <c r="AB190" s="19">
        <f>MAYO!AD190</f>
        <v>1115000</v>
      </c>
      <c r="AC190" s="364">
        <v>223000</v>
      </c>
      <c r="AD190" s="18">
        <f>SUM(AB190:AC190)</f>
        <v>1338000</v>
      </c>
      <c r="AE190" s="19">
        <f>MAYO!AG190</f>
        <v>1115000</v>
      </c>
      <c r="AF190" s="364">
        <v>223000</v>
      </c>
      <c r="AG190" s="18">
        <f>SUM(AE190:AF190)</f>
        <v>1338000</v>
      </c>
      <c r="AH190" s="19">
        <f>X190-AA190</f>
        <v>3662000</v>
      </c>
      <c r="AI190" s="15">
        <f>X190-AD190</f>
        <v>3662000</v>
      </c>
      <c r="AJ190" s="16">
        <f>X190-AG190</f>
        <v>3662000</v>
      </c>
      <c r="AK190" s="9"/>
      <c r="AL190" s="362">
        <v>0</v>
      </c>
      <c r="AM190" s="365">
        <v>0</v>
      </c>
      <c r="AN190" s="9"/>
    </row>
    <row r="191" spans="1:40" s="372" customFormat="1" ht="24.95" customHeight="1">
      <c r="A191" s="734"/>
      <c r="B191" s="644"/>
      <c r="N191" s="9"/>
      <c r="P191" s="9"/>
      <c r="Q191" s="9"/>
      <c r="R191" s="9"/>
      <c r="S191" s="688">
        <f>+IF(MAYO!S191=0,"",MAYO!S191)</f>
        <v>3399999</v>
      </c>
      <c r="T191" s="664" t="str">
        <f>+IF(MAYO!T191=0,"",MAYO!T191)</f>
        <v>Vigencias Anteriores</v>
      </c>
      <c r="U191" s="27">
        <f>+ENERO!U191</f>
        <v>0</v>
      </c>
      <c r="V191" s="15">
        <f>MAYO!V191+JUNIO!AL191</f>
        <v>0</v>
      </c>
      <c r="W191" s="15">
        <f>MAYO!W191+JUNIO!AM191</f>
        <v>0</v>
      </c>
      <c r="X191" s="18">
        <f>SUM(U191:W191)</f>
        <v>0</v>
      </c>
      <c r="Y191" s="19">
        <f>MAYO!AA191</f>
        <v>0</v>
      </c>
      <c r="Z191" s="364">
        <v>0</v>
      </c>
      <c r="AA191" s="18">
        <f>SUM(Y191:Z191)</f>
        <v>0</v>
      </c>
      <c r="AB191" s="19">
        <f>MAYO!AD191</f>
        <v>0</v>
      </c>
      <c r="AC191" s="364">
        <v>0</v>
      </c>
      <c r="AD191" s="18">
        <f>SUM(AB191:AC191)</f>
        <v>0</v>
      </c>
      <c r="AE191" s="19">
        <f>MAYO!AG191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2" customHeight="1">
      <c r="A193" s="734"/>
      <c r="B193" s="644"/>
      <c r="N193" s="9"/>
      <c r="P193" s="9"/>
      <c r="Q193" s="9"/>
      <c r="R193" s="9"/>
      <c r="S193" s="483" t="s">
        <v>318</v>
      </c>
      <c r="T193" s="672" t="s">
        <v>561</v>
      </c>
      <c r="U193" s="460">
        <f t="shared" ref="U193:AJ193" si="169">U195+U209</f>
        <v>10282942055</v>
      </c>
      <c r="V193" s="461">
        <f t="shared" si="169"/>
        <v>1795000000</v>
      </c>
      <c r="W193" s="461">
        <f t="shared" si="169"/>
        <v>6759281439</v>
      </c>
      <c r="X193" s="370">
        <f t="shared" si="169"/>
        <v>18837223494</v>
      </c>
      <c r="Y193" s="369">
        <f t="shared" si="169"/>
        <v>16316971247</v>
      </c>
      <c r="Z193" s="484">
        <f t="shared" si="169"/>
        <v>1449854957</v>
      </c>
      <c r="AA193" s="370">
        <f t="shared" si="169"/>
        <v>17766826204</v>
      </c>
      <c r="AB193" s="460">
        <f t="shared" si="169"/>
        <v>13429718874</v>
      </c>
      <c r="AC193" s="484">
        <f t="shared" si="169"/>
        <v>1530346645</v>
      </c>
      <c r="AD193" s="462">
        <f t="shared" si="169"/>
        <v>14960065519</v>
      </c>
      <c r="AE193" s="369">
        <f t="shared" si="169"/>
        <v>8031172796</v>
      </c>
      <c r="AF193" s="484">
        <f t="shared" si="169"/>
        <v>695591919</v>
      </c>
      <c r="AG193" s="370">
        <f t="shared" si="169"/>
        <v>8726764715</v>
      </c>
      <c r="AH193" s="369">
        <f t="shared" si="169"/>
        <v>1070397290</v>
      </c>
      <c r="AI193" s="461">
        <f t="shared" si="169"/>
        <v>3877157975</v>
      </c>
      <c r="AJ193" s="370">
        <f t="shared" si="169"/>
        <v>10110458779</v>
      </c>
      <c r="AK193" s="9"/>
      <c r="AL193" s="369">
        <f>AL195+AL209</f>
        <v>495000000</v>
      </c>
      <c r="AM193" s="370">
        <f>AM195+AM209</f>
        <v>0</v>
      </c>
      <c r="AN193" s="9"/>
    </row>
    <row r="194" spans="1:40" s="372" customFormat="1" ht="24.95" customHeight="1">
      <c r="A194" s="734"/>
      <c r="B194" s="644"/>
      <c r="N194" s="9"/>
      <c r="P194" s="9"/>
      <c r="Q194" s="9"/>
      <c r="R194" s="9"/>
      <c r="S194" s="356" t="str">
        <f>+IF(MAYO!S194=0,"",MAYO!S194)</f>
        <v/>
      </c>
      <c r="T194" s="678" t="str">
        <f>+IF(MAYO!T194=0,"",MAYO!T194)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+IF(MAYO!S195=0,"",MAYO!S195)</f>
        <v>4000000</v>
      </c>
      <c r="T195" s="668" t="str">
        <f>+IF(MAYO!T195=0,"",MAYO!T195)</f>
        <v>GASTOS  DE PRESTACION DE SERVICIOS</v>
      </c>
      <c r="U195" s="460">
        <f t="shared" ref="U195:AJ195" si="170">U196</f>
        <v>10282942055</v>
      </c>
      <c r="V195" s="461">
        <f t="shared" si="170"/>
        <v>1795000000</v>
      </c>
      <c r="W195" s="461">
        <f t="shared" si="170"/>
        <v>6759281439</v>
      </c>
      <c r="X195" s="462">
        <f t="shared" si="170"/>
        <v>18837223494</v>
      </c>
      <c r="Y195" s="369">
        <f t="shared" si="170"/>
        <v>16316971247</v>
      </c>
      <c r="Z195" s="461">
        <f t="shared" si="170"/>
        <v>1449854957</v>
      </c>
      <c r="AA195" s="462">
        <f t="shared" si="170"/>
        <v>17766826204</v>
      </c>
      <c r="AB195" s="369">
        <f t="shared" si="170"/>
        <v>13429718874</v>
      </c>
      <c r="AC195" s="461">
        <f t="shared" si="170"/>
        <v>1530346645</v>
      </c>
      <c r="AD195" s="462">
        <f t="shared" si="170"/>
        <v>14960065519</v>
      </c>
      <c r="AE195" s="369">
        <f t="shared" si="170"/>
        <v>8031172796</v>
      </c>
      <c r="AF195" s="461">
        <f t="shared" si="170"/>
        <v>695591919</v>
      </c>
      <c r="AG195" s="462">
        <f t="shared" si="170"/>
        <v>8726764715</v>
      </c>
      <c r="AH195" s="369">
        <f t="shared" si="170"/>
        <v>1070397290</v>
      </c>
      <c r="AI195" s="461">
        <f t="shared" si="170"/>
        <v>3877157975</v>
      </c>
      <c r="AJ195" s="370">
        <f t="shared" si="170"/>
        <v>10110458779</v>
      </c>
      <c r="AK195" s="9"/>
      <c r="AL195" s="128">
        <f>AL196</f>
        <v>495000000</v>
      </c>
      <c r="AM195" s="130">
        <f>AM196</f>
        <v>0</v>
      </c>
      <c r="AN195" s="9"/>
    </row>
    <row r="196" spans="1:40" s="372" customFormat="1" ht="24.95" customHeight="1">
      <c r="A196" s="734"/>
      <c r="B196" s="644"/>
      <c r="N196" s="9"/>
      <c r="P196" s="9"/>
      <c r="Q196" s="9"/>
      <c r="R196" s="9"/>
      <c r="S196" s="687">
        <f>+IF(MAYO!S196=0,"",MAYO!S196)</f>
        <v>4100000</v>
      </c>
      <c r="T196" s="663" t="str">
        <f>+IF(MAYO!T196=0,"",MAYO!T196)</f>
        <v>Insumos y Suministros Hospitalarios</v>
      </c>
      <c r="U196" s="132">
        <f t="shared" ref="U196:AJ196" si="171">U197+U205+U207</f>
        <v>10282942055</v>
      </c>
      <c r="V196" s="122">
        <f t="shared" si="171"/>
        <v>1795000000</v>
      </c>
      <c r="W196" s="122">
        <f t="shared" si="171"/>
        <v>6759281439</v>
      </c>
      <c r="X196" s="129">
        <f t="shared" si="171"/>
        <v>18837223494</v>
      </c>
      <c r="Y196" s="128">
        <f t="shared" si="171"/>
        <v>16316971247</v>
      </c>
      <c r="Z196" s="122">
        <f t="shared" si="171"/>
        <v>1449854957</v>
      </c>
      <c r="AA196" s="129">
        <f t="shared" si="171"/>
        <v>17766826204</v>
      </c>
      <c r="AB196" s="128">
        <f t="shared" si="171"/>
        <v>13429718874</v>
      </c>
      <c r="AC196" s="122">
        <f t="shared" si="171"/>
        <v>1530346645</v>
      </c>
      <c r="AD196" s="129">
        <f t="shared" si="171"/>
        <v>14960065519</v>
      </c>
      <c r="AE196" s="128">
        <f t="shared" si="171"/>
        <v>8031172796</v>
      </c>
      <c r="AF196" s="122">
        <f t="shared" si="171"/>
        <v>695591919</v>
      </c>
      <c r="AG196" s="129">
        <f t="shared" si="171"/>
        <v>8726764715</v>
      </c>
      <c r="AH196" s="128">
        <f t="shared" si="171"/>
        <v>1070397290</v>
      </c>
      <c r="AI196" s="122">
        <f t="shared" si="171"/>
        <v>3877157975</v>
      </c>
      <c r="AJ196" s="130">
        <f t="shared" si="171"/>
        <v>10110458779</v>
      </c>
      <c r="AK196" s="10"/>
      <c r="AL196" s="128">
        <f>AL197+AL205+AL207</f>
        <v>495000000</v>
      </c>
      <c r="AM196" s="130">
        <f>AM197+AM205+AM207</f>
        <v>0</v>
      </c>
      <c r="AN196" s="9"/>
    </row>
    <row r="197" spans="1:40" s="372" customFormat="1" ht="24.95" customHeight="1">
      <c r="A197" s="734"/>
      <c r="B197" s="644"/>
      <c r="N197" s="9"/>
      <c r="P197" s="9"/>
      <c r="Q197" s="9"/>
      <c r="R197" s="9"/>
      <c r="S197" s="688">
        <f>+IF(MAYO!S197=0,"",MAYO!S197)</f>
        <v>4100100</v>
      </c>
      <c r="T197" s="664" t="str">
        <f>+IF(MAYO!T197=0,"",MAYO!T197)</f>
        <v>Compra de Bienes para la Prestacion de servicios</v>
      </c>
      <c r="U197" s="27">
        <f t="shared" ref="U197:AJ197" si="172">SUM(U198:U204)</f>
        <v>8084311192</v>
      </c>
      <c r="V197" s="15">
        <f t="shared" si="172"/>
        <v>1785000000</v>
      </c>
      <c r="W197" s="15">
        <f t="shared" si="172"/>
        <v>2421407445</v>
      </c>
      <c r="X197" s="18">
        <f t="shared" si="172"/>
        <v>12290718637</v>
      </c>
      <c r="Y197" s="19">
        <f t="shared" si="172"/>
        <v>10006266993</v>
      </c>
      <c r="Z197" s="142">
        <f t="shared" si="172"/>
        <v>1338041362</v>
      </c>
      <c r="AA197" s="18">
        <f t="shared" si="172"/>
        <v>11344308355</v>
      </c>
      <c r="AB197" s="19">
        <f t="shared" si="172"/>
        <v>7894307029</v>
      </c>
      <c r="AC197" s="142">
        <f t="shared" si="172"/>
        <v>1232546315</v>
      </c>
      <c r="AD197" s="18">
        <f t="shared" si="172"/>
        <v>9126853344</v>
      </c>
      <c r="AE197" s="19">
        <f t="shared" si="172"/>
        <v>2495760951</v>
      </c>
      <c r="AF197" s="142">
        <f t="shared" si="172"/>
        <v>583778324</v>
      </c>
      <c r="AG197" s="18">
        <f t="shared" si="172"/>
        <v>3079539275</v>
      </c>
      <c r="AH197" s="19">
        <f t="shared" si="172"/>
        <v>946410282</v>
      </c>
      <c r="AI197" s="15">
        <f t="shared" si="172"/>
        <v>3163865293</v>
      </c>
      <c r="AJ197" s="16">
        <f t="shared" si="172"/>
        <v>9211179362</v>
      </c>
      <c r="AK197" s="9"/>
      <c r="AL197" s="29">
        <f>SUM(AL198:AL204)</f>
        <v>495000000</v>
      </c>
      <c r="AM197" s="26">
        <f>SUM(AM198:AM204)</f>
        <v>0</v>
      </c>
      <c r="AN197" s="9"/>
    </row>
    <row r="198" spans="1:40" s="372" customFormat="1" ht="24.95" customHeight="1">
      <c r="A198" s="734"/>
      <c r="B198" s="644"/>
      <c r="N198" s="9"/>
      <c r="P198" s="9"/>
      <c r="Q198" s="9"/>
      <c r="R198" s="9"/>
      <c r="S198" s="689" t="str">
        <f>+IF(MAYO!S198=0,"",MAYO!S198)</f>
        <v>4100100-1</v>
      </c>
      <c r="T198" s="665" t="str">
        <f>+IF(MAYO!T198=0,"",MAYO!T198)</f>
        <v>Productos Farmaceuticos</v>
      </c>
      <c r="U198" s="27">
        <f>+ENERO!U198</f>
        <v>4000000000</v>
      </c>
      <c r="V198" s="15">
        <f>MAYO!V198+JUNIO!AL198</f>
        <v>790000000</v>
      </c>
      <c r="W198" s="15">
        <f>MAYO!W198+JUNIO!AM198</f>
        <v>643274278</v>
      </c>
      <c r="X198" s="18">
        <f t="shared" ref="X198:X204" si="173">SUM(U198:W198)</f>
        <v>5433274278</v>
      </c>
      <c r="Y198" s="19">
        <f>MAYO!AA198</f>
        <v>4462744982</v>
      </c>
      <c r="Z198" s="364">
        <v>775673417</v>
      </c>
      <c r="AA198" s="18">
        <f t="shared" ref="AA198:AA204" si="174">SUM(Y198:Z198)</f>
        <v>5238418399</v>
      </c>
      <c r="AB198" s="19">
        <f>MAYO!AD198</f>
        <v>3578339100</v>
      </c>
      <c r="AC198" s="364">
        <v>642624684</v>
      </c>
      <c r="AD198" s="18">
        <f t="shared" ref="AD198:AD204" si="175">SUM(AB198:AC198)</f>
        <v>4220963784</v>
      </c>
      <c r="AE198" s="19">
        <f>MAYO!AG198</f>
        <v>1088952284</v>
      </c>
      <c r="AF198" s="364">
        <v>124154637</v>
      </c>
      <c r="AG198" s="18">
        <f t="shared" ref="AG198:AG204" si="176">SUM(AE198:AF198)</f>
        <v>1213106921</v>
      </c>
      <c r="AH198" s="19">
        <f t="shared" ref="AH198:AH204" si="177">X198-AA198</f>
        <v>194855879</v>
      </c>
      <c r="AI198" s="15">
        <f t="shared" ref="AI198:AI204" si="178">X198-AD198</f>
        <v>1212310494</v>
      </c>
      <c r="AJ198" s="16">
        <f t="shared" ref="AJ198:AJ204" si="179">X198-AG198</f>
        <v>4220167357</v>
      </c>
      <c r="AK198" s="9"/>
      <c r="AL198" s="362">
        <v>200000000</v>
      </c>
      <c r="AM198" s="365">
        <v>0</v>
      </c>
      <c r="AN198" s="9"/>
    </row>
    <row r="199" spans="1:40" s="372" customFormat="1" ht="24.95" customHeight="1">
      <c r="A199" s="734"/>
      <c r="B199" s="644"/>
      <c r="N199" s="9"/>
      <c r="P199" s="9"/>
      <c r="Q199" s="9"/>
      <c r="R199" s="9"/>
      <c r="S199" s="689" t="str">
        <f>+IF(MAYO!S199=0,"",MAYO!S199)</f>
        <v>4100100-2</v>
      </c>
      <c r="T199" s="665" t="str">
        <f>+IF(MAYO!T199=0,"",MAYO!T199)</f>
        <v>Material Médico Quirúrgico</v>
      </c>
      <c r="U199" s="27">
        <f>+ENERO!U199</f>
        <v>3244311192</v>
      </c>
      <c r="V199" s="15">
        <f>MAYO!V199+JUNIO!AL199</f>
        <v>995000000</v>
      </c>
      <c r="W199" s="15">
        <f>MAYO!W199+JUNIO!AM199</f>
        <v>1778133167</v>
      </c>
      <c r="X199" s="18">
        <f t="shared" si="173"/>
        <v>6017444359</v>
      </c>
      <c r="Y199" s="19">
        <f>MAYO!AA199</f>
        <v>5194216665</v>
      </c>
      <c r="Z199" s="364">
        <v>512935027</v>
      </c>
      <c r="AA199" s="18">
        <f t="shared" si="174"/>
        <v>5707151692</v>
      </c>
      <c r="AB199" s="19">
        <f>MAYO!AD199</f>
        <v>3981064793</v>
      </c>
      <c r="AC199" s="364">
        <v>526086899</v>
      </c>
      <c r="AD199" s="18">
        <f t="shared" si="175"/>
        <v>4507151692</v>
      </c>
      <c r="AE199" s="19">
        <f>MAYO!AG199</f>
        <v>1356187108</v>
      </c>
      <c r="AF199" s="364">
        <v>406179343</v>
      </c>
      <c r="AG199" s="18">
        <f t="shared" si="176"/>
        <v>1762366451</v>
      </c>
      <c r="AH199" s="19">
        <f t="shared" si="177"/>
        <v>310292667</v>
      </c>
      <c r="AI199" s="15">
        <f t="shared" si="178"/>
        <v>1510292667</v>
      </c>
      <c r="AJ199" s="16">
        <f t="shared" si="179"/>
        <v>4255077908</v>
      </c>
      <c r="AK199" s="9"/>
      <c r="AL199" s="362">
        <v>295000000</v>
      </c>
      <c r="AM199" s="365">
        <v>0</v>
      </c>
      <c r="AN199" s="9"/>
    </row>
    <row r="200" spans="1:40" s="372" customFormat="1" ht="24.95" customHeight="1">
      <c r="A200" s="734"/>
      <c r="B200" s="644"/>
      <c r="N200" s="9"/>
      <c r="P200" s="9"/>
      <c r="Q200" s="9"/>
      <c r="R200" s="9"/>
      <c r="S200" s="689" t="str">
        <f>+IF(MAYO!S200=0,"",MAYO!S200)</f>
        <v>4100100-3</v>
      </c>
      <c r="T200" s="665" t="str">
        <f>+IF(MAYO!T200=0,"",MAYO!T200)</f>
        <v>Material de Laboratorio</v>
      </c>
      <c r="U200" s="27">
        <f>+ENERO!U200</f>
        <v>840000000</v>
      </c>
      <c r="V200" s="15">
        <f>MAYO!V200+JUNIO!AL200</f>
        <v>0</v>
      </c>
      <c r="W200" s="15">
        <f>MAYO!W200+JUNIO!AM200</f>
        <v>0</v>
      </c>
      <c r="X200" s="18">
        <f t="shared" si="173"/>
        <v>840000000</v>
      </c>
      <c r="Y200" s="19">
        <f>MAYO!AA200</f>
        <v>349305346</v>
      </c>
      <c r="Z200" s="364">
        <v>49432918</v>
      </c>
      <c r="AA200" s="18">
        <f t="shared" si="174"/>
        <v>398738264</v>
      </c>
      <c r="AB200" s="19">
        <f>MAYO!AD200</f>
        <v>334903136</v>
      </c>
      <c r="AC200" s="364">
        <v>63834732</v>
      </c>
      <c r="AD200" s="18">
        <f t="shared" si="175"/>
        <v>398737868</v>
      </c>
      <c r="AE200" s="19">
        <f>MAYO!AG200</f>
        <v>50621559</v>
      </c>
      <c r="AF200" s="364">
        <v>53444344</v>
      </c>
      <c r="AG200" s="18">
        <f t="shared" si="176"/>
        <v>104065903</v>
      </c>
      <c r="AH200" s="19">
        <f t="shared" si="177"/>
        <v>441261736</v>
      </c>
      <c r="AI200" s="15">
        <f t="shared" si="178"/>
        <v>441262132</v>
      </c>
      <c r="AJ200" s="16">
        <f t="shared" si="179"/>
        <v>735934097</v>
      </c>
      <c r="AK200" s="9"/>
      <c r="AL200" s="362">
        <v>0</v>
      </c>
      <c r="AM200" s="365">
        <v>0</v>
      </c>
      <c r="AN200" s="9"/>
    </row>
    <row r="201" spans="1:40" s="372" customFormat="1" ht="24.95" customHeight="1">
      <c r="A201" s="734"/>
      <c r="B201" s="644"/>
      <c r="N201" s="9"/>
      <c r="P201" s="9"/>
      <c r="Q201" s="9"/>
      <c r="R201" s="9"/>
      <c r="S201" s="689" t="str">
        <f>+IF(MAYO!S201=0,"",MAYO!S201)</f>
        <v>4100100-4</v>
      </c>
      <c r="T201" s="665" t="str">
        <f>+IF(MAYO!T201=0,"",MAYO!T201)</f>
        <v>Material para Odontologia</v>
      </c>
      <c r="U201" s="27">
        <f>+ENERO!U201</f>
        <v>0</v>
      </c>
      <c r="V201" s="15">
        <f>MAYO!V201+JUNIO!AL201</f>
        <v>0</v>
      </c>
      <c r="W201" s="15">
        <f>MAYO!W201+JUNIO!AM201</f>
        <v>0</v>
      </c>
      <c r="X201" s="18">
        <f t="shared" si="173"/>
        <v>0</v>
      </c>
      <c r="Y201" s="19">
        <f>MAYO!AA201</f>
        <v>0</v>
      </c>
      <c r="Z201" s="364">
        <v>0</v>
      </c>
      <c r="AA201" s="18">
        <f t="shared" si="174"/>
        <v>0</v>
      </c>
      <c r="AB201" s="19">
        <f>MAYO!AD201</f>
        <v>0</v>
      </c>
      <c r="AC201" s="364">
        <v>0</v>
      </c>
      <c r="AD201" s="18">
        <f t="shared" si="175"/>
        <v>0</v>
      </c>
      <c r="AE201" s="19">
        <f>MAYO!AG201</f>
        <v>0</v>
      </c>
      <c r="AF201" s="364">
        <v>0</v>
      </c>
      <c r="AG201" s="18">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N202" s="9"/>
      <c r="P202" s="9"/>
      <c r="Q202" s="9"/>
      <c r="R202" s="9"/>
      <c r="S202" s="689" t="str">
        <f>+IF(MAYO!S202=0,"",MAYO!S202)</f>
        <v>4100100-5</v>
      </c>
      <c r="T202" s="665" t="str">
        <f>+IF(MAYO!T202=0,"",MAYO!T202)</f>
        <v>Material para Rayos X</v>
      </c>
      <c r="U202" s="27">
        <f>+ENERO!U202</f>
        <v>0</v>
      </c>
      <c r="V202" s="15">
        <f>MAYO!V202+JUNIO!AL202</f>
        <v>0</v>
      </c>
      <c r="W202" s="15">
        <f>MAYO!W202+JUNIO!AM202</f>
        <v>0</v>
      </c>
      <c r="X202" s="18">
        <f t="shared" si="173"/>
        <v>0</v>
      </c>
      <c r="Y202" s="19">
        <f>MAYO!AA202</f>
        <v>0</v>
      </c>
      <c r="Z202" s="364">
        <v>0</v>
      </c>
      <c r="AA202" s="18">
        <f t="shared" si="174"/>
        <v>0</v>
      </c>
      <c r="AB202" s="19">
        <f>MAYO!AD202</f>
        <v>0</v>
      </c>
      <c r="AC202" s="364">
        <v>0</v>
      </c>
      <c r="AD202" s="18">
        <f t="shared" si="175"/>
        <v>0</v>
      </c>
      <c r="AE202" s="19">
        <f>MAYO!AG202</f>
        <v>0</v>
      </c>
      <c r="AF202" s="364">
        <v>0</v>
      </c>
      <c r="AG202" s="18">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N203" s="9"/>
      <c r="P203" s="9"/>
      <c r="Q203" s="9"/>
      <c r="R203" s="9"/>
      <c r="S203" s="689" t="str">
        <f>+IF(MAYO!S203=0,"",MAYO!S203)</f>
        <v>4100100-6</v>
      </c>
      <c r="T203" s="665" t="str">
        <f>+IF(MAYO!T203=0,"",MAYO!T203)</f>
        <v/>
      </c>
      <c r="U203" s="27">
        <f>+ENERO!U203</f>
        <v>0</v>
      </c>
      <c r="V203" s="15">
        <f>MAYO!V203+JUNIO!AL203</f>
        <v>0</v>
      </c>
      <c r="W203" s="15">
        <f>MAYO!W203+JUNIO!AM203</f>
        <v>0</v>
      </c>
      <c r="X203" s="18">
        <f t="shared" si="173"/>
        <v>0</v>
      </c>
      <c r="Y203" s="19">
        <f>MAYO!AA203</f>
        <v>0</v>
      </c>
      <c r="Z203" s="364">
        <v>0</v>
      </c>
      <c r="AA203" s="18">
        <f t="shared" si="174"/>
        <v>0</v>
      </c>
      <c r="AB203" s="19">
        <f>MAYO!AD203</f>
        <v>0</v>
      </c>
      <c r="AC203" s="364">
        <v>0</v>
      </c>
      <c r="AD203" s="18">
        <f t="shared" si="175"/>
        <v>0</v>
      </c>
      <c r="AE203" s="19">
        <f>MAYO!AG203</f>
        <v>0</v>
      </c>
      <c r="AF203" s="364">
        <v>0</v>
      </c>
      <c r="AG203" s="18">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N204" s="9"/>
      <c r="P204" s="9"/>
      <c r="Q204" s="9"/>
      <c r="R204" s="9"/>
      <c r="S204" s="689" t="str">
        <f>+IF(MAYO!S204=0,"",MAYO!S204)</f>
        <v>4100100-7</v>
      </c>
      <c r="T204" s="665" t="str">
        <f>+IF(MAYO!T204=0,"",MAYO!T204)</f>
        <v/>
      </c>
      <c r="U204" s="27">
        <f>+ENERO!U204</f>
        <v>0</v>
      </c>
      <c r="V204" s="15">
        <f>MAYO!V204+JUNIO!AL204</f>
        <v>0</v>
      </c>
      <c r="W204" s="15">
        <f>MAYO!W204+JUNIO!AM204</f>
        <v>0</v>
      </c>
      <c r="X204" s="18">
        <f t="shared" si="173"/>
        <v>0</v>
      </c>
      <c r="Y204" s="19">
        <f>MAYO!AA204</f>
        <v>0</v>
      </c>
      <c r="Z204" s="364">
        <v>0</v>
      </c>
      <c r="AA204" s="18">
        <f t="shared" si="174"/>
        <v>0</v>
      </c>
      <c r="AB204" s="19">
        <f>MAYO!AD204</f>
        <v>0</v>
      </c>
      <c r="AC204" s="364">
        <v>0</v>
      </c>
      <c r="AD204" s="18">
        <f t="shared" si="175"/>
        <v>0</v>
      </c>
      <c r="AE204" s="19">
        <f>MAYO!AG204</f>
        <v>0</v>
      </c>
      <c r="AF204" s="364">
        <v>0</v>
      </c>
      <c r="AG204" s="18">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N205" s="9"/>
      <c r="P205" s="9"/>
      <c r="Q205" s="9"/>
      <c r="R205" s="9"/>
      <c r="S205" s="688">
        <f>+IF(MAYO!S205=0,"",MAYO!S205)</f>
        <v>4100200</v>
      </c>
      <c r="T205" s="664" t="str">
        <f>+IF(MAYO!T205=0,"",MAYO!T205)</f>
        <v>Gastos Complementarios e Intermedios</v>
      </c>
      <c r="U205" s="27">
        <f t="shared" ref="U205:AJ205" si="180">U206</f>
        <v>1200000000</v>
      </c>
      <c r="V205" s="15">
        <f t="shared" si="180"/>
        <v>0</v>
      </c>
      <c r="W205" s="15">
        <f t="shared" si="180"/>
        <v>0</v>
      </c>
      <c r="X205" s="18">
        <f t="shared" si="180"/>
        <v>1200000000</v>
      </c>
      <c r="Y205" s="19">
        <f t="shared" si="180"/>
        <v>1151703890</v>
      </c>
      <c r="Z205" s="142">
        <f t="shared" si="180"/>
        <v>0</v>
      </c>
      <c r="AA205" s="18">
        <f t="shared" si="180"/>
        <v>1151703890</v>
      </c>
      <c r="AB205" s="19">
        <f t="shared" si="180"/>
        <v>376411481</v>
      </c>
      <c r="AC205" s="142">
        <f t="shared" si="180"/>
        <v>185986735</v>
      </c>
      <c r="AD205" s="18">
        <f t="shared" si="180"/>
        <v>562398216</v>
      </c>
      <c r="AE205" s="19">
        <f t="shared" si="180"/>
        <v>376411481</v>
      </c>
      <c r="AF205" s="142">
        <f t="shared" si="180"/>
        <v>0</v>
      </c>
      <c r="AG205" s="18">
        <f t="shared" si="180"/>
        <v>376411481</v>
      </c>
      <c r="AH205" s="19">
        <f t="shared" si="180"/>
        <v>48296110</v>
      </c>
      <c r="AI205" s="15">
        <f t="shared" si="180"/>
        <v>637601784</v>
      </c>
      <c r="AJ205" s="16">
        <f t="shared" si="180"/>
        <v>823588519</v>
      </c>
      <c r="AK205" s="9"/>
      <c r="AL205" s="29">
        <f>AL206</f>
        <v>0</v>
      </c>
      <c r="AM205" s="26">
        <f>AM206</f>
        <v>0</v>
      </c>
      <c r="AN205" s="9"/>
    </row>
    <row r="206" spans="1:40" s="372" customFormat="1" ht="24.95" customHeight="1">
      <c r="A206" s="734"/>
      <c r="B206" s="644"/>
      <c r="N206" s="9"/>
      <c r="P206" s="9"/>
      <c r="Q206" s="9"/>
      <c r="R206" s="9"/>
      <c r="S206" s="689" t="str">
        <f>+IF(MAYO!S206=0,"",MAYO!S206)</f>
        <v>4100200-1</v>
      </c>
      <c r="T206" s="665" t="str">
        <f>+IF(MAYO!T206=0,"",MAYO!T206)</f>
        <v>Alimentación</v>
      </c>
      <c r="U206" s="27">
        <f>+ENERO!U206</f>
        <v>1200000000</v>
      </c>
      <c r="V206" s="15">
        <f>MAYO!V206+JUNIO!AL206</f>
        <v>0</v>
      </c>
      <c r="W206" s="15">
        <f>MAYO!W206+JUNIO!AM206</f>
        <v>0</v>
      </c>
      <c r="X206" s="18">
        <f>SUM(U206:W206)</f>
        <v>1200000000</v>
      </c>
      <c r="Y206" s="19">
        <f>MAYO!AA206</f>
        <v>1151703890</v>
      </c>
      <c r="Z206" s="364">
        <v>0</v>
      </c>
      <c r="AA206" s="18">
        <f>SUM(Y206:Z206)</f>
        <v>1151703890</v>
      </c>
      <c r="AB206" s="19">
        <f>MAYO!AD206</f>
        <v>376411481</v>
      </c>
      <c r="AC206" s="364">
        <v>185986735</v>
      </c>
      <c r="AD206" s="18">
        <f>SUM(AB206:AC206)</f>
        <v>562398216</v>
      </c>
      <c r="AE206" s="19">
        <f>MAYO!AG206</f>
        <v>376411481</v>
      </c>
      <c r="AF206" s="364">
        <v>0</v>
      </c>
      <c r="AG206" s="18">
        <f>SUM(AE206:AF206)</f>
        <v>376411481</v>
      </c>
      <c r="AH206" s="19">
        <f>X206-AA206</f>
        <v>48296110</v>
      </c>
      <c r="AI206" s="15">
        <f>X206-AD206</f>
        <v>637601784</v>
      </c>
      <c r="AJ206" s="16">
        <f>X206-AG206</f>
        <v>823588519</v>
      </c>
      <c r="AK206" s="9"/>
      <c r="AL206" s="362">
        <v>0</v>
      </c>
      <c r="AM206" s="365">
        <v>0</v>
      </c>
      <c r="AN206" s="9"/>
    </row>
    <row r="207" spans="1:40" s="372" customFormat="1" ht="24.95" customHeight="1" thickBot="1">
      <c r="A207" s="734"/>
      <c r="B207" s="644"/>
      <c r="N207" s="9"/>
      <c r="P207" s="9"/>
      <c r="Q207" s="9"/>
      <c r="R207" s="9"/>
      <c r="S207" s="691">
        <f>+IF(MAYO!S207=0,"",MAYO!S207)</f>
        <v>4199999</v>
      </c>
      <c r="T207" s="670" t="str">
        <f>+IF(MAYO!T207=0,"",MAYO!T207)</f>
        <v>Vigencias Anteriores</v>
      </c>
      <c r="U207" s="133">
        <f>+ENERO!U207</f>
        <v>998630863</v>
      </c>
      <c r="V207" s="121">
        <f>MAYO!V207+JUNIO!AL207</f>
        <v>10000000</v>
      </c>
      <c r="W207" s="121">
        <f>MAYO!W207+JUNIO!AM207</f>
        <v>4337873994</v>
      </c>
      <c r="X207" s="126">
        <f>SUM(U207:W207)</f>
        <v>5346504857</v>
      </c>
      <c r="Y207" s="124">
        <f>MAYO!AA207</f>
        <v>5159000364</v>
      </c>
      <c r="Z207" s="378">
        <v>111813595</v>
      </c>
      <c r="AA207" s="126">
        <f>SUM(Y207:Z207)</f>
        <v>5270813959</v>
      </c>
      <c r="AB207" s="124">
        <f>MAYO!AD207</f>
        <v>5159000364</v>
      </c>
      <c r="AC207" s="378">
        <v>111813595</v>
      </c>
      <c r="AD207" s="126">
        <f>SUM(AB207:AC207)</f>
        <v>5270813959</v>
      </c>
      <c r="AE207" s="124">
        <f>MAYO!AG207</f>
        <v>5159000364</v>
      </c>
      <c r="AF207" s="378">
        <v>111813595</v>
      </c>
      <c r="AG207" s="126">
        <f>SUM(AE207:AF207)</f>
        <v>5270813959</v>
      </c>
      <c r="AH207" s="124">
        <f>X207-AA207</f>
        <v>75690898</v>
      </c>
      <c r="AI207" s="121">
        <f>X207-AD207</f>
        <v>75690898</v>
      </c>
      <c r="AJ207" s="125">
        <f>X207-AG207</f>
        <v>75690898</v>
      </c>
      <c r="AK207" s="9"/>
      <c r="AL207" s="374">
        <v>0</v>
      </c>
      <c r="AM207" s="379">
        <v>0</v>
      </c>
      <c r="AN207" s="9"/>
    </row>
    <row r="208" spans="1:40" s="372" customFormat="1" ht="24.95" customHeight="1">
      <c r="A208" s="734"/>
      <c r="B208" s="644"/>
      <c r="N208" s="9"/>
      <c r="P208" s="9"/>
      <c r="Q208" s="9"/>
      <c r="R208" s="9"/>
      <c r="S208" s="479" t="str">
        <f>+IF(MAYO!S208=0,"",MAYO!S208)</f>
        <v/>
      </c>
      <c r="T208" s="671" t="str">
        <f>+IF(MAYO!T208=0,"",MAYO!T208)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+IF(MAYO!S209=0,"",MAYO!S209)</f>
        <v>5000000</v>
      </c>
      <c r="T209" s="708" t="str">
        <f>+IF(MAYO!T209=0,"",MAYO!T209)</f>
        <v>GASTOS DE COMERCIALIZACION</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462">
        <f t="shared" si="181"/>
        <v>0</v>
      </c>
      <c r="AE209" s="369">
        <f t="shared" si="181"/>
        <v>0</v>
      </c>
      <c r="AF209" s="461">
        <f t="shared" si="181"/>
        <v>0</v>
      </c>
      <c r="AG209" s="462">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N210" s="9"/>
      <c r="P210" s="9"/>
      <c r="Q210" s="9"/>
      <c r="R210" s="9"/>
      <c r="S210" s="687">
        <f>+IF(MAYO!S210=0,"",MAYO!S210)</f>
        <v>5100000</v>
      </c>
      <c r="T210" s="663" t="str">
        <f>+IF(MAYO!T210=0,"",MAYO!T210)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29">
        <f t="shared" si="182"/>
        <v>0</v>
      </c>
      <c r="AE210" s="128">
        <f t="shared" si="182"/>
        <v>0</v>
      </c>
      <c r="AF210" s="122">
        <f t="shared" si="182"/>
        <v>0</v>
      </c>
      <c r="AG210" s="129">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N211" s="9"/>
      <c r="P211" s="9"/>
      <c r="Q211" s="9"/>
      <c r="R211" s="9"/>
      <c r="S211" s="688">
        <f>+IF(MAYO!S211=0,"",MAYO!S211)</f>
        <v>5100100</v>
      </c>
      <c r="T211" s="664" t="str">
        <f>+IF(MAYO!T211=0,"",MAYO!T211)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8">
        <f t="shared" si="183"/>
        <v>0</v>
      </c>
      <c r="AE211" s="19">
        <f t="shared" si="183"/>
        <v>0</v>
      </c>
      <c r="AF211" s="142">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N212" s="9"/>
      <c r="P212" s="9"/>
      <c r="Q212" s="9"/>
      <c r="R212" s="9"/>
      <c r="S212" s="689" t="str">
        <f>+IF(MAYO!S212=0,"",MAYO!S212)</f>
        <v>5100100-1</v>
      </c>
      <c r="T212" s="665" t="str">
        <f>+IF(MAYO!T212=0,"",MAYO!T212)</f>
        <v>Productos Farmaceuticos</v>
      </c>
      <c r="U212" s="27">
        <f>+ENERO!U212</f>
        <v>0</v>
      </c>
      <c r="V212" s="15">
        <f>MAYO!V212+JUNIO!AL212</f>
        <v>0</v>
      </c>
      <c r="W212" s="15">
        <f>MAYO!W212+JUNIO!AM212</f>
        <v>0</v>
      </c>
      <c r="X212" s="18">
        <f t="shared" ref="X212:X218" si="184">SUM(U212:W212)</f>
        <v>0</v>
      </c>
      <c r="Y212" s="19">
        <f>MAYO!AA212</f>
        <v>0</v>
      </c>
      <c r="Z212" s="364">
        <v>0</v>
      </c>
      <c r="AA212" s="18">
        <f t="shared" ref="AA212:AA218" si="185">SUM(Y212:Z212)</f>
        <v>0</v>
      </c>
      <c r="AB212" s="19">
        <f>MAYO!AD212</f>
        <v>0</v>
      </c>
      <c r="AC212" s="364">
        <v>0</v>
      </c>
      <c r="AD212" s="18">
        <f t="shared" ref="AD212:AD218" si="186">SUM(AB212:AC212)</f>
        <v>0</v>
      </c>
      <c r="AE212" s="19">
        <f>MAYO!AG212</f>
        <v>0</v>
      </c>
      <c r="AF212" s="364">
        <v>0</v>
      </c>
      <c r="AG212" s="1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N213" s="9"/>
      <c r="P213" s="9"/>
      <c r="Q213" s="9"/>
      <c r="R213" s="9"/>
      <c r="S213" s="689" t="str">
        <f>+IF(MAYO!S213=0,"",MAYO!S213)</f>
        <v>5100100-2</v>
      </c>
      <c r="T213" s="665" t="str">
        <f>+IF(MAYO!T213=0,"",MAYO!T213)</f>
        <v>Material Médico Quirúrgico</v>
      </c>
      <c r="U213" s="27">
        <f>+ENERO!U213</f>
        <v>0</v>
      </c>
      <c r="V213" s="15">
        <f>MAYO!V213+JUNIO!AL213</f>
        <v>0</v>
      </c>
      <c r="W213" s="15">
        <f>MAYO!W213+JUNIO!AM213</f>
        <v>0</v>
      </c>
      <c r="X213" s="18">
        <f t="shared" si="184"/>
        <v>0</v>
      </c>
      <c r="Y213" s="19">
        <f>MAYO!AA213</f>
        <v>0</v>
      </c>
      <c r="Z213" s="364">
        <v>0</v>
      </c>
      <c r="AA213" s="18">
        <f t="shared" si="185"/>
        <v>0</v>
      </c>
      <c r="AB213" s="19">
        <f>MAYO!AD213</f>
        <v>0</v>
      </c>
      <c r="AC213" s="364">
        <v>0</v>
      </c>
      <c r="AD213" s="18">
        <f t="shared" si="186"/>
        <v>0</v>
      </c>
      <c r="AE213" s="19">
        <f>MAYO!AG213</f>
        <v>0</v>
      </c>
      <c r="AF213" s="364">
        <v>0</v>
      </c>
      <c r="AG213" s="18">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N214" s="9"/>
      <c r="P214" s="9"/>
      <c r="Q214" s="9"/>
      <c r="R214" s="9"/>
      <c r="S214" s="689" t="str">
        <f>+IF(MAYO!S214=0,"",MAYO!S214)</f>
        <v>5100100-3</v>
      </c>
      <c r="T214" s="665" t="str">
        <f>+IF(MAYO!T214=0,"",MAYO!T214)</f>
        <v>Material de Laboratorio</v>
      </c>
      <c r="U214" s="27">
        <f>+ENERO!U214</f>
        <v>0</v>
      </c>
      <c r="V214" s="15">
        <f>MAYO!V214+JUNIO!AL214</f>
        <v>0</v>
      </c>
      <c r="W214" s="15">
        <f>MAYO!W214+JUNIO!AM214</f>
        <v>0</v>
      </c>
      <c r="X214" s="18">
        <f t="shared" si="184"/>
        <v>0</v>
      </c>
      <c r="Y214" s="19">
        <f>MAYO!AA214</f>
        <v>0</v>
      </c>
      <c r="Z214" s="364">
        <v>0</v>
      </c>
      <c r="AA214" s="18">
        <f t="shared" si="185"/>
        <v>0</v>
      </c>
      <c r="AB214" s="19">
        <f>MAYO!AD214</f>
        <v>0</v>
      </c>
      <c r="AC214" s="364">
        <v>0</v>
      </c>
      <c r="AD214" s="18">
        <f t="shared" si="186"/>
        <v>0</v>
      </c>
      <c r="AE214" s="19">
        <f>MAYO!AG214</f>
        <v>0</v>
      </c>
      <c r="AF214" s="364">
        <v>0</v>
      </c>
      <c r="AG214" s="18">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N215" s="9"/>
      <c r="P215" s="9"/>
      <c r="Q215" s="9"/>
      <c r="R215" s="9"/>
      <c r="S215" s="689" t="str">
        <f>+IF(MAYO!S215=0,"",MAYO!S215)</f>
        <v>5100100-4</v>
      </c>
      <c r="T215" s="665" t="str">
        <f>+IF(MAYO!T215=0,"",MAYO!T215)</f>
        <v>Material para Odontologia</v>
      </c>
      <c r="U215" s="27">
        <f>+ENERO!U215</f>
        <v>0</v>
      </c>
      <c r="V215" s="15">
        <f>MAYO!V215+JUNIO!AL215</f>
        <v>0</v>
      </c>
      <c r="W215" s="15">
        <f>MAYO!W215+JUNIO!AM215</f>
        <v>0</v>
      </c>
      <c r="X215" s="18">
        <f t="shared" si="184"/>
        <v>0</v>
      </c>
      <c r="Y215" s="19">
        <f>MAYO!AA215</f>
        <v>0</v>
      </c>
      <c r="Z215" s="364">
        <v>0</v>
      </c>
      <c r="AA215" s="18">
        <f t="shared" si="185"/>
        <v>0</v>
      </c>
      <c r="AB215" s="19">
        <f>MAYO!AD215</f>
        <v>0</v>
      </c>
      <c r="AC215" s="364">
        <v>0</v>
      </c>
      <c r="AD215" s="18">
        <f t="shared" si="186"/>
        <v>0</v>
      </c>
      <c r="AE215" s="19">
        <f>MAYO!AG215</f>
        <v>0</v>
      </c>
      <c r="AF215" s="364">
        <v>0</v>
      </c>
      <c r="AG215" s="18">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N216" s="9"/>
      <c r="P216" s="9"/>
      <c r="Q216" s="9"/>
      <c r="R216" s="9"/>
      <c r="S216" s="689" t="str">
        <f>+IF(MAYO!S216=0,"",MAYO!S216)</f>
        <v>5100100-5</v>
      </c>
      <c r="T216" s="665" t="str">
        <f>+IF(MAYO!T216=0,"",MAYO!T216)</f>
        <v>Material para Rayos X</v>
      </c>
      <c r="U216" s="27">
        <f>+ENERO!U216</f>
        <v>0</v>
      </c>
      <c r="V216" s="15">
        <f>MAYO!V216+JUNIO!AL216</f>
        <v>0</v>
      </c>
      <c r="W216" s="15">
        <f>MAYO!W216+JUNIO!AM216</f>
        <v>0</v>
      </c>
      <c r="X216" s="18">
        <f t="shared" si="184"/>
        <v>0</v>
      </c>
      <c r="Y216" s="19">
        <f>MAYO!AA216</f>
        <v>0</v>
      </c>
      <c r="Z216" s="364">
        <v>0</v>
      </c>
      <c r="AA216" s="18">
        <f t="shared" si="185"/>
        <v>0</v>
      </c>
      <c r="AB216" s="19">
        <f>MAYO!AD216</f>
        <v>0</v>
      </c>
      <c r="AC216" s="364">
        <v>0</v>
      </c>
      <c r="AD216" s="18">
        <f t="shared" si="186"/>
        <v>0</v>
      </c>
      <c r="AE216" s="19">
        <f>MAYO!AG216</f>
        <v>0</v>
      </c>
      <c r="AF216" s="364">
        <v>0</v>
      </c>
      <c r="AG216" s="18">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N217" s="9"/>
      <c r="P217" s="9"/>
      <c r="Q217" s="9"/>
      <c r="R217" s="9"/>
      <c r="S217" s="689" t="str">
        <f>+IF(MAYO!S217=0,"",MAYO!S217)</f>
        <v>5100100-6</v>
      </c>
      <c r="T217" s="665" t="str">
        <f>+IF(MAYO!T217=0,"",MAYO!T217)</f>
        <v>Material aseo personal, etc.</v>
      </c>
      <c r="U217" s="27">
        <f>+ENERO!U217</f>
        <v>0</v>
      </c>
      <c r="V217" s="15">
        <f>MAYO!V217+JUNIO!AL217</f>
        <v>0</v>
      </c>
      <c r="W217" s="15">
        <f>MAYO!W217+JUNIO!AM217</f>
        <v>0</v>
      </c>
      <c r="X217" s="18">
        <f t="shared" si="184"/>
        <v>0</v>
      </c>
      <c r="Y217" s="19">
        <f>MAYO!AA217</f>
        <v>0</v>
      </c>
      <c r="Z217" s="364">
        <v>0</v>
      </c>
      <c r="AA217" s="18">
        <f t="shared" si="185"/>
        <v>0</v>
      </c>
      <c r="AB217" s="19">
        <f>MAYO!AD217</f>
        <v>0</v>
      </c>
      <c r="AC217" s="364">
        <v>0</v>
      </c>
      <c r="AD217" s="18">
        <f t="shared" si="186"/>
        <v>0</v>
      </c>
      <c r="AE217" s="19">
        <f>MAYO!AG217</f>
        <v>0</v>
      </c>
      <c r="AF217" s="364">
        <v>0</v>
      </c>
      <c r="AG217" s="18">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N218" s="9"/>
      <c r="P218" s="9"/>
      <c r="Q218" s="9"/>
      <c r="R218" s="9"/>
      <c r="S218" s="698">
        <f>+IF(MAYO!S218=0,"",MAYO!S218)</f>
        <v>5199999</v>
      </c>
      <c r="T218" s="680" t="str">
        <f>+IF(MAYO!T218=0,"",MAYO!T218)</f>
        <v>Vigencias Anteriores</v>
      </c>
      <c r="U218" s="133">
        <f>+ENERO!U218</f>
        <v>0</v>
      </c>
      <c r="V218" s="121">
        <f>MAYO!V218+JUNIO!AL218</f>
        <v>0</v>
      </c>
      <c r="W218" s="121">
        <f>MAYO!W218+JUNIO!AM218</f>
        <v>0</v>
      </c>
      <c r="X218" s="126">
        <f t="shared" si="184"/>
        <v>0</v>
      </c>
      <c r="Y218" s="124">
        <f>MAYO!AA218</f>
        <v>0</v>
      </c>
      <c r="Z218" s="378">
        <v>0</v>
      </c>
      <c r="AA218" s="126">
        <f t="shared" si="185"/>
        <v>0</v>
      </c>
      <c r="AB218" s="124">
        <f>MAYO!AD218</f>
        <v>0</v>
      </c>
      <c r="AC218" s="378">
        <v>0</v>
      </c>
      <c r="AD218" s="126">
        <f t="shared" si="186"/>
        <v>0</v>
      </c>
      <c r="AE218" s="124">
        <f>MAYO!AG218</f>
        <v>0</v>
      </c>
      <c r="AF218" s="378">
        <v>0</v>
      </c>
      <c r="AG218" s="126">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N219" s="9"/>
      <c r="P219" s="9"/>
      <c r="Q219" s="9"/>
      <c r="R219" s="9"/>
      <c r="S219" s="485" t="str">
        <f>+IF(MAYO!S219=0,"",MAYO!S219)</f>
        <v/>
      </c>
      <c r="T219" s="677" t="str">
        <f>+IF(MAYO!T219=0,"",MAYO!T219)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+IF(MAYO!S220=0,"",MAYO!S220)</f>
        <v>C</v>
      </c>
      <c r="T220" s="659" t="str">
        <f>+IF(MAYO!T220=0,"",MAYO!T220)</f>
        <v xml:space="preserve">SERVICIO DE LA DEUDA </v>
      </c>
      <c r="U220" s="348">
        <f t="shared" ref="U220:AJ220" si="191">U222+U227</f>
        <v>262344980</v>
      </c>
      <c r="V220" s="349">
        <f t="shared" si="191"/>
        <v>0</v>
      </c>
      <c r="W220" s="349">
        <f t="shared" si="191"/>
        <v>27000000</v>
      </c>
      <c r="X220" s="352">
        <f t="shared" si="191"/>
        <v>289344980</v>
      </c>
      <c r="Y220" s="351">
        <f t="shared" si="191"/>
        <v>155649569</v>
      </c>
      <c r="Z220" s="349">
        <f t="shared" si="191"/>
        <v>25525562</v>
      </c>
      <c r="AA220" s="352">
        <f t="shared" si="191"/>
        <v>181175131</v>
      </c>
      <c r="AB220" s="351">
        <f t="shared" si="191"/>
        <v>155649569</v>
      </c>
      <c r="AC220" s="349">
        <f t="shared" si="191"/>
        <v>25525562</v>
      </c>
      <c r="AD220" s="352">
        <f t="shared" si="191"/>
        <v>181175131</v>
      </c>
      <c r="AE220" s="351">
        <f t="shared" si="191"/>
        <v>130064037</v>
      </c>
      <c r="AF220" s="349">
        <f t="shared" si="191"/>
        <v>25585532</v>
      </c>
      <c r="AG220" s="352">
        <f t="shared" si="191"/>
        <v>155649569</v>
      </c>
      <c r="AH220" s="351">
        <f t="shared" si="191"/>
        <v>108169849</v>
      </c>
      <c r="AI220" s="349">
        <f t="shared" si="191"/>
        <v>108169849</v>
      </c>
      <c r="AJ220" s="350">
        <f t="shared" si="191"/>
        <v>133695411</v>
      </c>
      <c r="AK220" s="490"/>
      <c r="AL220" s="351">
        <f>AL222+AL227</f>
        <v>0</v>
      </c>
      <c r="AM220" s="350">
        <f>AM222+AM227</f>
        <v>0</v>
      </c>
      <c r="AN220" s="9"/>
    </row>
    <row r="221" spans="1:40" s="372" customFormat="1" ht="24.95" customHeight="1">
      <c r="A221" s="734"/>
      <c r="B221" s="644"/>
      <c r="N221" s="9"/>
      <c r="P221" s="9"/>
      <c r="Q221" s="9"/>
      <c r="R221" s="9"/>
      <c r="S221" s="356" t="str">
        <f>+IF(MAYO!S221=0,"",MAYO!S221)</f>
        <v/>
      </c>
      <c r="T221" s="678" t="str">
        <f>+IF(MAYO!T221=0,"",MAYO!T221)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+IF(MAYO!S222=0,"",MAYO!S222)</f>
        <v>7001000</v>
      </c>
      <c r="T222" s="663" t="str">
        <f>+IF(MAYO!T222=0,"",MAYO!T222)</f>
        <v>SERVICIO DE LA DEUDA INTERNA</v>
      </c>
      <c r="U222" s="132">
        <f t="shared" ref="U222:AJ222" si="192">SUM(U223:U225)</f>
        <v>262344980</v>
      </c>
      <c r="V222" s="122">
        <f t="shared" si="192"/>
        <v>0</v>
      </c>
      <c r="W222" s="122">
        <f t="shared" si="192"/>
        <v>27000000</v>
      </c>
      <c r="X222" s="129">
        <f t="shared" si="192"/>
        <v>289344980</v>
      </c>
      <c r="Y222" s="128">
        <f t="shared" si="192"/>
        <v>155649569</v>
      </c>
      <c r="Z222" s="122">
        <f t="shared" si="192"/>
        <v>25525562</v>
      </c>
      <c r="AA222" s="129">
        <f t="shared" si="192"/>
        <v>181175131</v>
      </c>
      <c r="AB222" s="128">
        <f t="shared" si="192"/>
        <v>155649569</v>
      </c>
      <c r="AC222" s="122">
        <f t="shared" si="192"/>
        <v>25525562</v>
      </c>
      <c r="AD222" s="129">
        <f t="shared" si="192"/>
        <v>181175131</v>
      </c>
      <c r="AE222" s="128">
        <f t="shared" si="192"/>
        <v>130064037</v>
      </c>
      <c r="AF222" s="122">
        <f t="shared" si="192"/>
        <v>25585532</v>
      </c>
      <c r="AG222" s="129">
        <f t="shared" si="192"/>
        <v>155649569</v>
      </c>
      <c r="AH222" s="128">
        <f t="shared" si="192"/>
        <v>108169849</v>
      </c>
      <c r="AI222" s="122">
        <f t="shared" si="192"/>
        <v>108169849</v>
      </c>
      <c r="AJ222" s="130">
        <f t="shared" si="192"/>
        <v>133695411</v>
      </c>
      <c r="AK222" s="9"/>
      <c r="AL222" s="128">
        <f>SUM(AL223:AL225)</f>
        <v>0</v>
      </c>
      <c r="AM222" s="130">
        <f>SUM(AM223:AM225)</f>
        <v>0</v>
      </c>
      <c r="AN222" s="9"/>
    </row>
    <row r="223" spans="1:40" s="372" customFormat="1" ht="24.95" customHeight="1">
      <c r="A223" s="734"/>
      <c r="B223" s="644"/>
      <c r="N223" s="9"/>
      <c r="P223" s="9"/>
      <c r="Q223" s="9"/>
      <c r="R223" s="9"/>
      <c r="S223" s="688">
        <f>+IF(MAYO!S223=0,"",MAYO!S223)</f>
        <v>7001100</v>
      </c>
      <c r="T223" s="664" t="str">
        <f>+IF(MAYO!T223=0,"",MAYO!T223)</f>
        <v>Amortización deuda Pública Interna</v>
      </c>
      <c r="U223" s="27">
        <f>+ENERO!U223</f>
        <v>250000000</v>
      </c>
      <c r="V223" s="15">
        <f>MAYO!V223+JUNIO!AL223</f>
        <v>0</v>
      </c>
      <c r="W223" s="15">
        <f>MAYO!W223+JUNIO!AM223</f>
        <v>0</v>
      </c>
      <c r="X223" s="18">
        <f>SUM(U223:W223)</f>
        <v>250000000</v>
      </c>
      <c r="Y223" s="19">
        <f>MAYO!AA223</f>
        <v>125000000</v>
      </c>
      <c r="Z223" s="364">
        <v>25000000</v>
      </c>
      <c r="AA223" s="18">
        <f>SUM(Y223:Z223)</f>
        <v>150000000</v>
      </c>
      <c r="AB223" s="19">
        <f>MAYO!AD223</f>
        <v>125000000</v>
      </c>
      <c r="AC223" s="364">
        <v>25000000</v>
      </c>
      <c r="AD223" s="18">
        <f>SUM(AB223:AC223)</f>
        <v>150000000</v>
      </c>
      <c r="AE223" s="19">
        <f>MAYO!AG223</f>
        <v>100000000</v>
      </c>
      <c r="AF223" s="364">
        <v>25000000</v>
      </c>
      <c r="AG223" s="18">
        <f>SUM(AE223:AF223)</f>
        <v>125000000</v>
      </c>
      <c r="AH223" s="19">
        <f>X223-AA223</f>
        <v>100000000</v>
      </c>
      <c r="AI223" s="15">
        <f>X223-AD223</f>
        <v>100000000</v>
      </c>
      <c r="AJ223" s="16">
        <f>X223-AG223</f>
        <v>125000000</v>
      </c>
      <c r="AK223" s="9"/>
      <c r="AL223" s="362">
        <v>0</v>
      </c>
      <c r="AM223" s="365">
        <v>0</v>
      </c>
      <c r="AN223" s="9"/>
    </row>
    <row r="224" spans="1:40" s="372" customFormat="1" ht="24.95" customHeight="1">
      <c r="A224" s="734"/>
      <c r="B224" s="644"/>
      <c r="N224" s="9"/>
      <c r="P224" s="9"/>
      <c r="Q224" s="9"/>
      <c r="R224" s="9"/>
      <c r="S224" s="688">
        <f>+IF(MAYO!S224=0,"",MAYO!S224)</f>
        <v>7001200</v>
      </c>
      <c r="T224" s="664" t="str">
        <f>+IF(MAYO!T224=0,"",MAYO!T224)</f>
        <v>Intereses Comisiones y gastos de la Deuda Pública</v>
      </c>
      <c r="U224" s="27">
        <f>+ENERO!U224</f>
        <v>12344980</v>
      </c>
      <c r="V224" s="15">
        <f>MAYO!V224+JUNIO!AL224</f>
        <v>0</v>
      </c>
      <c r="W224" s="15">
        <f>MAYO!W224+JUNIO!AM224</f>
        <v>0</v>
      </c>
      <c r="X224" s="18">
        <f>SUM(U224:W224)</f>
        <v>12344980</v>
      </c>
      <c r="Y224" s="19">
        <f>MAYO!AA224</f>
        <v>4376915</v>
      </c>
      <c r="Z224" s="364">
        <v>525562</v>
      </c>
      <c r="AA224" s="18">
        <f>SUM(Y224:Z224)</f>
        <v>4902477</v>
      </c>
      <c r="AB224" s="19">
        <f>MAYO!AD224</f>
        <v>4376915</v>
      </c>
      <c r="AC224" s="364">
        <v>525562</v>
      </c>
      <c r="AD224" s="18">
        <f>SUM(AB224:AC224)</f>
        <v>4902477</v>
      </c>
      <c r="AE224" s="19">
        <f>MAYO!AG224</f>
        <v>3791383</v>
      </c>
      <c r="AF224" s="364">
        <v>585532</v>
      </c>
      <c r="AG224" s="18">
        <f>SUM(AE224:AF224)</f>
        <v>4376915</v>
      </c>
      <c r="AH224" s="19">
        <f>X224-AA224</f>
        <v>7442503</v>
      </c>
      <c r="AI224" s="15">
        <f>X224-AD224</f>
        <v>7442503</v>
      </c>
      <c r="AJ224" s="16">
        <f>X224-AG224</f>
        <v>7968065</v>
      </c>
      <c r="AK224" s="9"/>
      <c r="AL224" s="362">
        <v>0</v>
      </c>
      <c r="AM224" s="365">
        <v>0</v>
      </c>
      <c r="AN224" s="9"/>
    </row>
    <row r="225" spans="1:40" s="372" customFormat="1" ht="24.95" customHeight="1">
      <c r="A225" s="734"/>
      <c r="B225" s="644"/>
      <c r="N225" s="9"/>
      <c r="P225" s="9"/>
      <c r="Q225" s="9"/>
      <c r="R225" s="9"/>
      <c r="S225" s="688">
        <f>+IF(MAYO!S225=0,"",MAYO!S225)</f>
        <v>7001999</v>
      </c>
      <c r="T225" s="664" t="str">
        <f>+IF(MAYO!T225=0,"",MAYO!T225)</f>
        <v>Vigencias Anteriores</v>
      </c>
      <c r="U225" s="27">
        <f>+ENERO!U225</f>
        <v>0</v>
      </c>
      <c r="V225" s="15">
        <f>MAYO!V225+JUNIO!AL225</f>
        <v>0</v>
      </c>
      <c r="W225" s="15">
        <f>MAYO!W225+JUNIO!AM225</f>
        <v>27000000</v>
      </c>
      <c r="X225" s="18">
        <f>SUM(U225:W225)</f>
        <v>27000000</v>
      </c>
      <c r="Y225" s="19">
        <f>MAYO!AA225</f>
        <v>26272654</v>
      </c>
      <c r="Z225" s="364">
        <v>0</v>
      </c>
      <c r="AA225" s="18">
        <f>SUM(Y225:Z225)</f>
        <v>26272654</v>
      </c>
      <c r="AB225" s="19">
        <f>MAYO!AD225</f>
        <v>26272654</v>
      </c>
      <c r="AC225" s="364">
        <v>0</v>
      </c>
      <c r="AD225" s="18">
        <f>SUM(AB225:AC225)</f>
        <v>26272654</v>
      </c>
      <c r="AE225" s="19">
        <f>MAYO!AG225</f>
        <v>26272654</v>
      </c>
      <c r="AF225" s="364">
        <v>0</v>
      </c>
      <c r="AG225" s="18">
        <f>SUM(AE225:AF225)</f>
        <v>26272654</v>
      </c>
      <c r="AH225" s="19">
        <f>X225-AA225</f>
        <v>727346</v>
      </c>
      <c r="AI225" s="15">
        <f>X225-AD225</f>
        <v>727346</v>
      </c>
      <c r="AJ225" s="16">
        <f>X225-AG225</f>
        <v>727346</v>
      </c>
      <c r="AK225" s="9"/>
      <c r="AL225" s="362">
        <v>0</v>
      </c>
      <c r="AM225" s="365">
        <v>0</v>
      </c>
      <c r="AN225" s="9"/>
    </row>
    <row r="226" spans="1:40" s="372" customFormat="1" ht="24.95" customHeight="1">
      <c r="A226" s="734"/>
      <c r="B226" s="644"/>
      <c r="N226" s="9"/>
      <c r="P226" s="9"/>
      <c r="Q226" s="9"/>
      <c r="R226" s="9"/>
      <c r="S226" s="356" t="str">
        <f>+IF(MAYO!S226=0,"",MAYO!S226)</f>
        <v/>
      </c>
      <c r="T226" s="678" t="str">
        <f>+IF(MAYO!T226=0,"",MAYO!T226)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c r="A227" s="734"/>
      <c r="B227" s="644"/>
      <c r="N227" s="9"/>
      <c r="P227" s="9"/>
      <c r="Q227" s="9"/>
      <c r="R227" s="9"/>
      <c r="S227" s="687">
        <f>+IF(MAYO!S227=0,"",MAYO!S227)</f>
        <v>7002001</v>
      </c>
      <c r="T227" s="663" t="str">
        <f>+IF(MAYO!T227=0,"",MAYO!T227)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row>
    <row r="228" spans="1:40" s="372" customFormat="1" ht="24.95" customHeight="1">
      <c r="A228" s="734"/>
      <c r="B228" s="644"/>
      <c r="N228" s="9"/>
      <c r="P228" s="9"/>
      <c r="Q228" s="9"/>
      <c r="R228" s="9"/>
      <c r="S228" s="688">
        <f>+IF(MAYO!S228=0,"",MAYO!S228)</f>
        <v>7002100</v>
      </c>
      <c r="T228" s="664" t="str">
        <f>+IF(MAYO!T228=0,"",MAYO!T228)</f>
        <v>Amortización deuda Pública Externa</v>
      </c>
      <c r="U228" s="27">
        <f>+ENERO!U228</f>
        <v>0</v>
      </c>
      <c r="V228" s="15">
        <f>MAYO!V228+JUNIO!AL228</f>
        <v>0</v>
      </c>
      <c r="W228" s="15">
        <f>MAYO!W228+JUNIO!AM228</f>
        <v>0</v>
      </c>
      <c r="X228" s="18">
        <f>SUM(U228:W228)</f>
        <v>0</v>
      </c>
      <c r="Y228" s="19">
        <f>MAYO!AA228</f>
        <v>0</v>
      </c>
      <c r="Z228" s="364">
        <v>0</v>
      </c>
      <c r="AA228" s="18">
        <f>SUM(Y228:Z228)</f>
        <v>0</v>
      </c>
      <c r="AB228" s="19">
        <f>MAYO!AD228</f>
        <v>0</v>
      </c>
      <c r="AC228" s="364">
        <v>0</v>
      </c>
      <c r="AD228" s="18">
        <f>SUM(AB228:AC228)</f>
        <v>0</v>
      </c>
      <c r="AE228" s="19">
        <f>MAYO!AG228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c r="A229" s="734"/>
      <c r="B229" s="644"/>
      <c r="N229" s="9"/>
      <c r="P229" s="9"/>
      <c r="Q229" s="9"/>
      <c r="R229" s="9"/>
      <c r="S229" s="688">
        <f>+IF(MAYO!S229=0,"",MAYO!S229)</f>
        <v>7002200</v>
      </c>
      <c r="T229" s="664" t="str">
        <f>+IF(MAYO!T229=0,"",MAYO!T229)</f>
        <v>Intereses Comisiones y gastos de la Deuda Pública</v>
      </c>
      <c r="U229" s="27">
        <f>+ENERO!U229</f>
        <v>0</v>
      </c>
      <c r="V229" s="15">
        <f>MAYO!V229+JUNIO!AL229</f>
        <v>0</v>
      </c>
      <c r="W229" s="15">
        <f>MAYO!W229+JUNIO!AM229</f>
        <v>0</v>
      </c>
      <c r="X229" s="18">
        <f>SUM(U229:W229)</f>
        <v>0</v>
      </c>
      <c r="Y229" s="19">
        <f>MAYO!AA229</f>
        <v>0</v>
      </c>
      <c r="Z229" s="364">
        <v>0</v>
      </c>
      <c r="AA229" s="18">
        <f>SUM(Y229:Z229)</f>
        <v>0</v>
      </c>
      <c r="AB229" s="19">
        <f>MAYO!AD229</f>
        <v>0</v>
      </c>
      <c r="AC229" s="364">
        <v>0</v>
      </c>
      <c r="AD229" s="18">
        <f>SUM(AB229:AC229)</f>
        <v>0</v>
      </c>
      <c r="AE229" s="19">
        <f>MAYO!AG229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c r="A230" s="734"/>
      <c r="B230" s="644"/>
      <c r="N230" s="9"/>
      <c r="P230" s="9"/>
      <c r="Q230" s="9"/>
      <c r="R230" s="9"/>
      <c r="S230" s="691">
        <f>+IF(MAYO!S230=0,"",MAYO!S230)</f>
        <v>7002999</v>
      </c>
      <c r="T230" s="670" t="str">
        <f>+IF(MAYO!T230=0,"",MAYO!T230)</f>
        <v>Vigencias Anteriores</v>
      </c>
      <c r="U230" s="133">
        <f>+ENERO!U230</f>
        <v>0</v>
      </c>
      <c r="V230" s="121">
        <f>MAYO!V230+JUNIO!AL230</f>
        <v>0</v>
      </c>
      <c r="W230" s="121">
        <f>MAYO!W230+JUNIO!AM230</f>
        <v>0</v>
      </c>
      <c r="X230" s="126">
        <f>SUM(U230:W230)</f>
        <v>0</v>
      </c>
      <c r="Y230" s="124">
        <f>MAYO!AA230</f>
        <v>0</v>
      </c>
      <c r="Z230" s="378">
        <v>0</v>
      </c>
      <c r="AA230" s="126">
        <f>SUM(Y230:Z230)</f>
        <v>0</v>
      </c>
      <c r="AB230" s="124">
        <f>MAYO!AD230</f>
        <v>0</v>
      </c>
      <c r="AC230" s="378">
        <v>0</v>
      </c>
      <c r="AD230" s="126">
        <f>SUM(AB230:AC230)</f>
        <v>0</v>
      </c>
      <c r="AE230" s="124">
        <f>MAYO!AG230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c r="A231" s="734"/>
      <c r="B231" s="644"/>
      <c r="N231" s="9"/>
      <c r="P231" s="9"/>
      <c r="Q231" s="9"/>
      <c r="R231" s="9"/>
      <c r="S231" s="479" t="str">
        <f>+IF(MAYO!S231=0,"",MAYO!S231)</f>
        <v/>
      </c>
      <c r="T231" s="671" t="str">
        <f>+IF(MAYO!T231=0,"",MAYO!T231)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c r="A232" s="734"/>
      <c r="B232" s="644"/>
      <c r="N232" s="9"/>
      <c r="P232" s="9"/>
      <c r="Q232" s="9"/>
      <c r="R232" s="9"/>
      <c r="S232" s="495" t="str">
        <f>+IF(MAYO!S232=0,"",MAYO!S232)</f>
        <v>D</v>
      </c>
      <c r="T232" s="679" t="str">
        <f>+IF(MAYO!T232=0,"",MAYO!T232)</f>
        <v>INVERSION</v>
      </c>
      <c r="U232" s="460">
        <f>U234+U243</f>
        <v>5765730053</v>
      </c>
      <c r="V232" s="461">
        <f t="shared" ref="V232:AJ232" si="194">V234+V243</f>
        <v>0</v>
      </c>
      <c r="W232" s="461">
        <f t="shared" si="194"/>
        <v>26572523310</v>
      </c>
      <c r="X232" s="462">
        <f t="shared" si="194"/>
        <v>32338253363</v>
      </c>
      <c r="Y232" s="369">
        <f t="shared" si="194"/>
        <v>11447848485</v>
      </c>
      <c r="Z232" s="461">
        <f t="shared" si="194"/>
        <v>8227764690</v>
      </c>
      <c r="AA232" s="462">
        <f t="shared" si="194"/>
        <v>19675613175</v>
      </c>
      <c r="AB232" s="369">
        <f t="shared" si="194"/>
        <v>7514044993</v>
      </c>
      <c r="AC232" s="461">
        <f t="shared" si="194"/>
        <v>1241692242</v>
      </c>
      <c r="AD232" s="462">
        <f t="shared" si="194"/>
        <v>8755737235</v>
      </c>
      <c r="AE232" s="369">
        <f t="shared" si="194"/>
        <v>6327019155</v>
      </c>
      <c r="AF232" s="461">
        <f t="shared" si="194"/>
        <v>930649839</v>
      </c>
      <c r="AG232" s="462">
        <f t="shared" si="194"/>
        <v>7257668994</v>
      </c>
      <c r="AH232" s="369">
        <f t="shared" si="194"/>
        <v>12662640188</v>
      </c>
      <c r="AI232" s="461">
        <f t="shared" si="194"/>
        <v>23582516128</v>
      </c>
      <c r="AJ232" s="370">
        <f t="shared" si="194"/>
        <v>25080584369</v>
      </c>
      <c r="AK232" s="490"/>
      <c r="AL232" s="369">
        <f>AL234+AL243</f>
        <v>0</v>
      </c>
      <c r="AM232" s="370">
        <f>AM234+AM243</f>
        <v>0</v>
      </c>
      <c r="AN232" s="9"/>
    </row>
    <row r="233" spans="1:40" s="372" customFormat="1" ht="24.95" customHeight="1">
      <c r="A233" s="734"/>
      <c r="B233" s="644"/>
      <c r="N233" s="9"/>
      <c r="P233" s="9"/>
      <c r="Q233" s="9"/>
      <c r="R233" s="9"/>
      <c r="S233" s="356" t="str">
        <f>+IF(MAYO!S233=0,"",MAYO!S233)</f>
        <v/>
      </c>
      <c r="T233" s="678" t="str">
        <f>+IF(MAYO!T233=0,"",MAYO!T233)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c r="A234" s="734"/>
      <c r="B234" s="644"/>
      <c r="N234" s="9"/>
      <c r="P234" s="9"/>
      <c r="Q234" s="9"/>
      <c r="R234" s="9"/>
      <c r="S234" s="687">
        <f>+IF(MAYO!S234=0,"",MAYO!S234)</f>
        <v>8000000</v>
      </c>
      <c r="T234" s="663" t="str">
        <f>+IF(MAYO!T234=0,"",MAYO!T234)</f>
        <v>Programas de Inversión</v>
      </c>
      <c r="U234" s="132">
        <f>U235</f>
        <v>5265730053</v>
      </c>
      <c r="V234" s="122">
        <f t="shared" ref="V234:AJ234" si="195">V235</f>
        <v>0</v>
      </c>
      <c r="W234" s="122">
        <f t="shared" si="195"/>
        <v>13752626782</v>
      </c>
      <c r="X234" s="129">
        <f t="shared" si="195"/>
        <v>19018356835</v>
      </c>
      <c r="Y234" s="128">
        <f t="shared" si="195"/>
        <v>6129742332</v>
      </c>
      <c r="Z234" s="122">
        <f t="shared" si="195"/>
        <v>7952368606</v>
      </c>
      <c r="AA234" s="129">
        <f t="shared" si="195"/>
        <v>14082110938</v>
      </c>
      <c r="AB234" s="128">
        <f t="shared" si="195"/>
        <v>3935416581</v>
      </c>
      <c r="AC234" s="122">
        <f t="shared" si="195"/>
        <v>799790800</v>
      </c>
      <c r="AD234" s="129">
        <f t="shared" si="195"/>
        <v>4735207381</v>
      </c>
      <c r="AE234" s="128">
        <f t="shared" si="195"/>
        <v>3571780245</v>
      </c>
      <c r="AF234" s="122">
        <f t="shared" si="195"/>
        <v>724289341</v>
      </c>
      <c r="AG234" s="129">
        <f t="shared" si="195"/>
        <v>4296069586</v>
      </c>
      <c r="AH234" s="128">
        <f t="shared" si="195"/>
        <v>4936245897</v>
      </c>
      <c r="AI234" s="122">
        <f t="shared" si="195"/>
        <v>14283149454</v>
      </c>
      <c r="AJ234" s="130">
        <f t="shared" si="195"/>
        <v>14722287249</v>
      </c>
      <c r="AK234" s="9"/>
      <c r="AL234" s="128">
        <f>AL235</f>
        <v>0</v>
      </c>
      <c r="AM234" s="130">
        <f>AM235</f>
        <v>0</v>
      </c>
      <c r="AN234" s="9"/>
    </row>
    <row r="235" spans="1:40" s="372" customFormat="1" ht="24.95" customHeight="1">
      <c r="A235" s="734"/>
      <c r="B235" s="644"/>
      <c r="N235" s="9"/>
      <c r="P235" s="9"/>
      <c r="Q235" s="9"/>
      <c r="R235" s="9"/>
      <c r="S235" s="688">
        <f>+IF(MAYO!S235=0,"",MAYO!S235)</f>
        <v>8001000</v>
      </c>
      <c r="T235" s="664" t="str">
        <f>+IF(MAYO!T235=0,"",MAYO!T235)</f>
        <v>Formación Bruta del Capital</v>
      </c>
      <c r="U235" s="27">
        <f t="shared" ref="U235:AJ235" si="196">SUM(U236:U241)</f>
        <v>5265730053</v>
      </c>
      <c r="V235" s="15">
        <f t="shared" si="196"/>
        <v>0</v>
      </c>
      <c r="W235" s="15">
        <f t="shared" si="196"/>
        <v>13752626782</v>
      </c>
      <c r="X235" s="18">
        <f t="shared" si="196"/>
        <v>19018356835</v>
      </c>
      <c r="Y235" s="19">
        <f t="shared" si="196"/>
        <v>6129742332</v>
      </c>
      <c r="Z235" s="142">
        <f t="shared" si="196"/>
        <v>7952368606</v>
      </c>
      <c r="AA235" s="18">
        <f t="shared" si="196"/>
        <v>14082110938</v>
      </c>
      <c r="AB235" s="19">
        <f t="shared" si="196"/>
        <v>3935416581</v>
      </c>
      <c r="AC235" s="142">
        <f t="shared" si="196"/>
        <v>799790800</v>
      </c>
      <c r="AD235" s="18">
        <f t="shared" si="196"/>
        <v>4735207381</v>
      </c>
      <c r="AE235" s="19">
        <f t="shared" si="196"/>
        <v>3571780245</v>
      </c>
      <c r="AF235" s="142">
        <f t="shared" si="196"/>
        <v>724289341</v>
      </c>
      <c r="AG235" s="18">
        <f t="shared" si="196"/>
        <v>4296069586</v>
      </c>
      <c r="AH235" s="19">
        <f t="shared" si="196"/>
        <v>4936245897</v>
      </c>
      <c r="AI235" s="15">
        <f t="shared" si="196"/>
        <v>14283149454</v>
      </c>
      <c r="AJ235" s="16">
        <f t="shared" si="196"/>
        <v>14722287249</v>
      </c>
      <c r="AK235" s="9"/>
      <c r="AL235" s="29">
        <f>SUM(AL236:AL241)</f>
        <v>0</v>
      </c>
      <c r="AM235" s="26">
        <f>SUM(AM236:AM241)</f>
        <v>0</v>
      </c>
      <c r="AN235" s="9"/>
    </row>
    <row r="236" spans="1:40" s="372" customFormat="1" ht="24.95" customHeight="1">
      <c r="A236" s="734"/>
      <c r="B236" s="644"/>
      <c r="N236" s="9"/>
      <c r="P236" s="9"/>
      <c r="Q236" s="9"/>
      <c r="R236" s="9"/>
      <c r="S236" s="689" t="str">
        <f>+IF(MAYO!S236=0,"",MAYO!S236)</f>
        <v>8001000-1</v>
      </c>
      <c r="T236" s="665" t="str">
        <f>+IF(MAYO!T236=0,"",MAYO!T236)</f>
        <v>Subprogr.Construc. Remodelac. Adecuación y Apliac.1</v>
      </c>
      <c r="U236" s="27">
        <f>+ENERO!U236</f>
        <v>4765730053</v>
      </c>
      <c r="V236" s="15">
        <f>MAYO!V236+JUNIO!AL236</f>
        <v>0</v>
      </c>
      <c r="W236" s="15">
        <f>MAYO!W236+JUNIO!AM236</f>
        <v>8000000000</v>
      </c>
      <c r="X236" s="18">
        <f t="shared" ref="X236:X241" si="197">SUM(U236:W236)</f>
        <v>12765730053</v>
      </c>
      <c r="Y236" s="19">
        <f>MAYO!AA236</f>
        <v>4762419032</v>
      </c>
      <c r="Z236" s="364">
        <v>7952368606</v>
      </c>
      <c r="AA236" s="18">
        <f t="shared" ref="AA236:AA241" si="198">SUM(Y236:Z236)</f>
        <v>12714787638</v>
      </c>
      <c r="AB236" s="19">
        <f>MAYO!AD236</f>
        <v>3479994174</v>
      </c>
      <c r="AC236" s="364">
        <v>799790800</v>
      </c>
      <c r="AD236" s="18">
        <f t="shared" ref="AD236:AD241" si="199">SUM(AB236:AC236)</f>
        <v>4279784974</v>
      </c>
      <c r="AE236" s="19">
        <f>MAYO!AG236</f>
        <v>3423740162</v>
      </c>
      <c r="AF236" s="364">
        <v>724289341</v>
      </c>
      <c r="AG236" s="18">
        <f t="shared" ref="AG236:AG241" si="200">SUM(AE236:AF236)</f>
        <v>4148029503</v>
      </c>
      <c r="AH236" s="19">
        <f t="shared" ref="AH236:AH241" si="201">X236-AA236</f>
        <v>50942415</v>
      </c>
      <c r="AI236" s="15">
        <f t="shared" ref="AI236:AI241" si="202">X236-AD236</f>
        <v>8485945079</v>
      </c>
      <c r="AJ236" s="16">
        <f t="shared" ref="AJ236:AJ241" si="203">X236-AG236</f>
        <v>8617700550</v>
      </c>
      <c r="AK236" s="9"/>
      <c r="AL236" s="362">
        <v>0</v>
      </c>
      <c r="AM236" s="365">
        <v>0</v>
      </c>
      <c r="AN236" s="9"/>
    </row>
    <row r="237" spans="1:40" s="372" customFormat="1" ht="24.95" customHeight="1">
      <c r="A237" s="734"/>
      <c r="B237" s="644"/>
      <c r="N237" s="9"/>
      <c r="P237" s="9"/>
      <c r="Q237" s="9"/>
      <c r="R237" s="9"/>
      <c r="S237" s="689" t="str">
        <f>+IF(MAYO!S237=0,"",MAYO!S237)</f>
        <v>8001000-2</v>
      </c>
      <c r="T237" s="665" t="str">
        <f>+IF(MAYO!T237=0,"",MAYO!T237)</f>
        <v>Subprogr.Construc. Remodelac. Adecuación y Apliac.2</v>
      </c>
      <c r="U237" s="27">
        <f>+ENERO!U237</f>
        <v>500000000</v>
      </c>
      <c r="V237" s="15">
        <f>MAYO!V237+JUNIO!AL237</f>
        <v>0</v>
      </c>
      <c r="W237" s="15">
        <f>MAYO!W237+JUNIO!AM237</f>
        <v>719283217</v>
      </c>
      <c r="X237" s="18">
        <f t="shared" si="197"/>
        <v>1219283217</v>
      </c>
      <c r="Y237" s="19">
        <f>MAYO!AA237</f>
        <v>1219283217</v>
      </c>
      <c r="Z237" s="364">
        <v>0</v>
      </c>
      <c r="AA237" s="18">
        <f t="shared" si="198"/>
        <v>1219283217</v>
      </c>
      <c r="AB237" s="19">
        <f>MAYO!AD237</f>
        <v>307382324</v>
      </c>
      <c r="AC237" s="364">
        <v>0</v>
      </c>
      <c r="AD237" s="18">
        <f t="shared" si="199"/>
        <v>307382324</v>
      </c>
      <c r="AE237" s="19">
        <f>MAYO!AG237</f>
        <v>0</v>
      </c>
      <c r="AF237" s="364">
        <v>0</v>
      </c>
      <c r="AG237" s="18">
        <f t="shared" si="200"/>
        <v>0</v>
      </c>
      <c r="AH237" s="19">
        <f t="shared" si="201"/>
        <v>0</v>
      </c>
      <c r="AI237" s="15">
        <f t="shared" si="202"/>
        <v>911900893</v>
      </c>
      <c r="AJ237" s="16">
        <f t="shared" si="203"/>
        <v>1219283217</v>
      </c>
      <c r="AK237" s="9"/>
      <c r="AL237" s="362">
        <v>0</v>
      </c>
      <c r="AM237" s="365">
        <v>0</v>
      </c>
      <c r="AN237" s="9"/>
    </row>
    <row r="238" spans="1:40" s="372" customFormat="1" ht="24.95" customHeight="1">
      <c r="A238" s="734"/>
      <c r="B238" s="644"/>
      <c r="N238" s="9"/>
      <c r="P238" s="9"/>
      <c r="Q238" s="9"/>
      <c r="R238" s="9"/>
      <c r="S238" s="689" t="str">
        <f>+IF(MAYO!S238=0,"",MAYO!S238)</f>
        <v>8001000-3</v>
      </c>
      <c r="T238" s="665" t="str">
        <f>+IF(MAYO!T238=0,"",MAYO!T238)</f>
        <v>Subprogr.Construc. Remodelac. Adecuación y Apliac.3</v>
      </c>
      <c r="U238" s="27">
        <f>+ENERO!U238</f>
        <v>0</v>
      </c>
      <c r="V238" s="15">
        <f>MAYO!V238+JUNIO!AL238</f>
        <v>0</v>
      </c>
      <c r="W238" s="15">
        <f>MAYO!W238+JUNIO!AM238</f>
        <v>0</v>
      </c>
      <c r="X238" s="18">
        <f t="shared" si="197"/>
        <v>0</v>
      </c>
      <c r="Y238" s="19">
        <f>MAYO!AA238</f>
        <v>0</v>
      </c>
      <c r="Z238" s="364">
        <v>0</v>
      </c>
      <c r="AA238" s="18">
        <f t="shared" si="198"/>
        <v>0</v>
      </c>
      <c r="AB238" s="19">
        <f>MAYO!AD238</f>
        <v>0</v>
      </c>
      <c r="AC238" s="364">
        <v>0</v>
      </c>
      <c r="AD238" s="18">
        <f t="shared" si="199"/>
        <v>0</v>
      </c>
      <c r="AE238" s="19">
        <f>MAYO!AG238</f>
        <v>0</v>
      </c>
      <c r="AF238" s="364">
        <v>0</v>
      </c>
      <c r="AG238" s="18">
        <f t="shared" si="200"/>
        <v>0</v>
      </c>
      <c r="AH238" s="19">
        <f t="shared" si="201"/>
        <v>0</v>
      </c>
      <c r="AI238" s="15">
        <f t="shared" si="202"/>
        <v>0</v>
      </c>
      <c r="AJ238" s="16">
        <f t="shared" si="203"/>
        <v>0</v>
      </c>
      <c r="AK238" s="9"/>
      <c r="AL238" s="362">
        <v>0</v>
      </c>
      <c r="AM238" s="365">
        <v>0</v>
      </c>
      <c r="AN238" s="9"/>
    </row>
    <row r="239" spans="1:40" s="372" customFormat="1" ht="24.95" customHeight="1">
      <c r="A239" s="734"/>
      <c r="B239" s="644"/>
      <c r="N239" s="9"/>
      <c r="P239" s="9"/>
      <c r="Q239" s="9"/>
      <c r="S239" s="689" t="str">
        <f>+IF(MAYO!S239=0,"",MAYO!S239)</f>
        <v>8001000-4</v>
      </c>
      <c r="T239" s="665" t="str">
        <f>+IF(MAYO!T239=0,"",MAYO!T239)</f>
        <v>Subprogr.Construc. Remodelac. Adecuación y Apliac.4</v>
      </c>
      <c r="U239" s="27">
        <f>+ENERO!U239</f>
        <v>0</v>
      </c>
      <c r="V239" s="15">
        <f>MAYO!V239+JUNIO!AL239</f>
        <v>0</v>
      </c>
      <c r="W239" s="15">
        <f>MAYO!W239+JUNIO!AM239</f>
        <v>0</v>
      </c>
      <c r="X239" s="18">
        <f t="shared" si="197"/>
        <v>0</v>
      </c>
      <c r="Y239" s="19">
        <f>MAYO!AA239</f>
        <v>0</v>
      </c>
      <c r="Z239" s="364">
        <v>0</v>
      </c>
      <c r="AA239" s="18">
        <f t="shared" si="198"/>
        <v>0</v>
      </c>
      <c r="AB239" s="19">
        <f>MAYO!AD239</f>
        <v>0</v>
      </c>
      <c r="AC239" s="364">
        <v>0</v>
      </c>
      <c r="AD239" s="18">
        <f t="shared" si="199"/>
        <v>0</v>
      </c>
      <c r="AE239" s="19">
        <f>MAYO!AG239</f>
        <v>0</v>
      </c>
      <c r="AF239" s="364">
        <v>0</v>
      </c>
      <c r="AG239" s="18">
        <f t="shared" si="200"/>
        <v>0</v>
      </c>
      <c r="AH239" s="19">
        <f t="shared" si="201"/>
        <v>0</v>
      </c>
      <c r="AI239" s="15">
        <f t="shared" si="202"/>
        <v>0</v>
      </c>
      <c r="AJ239" s="16">
        <f t="shared" si="203"/>
        <v>0</v>
      </c>
      <c r="AK239" s="9"/>
      <c r="AL239" s="362">
        <v>0</v>
      </c>
      <c r="AM239" s="365">
        <v>0</v>
      </c>
      <c r="AN239" s="9"/>
    </row>
    <row r="240" spans="1:40" s="372" customFormat="1" ht="24.95" customHeight="1">
      <c r="A240" s="734"/>
      <c r="B240" s="644"/>
      <c r="N240" s="9"/>
      <c r="P240" s="9"/>
      <c r="Q240" s="9"/>
      <c r="S240" s="689" t="str">
        <f>+IF(MAYO!S240=0,"",MAYO!S240)</f>
        <v>8001000-5</v>
      </c>
      <c r="T240" s="665" t="str">
        <f>+IF(MAYO!T240=0,"",MAYO!T240)</f>
        <v>Subprogr.Construc. Remodelac. Adecuación y Apliac.5</v>
      </c>
      <c r="U240" s="27">
        <f>+ENERO!U240</f>
        <v>0</v>
      </c>
      <c r="V240" s="15">
        <f>MAYO!V240+JUNIO!AL240</f>
        <v>0</v>
      </c>
      <c r="W240" s="15">
        <f>MAYO!W240+JUNIO!AM240</f>
        <v>0</v>
      </c>
      <c r="X240" s="18">
        <f t="shared" si="197"/>
        <v>0</v>
      </c>
      <c r="Y240" s="19">
        <f>MAYO!AA240</f>
        <v>0</v>
      </c>
      <c r="Z240" s="364">
        <v>0</v>
      </c>
      <c r="AA240" s="18">
        <f t="shared" si="198"/>
        <v>0</v>
      </c>
      <c r="AB240" s="19">
        <f>MAYO!AD240</f>
        <v>0</v>
      </c>
      <c r="AC240" s="364">
        <v>0</v>
      </c>
      <c r="AD240" s="18">
        <f t="shared" si="199"/>
        <v>0</v>
      </c>
      <c r="AE240" s="19">
        <f>MAYO!AG240</f>
        <v>0</v>
      </c>
      <c r="AF240" s="364">
        <v>0</v>
      </c>
      <c r="AG240" s="18">
        <f t="shared" si="200"/>
        <v>0</v>
      </c>
      <c r="AH240" s="19">
        <f t="shared" si="201"/>
        <v>0</v>
      </c>
      <c r="AI240" s="15">
        <f t="shared" si="202"/>
        <v>0</v>
      </c>
      <c r="AJ240" s="16">
        <f t="shared" si="203"/>
        <v>0</v>
      </c>
      <c r="AK240" s="9"/>
      <c r="AL240" s="362">
        <v>0</v>
      </c>
      <c r="AM240" s="365">
        <v>0</v>
      </c>
      <c r="AN240" s="9"/>
    </row>
    <row r="241" spans="1:70" ht="24.95" customHeight="1">
      <c r="A241" s="734"/>
      <c r="B241" s="644"/>
      <c r="C241" s="372"/>
      <c r="D241" s="372"/>
      <c r="E241" s="372"/>
      <c r="F241" s="372"/>
      <c r="G241" s="372"/>
      <c r="H241" s="372"/>
      <c r="I241" s="372"/>
      <c r="J241" s="372"/>
      <c r="K241" s="372"/>
      <c r="L241" s="372"/>
      <c r="M241" s="372"/>
      <c r="N241" s="9"/>
      <c r="O241" s="372"/>
      <c r="P241" s="9"/>
      <c r="Q241" s="9"/>
      <c r="S241" s="697">
        <f>+IF(MAYO!S241=0,"",MAYO!S241)</f>
        <v>8001999</v>
      </c>
      <c r="T241" s="665" t="str">
        <f>+IF(MAYO!T241=0,"",MAYO!T241)</f>
        <v>Vigencias Anteriores</v>
      </c>
      <c r="U241" s="27">
        <f>+ENERO!U241</f>
        <v>0</v>
      </c>
      <c r="V241" s="15">
        <f>MAYO!V241+JUNIO!AL241</f>
        <v>0</v>
      </c>
      <c r="W241" s="15">
        <f>MAYO!W241+JUNIO!AM241</f>
        <v>5033343565</v>
      </c>
      <c r="X241" s="18">
        <f t="shared" si="197"/>
        <v>5033343565</v>
      </c>
      <c r="Y241" s="19">
        <f>MAYO!AA241</f>
        <v>148040083</v>
      </c>
      <c r="Z241" s="364">
        <v>0</v>
      </c>
      <c r="AA241" s="18">
        <f t="shared" si="198"/>
        <v>148040083</v>
      </c>
      <c r="AB241" s="19">
        <f>MAYO!AD241</f>
        <v>148040083</v>
      </c>
      <c r="AC241" s="364">
        <v>0</v>
      </c>
      <c r="AD241" s="18">
        <f t="shared" si="199"/>
        <v>148040083</v>
      </c>
      <c r="AE241" s="19">
        <f>MAYO!AG241</f>
        <v>148040083</v>
      </c>
      <c r="AF241" s="364">
        <v>0</v>
      </c>
      <c r="AG241" s="18">
        <f t="shared" si="200"/>
        <v>148040083</v>
      </c>
      <c r="AH241" s="19">
        <f t="shared" si="201"/>
        <v>4885303482</v>
      </c>
      <c r="AI241" s="15">
        <f t="shared" si="202"/>
        <v>4885303482</v>
      </c>
      <c r="AJ241" s="16">
        <f t="shared" si="203"/>
        <v>4885303482</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+IF(MAYO!S242=0,"",MAYO!S242)</f>
        <v/>
      </c>
      <c r="T242" s="678" t="str">
        <f>+IF(MAYO!T242=0,"",MAYO!T242)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+IF(MAYO!S243=0,"",MAYO!S243)</f>
        <v>8002001</v>
      </c>
      <c r="T243" s="663" t="str">
        <f>+IF(MAYO!T243=0,"",MAYO!T243)</f>
        <v>Gastos Operativos de Inversion   (Programas Especiales)</v>
      </c>
      <c r="U243" s="132">
        <f t="shared" ref="U243:AJ243" si="204">SUM(U244:U256)</f>
        <v>500000000</v>
      </c>
      <c r="V243" s="122">
        <f t="shared" si="204"/>
        <v>0</v>
      </c>
      <c r="W243" s="122">
        <f t="shared" si="204"/>
        <v>12819896528</v>
      </c>
      <c r="X243" s="129">
        <f t="shared" si="204"/>
        <v>13319896528</v>
      </c>
      <c r="Y243" s="128">
        <f t="shared" si="204"/>
        <v>5318106153</v>
      </c>
      <c r="Z243" s="122">
        <f t="shared" si="204"/>
        <v>275396084</v>
      </c>
      <c r="AA243" s="129">
        <f t="shared" si="204"/>
        <v>5593502237</v>
      </c>
      <c r="AB243" s="128">
        <f t="shared" si="204"/>
        <v>3578628412</v>
      </c>
      <c r="AC243" s="122">
        <f t="shared" si="204"/>
        <v>441901442</v>
      </c>
      <c r="AD243" s="129">
        <f t="shared" si="204"/>
        <v>4020529854</v>
      </c>
      <c r="AE243" s="128">
        <f t="shared" si="204"/>
        <v>2755238910</v>
      </c>
      <c r="AF243" s="122">
        <f t="shared" si="204"/>
        <v>206360498</v>
      </c>
      <c r="AG243" s="129">
        <f t="shared" si="204"/>
        <v>2961599408</v>
      </c>
      <c r="AH243" s="128">
        <f t="shared" si="204"/>
        <v>7726394291</v>
      </c>
      <c r="AI243" s="122">
        <f t="shared" si="204"/>
        <v>9299366674</v>
      </c>
      <c r="AJ243" s="130">
        <f t="shared" si="204"/>
        <v>10358297120</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+IF(MAYO!S244=0,"",MAYO!S244)</f>
        <v>8002100-1</v>
      </c>
      <c r="T244" s="665" t="str">
        <f>+IF(MAYO!T244=0,"",MAYO!T244)</f>
        <v>Fondo de la Vivienda</v>
      </c>
      <c r="U244" s="27">
        <f>+ENERO!U244</f>
        <v>0</v>
      </c>
      <c r="V244" s="15">
        <f>MAYO!V244+JUNIO!AL244</f>
        <v>0</v>
      </c>
      <c r="W244" s="15">
        <f>MAYO!W244+JUNIO!AM244</f>
        <v>0</v>
      </c>
      <c r="X244" s="18">
        <f t="shared" ref="X244:X256" si="205">SUM(U244:W244)</f>
        <v>0</v>
      </c>
      <c r="Y244" s="19">
        <f>MAYO!AA244</f>
        <v>0</v>
      </c>
      <c r="Z244" s="364">
        <v>0</v>
      </c>
      <c r="AA244" s="18">
        <f t="shared" ref="AA244:AA256" si="206">SUM(Y244:Z244)</f>
        <v>0</v>
      </c>
      <c r="AB244" s="19">
        <f>MAYO!AD244</f>
        <v>0</v>
      </c>
      <c r="AC244" s="364">
        <v>0</v>
      </c>
      <c r="AD244" s="18">
        <f t="shared" ref="AD244:AD256" si="207">SUM(AB244:AC244)</f>
        <v>0</v>
      </c>
      <c r="AE244" s="19">
        <f>MAYO!AG244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+IF(MAYO!S245=0,"",MAYO!S245)</f>
        <v>8002100-2</v>
      </c>
      <c r="T245" s="665" t="str">
        <f>+IF(MAYO!T245=0,"",MAYO!T245)</f>
        <v>Programas Especial 01</v>
      </c>
      <c r="U245" s="27">
        <f>+ENERO!U245</f>
        <v>0</v>
      </c>
      <c r="V245" s="15">
        <f>MAYO!V245+JUNIO!AL245</f>
        <v>0</v>
      </c>
      <c r="W245" s="15">
        <f>MAYO!W245+JUNIO!AM245</f>
        <v>152517826</v>
      </c>
      <c r="X245" s="18">
        <f t="shared" si="205"/>
        <v>152517826</v>
      </c>
      <c r="Y245" s="19">
        <f>MAYO!AA245</f>
        <v>0</v>
      </c>
      <c r="Z245" s="364">
        <v>0</v>
      </c>
      <c r="AA245" s="18">
        <f t="shared" si="206"/>
        <v>0</v>
      </c>
      <c r="AB245" s="19">
        <f>MAYO!AD245</f>
        <v>0</v>
      </c>
      <c r="AC245" s="364">
        <v>0</v>
      </c>
      <c r="AD245" s="18">
        <f t="shared" si="207"/>
        <v>0</v>
      </c>
      <c r="AE245" s="19">
        <f>MAYO!AG245</f>
        <v>0</v>
      </c>
      <c r="AF245" s="364">
        <v>0</v>
      </c>
      <c r="AG245" s="18">
        <f t="shared" si="208"/>
        <v>0</v>
      </c>
      <c r="AH245" s="19">
        <f t="shared" si="209"/>
        <v>152517826</v>
      </c>
      <c r="AI245" s="15">
        <f t="shared" si="210"/>
        <v>152517826</v>
      </c>
      <c r="AJ245" s="16">
        <f t="shared" si="211"/>
        <v>152517826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+IF(MAYO!S246=0,"",MAYO!S246)</f>
        <v>8002100-3</v>
      </c>
      <c r="T246" s="665" t="str">
        <f>+IF(MAYO!T246=0,"",MAYO!T246)</f>
        <v>Programas Especial 02</v>
      </c>
      <c r="U246" s="27">
        <f>+ENERO!U246</f>
        <v>0</v>
      </c>
      <c r="V246" s="15">
        <f>MAYO!V246+JUNIO!AL246</f>
        <v>0</v>
      </c>
      <c r="W246" s="15">
        <f>MAYO!W246+JUNIO!AM246</f>
        <v>0</v>
      </c>
      <c r="X246" s="18">
        <f t="shared" si="205"/>
        <v>0</v>
      </c>
      <c r="Y246" s="19">
        <f>MAYO!AA246</f>
        <v>0</v>
      </c>
      <c r="Z246" s="364">
        <v>0</v>
      </c>
      <c r="AA246" s="18">
        <f t="shared" si="206"/>
        <v>0</v>
      </c>
      <c r="AB246" s="19">
        <f>MAYO!AD246</f>
        <v>0</v>
      </c>
      <c r="AC246" s="364">
        <v>0</v>
      </c>
      <c r="AD246" s="18">
        <f t="shared" si="207"/>
        <v>0</v>
      </c>
      <c r="AE246" s="19">
        <f>MAYO!AG246</f>
        <v>0</v>
      </c>
      <c r="AF246" s="364">
        <v>0</v>
      </c>
      <c r="AG246" s="18">
        <f t="shared" si="208"/>
        <v>0</v>
      </c>
      <c r="AH246" s="19">
        <f t="shared" si="209"/>
        <v>0</v>
      </c>
      <c r="AI246" s="15">
        <f t="shared" si="210"/>
        <v>0</v>
      </c>
      <c r="AJ246" s="16">
        <f t="shared" si="211"/>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+IF(MAYO!S247=0,"",MAYO!S247)</f>
        <v>8002100-4</v>
      </c>
      <c r="T247" s="665" t="str">
        <f>+IF(MAYO!T247=0,"",MAYO!T247)</f>
        <v>Programas Especial 03</v>
      </c>
      <c r="U247" s="27">
        <f>+ENERO!U247</f>
        <v>0</v>
      </c>
      <c r="V247" s="15">
        <f>MAYO!V247+JUNIO!AL247</f>
        <v>0</v>
      </c>
      <c r="W247" s="15">
        <f>MAYO!W247+JUNIO!AM247</f>
        <v>193911300</v>
      </c>
      <c r="X247" s="18">
        <f t="shared" si="205"/>
        <v>193911300</v>
      </c>
      <c r="Y247" s="19">
        <f>MAYO!AA247</f>
        <v>133179600</v>
      </c>
      <c r="Z247" s="364">
        <v>0</v>
      </c>
      <c r="AA247" s="18">
        <f t="shared" si="206"/>
        <v>133179600</v>
      </c>
      <c r="AB247" s="19">
        <f>MAYO!AD247</f>
        <v>63133100</v>
      </c>
      <c r="AC247" s="364">
        <v>13602500</v>
      </c>
      <c r="AD247" s="18">
        <f t="shared" si="207"/>
        <v>76735600</v>
      </c>
      <c r="AE247" s="19">
        <f>MAYO!AG247</f>
        <v>63133100</v>
      </c>
      <c r="AF247" s="364">
        <v>0</v>
      </c>
      <c r="AG247" s="18">
        <f t="shared" si="208"/>
        <v>63133100</v>
      </c>
      <c r="AH247" s="19">
        <f t="shared" si="209"/>
        <v>60731700</v>
      </c>
      <c r="AI247" s="15">
        <f t="shared" si="210"/>
        <v>117175700</v>
      </c>
      <c r="AJ247" s="16">
        <f t="shared" si="211"/>
        <v>130778200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+IF(MAYO!S248=0,"",MAYO!S248)</f>
        <v>8002100-5</v>
      </c>
      <c r="T248" s="665" t="str">
        <f>+IF(MAYO!T248=0,"",MAYO!T248)</f>
        <v>Programas Especial 04</v>
      </c>
      <c r="U248" s="27">
        <f>+ENERO!U248</f>
        <v>500000000</v>
      </c>
      <c r="V248" s="15">
        <f>MAYO!V248+JUNIO!AL248</f>
        <v>0</v>
      </c>
      <c r="W248" s="15">
        <f>MAYO!W248+JUNIO!AM248</f>
        <v>2619976000</v>
      </c>
      <c r="X248" s="18">
        <f t="shared" si="205"/>
        <v>3119976000</v>
      </c>
      <c r="Y248" s="19">
        <f>MAYO!AA248</f>
        <v>2179967478</v>
      </c>
      <c r="Z248" s="364">
        <v>-12559565</v>
      </c>
      <c r="AA248" s="18">
        <f t="shared" si="206"/>
        <v>2167407913</v>
      </c>
      <c r="AB248" s="19">
        <f>MAYO!AD248</f>
        <v>2164671173</v>
      </c>
      <c r="AC248" s="364">
        <v>2143135</v>
      </c>
      <c r="AD248" s="18">
        <f t="shared" si="207"/>
        <v>2166814308</v>
      </c>
      <c r="AE248" s="19">
        <f>MAYO!AG248</f>
        <v>2027805305</v>
      </c>
      <c r="AF248" s="364">
        <v>84984972</v>
      </c>
      <c r="AG248" s="18">
        <f t="shared" si="208"/>
        <v>2112790277</v>
      </c>
      <c r="AH248" s="19">
        <f t="shared" si="209"/>
        <v>952568087</v>
      </c>
      <c r="AI248" s="15">
        <f t="shared" si="210"/>
        <v>953161692</v>
      </c>
      <c r="AJ248" s="16">
        <f t="shared" si="211"/>
        <v>1007185723</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+IF(MAYO!S249=0,"",MAYO!S249)</f>
        <v>8002100-6</v>
      </c>
      <c r="T249" s="665" t="str">
        <f>+IF(MAYO!T249=0,"",MAYO!T249)</f>
        <v>Programas Especial 05</v>
      </c>
      <c r="U249" s="27">
        <f>+ENERO!U249</f>
        <v>0</v>
      </c>
      <c r="V249" s="15">
        <f>MAYO!V249+JUNIO!AL249</f>
        <v>0</v>
      </c>
      <c r="W249" s="15">
        <f>MAYO!W249+JUNIO!AM249</f>
        <v>20000000</v>
      </c>
      <c r="X249" s="18">
        <f t="shared" si="205"/>
        <v>20000000</v>
      </c>
      <c r="Y249" s="19">
        <f>MAYO!AA249</f>
        <v>0</v>
      </c>
      <c r="Z249" s="364">
        <v>0</v>
      </c>
      <c r="AA249" s="18">
        <f t="shared" si="206"/>
        <v>0</v>
      </c>
      <c r="AB249" s="19">
        <f>MAYO!AD249</f>
        <v>0</v>
      </c>
      <c r="AC249" s="364">
        <v>0</v>
      </c>
      <c r="AD249" s="18">
        <f t="shared" si="207"/>
        <v>0</v>
      </c>
      <c r="AE249" s="19">
        <f>MAYO!AG249</f>
        <v>0</v>
      </c>
      <c r="AF249" s="364">
        <v>0</v>
      </c>
      <c r="AG249" s="1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+IF(MAYO!S250=0,"",MAYO!S250)</f>
        <v>8002100-7</v>
      </c>
      <c r="T250" s="665" t="str">
        <f>+IF(MAYO!T250=0,"",MAYO!T250)</f>
        <v>Programas Especial 06</v>
      </c>
      <c r="U250" s="27">
        <f>+ENERO!U250</f>
        <v>0</v>
      </c>
      <c r="V250" s="15">
        <f>MAYO!V250+JUNIO!AL250</f>
        <v>0</v>
      </c>
      <c r="W250" s="15">
        <f>MAYO!W250+JUNIO!AM250</f>
        <v>9358200000</v>
      </c>
      <c r="X250" s="18">
        <f>SUM(U250:W250)</f>
        <v>9358200000</v>
      </c>
      <c r="Y250" s="19">
        <f>MAYO!AA250</f>
        <v>2540311841</v>
      </c>
      <c r="Z250" s="364">
        <v>287955649</v>
      </c>
      <c r="AA250" s="18">
        <f>SUM(Y250:Z250)</f>
        <v>2828267490</v>
      </c>
      <c r="AB250" s="19">
        <f>MAYO!AD250</f>
        <v>886176905</v>
      </c>
      <c r="AC250" s="364">
        <v>426155807</v>
      </c>
      <c r="AD250" s="18">
        <f>SUM(AB250:AC250)</f>
        <v>1312332712</v>
      </c>
      <c r="AE250" s="19">
        <f>MAYO!AG250</f>
        <v>199653271</v>
      </c>
      <c r="AF250" s="364">
        <v>121375526</v>
      </c>
      <c r="AG250" s="18">
        <f>SUM(AE250:AF250)</f>
        <v>321028797</v>
      </c>
      <c r="AH250" s="19">
        <f>X250-AA250</f>
        <v>6529932510</v>
      </c>
      <c r="AI250" s="15">
        <f>X250-AD250</f>
        <v>8045867288</v>
      </c>
      <c r="AJ250" s="16">
        <f>X250-AG250</f>
        <v>9037171203</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+IF(MAYO!S251=0,"",MAYO!S251)</f>
        <v>8002100-8</v>
      </c>
      <c r="T251" s="665" t="str">
        <f>+IF(MAYO!T251=0,"",MAYO!T251)</f>
        <v>Programas Especial 07</v>
      </c>
      <c r="U251" s="27">
        <f>+ENERO!U251</f>
        <v>0</v>
      </c>
      <c r="V251" s="15">
        <f>MAYO!V251+JUNIO!AL251</f>
        <v>0</v>
      </c>
      <c r="W251" s="15">
        <f>MAYO!W251+JUNIO!AM251</f>
        <v>0</v>
      </c>
      <c r="X251" s="18">
        <f>SUM(U251:W251)</f>
        <v>0</v>
      </c>
      <c r="Y251" s="19">
        <f>MAYO!AA251</f>
        <v>0</v>
      </c>
      <c r="Z251" s="364">
        <v>0</v>
      </c>
      <c r="AA251" s="18">
        <f>SUM(Y251:Z251)</f>
        <v>0</v>
      </c>
      <c r="AB251" s="19">
        <f>MAYO!AD251</f>
        <v>0</v>
      </c>
      <c r="AC251" s="364">
        <v>0</v>
      </c>
      <c r="AD251" s="18">
        <f>SUM(AB251:AC251)</f>
        <v>0</v>
      </c>
      <c r="AE251" s="19">
        <f>MAYO!AG251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+IF(MAYO!S252=0,"",MAYO!S252)</f>
        <v>8002100-9</v>
      </c>
      <c r="T252" s="665" t="str">
        <f>+IF(MAYO!T252=0,"",MAYO!T252)</f>
        <v>Programas Especial 08</v>
      </c>
      <c r="U252" s="27">
        <f>+ENERO!U252</f>
        <v>0</v>
      </c>
      <c r="V252" s="15">
        <f>MAYO!V252+JUNIO!AL252</f>
        <v>0</v>
      </c>
      <c r="W252" s="15">
        <f>MAYO!W252+JUNIO!AM252</f>
        <v>0</v>
      </c>
      <c r="X252" s="18">
        <f>SUM(U252:W252)</f>
        <v>0</v>
      </c>
      <c r="Y252" s="19">
        <f>MAYO!AA252</f>
        <v>0</v>
      </c>
      <c r="Z252" s="364">
        <v>0</v>
      </c>
      <c r="AA252" s="18">
        <f>SUM(Y252:Z252)</f>
        <v>0</v>
      </c>
      <c r="AB252" s="19">
        <f>MAYO!AD252</f>
        <v>0</v>
      </c>
      <c r="AC252" s="364">
        <v>0</v>
      </c>
      <c r="AD252" s="18">
        <f>SUM(AB252:AC252)</f>
        <v>0</v>
      </c>
      <c r="AE252" s="19">
        <f>MAYO!AG252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+IF(MAYO!S253=0,"",MAYO!S253)</f>
        <v>8002100-10</v>
      </c>
      <c r="T253" s="665" t="str">
        <f>+IF(MAYO!T253=0,"",MAYO!T253)</f>
        <v>Programas Especial 09</v>
      </c>
      <c r="U253" s="27">
        <f>+ENERO!U253</f>
        <v>0</v>
      </c>
      <c r="V253" s="15">
        <f>MAYO!V253+JUNIO!AL253</f>
        <v>0</v>
      </c>
      <c r="W253" s="15">
        <f>MAYO!W253+JUNIO!AM253</f>
        <v>0</v>
      </c>
      <c r="X253" s="18">
        <f>SUM(U253:W253)</f>
        <v>0</v>
      </c>
      <c r="Y253" s="19">
        <f>MAYO!AA253</f>
        <v>0</v>
      </c>
      <c r="Z253" s="364">
        <v>0</v>
      </c>
      <c r="AA253" s="18">
        <f>SUM(Y253:Z253)</f>
        <v>0</v>
      </c>
      <c r="AB253" s="19">
        <f>MAYO!AD253</f>
        <v>0</v>
      </c>
      <c r="AC253" s="364">
        <v>0</v>
      </c>
      <c r="AD253" s="18">
        <f>SUM(AB253:AC253)</f>
        <v>0</v>
      </c>
      <c r="AE253" s="19">
        <f>MAYO!AG253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+IF(MAYO!S254=0,"",MAYO!S254)</f>
        <v>8002100-11</v>
      </c>
      <c r="T254" s="665" t="str">
        <f>+IF(MAYO!T254=0,"",MAYO!T254)</f>
        <v>Programas Especial 10</v>
      </c>
      <c r="U254" s="27">
        <f>+ENERO!U254</f>
        <v>0</v>
      </c>
      <c r="V254" s="15">
        <f>MAYO!V254+JUNIO!AL254</f>
        <v>0</v>
      </c>
      <c r="W254" s="15">
        <f>MAYO!W254+JUNIO!AM254</f>
        <v>0</v>
      </c>
      <c r="X254" s="18">
        <f>SUM(U254:W254)</f>
        <v>0</v>
      </c>
      <c r="Y254" s="19">
        <f>MAYO!AA254</f>
        <v>0</v>
      </c>
      <c r="Z254" s="364">
        <v>0</v>
      </c>
      <c r="AA254" s="18">
        <f>SUM(Y254:Z254)</f>
        <v>0</v>
      </c>
      <c r="AB254" s="19">
        <f>MAYO!AD254</f>
        <v>0</v>
      </c>
      <c r="AC254" s="364">
        <v>0</v>
      </c>
      <c r="AD254" s="18">
        <f>SUM(AB254:AC254)</f>
        <v>0</v>
      </c>
      <c r="AE254" s="19">
        <f>MAYO!AG254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+IF(MAYO!S255=0,"",MAYO!S255)</f>
        <v>8002100-12</v>
      </c>
      <c r="T255" s="665" t="str">
        <f>+IF(MAYO!T255=0,"",MAYO!T255)</f>
        <v>Programas Especial 11</v>
      </c>
      <c r="U255" s="27">
        <f>+ENERO!U255</f>
        <v>0</v>
      </c>
      <c r="V255" s="15">
        <f>MAYO!V255+JUNIO!AL255</f>
        <v>0</v>
      </c>
      <c r="W255" s="15">
        <f>MAYO!W255+JUNIO!AM255</f>
        <v>0</v>
      </c>
      <c r="X255" s="18">
        <f t="shared" si="205"/>
        <v>0</v>
      </c>
      <c r="Y255" s="19">
        <f>MAYO!AA255</f>
        <v>0</v>
      </c>
      <c r="Z255" s="364">
        <v>0</v>
      </c>
      <c r="AA255" s="18">
        <f t="shared" si="206"/>
        <v>0</v>
      </c>
      <c r="AB255" s="19">
        <f>MAYO!AD255</f>
        <v>0</v>
      </c>
      <c r="AC255" s="364">
        <v>0</v>
      </c>
      <c r="AD255" s="18">
        <f t="shared" si="207"/>
        <v>0</v>
      </c>
      <c r="AE255" s="19">
        <f>MAYO!AG255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+IF(MAYO!S256=0,"",MAYO!S256)</f>
        <v>8002999</v>
      </c>
      <c r="T256" s="680" t="str">
        <f>+IF(MAYO!T256=0,"",MAYO!T256)</f>
        <v>Vigencias Anteriores</v>
      </c>
      <c r="U256" s="133">
        <f>+ENERO!U256</f>
        <v>0</v>
      </c>
      <c r="V256" s="121">
        <f>MAYO!V256+JUNIO!AL256</f>
        <v>0</v>
      </c>
      <c r="W256" s="121">
        <f>MAYO!W256+JUNIO!AM256</f>
        <v>475291402</v>
      </c>
      <c r="X256" s="126">
        <f t="shared" si="205"/>
        <v>475291402</v>
      </c>
      <c r="Y256" s="124">
        <f>MAYO!AA256</f>
        <v>464647234</v>
      </c>
      <c r="Z256" s="378">
        <v>0</v>
      </c>
      <c r="AA256" s="126">
        <f t="shared" si="206"/>
        <v>464647234</v>
      </c>
      <c r="AB256" s="124">
        <f>MAYO!AD256</f>
        <v>464647234</v>
      </c>
      <c r="AC256" s="378">
        <v>0</v>
      </c>
      <c r="AD256" s="126">
        <f t="shared" si="207"/>
        <v>464647234</v>
      </c>
      <c r="AE256" s="124">
        <f>MAYO!AG256</f>
        <v>464647234</v>
      </c>
      <c r="AF256" s="378">
        <v>0</v>
      </c>
      <c r="AG256" s="126">
        <f t="shared" si="208"/>
        <v>464647234</v>
      </c>
      <c r="AH256" s="124">
        <f t="shared" si="209"/>
        <v>10644168</v>
      </c>
      <c r="AI256" s="121">
        <f t="shared" si="210"/>
        <v>10644168</v>
      </c>
      <c r="AJ256" s="125">
        <f t="shared" si="211"/>
        <v>10644168</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+IF(MAYO!S257=0,"",MAYO!S257)</f>
        <v/>
      </c>
      <c r="T257" s="677" t="str">
        <f>+IF(MAYO!T257=0,"",MAYO!T257)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2">+(D10+D17+D113)-(V10+V193+V220+V232)</f>
        <v>0</v>
      </c>
      <c r="W258" s="330">
        <f t="shared" si="212"/>
        <v>0</v>
      </c>
      <c r="X258" s="330">
        <f t="shared" si="212"/>
        <v>0</v>
      </c>
      <c r="Y258" s="330">
        <f t="shared" si="212"/>
        <v>-11347346285</v>
      </c>
      <c r="Z258" s="330">
        <f t="shared" si="212"/>
        <v>-448671630</v>
      </c>
      <c r="AA258" s="330">
        <f t="shared" si="212"/>
        <v>-11796017915</v>
      </c>
      <c r="AB258" s="330">
        <f t="shared" si="212"/>
        <v>-6394915991.2400055</v>
      </c>
      <c r="AC258" s="330">
        <f t="shared" si="212"/>
        <v>4810551233</v>
      </c>
      <c r="AD258" s="330">
        <f t="shared" si="212"/>
        <v>-1584364758.2400055</v>
      </c>
      <c r="AE258" s="330">
        <f t="shared" si="212"/>
        <v>8493968771</v>
      </c>
      <c r="AF258" s="330">
        <f t="shared" si="212"/>
        <v>50996469386.239998</v>
      </c>
      <c r="AG258" s="330">
        <f t="shared" si="212"/>
        <v>-33253005080</v>
      </c>
      <c r="AH258" s="330">
        <f t="shared" si="212"/>
        <v>-25832296781</v>
      </c>
      <c r="AI258" s="330">
        <f t="shared" si="212"/>
        <v>-53530763783</v>
      </c>
      <c r="AJ258" s="768">
        <f t="shared" si="212"/>
        <v>-70349342348</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562</v>
      </c>
      <c r="T260" s="786"/>
      <c r="U260" s="761">
        <f>+U8-U262</f>
        <v>62391028787</v>
      </c>
      <c r="V260" s="761">
        <f t="shared" ref="V260:AJ260" si="213">+V8-V262</f>
        <v>-1660000000</v>
      </c>
      <c r="W260" s="761">
        <f t="shared" si="213"/>
        <v>24225295788</v>
      </c>
      <c r="X260" s="761">
        <f t="shared" si="213"/>
        <v>84956324575</v>
      </c>
      <c r="Y260" s="761">
        <f t="shared" si="213"/>
        <v>53687378664</v>
      </c>
      <c r="Z260" s="761">
        <f t="shared" si="213"/>
        <v>11091738664</v>
      </c>
      <c r="AA260" s="761">
        <f t="shared" si="213"/>
        <v>64779117328</v>
      </c>
      <c r="AB260" s="761">
        <f t="shared" si="213"/>
        <v>30901194540</v>
      </c>
      <c r="AC260" s="761">
        <f t="shared" si="213"/>
        <v>6179455786</v>
      </c>
      <c r="AD260" s="761">
        <f t="shared" si="213"/>
        <v>37080650326</v>
      </c>
      <c r="AE260" s="761">
        <f t="shared" si="213"/>
        <v>16515594821</v>
      </c>
      <c r="AF260" s="761">
        <f t="shared" si="213"/>
        <v>3746476940</v>
      </c>
      <c r="AG260" s="761">
        <f t="shared" si="213"/>
        <v>20262071761</v>
      </c>
      <c r="AH260" s="761">
        <f t="shared" si="213"/>
        <v>20177207247</v>
      </c>
      <c r="AI260" s="761">
        <f t="shared" si="213"/>
        <v>47875674249</v>
      </c>
      <c r="AJ260" s="762">
        <f t="shared" si="213"/>
        <v>64694252814</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563</v>
      </c>
      <c r="T262" s="788"/>
      <c r="U262" s="765">
        <f>+SUMIF($T$8:$T$256,$T$33,U8:U256)</f>
        <v>4029331818</v>
      </c>
      <c r="V262" s="765">
        <f t="shared" ref="V262:AJ262" si="214">+SUMIF($T$8:$T$256,$T$33,V8:V256)</f>
        <v>1660000000</v>
      </c>
      <c r="W262" s="765">
        <f t="shared" si="214"/>
        <v>12956691035</v>
      </c>
      <c r="X262" s="765">
        <f t="shared" si="214"/>
        <v>18646022853</v>
      </c>
      <c r="Y262" s="765">
        <f t="shared" si="214"/>
        <v>12618751104</v>
      </c>
      <c r="Z262" s="765">
        <f t="shared" si="214"/>
        <v>372182215</v>
      </c>
      <c r="AA262" s="765">
        <f t="shared" si="214"/>
        <v>12990933319</v>
      </c>
      <c r="AB262" s="765">
        <f t="shared" si="214"/>
        <v>12618751104</v>
      </c>
      <c r="AC262" s="765">
        <f t="shared" si="214"/>
        <v>372182215</v>
      </c>
      <c r="AD262" s="765">
        <f t="shared" si="214"/>
        <v>12990933319</v>
      </c>
      <c r="AE262" s="765">
        <f t="shared" si="214"/>
        <v>12618751104</v>
      </c>
      <c r="AF262" s="765">
        <f t="shared" si="214"/>
        <v>372182215</v>
      </c>
      <c r="AG262" s="765">
        <f t="shared" si="214"/>
        <v>12990933319</v>
      </c>
      <c r="AH262" s="765">
        <f t="shared" si="214"/>
        <v>5655089534</v>
      </c>
      <c r="AI262" s="765">
        <f t="shared" si="214"/>
        <v>5655089534</v>
      </c>
      <c r="AJ262" s="789">
        <f t="shared" si="214"/>
        <v>5655089534</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37181986823</v>
      </c>
      <c r="X264" s="783">
        <f t="shared" si="215"/>
        <v>103602347428</v>
      </c>
      <c r="Y264" s="783">
        <f t="shared" si="215"/>
        <v>66306129768</v>
      </c>
      <c r="Z264" s="783">
        <f t="shared" si="215"/>
        <v>11463920879</v>
      </c>
      <c r="AA264" s="783">
        <f t="shared" si="215"/>
        <v>77770050647</v>
      </c>
      <c r="AB264" s="783">
        <f t="shared" si="215"/>
        <v>43519945644</v>
      </c>
      <c r="AC264" s="783">
        <f t="shared" si="215"/>
        <v>6551638001</v>
      </c>
      <c r="AD264" s="783">
        <f t="shared" si="215"/>
        <v>50071583645</v>
      </c>
      <c r="AE264" s="783">
        <f t="shared" si="215"/>
        <v>29134345925</v>
      </c>
      <c r="AF264" s="783">
        <f t="shared" si="215"/>
        <v>4118659155</v>
      </c>
      <c r="AG264" s="783">
        <f t="shared" si="215"/>
        <v>33253005080</v>
      </c>
      <c r="AH264" s="783">
        <f t="shared" si="215"/>
        <v>25832296781</v>
      </c>
      <c r="AI264" s="783">
        <f t="shared" si="215"/>
        <v>53530763783</v>
      </c>
      <c r="AJ264" s="784">
        <f t="shared" si="215"/>
        <v>70349342348</v>
      </c>
    </row>
  </sheetData>
  <sheetProtection password="E076" sheet="1" objects="1" scenarios="1" formatCells="0" formatColumns="0"/>
  <mergeCells count="49">
    <mergeCell ref="A5:A6"/>
    <mergeCell ref="B5:B6"/>
    <mergeCell ref="C5:F5"/>
    <mergeCell ref="G5:I5"/>
    <mergeCell ref="P3:P5"/>
    <mergeCell ref="B3:B4"/>
    <mergeCell ref="D3:E4"/>
    <mergeCell ref="L3:M4"/>
    <mergeCell ref="F3:K4"/>
    <mergeCell ref="J5:L5"/>
    <mergeCell ref="AB5:AD5"/>
    <mergeCell ref="M5:N5"/>
    <mergeCell ref="S259:T259"/>
    <mergeCell ref="Q3:Q5"/>
    <mergeCell ref="S5:S6"/>
    <mergeCell ref="AL2:AM2"/>
    <mergeCell ref="N3:N4"/>
    <mergeCell ref="Y2:AG2"/>
    <mergeCell ref="AH3:AI4"/>
    <mergeCell ref="T3:T4"/>
    <mergeCell ref="AH2:AI2"/>
    <mergeCell ref="V3:X4"/>
    <mergeCell ref="V2:X2"/>
    <mergeCell ref="Y3:AG4"/>
    <mergeCell ref="AM3:AM5"/>
    <mergeCell ref="AL3:AL5"/>
    <mergeCell ref="AE5:AG5"/>
    <mergeCell ref="AJ3:AJ4"/>
    <mergeCell ref="AH5:AJ5"/>
    <mergeCell ref="T5:T6"/>
    <mergeCell ref="Y5:AA5"/>
    <mergeCell ref="A1:B1"/>
    <mergeCell ref="K1:N1"/>
    <mergeCell ref="P2:Q2"/>
    <mergeCell ref="C1:J1"/>
    <mergeCell ref="L2:M2"/>
    <mergeCell ref="D2:E2"/>
    <mergeCell ref="AW19:AZ19"/>
    <mergeCell ref="BM5:BM6"/>
    <mergeCell ref="BM2:BO2"/>
    <mergeCell ref="BM3:BO3"/>
    <mergeCell ref="BL5:BL6"/>
    <mergeCell ref="AW4:AZ4"/>
    <mergeCell ref="BG3:BI3"/>
    <mergeCell ref="BG2:BI2"/>
    <mergeCell ref="BB2:BC2"/>
    <mergeCell ref="BH5:BK5"/>
    <mergeCell ref="BF5:BF6"/>
    <mergeCell ref="BB3:BC3"/>
  </mergeCells>
  <phoneticPr fontId="1" type="noConversion"/>
  <conditionalFormatting sqref="B5:B7">
    <cfRule type="expression" dxfId="6"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S264"/>
  <sheetViews>
    <sheetView showGridLines="0" zoomScale="89" zoomScaleNormal="89" workbookViewId="0">
      <pane xSplit="2" ySplit="8" topLeftCell="C63" activePane="bottomRight" state="frozen"/>
      <selection pane="topRight" activeCell="C1" sqref="C1"/>
      <selection pane="bottomLeft" activeCell="A9" sqref="A9"/>
      <selection pane="bottomRight" activeCell="K79" sqref="K79"/>
    </sheetView>
  </sheetViews>
  <sheetFormatPr baseColWidth="10" defaultColWidth="0" defaultRowHeight="24.95" customHeight="1"/>
  <cols>
    <col min="1" max="1" width="14.7109375" style="735" customWidth="1"/>
    <col min="2" max="2" width="50.42578125" style="645" customWidth="1"/>
    <col min="3" max="3" width="16.28515625" style="262" bestFit="1" customWidth="1"/>
    <col min="4" max="4" width="16.140625" style="262" customWidth="1"/>
    <col min="5" max="6" width="14.42578125" style="262" customWidth="1"/>
    <col min="7" max="7" width="15.28515625" style="262" customWidth="1"/>
    <col min="8" max="8" width="16.28515625" style="262" customWidth="1"/>
    <col min="9" max="9" width="14.42578125" style="262" customWidth="1"/>
    <col min="10" max="10" width="16.28515625" style="262" customWidth="1"/>
    <col min="11" max="11" width="15.85546875" style="262" bestFit="1"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140625" style="657" customWidth="1"/>
    <col min="21" max="25" width="14.7109375" style="262" customWidth="1"/>
    <col min="26" max="26" width="15.5703125" style="262" customWidth="1"/>
    <col min="27" max="28" width="14.7109375" style="262" customWidth="1"/>
    <col min="29" max="29" width="16.28515625" style="262" bestFit="1" customWidth="1"/>
    <col min="30" max="30" width="17.28515625" style="262" bestFit="1" customWidth="1"/>
    <col min="31" max="32" width="17.7109375" style="262" bestFit="1" customWidth="1"/>
    <col min="33" max="33" width="18.7109375" style="262" bestFit="1"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140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7</v>
      </c>
      <c r="AP2" s="270" t="s">
        <v>7</v>
      </c>
      <c r="AQ2" s="271"/>
      <c r="AR2" s="3"/>
      <c r="AS2" s="3"/>
      <c r="AT2" s="3"/>
      <c r="AU2" s="3"/>
      <c r="AV2" s="3"/>
      <c r="AW2" s="3"/>
      <c r="AX2" s="3"/>
      <c r="AY2" s="3"/>
      <c r="AZ2" s="4"/>
      <c r="BB2" s="941" t="s">
        <v>588</v>
      </c>
      <c r="BC2" s="958"/>
      <c r="BD2" s="51" t="s">
        <v>380</v>
      </c>
      <c r="BE2" s="268" t="str">
        <f>+L3</f>
        <v>JULIO</v>
      </c>
      <c r="BF2" s="263"/>
      <c r="BG2" s="941" t="s">
        <v>589</v>
      </c>
      <c r="BH2" s="958"/>
      <c r="BI2" s="958"/>
      <c r="BJ2" s="51" t="s">
        <v>380</v>
      </c>
      <c r="BK2" s="268" t="str">
        <f>+BE2</f>
        <v>JULIO</v>
      </c>
      <c r="BM2" s="941" t="s">
        <v>589</v>
      </c>
      <c r="BN2" s="958"/>
      <c r="BO2" s="958"/>
      <c r="BP2" s="51" t="s">
        <v>380</v>
      </c>
      <c r="BQ2" s="268" t="str">
        <f>+BK2</f>
        <v>JULIO</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363</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JULIO</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2" customHeight="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66" t="str">
        <f>+CONCATENATE("ACUMULADO ",N3)</f>
        <v>ACUMULADO 2019</v>
      </c>
      <c r="BI5" s="967"/>
      <c r="BJ5" s="967"/>
      <c r="BK5" s="968"/>
      <c r="BM5" s="964" t="s">
        <v>32</v>
      </c>
      <c r="BN5" s="298" t="str">
        <f>+CONCATENATE("ACUMULADO ",BQ3)</f>
        <v>ACUMULADO 2019</v>
      </c>
      <c r="BO5" s="299"/>
      <c r="BP5" s="300"/>
      <c r="BQ5" s="301"/>
    </row>
    <row r="6" spans="1:69" ht="32.2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JULIO</v>
      </c>
      <c r="AS6" s="306" t="str">
        <f>AR6</f>
        <v>JULIO</v>
      </c>
      <c r="AT6" s="306" t="str">
        <f>AR6</f>
        <v>JULIO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65"/>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3610388967</v>
      </c>
      <c r="AR7" s="317">
        <f>I22</f>
        <v>2463128151</v>
      </c>
      <c r="AS7" s="317">
        <f>L22</f>
        <v>1291925209</v>
      </c>
      <c r="AT7" s="13"/>
      <c r="AU7" s="318">
        <f t="shared" ref="AU7:AU17" si="0">IF(AQ7=0," ",AR7/AQ7)</f>
        <v>0.68223345836520777</v>
      </c>
      <c r="AV7" s="318">
        <f t="shared" ref="AV7:AV17" si="1">IF(AQ7=0," ",AS7/AQ7)</f>
        <v>0.35783546338318956</v>
      </c>
      <c r="AW7" s="317">
        <f>I23/AO$2*12+I24</f>
        <v>3704299538.1428571</v>
      </c>
      <c r="AX7" s="317">
        <f>L23/AO$2*12+L24</f>
        <v>1696523066.1428571</v>
      </c>
      <c r="AY7" s="317">
        <f t="shared" ref="AY7:AY16" si="2">AW7-AQ7</f>
        <v>93910571.142857075</v>
      </c>
      <c r="AZ7" s="319">
        <f t="shared" ref="AZ7:AZ16" si="3">AX7-AQ7</f>
        <v>-1913865900.8571429</v>
      </c>
      <c r="BB7" s="320" t="s">
        <v>53</v>
      </c>
      <c r="BC7" s="54">
        <f>F10</f>
        <v>10176865038</v>
      </c>
      <c r="BD7" s="55">
        <f>I10</f>
        <v>10176865038</v>
      </c>
      <c r="BE7" s="56">
        <f>K10</f>
        <v>0</v>
      </c>
      <c r="BF7" s="57"/>
      <c r="BG7" s="91" t="s">
        <v>54</v>
      </c>
      <c r="BH7" s="116">
        <f>+SUM(BH8:BH11)</f>
        <v>41517639502</v>
      </c>
      <c r="BI7" s="116">
        <f>+SUM(BI8:BI11)</f>
        <v>33875859100</v>
      </c>
      <c r="BJ7" s="116">
        <f>+SUM(BJ8:BJ11)</f>
        <v>22377184418</v>
      </c>
      <c r="BK7" s="116">
        <f>+SUM(BK8:BK11)</f>
        <v>4386202402</v>
      </c>
      <c r="BM7" s="61" t="s">
        <v>54</v>
      </c>
      <c r="BN7" s="62">
        <f>BN8+BN15+BN22</f>
        <v>41517639502</v>
      </c>
      <c r="BO7" s="63">
        <f>BO8+BO15+BO22</f>
        <v>33875859100</v>
      </c>
      <c r="BP7" s="63">
        <f>BP8+BP15+BP22</f>
        <v>22377184418</v>
      </c>
      <c r="BQ7" s="64">
        <f>BQ8+BQ15+BQ22</f>
        <v>4386202402</v>
      </c>
    </row>
    <row r="8" spans="1:69" s="9" customFormat="1" ht="24.95" customHeight="1" thickBot="1">
      <c r="A8" s="711">
        <f>+IF(JUNIO!A8=0,"",JUNIO!A8)</f>
        <v>1</v>
      </c>
      <c r="B8" s="618" t="str">
        <f>+IF(JUNIO!B8=0,"",JUNIO!B8)</f>
        <v>INGRESOS</v>
      </c>
      <c r="C8" s="321">
        <f>C10+C17+C113</f>
        <v>66420360605</v>
      </c>
      <c r="D8" s="321">
        <f t="shared" ref="D8:Q8" si="4">D10+D17+D113</f>
        <v>0</v>
      </c>
      <c r="E8" s="321">
        <f t="shared" si="4"/>
        <v>37676301552</v>
      </c>
      <c r="F8" s="321">
        <f t="shared" si="4"/>
        <v>104096662157</v>
      </c>
      <c r="G8" s="321">
        <f t="shared" si="4"/>
        <v>65974032732</v>
      </c>
      <c r="H8" s="321">
        <f t="shared" si="4"/>
        <v>11506982464</v>
      </c>
      <c r="I8" s="321">
        <f t="shared" si="4"/>
        <v>77481015196</v>
      </c>
      <c r="J8" s="321">
        <f t="shared" si="4"/>
        <v>48487218886.759995</v>
      </c>
      <c r="K8" s="321">
        <f t="shared" si="4"/>
        <v>8947126571</v>
      </c>
      <c r="L8" s="321">
        <f t="shared" si="4"/>
        <v>57434345457.759995</v>
      </c>
      <c r="M8" s="321">
        <f t="shared" si="4"/>
        <v>26615646961</v>
      </c>
      <c r="N8" s="321">
        <f t="shared" si="4"/>
        <v>46662316699.239998</v>
      </c>
      <c r="O8" s="323"/>
      <c r="P8" s="324">
        <f t="shared" si="4"/>
        <v>0</v>
      </c>
      <c r="Q8" s="322">
        <f t="shared" si="4"/>
        <v>494314729</v>
      </c>
      <c r="S8" s="684" t="str">
        <f>+IF(JUNIO!S8=0,"",JUNIO!S8)</f>
        <v/>
      </c>
      <c r="T8" s="658" t="str">
        <f>+IF(JUNIO!T8=0,"",JUNIO!T8)</f>
        <v>GASTOS</v>
      </c>
      <c r="U8" s="325">
        <f>U10+U193+U220+U232</f>
        <v>66420360605</v>
      </c>
      <c r="V8" s="326">
        <f t="shared" ref="V8:AJ8" si="5">V10+V193+V220+V232</f>
        <v>0</v>
      </c>
      <c r="W8" s="326">
        <f t="shared" si="5"/>
        <v>37676301552</v>
      </c>
      <c r="X8" s="327">
        <f t="shared" si="5"/>
        <v>104096662157</v>
      </c>
      <c r="Y8" s="328">
        <f t="shared" si="5"/>
        <v>77770050647</v>
      </c>
      <c r="Z8" s="326">
        <f t="shared" si="5"/>
        <v>4220726517</v>
      </c>
      <c r="AA8" s="327">
        <f t="shared" si="5"/>
        <v>81990777164</v>
      </c>
      <c r="AB8" s="328">
        <f t="shared" si="5"/>
        <v>50071583645</v>
      </c>
      <c r="AC8" s="326">
        <f t="shared" si="5"/>
        <v>9910386396</v>
      </c>
      <c r="AD8" s="327">
        <f t="shared" si="5"/>
        <v>59981970041</v>
      </c>
      <c r="AE8" s="328">
        <f t="shared" si="5"/>
        <v>33253005080</v>
      </c>
      <c r="AF8" s="326">
        <f t="shared" si="5"/>
        <v>12185691302</v>
      </c>
      <c r="AG8" s="327">
        <f t="shared" si="5"/>
        <v>45438696382</v>
      </c>
      <c r="AH8" s="328">
        <f t="shared" si="5"/>
        <v>22105884993</v>
      </c>
      <c r="AI8" s="326">
        <f t="shared" si="5"/>
        <v>44114692116</v>
      </c>
      <c r="AJ8" s="329">
        <f t="shared" si="5"/>
        <v>58657965775</v>
      </c>
      <c r="AL8" s="330">
        <f>AL10+AL193+AL220+AL232</f>
        <v>0</v>
      </c>
      <c r="AM8" s="331">
        <f>AM10+AM193+AM220+AM232</f>
        <v>494314729</v>
      </c>
      <c r="AO8" s="21"/>
      <c r="AP8" s="11" t="s">
        <v>56</v>
      </c>
      <c r="AQ8" s="12">
        <f>F25</f>
        <v>39978234999</v>
      </c>
      <c r="AR8" s="12">
        <f>I25</f>
        <v>27688791123</v>
      </c>
      <c r="AS8" s="12">
        <f>L25</f>
        <v>18644603341</v>
      </c>
      <c r="AT8" s="13"/>
      <c r="AU8" s="332">
        <f t="shared" si="0"/>
        <v>0.69259663723755183</v>
      </c>
      <c r="AV8" s="332">
        <f t="shared" si="1"/>
        <v>0.46636884648525301</v>
      </c>
      <c r="AW8" s="12">
        <f>I26/AO$2*12+I27</f>
        <v>41837974450.857147</v>
      </c>
      <c r="AX8" s="12">
        <f>L26/AO$2*12+L27</f>
        <v>26333652538.857143</v>
      </c>
      <c r="AY8" s="12">
        <f t="shared" si="2"/>
        <v>1859739451.8571472</v>
      </c>
      <c r="AZ8" s="333">
        <f t="shared" si="3"/>
        <v>-13644582460.142857</v>
      </c>
      <c r="BB8" s="140" t="s">
        <v>57</v>
      </c>
      <c r="BC8" s="65">
        <f>BC9+BC19</f>
        <v>81611456100</v>
      </c>
      <c r="BD8" s="66">
        <f>BD9+BD19</f>
        <v>53260305513</v>
      </c>
      <c r="BE8" s="67">
        <f>BE9+BE19</f>
        <v>7011334888</v>
      </c>
      <c r="BF8" s="57"/>
      <c r="BG8" s="68" t="s">
        <v>58</v>
      </c>
      <c r="BH8" s="69">
        <f>BN9+BN13</f>
        <v>6992597719</v>
      </c>
      <c r="BI8" s="69">
        <f>BO9+BO13</f>
        <v>2934843555</v>
      </c>
      <c r="BJ8" s="69">
        <f>BP9+BP13</f>
        <v>2934843555</v>
      </c>
      <c r="BK8" s="69">
        <f>BQ9+BQ13</f>
        <v>477552457</v>
      </c>
      <c r="BM8" s="71" t="s">
        <v>59</v>
      </c>
      <c r="BN8" s="72">
        <f>BN9+BN14+BN13</f>
        <v>29460151102</v>
      </c>
      <c r="BO8" s="69">
        <f>BO9+BO14+BO13</f>
        <v>24986176981</v>
      </c>
      <c r="BP8" s="69">
        <f>BP9+BP14+BP13</f>
        <v>15834329700</v>
      </c>
      <c r="BQ8" s="70">
        <f>BQ9+BQ14+BQ13</f>
        <v>2723596779</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10928080263</v>
      </c>
      <c r="AR9" s="12">
        <f>I28+I75</f>
        <v>10297829101</v>
      </c>
      <c r="AS9" s="12">
        <f>L28+L75</f>
        <v>4006416080</v>
      </c>
      <c r="AT9" s="13"/>
      <c r="AU9" s="340">
        <f t="shared" si="0"/>
        <v>0.94232736703683562</v>
      </c>
      <c r="AV9" s="340">
        <f t="shared" si="1"/>
        <v>0.36661664112816006</v>
      </c>
      <c r="AW9" s="341">
        <f>(I30+I33+I36+I76)/AO$2*12+I31+I34+I37+I38+I39+I40+I77</f>
        <v>15178235673.142857</v>
      </c>
      <c r="AX9" s="341">
        <f>(L30+L33+L36+L76)/AO$2*12+L31+L34+L37+L38+L39+L40+L77</f>
        <v>4392956208.5714283</v>
      </c>
      <c r="AY9" s="341">
        <f t="shared" si="2"/>
        <v>4250155410.1428566</v>
      </c>
      <c r="AZ9" s="342">
        <f t="shared" si="3"/>
        <v>-6535124054.4285717</v>
      </c>
      <c r="BB9" s="343" t="s">
        <v>412</v>
      </c>
      <c r="BC9" s="73">
        <f>BC10+BC18</f>
        <v>81511078037</v>
      </c>
      <c r="BD9" s="74">
        <f>BD10+BD18</f>
        <v>53159056458</v>
      </c>
      <c r="BE9" s="75">
        <f>BE10+BE18</f>
        <v>6979810252</v>
      </c>
      <c r="BF9" s="76"/>
      <c r="BG9" s="77" t="s">
        <v>62</v>
      </c>
      <c r="BH9" s="78">
        <f t="shared" ref="BH9:BK10" si="6">BN14</f>
        <v>22467553383</v>
      </c>
      <c r="BI9" s="78">
        <f t="shared" si="6"/>
        <v>22051333426</v>
      </c>
      <c r="BJ9" s="78">
        <f t="shared" si="6"/>
        <v>12899486145</v>
      </c>
      <c r="BK9" s="78">
        <f t="shared" si="6"/>
        <v>2246044322</v>
      </c>
      <c r="BM9" s="137" t="s">
        <v>63</v>
      </c>
      <c r="BN9" s="80">
        <f>SUM(BN10:BN12)</f>
        <v>5208685503</v>
      </c>
      <c r="BO9" s="78">
        <f>SUM(BO10:BO12)</f>
        <v>2317451881</v>
      </c>
      <c r="BP9" s="78">
        <f>SUM(BP10:BP12)</f>
        <v>2317451881</v>
      </c>
      <c r="BQ9" s="79">
        <f>SUM(BQ10:BQ12)</f>
        <v>368214824</v>
      </c>
    </row>
    <row r="10" spans="1:69" s="9" customFormat="1" ht="24.95" customHeight="1">
      <c r="A10" s="712">
        <f>+IF(JUNIO!A10=0,"",JUNIO!A10)</f>
        <v>10</v>
      </c>
      <c r="B10" s="620" t="str">
        <f>+IF(JUNIO!B10=0,"",JUNIO!B10)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346">
        <f t="shared" si="7"/>
        <v>10176865038</v>
      </c>
      <c r="J10" s="174">
        <f t="shared" si="7"/>
        <v>10176865038</v>
      </c>
      <c r="K10" s="344">
        <f t="shared" si="7"/>
        <v>0</v>
      </c>
      <c r="L10" s="175">
        <f t="shared" si="7"/>
        <v>10176865038</v>
      </c>
      <c r="M10" s="174">
        <f t="shared" si="7"/>
        <v>0</v>
      </c>
      <c r="N10" s="175">
        <f t="shared" si="7"/>
        <v>0</v>
      </c>
      <c r="O10" s="13"/>
      <c r="P10" s="174">
        <f>SUM(P12:P15)</f>
        <v>0</v>
      </c>
      <c r="Q10" s="175">
        <f>SUM(Q12:Q15)</f>
        <v>0</v>
      </c>
      <c r="S10" s="347" t="str">
        <f>+IF(JUNIO!S10=0,"",JUNIO!S10)</f>
        <v>A</v>
      </c>
      <c r="T10" s="659" t="str">
        <f>+IF(JUNIO!T10=0,"",JUNIO!T10)</f>
        <v>GASTOS DE FUNCIONAMIENTO</v>
      </c>
      <c r="U10" s="348">
        <f>U12+U110+U170</f>
        <v>50109343517</v>
      </c>
      <c r="V10" s="349">
        <f t="shared" ref="V10:AJ10" si="8">V12+V110+V170</f>
        <v>-4725317789</v>
      </c>
      <c r="W10" s="349">
        <f t="shared" si="8"/>
        <v>3917496803</v>
      </c>
      <c r="X10" s="352">
        <f t="shared" si="8"/>
        <v>49301522531</v>
      </c>
      <c r="Y10" s="351">
        <f t="shared" si="8"/>
        <v>40146436137</v>
      </c>
      <c r="Z10" s="349">
        <f t="shared" si="8"/>
        <v>869812286</v>
      </c>
      <c r="AA10" s="352">
        <f t="shared" si="8"/>
        <v>41016248423</v>
      </c>
      <c r="AB10" s="351">
        <f t="shared" si="8"/>
        <v>26174605760</v>
      </c>
      <c r="AC10" s="349">
        <f t="shared" si="8"/>
        <v>3342967981</v>
      </c>
      <c r="AD10" s="352">
        <f t="shared" si="8"/>
        <v>29517573741</v>
      </c>
      <c r="AE10" s="351">
        <f t="shared" si="8"/>
        <v>17112921802</v>
      </c>
      <c r="AF10" s="349">
        <f t="shared" si="8"/>
        <v>4445432336</v>
      </c>
      <c r="AG10" s="352">
        <f t="shared" si="8"/>
        <v>21558354138</v>
      </c>
      <c r="AH10" s="351">
        <f t="shared" si="8"/>
        <v>8285274108</v>
      </c>
      <c r="AI10" s="349">
        <f t="shared" si="8"/>
        <v>19783948790</v>
      </c>
      <c r="AJ10" s="350">
        <f t="shared" si="8"/>
        <v>27743168393</v>
      </c>
      <c r="AL10" s="353">
        <f>AL12+AL110+AL170</f>
        <v>-2930317789</v>
      </c>
      <c r="AM10" s="354">
        <f>AM12+AM110+AM170</f>
        <v>94314729</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65528178964</v>
      </c>
      <c r="BD10" s="74">
        <f>BD11+BD12+BD13+BD14+BD16+BD17+BD15</f>
        <v>38346568104</v>
      </c>
      <c r="BE10" s="75">
        <f>BE11+BE12+BE13+BE14+BE16+BE17+BE15</f>
        <v>3521766320</v>
      </c>
      <c r="BF10" s="76"/>
      <c r="BG10" s="68" t="s">
        <v>66</v>
      </c>
      <c r="BH10" s="81">
        <f t="shared" si="6"/>
        <v>10775134256</v>
      </c>
      <c r="BI10" s="81">
        <f t="shared" si="6"/>
        <v>8243732009</v>
      </c>
      <c r="BJ10" s="81">
        <f t="shared" si="6"/>
        <v>5896904608</v>
      </c>
      <c r="BK10" s="81">
        <f t="shared" si="6"/>
        <v>1575152554</v>
      </c>
      <c r="BM10" s="134" t="s">
        <v>425</v>
      </c>
      <c r="BN10" s="83">
        <f>X17+X66</f>
        <v>3649004812</v>
      </c>
      <c r="BO10" s="81">
        <f>AA17+AA66</f>
        <v>1936181838</v>
      </c>
      <c r="BP10" s="81">
        <f>AD17+AD66</f>
        <v>1936181838</v>
      </c>
      <c r="BQ10" s="82">
        <f>AF17+AF66</f>
        <v>292209855</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222386275</v>
      </c>
      <c r="AR11" s="12">
        <f>I88</f>
        <v>155791839</v>
      </c>
      <c r="AS11" s="12">
        <f>L88</f>
        <v>155791839</v>
      </c>
      <c r="AT11" s="361">
        <f>AO2/12</f>
        <v>0.58333333333333337</v>
      </c>
      <c r="AU11" s="340">
        <f t="shared" si="0"/>
        <v>0.70054610609400247</v>
      </c>
      <c r="AV11" s="340">
        <f t="shared" si="1"/>
        <v>0.70054610609400247</v>
      </c>
      <c r="AW11" s="341">
        <f>I88</f>
        <v>155791839</v>
      </c>
      <c r="AX11" s="341">
        <f>L88</f>
        <v>155791839</v>
      </c>
      <c r="AY11" s="341">
        <f t="shared" si="2"/>
        <v>-66594436</v>
      </c>
      <c r="AZ11" s="342">
        <f t="shared" si="3"/>
        <v>-66594436</v>
      </c>
      <c r="BB11" s="355" t="s">
        <v>414</v>
      </c>
      <c r="BC11" s="73">
        <f>F26</f>
        <v>32167564656</v>
      </c>
      <c r="BD11" s="74">
        <f>I26</f>
        <v>19808856659</v>
      </c>
      <c r="BE11" s="75">
        <f>K26</f>
        <v>2634290212</v>
      </c>
      <c r="BF11" s="76"/>
      <c r="BG11" s="68" t="s">
        <v>67</v>
      </c>
      <c r="BH11" s="84">
        <f>BN22</f>
        <v>1282354144</v>
      </c>
      <c r="BI11" s="84">
        <f>BO22</f>
        <v>645950110</v>
      </c>
      <c r="BJ11" s="84">
        <f>BP22</f>
        <v>645950110</v>
      </c>
      <c r="BK11" s="84">
        <f>BQ22</f>
        <v>87453069</v>
      </c>
      <c r="BM11" s="135" t="s">
        <v>426</v>
      </c>
      <c r="BN11" s="86">
        <f>X18+X67</f>
        <v>336902465</v>
      </c>
      <c r="BO11" s="84">
        <f>AA18+AA67</f>
        <v>71566666</v>
      </c>
      <c r="BP11" s="84">
        <f>AD18+AD67</f>
        <v>71566666</v>
      </c>
      <c r="BQ11" s="85">
        <f>AF18+AF67</f>
        <v>13734840</v>
      </c>
    </row>
    <row r="12" spans="1:69" s="9" customFormat="1" ht="24.95" customHeight="1">
      <c r="A12" s="593">
        <f>+IF(JUNIO!A12=0,"",JUNIO!A12)</f>
        <v>1001</v>
      </c>
      <c r="B12" s="621" t="str">
        <f>+IF(JUNIO!B12=0,"",JUNIO!B12)</f>
        <v>Bienestar Social (Caja, Bancos, Inversiones Tempor.) a Dic-31-2018</v>
      </c>
      <c r="C12" s="655">
        <f>+ENERO!C12</f>
        <v>0</v>
      </c>
      <c r="D12" s="363">
        <f>JUNIO!D12+JULIO!P12</f>
        <v>0</v>
      </c>
      <c r="E12" s="363">
        <f>JUNIO!E12+JULIO!Q12</f>
        <v>0</v>
      </c>
      <c r="F12" s="143">
        <f>SUM(C12:E12)</f>
        <v>0</v>
      </c>
      <c r="G12" s="216">
        <f>JUNIO!I12</f>
        <v>0</v>
      </c>
      <c r="H12" s="364">
        <v>0</v>
      </c>
      <c r="I12" s="143">
        <f>SUM(G12:H12)</f>
        <v>0</v>
      </c>
      <c r="J12" s="216">
        <f>JUNIO!L12</f>
        <v>0</v>
      </c>
      <c r="K12" s="131">
        <f>+H12</f>
        <v>0</v>
      </c>
      <c r="L12" s="143">
        <f>SUM(J12:K12)</f>
        <v>0</v>
      </c>
      <c r="M12" s="216">
        <f>F12-I12</f>
        <v>0</v>
      </c>
      <c r="N12" s="143">
        <f>F12-L12</f>
        <v>0</v>
      </c>
      <c r="O12" s="284"/>
      <c r="P12" s="362">
        <v>0</v>
      </c>
      <c r="Q12" s="365">
        <v>0</v>
      </c>
      <c r="S12" s="685">
        <f>+IF(JUNIO!S12=0,"",JUNIO!S12)</f>
        <v>1000000</v>
      </c>
      <c r="T12" s="661" t="str">
        <f>+IF(JUNIO!T12=0,"",JUNIO!T12)</f>
        <v>GASTOS DE PERSONAL</v>
      </c>
      <c r="U12" s="366">
        <f t="shared" ref="U12:AJ12" si="9">U14+U63</f>
        <v>36893269846</v>
      </c>
      <c r="V12" s="367">
        <f t="shared" si="9"/>
        <v>-3504317789</v>
      </c>
      <c r="W12" s="367">
        <f t="shared" si="9"/>
        <v>1873182074</v>
      </c>
      <c r="X12" s="368">
        <f t="shared" si="9"/>
        <v>35262134131</v>
      </c>
      <c r="Y12" s="353">
        <f t="shared" si="9"/>
        <v>29811016888</v>
      </c>
      <c r="Z12" s="367">
        <f t="shared" si="9"/>
        <v>490060684</v>
      </c>
      <c r="AA12" s="368">
        <f t="shared" si="9"/>
        <v>30301077572</v>
      </c>
      <c r="AB12" s="353">
        <f t="shared" si="9"/>
        <v>18749655175</v>
      </c>
      <c r="AC12" s="367">
        <f t="shared" si="9"/>
        <v>2399575116</v>
      </c>
      <c r="AD12" s="368">
        <f t="shared" si="9"/>
        <v>21149230291</v>
      </c>
      <c r="AE12" s="353">
        <f t="shared" si="9"/>
        <v>11802807051</v>
      </c>
      <c r="AF12" s="367">
        <f t="shared" si="9"/>
        <v>2748376828</v>
      </c>
      <c r="AG12" s="368">
        <f t="shared" si="9"/>
        <v>14551183879</v>
      </c>
      <c r="AH12" s="353">
        <f t="shared" si="9"/>
        <v>4961056559</v>
      </c>
      <c r="AI12" s="367">
        <f t="shared" si="9"/>
        <v>14112903840</v>
      </c>
      <c r="AJ12" s="354">
        <f t="shared" si="9"/>
        <v>20710950252</v>
      </c>
      <c r="AK12" s="10"/>
      <c r="AL12" s="369">
        <f>AL14+AL63</f>
        <v>-2990317789</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3087894380</v>
      </c>
      <c r="BD12" s="74">
        <f>I23</f>
        <v>1737639942</v>
      </c>
      <c r="BE12" s="75">
        <f>K23</f>
        <v>383530594</v>
      </c>
      <c r="BF12" s="76"/>
      <c r="BG12" s="371" t="s">
        <v>383</v>
      </c>
      <c r="BH12" s="84">
        <f>BN25</f>
        <v>15465908715</v>
      </c>
      <c r="BI12" s="15">
        <f>BO25</f>
        <v>14136275669</v>
      </c>
      <c r="BJ12" s="84">
        <f>BP25</f>
        <v>11403785812</v>
      </c>
      <c r="BK12" s="84">
        <f>BQ25</f>
        <v>2378518047</v>
      </c>
      <c r="BM12" s="136" t="s">
        <v>427</v>
      </c>
      <c r="BN12" s="86">
        <f>X16+X65-X81-X33-BN10-BN11</f>
        <v>1222778226</v>
      </c>
      <c r="BO12" s="84">
        <f>AA16+AA65-AA81-AA33-BO10-BO11</f>
        <v>309703377</v>
      </c>
      <c r="BP12" s="84">
        <f>AD16+AD65-AD81-AD33-BP10-BP11</f>
        <v>309703377</v>
      </c>
      <c r="BQ12" s="85">
        <f>AF16+AF65-AF81-AF33-BQ10-BQ11</f>
        <v>62270129</v>
      </c>
    </row>
    <row r="13" spans="1:69" s="9" customFormat="1" ht="24.95" customHeight="1">
      <c r="A13" s="593">
        <f>+IF(JUNIO!A13=0,"",JUNIO!A13)</f>
        <v>1002</v>
      </c>
      <c r="B13" s="621" t="str">
        <f>+IF(JUNIO!B13=0,"",JUNIO!B13)</f>
        <v>Fondo Vivienda (Caja, Bancos, Inversiones Tempor.) a Dic-31-2018</v>
      </c>
      <c r="C13" s="655">
        <f>+ENERO!C13</f>
        <v>0</v>
      </c>
      <c r="D13" s="363">
        <f>JUNIO!D13+JULIO!P13</f>
        <v>0</v>
      </c>
      <c r="E13" s="363">
        <f>JUNIO!E13+JULIO!Q13</f>
        <v>0</v>
      </c>
      <c r="F13" s="143">
        <f>SUM(C13:E13)</f>
        <v>0</v>
      </c>
      <c r="G13" s="216">
        <f>JUNIO!I13</f>
        <v>0</v>
      </c>
      <c r="H13" s="364">
        <v>0</v>
      </c>
      <c r="I13" s="143">
        <f>SUM(G13:H13)</f>
        <v>0</v>
      </c>
      <c r="J13" s="216">
        <f>JUNIO!L13</f>
        <v>0</v>
      </c>
      <c r="K13" s="131">
        <f>+H13</f>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7247357392</v>
      </c>
      <c r="BE13" s="89">
        <f>+K30+K33+K36+K38+K39+K40</f>
        <v>110396695</v>
      </c>
      <c r="BF13" s="90"/>
      <c r="BG13" s="91" t="s">
        <v>70</v>
      </c>
      <c r="BH13" s="84">
        <f t="shared" ref="BH13:BK15" si="10">BN29</f>
        <v>26829618396</v>
      </c>
      <c r="BI13" s="84">
        <f t="shared" si="10"/>
        <v>19280473830</v>
      </c>
      <c r="BJ13" s="84">
        <f t="shared" si="10"/>
        <v>11502831246</v>
      </c>
      <c r="BK13" s="84">
        <f t="shared" si="10"/>
        <v>3868516401</v>
      </c>
      <c r="BM13" s="139" t="s">
        <v>428</v>
      </c>
      <c r="BN13" s="83">
        <f>X43-X55+X57-X61+X90-X102+X104-X108</f>
        <v>1783912216</v>
      </c>
      <c r="BO13" s="81">
        <f>AA43-AA55+AA57-AA61+AA90-AA102+AA104-AA108</f>
        <v>617391674</v>
      </c>
      <c r="BP13" s="81">
        <f>AD43-AD55+AD57-AD61+AD90-AD102+AD104-AD108</f>
        <v>617391674</v>
      </c>
      <c r="BQ13" s="82">
        <f>AF43-AF55+AF57-AF61+AF90-AF102+AF104-AF108</f>
        <v>109337633</v>
      </c>
    </row>
    <row r="14" spans="1:69" s="9" customFormat="1" ht="24.95" customHeight="1">
      <c r="A14" s="593">
        <f>+IF(JUNIO!A14=0,"",JUNIO!A14)</f>
        <v>1003</v>
      </c>
      <c r="B14" s="621" t="str">
        <f>+IF(JUNIO!B14=0,"",JUNIO!B14)</f>
        <v>Fondos Comunes y Especiales (Caja, Bancos, Invers. Tempor.) a Dic-31-2018</v>
      </c>
      <c r="C14" s="655">
        <f>+ENERO!C14</f>
        <v>4565434734</v>
      </c>
      <c r="D14" s="363">
        <f>JUNIO!D14+JULIO!P14</f>
        <v>0</v>
      </c>
      <c r="E14" s="363">
        <f>JUNIO!E14+JULIO!Q14</f>
        <v>5318248230</v>
      </c>
      <c r="F14" s="143">
        <f>SUM(C14:E14)</f>
        <v>9883682964</v>
      </c>
      <c r="G14" s="216">
        <f>JUNIO!I14</f>
        <v>9883682964</v>
      </c>
      <c r="H14" s="364">
        <v>0</v>
      </c>
      <c r="I14" s="143">
        <f>SUM(G14:H14)</f>
        <v>9883682964</v>
      </c>
      <c r="J14" s="216">
        <f>JUNIO!L14</f>
        <v>9883682964</v>
      </c>
      <c r="K14" s="131">
        <f>+H14</f>
        <v>0</v>
      </c>
      <c r="L14" s="143">
        <f>SUM(J14:K14)</f>
        <v>9883682964</v>
      </c>
      <c r="M14" s="216">
        <f>F14-I14</f>
        <v>0</v>
      </c>
      <c r="N14" s="143">
        <f>F14-L14</f>
        <v>0</v>
      </c>
      <c r="O14" s="372"/>
      <c r="P14" s="362">
        <v>0</v>
      </c>
      <c r="Q14" s="365">
        <v>0</v>
      </c>
      <c r="S14" s="686">
        <f>+IF(JUNIO!S14=0,"",JUNIO!S14)</f>
        <v>1010000</v>
      </c>
      <c r="T14" s="662" t="str">
        <f>+IF(JUNIO!T14=0,"",JUNIO!T14)</f>
        <v>Gastos de Administración</v>
      </c>
      <c r="U14" s="132">
        <f t="shared" ref="U14:AJ14" si="11">U16+U35+U43+U57</f>
        <v>6899222078</v>
      </c>
      <c r="V14" s="122">
        <f t="shared" si="11"/>
        <v>-483979942</v>
      </c>
      <c r="W14" s="122">
        <f t="shared" si="11"/>
        <v>220000000</v>
      </c>
      <c r="X14" s="129">
        <f t="shared" si="11"/>
        <v>6635242136</v>
      </c>
      <c r="Y14" s="128">
        <f t="shared" si="11"/>
        <v>5434141670</v>
      </c>
      <c r="Z14" s="122">
        <f t="shared" si="11"/>
        <v>129687102</v>
      </c>
      <c r="AA14" s="129">
        <f t="shared" si="11"/>
        <v>5563828772</v>
      </c>
      <c r="AB14" s="128">
        <f t="shared" si="11"/>
        <v>3561689366</v>
      </c>
      <c r="AC14" s="122">
        <f t="shared" si="11"/>
        <v>499360904</v>
      </c>
      <c r="AD14" s="129">
        <f t="shared" si="11"/>
        <v>4061050270</v>
      </c>
      <c r="AE14" s="128">
        <f t="shared" si="11"/>
        <v>2730722976</v>
      </c>
      <c r="AF14" s="122">
        <f t="shared" si="11"/>
        <v>835656353</v>
      </c>
      <c r="AG14" s="129">
        <f t="shared" si="11"/>
        <v>3566379329</v>
      </c>
      <c r="AH14" s="128">
        <f t="shared" si="11"/>
        <v>1071413364</v>
      </c>
      <c r="AI14" s="122">
        <f t="shared" si="11"/>
        <v>2574191866</v>
      </c>
      <c r="AJ14" s="130">
        <f t="shared" si="11"/>
        <v>3068862807</v>
      </c>
      <c r="AK14" s="10"/>
      <c r="AL14" s="128">
        <f>AL16+AL35+AL43+AL57</f>
        <v>-556478874</v>
      </c>
      <c r="AM14" s="130">
        <f>AM16+AM35+AM43+AM57</f>
        <v>0</v>
      </c>
      <c r="AO14" s="21"/>
      <c r="AP14" s="11" t="s">
        <v>73</v>
      </c>
      <c r="AQ14" s="12">
        <f>F19-AQ7-AQ8-AQ9-AQ10-AQ11-AQ12-AQ13</f>
        <v>22769928075</v>
      </c>
      <c r="AR14" s="12">
        <f>I19-AR7-AR8-AR9-AR10-AR11-AR12-AR13</f>
        <v>11199096475</v>
      </c>
      <c r="AS14" s="12">
        <f>L19-AS7-AS8-AS9-AS10-AS11-AS12-AS13</f>
        <v>7711419027.7599983</v>
      </c>
      <c r="AT14" s="372"/>
      <c r="AU14" s="340">
        <f t="shared" si="0"/>
        <v>0.49183714757957137</v>
      </c>
      <c r="AV14" s="340">
        <f t="shared" si="1"/>
        <v>0.3386668153873823</v>
      </c>
      <c r="AW14" s="341">
        <f>(I41+I46+I49+I52+I55+I58+I61+I64+I67+I70+I73+I78+I81+I82+I83+I85+I94+I104)/AO$2*12+I47+I50+I53+I56+I59+I62+I65+I68+I71+I74</f>
        <v>43581578644.428574</v>
      </c>
      <c r="AX14" s="341">
        <f>(L41+L46+L49+L52+L55+L58+L61+L64+L67+L70+L73+L78+L81+L82+L83+L85+L94+L104)/AO$2*12+L47+L50+L53+L56+L59+L62+L65+L68+L71+L74</f>
        <v>37513236941.952858</v>
      </c>
      <c r="AY14" s="341">
        <f t="shared" si="2"/>
        <v>20811650569.428574</v>
      </c>
      <c r="AZ14" s="342">
        <f t="shared" si="3"/>
        <v>14743308866.952858</v>
      </c>
      <c r="BB14" s="373" t="s">
        <v>417</v>
      </c>
      <c r="BC14" s="92">
        <f>+F64</f>
        <v>8371510292</v>
      </c>
      <c r="BD14" s="93">
        <f>+I64</f>
        <v>3202170274</v>
      </c>
      <c r="BE14" s="94">
        <f>K64</f>
        <v>281232224</v>
      </c>
      <c r="BF14" s="95"/>
      <c r="BG14" s="91" t="s">
        <v>74</v>
      </c>
      <c r="BH14" s="81">
        <f t="shared" si="10"/>
        <v>262344980</v>
      </c>
      <c r="BI14" s="81">
        <f t="shared" si="10"/>
        <v>180306356</v>
      </c>
      <c r="BJ14" s="81">
        <f t="shared" si="10"/>
        <v>180306356</v>
      </c>
      <c r="BK14" s="81">
        <f t="shared" si="10"/>
        <v>25525562</v>
      </c>
      <c r="BM14" s="138" t="s">
        <v>424</v>
      </c>
      <c r="BN14" s="86">
        <f>X35-X41+X83-X88</f>
        <v>22467553383</v>
      </c>
      <c r="BO14" s="84">
        <f>AA35-AA41+AA83-AA88</f>
        <v>22051333426</v>
      </c>
      <c r="BP14" s="84">
        <f>AD35-AD41+AD83-AD88</f>
        <v>12899486145</v>
      </c>
      <c r="BQ14" s="85">
        <f>AF35-AF41+AF83-AF88</f>
        <v>2246044322</v>
      </c>
    </row>
    <row r="15" spans="1:69" s="9" customFormat="1" ht="24.95" customHeight="1" thickBot="1">
      <c r="A15" s="594">
        <f>+IF(JUNIO!A15=0,"",JUNIO!A15)</f>
        <v>1004</v>
      </c>
      <c r="B15" s="621" t="str">
        <f>+IF(JUNIO!B15=0,"",JUNIO!B15)</f>
        <v>Cesantias Ley 50/1990 a Dic-31-2018</v>
      </c>
      <c r="C15" s="759">
        <f>+ENERO!C15</f>
        <v>280000000</v>
      </c>
      <c r="D15" s="375">
        <f>JUNIO!D15+JULIO!P15</f>
        <v>0</v>
      </c>
      <c r="E15" s="375">
        <f>JUNIO!E15+JULIO!Q15</f>
        <v>13182074</v>
      </c>
      <c r="F15" s="376">
        <f>SUM(C15:E15)</f>
        <v>293182074</v>
      </c>
      <c r="G15" s="377">
        <f>JUNIO!I15</f>
        <v>293182074</v>
      </c>
      <c r="H15" s="378">
        <v>0</v>
      </c>
      <c r="I15" s="376">
        <f>SUM(G15:H15)</f>
        <v>293182074</v>
      </c>
      <c r="J15" s="377">
        <f>JUNIO!L15</f>
        <v>293182074</v>
      </c>
      <c r="K15" s="165">
        <f>+H15</f>
        <v>0</v>
      </c>
      <c r="L15" s="376">
        <f>SUM(J15:K15)</f>
        <v>293182074</v>
      </c>
      <c r="M15" s="377">
        <f>F15-I15</f>
        <v>0</v>
      </c>
      <c r="N15" s="376">
        <f>F15-L15</f>
        <v>0</v>
      </c>
      <c r="O15" s="372"/>
      <c r="P15" s="374">
        <v>0</v>
      </c>
      <c r="Q15" s="379">
        <v>0</v>
      </c>
      <c r="S15" s="356" t="str">
        <f>+IF(JUNIO!S15=0,"",JUNIO!S15)</f>
        <v/>
      </c>
      <c r="T15" s="678" t="str">
        <f>+IF(JUNIO!T15=0,"",JUNIO!T15)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327501404</v>
      </c>
      <c r="AR15" s="12">
        <f>I113</f>
        <v>585776060</v>
      </c>
      <c r="AS15" s="12">
        <f>L113</f>
        <v>585776060</v>
      </c>
      <c r="AT15" s="13"/>
      <c r="AU15" s="332">
        <f t="shared" si="0"/>
        <v>1.7886215229782649</v>
      </c>
      <c r="AV15" s="340">
        <f t="shared" si="1"/>
        <v>1.7886215229782649</v>
      </c>
      <c r="AW15" s="12">
        <f>+AR15</f>
        <v>585776060</v>
      </c>
      <c r="AX15" s="12">
        <f>+AS15</f>
        <v>585776060</v>
      </c>
      <c r="AY15" s="12">
        <f t="shared" si="2"/>
        <v>258274656</v>
      </c>
      <c r="AZ15" s="333">
        <f t="shared" si="3"/>
        <v>258274656</v>
      </c>
      <c r="BA15" s="372"/>
      <c r="BB15" s="373" t="s">
        <v>77</v>
      </c>
      <c r="BC15" s="92">
        <f>F46+F49</f>
        <v>130489617</v>
      </c>
      <c r="BD15" s="93">
        <f>I46+I49</f>
        <v>583896868</v>
      </c>
      <c r="BE15" s="94">
        <f>K46+K49</f>
        <v>0</v>
      </c>
      <c r="BF15" s="95"/>
      <c r="BG15" s="91" t="s">
        <v>78</v>
      </c>
      <c r="BH15" s="81">
        <f t="shared" si="10"/>
        <v>20021150564</v>
      </c>
      <c r="BI15" s="81">
        <f t="shared" si="10"/>
        <v>14517862209</v>
      </c>
      <c r="BJ15" s="81">
        <f t="shared" si="10"/>
        <v>14517862209</v>
      </c>
      <c r="BK15" s="81">
        <f t="shared" si="10"/>
        <v>1526928890</v>
      </c>
      <c r="BM15" s="71" t="s">
        <v>66</v>
      </c>
      <c r="BN15" s="83">
        <f>SUM(BN16:BN21)</f>
        <v>10775134256</v>
      </c>
      <c r="BO15" s="81">
        <f>SUM(BO16:BO21)</f>
        <v>8243732009</v>
      </c>
      <c r="BP15" s="81">
        <f>SUM(BP16:BP21)</f>
        <v>5896904608</v>
      </c>
      <c r="BQ15" s="82">
        <f>SUM(BQ16:BQ21)</f>
        <v>1575152554</v>
      </c>
    </row>
    <row r="16" spans="1:69" s="9" customFormat="1" ht="24.95" customHeight="1" thickBot="1">
      <c r="A16" s="713" t="str">
        <f>+IF(JUNIO!A16=0,"",JUNIO!A16)</f>
        <v/>
      </c>
      <c r="B16" s="622" t="str">
        <f>+IF(JUNIO!B16=0,"",JUNIO!B16)</f>
        <v/>
      </c>
      <c r="C16" s="380"/>
      <c r="D16" s="380"/>
      <c r="E16" s="380"/>
      <c r="F16" s="380"/>
      <c r="G16" s="380"/>
      <c r="H16" s="380"/>
      <c r="I16" s="380"/>
      <c r="J16" s="380"/>
      <c r="K16" s="380"/>
      <c r="L16" s="380"/>
      <c r="M16" s="380"/>
      <c r="N16" s="381"/>
      <c r="O16" s="372"/>
      <c r="P16" s="382"/>
      <c r="Q16" s="383"/>
      <c r="S16" s="687">
        <f>+IF(JUNIO!S16=0,"",JUNIO!S16)</f>
        <v>1010100</v>
      </c>
      <c r="T16" s="663" t="str">
        <f>+IF(JUNIO!T16=0,"",JUNIO!T16)</f>
        <v>Servicios Personales Asociados a Nómina</v>
      </c>
      <c r="U16" s="132">
        <f t="shared" ref="U16:AJ16" si="12">SUM(U17:U20)+U33</f>
        <v>1868719642</v>
      </c>
      <c r="V16" s="122">
        <f t="shared" si="12"/>
        <v>-320000000</v>
      </c>
      <c r="W16" s="122">
        <f t="shared" si="12"/>
        <v>120000000</v>
      </c>
      <c r="X16" s="129">
        <f t="shared" si="12"/>
        <v>1668719642</v>
      </c>
      <c r="Y16" s="128">
        <f t="shared" si="12"/>
        <v>721004872</v>
      </c>
      <c r="Z16" s="122">
        <f t="shared" si="12"/>
        <v>131789550</v>
      </c>
      <c r="AA16" s="129">
        <f t="shared" si="12"/>
        <v>852794422</v>
      </c>
      <c r="AB16" s="128">
        <f t="shared" si="12"/>
        <v>721004872</v>
      </c>
      <c r="AC16" s="122">
        <f t="shared" si="12"/>
        <v>131789550</v>
      </c>
      <c r="AD16" s="129">
        <f t="shared" si="12"/>
        <v>852794422</v>
      </c>
      <c r="AE16" s="128">
        <f t="shared" si="12"/>
        <v>721004872</v>
      </c>
      <c r="AF16" s="122">
        <f t="shared" si="12"/>
        <v>131789550</v>
      </c>
      <c r="AG16" s="129">
        <f t="shared" si="12"/>
        <v>852794422</v>
      </c>
      <c r="AH16" s="128">
        <f t="shared" si="12"/>
        <v>815925220</v>
      </c>
      <c r="AI16" s="122">
        <f t="shared" si="12"/>
        <v>815925220</v>
      </c>
      <c r="AJ16" s="130">
        <f t="shared" si="12"/>
        <v>815925220</v>
      </c>
      <c r="AK16" s="10"/>
      <c r="AL16" s="128">
        <f>SUM(AL17:AL20)+AL33</f>
        <v>-200000000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76"/>
      <c r="BG16" s="91" t="s">
        <v>82</v>
      </c>
      <c r="BH16" s="96">
        <f>BH7+BH12+BH13+BH14+BH15</f>
        <v>104096662157</v>
      </c>
      <c r="BI16" s="96">
        <f>BI7+BI12+BI13+BI14+BI15</f>
        <v>81990777164</v>
      </c>
      <c r="BJ16" s="96">
        <f>BJ7+BJ12+BJ13+BJ14+BJ15</f>
        <v>59981970041</v>
      </c>
      <c r="BK16" s="96">
        <f>BK7+BK12+BK13+BK14+BK15</f>
        <v>12185691302</v>
      </c>
      <c r="BM16" s="137" t="s">
        <v>83</v>
      </c>
      <c r="BN16" s="83">
        <f>X114-X121+X147-X148-X153</f>
        <v>1274314729</v>
      </c>
      <c r="BO16" s="81">
        <f>AA114-AA121+AA147-AA148-AA153</f>
        <v>707848694</v>
      </c>
      <c r="BP16" s="81">
        <f>AD114-AD121+AD147-AD148-AD153</f>
        <v>698365270</v>
      </c>
      <c r="BQ16" s="82">
        <f>AF114-AF121+AF147-AF148-AF153</f>
        <v>164825619</v>
      </c>
    </row>
    <row r="17" spans="1:70" s="372" customFormat="1" ht="24.95" customHeight="1" thickBot="1">
      <c r="A17" s="712">
        <f>+IF(JUNIO!A17=0,"",JUNIO!A17)</f>
        <v>11</v>
      </c>
      <c r="B17" s="623" t="str">
        <f>+IF(JUNIO!B17=0,"",JUNIO!B17)</f>
        <v>INGRESOS  CORRIENTES</v>
      </c>
      <c r="C17" s="324">
        <f>C19+C94+C104</f>
        <v>61374630552</v>
      </c>
      <c r="D17" s="321">
        <f t="shared" ref="D17:Q17" si="13">D19+D94+D104</f>
        <v>0</v>
      </c>
      <c r="E17" s="321">
        <f t="shared" si="13"/>
        <v>32217665163</v>
      </c>
      <c r="F17" s="321">
        <f t="shared" si="13"/>
        <v>93592295715</v>
      </c>
      <c r="G17" s="321">
        <f t="shared" si="13"/>
        <v>55669954347</v>
      </c>
      <c r="H17" s="321">
        <f t="shared" si="13"/>
        <v>11048419751</v>
      </c>
      <c r="I17" s="321">
        <f t="shared" si="13"/>
        <v>66718374098</v>
      </c>
      <c r="J17" s="321">
        <f t="shared" si="13"/>
        <v>38183140501.759995</v>
      </c>
      <c r="K17" s="321">
        <f t="shared" si="13"/>
        <v>8488563858</v>
      </c>
      <c r="L17" s="321">
        <f t="shared" si="13"/>
        <v>46671704359.759995</v>
      </c>
      <c r="M17" s="321">
        <f t="shared" si="13"/>
        <v>26873921617</v>
      </c>
      <c r="N17" s="322">
        <f t="shared" si="13"/>
        <v>46920591355.239998</v>
      </c>
      <c r="P17" s="174">
        <f t="shared" si="13"/>
        <v>0</v>
      </c>
      <c r="Q17" s="175">
        <f t="shared" si="13"/>
        <v>370106631</v>
      </c>
      <c r="R17" s="9"/>
      <c r="S17" s="688">
        <f>+IF(JUNIO!S17=0,"",JUNIO!S17)</f>
        <v>1010101</v>
      </c>
      <c r="T17" s="664" t="str">
        <f>+IF(JUNIO!T17=0,"",JUNIO!T17)</f>
        <v>Sueldos del Personal de nómina</v>
      </c>
      <c r="U17" s="27">
        <f>+ENERO!U17</f>
        <v>1519896974</v>
      </c>
      <c r="V17" s="15">
        <f>JUNIO!V17+JULIO!AL17</f>
        <v>-200000000</v>
      </c>
      <c r="W17" s="15">
        <f>JUNIO!W17+JULIO!AM17</f>
        <v>0</v>
      </c>
      <c r="X17" s="18">
        <f>SUM(U17:W17)</f>
        <v>1319896974</v>
      </c>
      <c r="Y17" s="19">
        <f>JUNIO!AA17</f>
        <v>632478347</v>
      </c>
      <c r="Z17" s="364">
        <v>108703329</v>
      </c>
      <c r="AA17" s="18">
        <f>SUM(Y17:Z17)</f>
        <v>741181676</v>
      </c>
      <c r="AB17" s="19">
        <f>JUNIO!AD17</f>
        <v>632478347</v>
      </c>
      <c r="AC17" s="364">
        <v>108703329</v>
      </c>
      <c r="AD17" s="18">
        <f>SUM(AB17:AC17)</f>
        <v>741181676</v>
      </c>
      <c r="AE17" s="19">
        <f>JUNIO!AG17</f>
        <v>632478347</v>
      </c>
      <c r="AF17" s="364">
        <v>108703329</v>
      </c>
      <c r="AG17" s="18">
        <f>SUM(AE17:AF17)</f>
        <v>741181676</v>
      </c>
      <c r="AH17" s="19">
        <f>X17-AA17</f>
        <v>578715298</v>
      </c>
      <c r="AI17" s="15">
        <f>X17-AD17</f>
        <v>578715298</v>
      </c>
      <c r="AJ17" s="16">
        <f>X17-AG17</f>
        <v>578715298</v>
      </c>
      <c r="AK17" s="9"/>
      <c r="AL17" s="362">
        <v>-200000000</v>
      </c>
      <c r="AM17" s="365">
        <v>0</v>
      </c>
      <c r="AN17" s="9"/>
      <c r="AO17" s="339"/>
      <c r="AP17" s="389" t="s">
        <v>85</v>
      </c>
      <c r="AQ17" s="390">
        <f>SUM(AQ7:AQ16)</f>
        <v>88013385021</v>
      </c>
      <c r="AR17" s="391">
        <f>SUM(AR7:AR16)</f>
        <v>62567277787</v>
      </c>
      <c r="AS17" s="392">
        <f>SUM(AS7:AS16)</f>
        <v>42572796594.759995</v>
      </c>
      <c r="AT17" s="393"/>
      <c r="AU17" s="391">
        <f t="shared" si="0"/>
        <v>0.71088366584322882</v>
      </c>
      <c r="AV17" s="391">
        <f t="shared" si="1"/>
        <v>0.48370820625297073</v>
      </c>
      <c r="AW17" s="394">
        <f>SUM(AX7:AX16)</f>
        <v>80854801692.524292</v>
      </c>
      <c r="AX17" s="394">
        <f>SUM(AX7:AX16)</f>
        <v>80854801692.524292</v>
      </c>
      <c r="AY17" s="394">
        <f>SUM(AY7:AY16)</f>
        <v>27207136222.571434</v>
      </c>
      <c r="AZ17" s="395">
        <f>SUM(AZ7:AZ16)</f>
        <v>-7158583328.4757156</v>
      </c>
      <c r="BA17" s="9"/>
      <c r="BB17" s="355" t="s">
        <v>419</v>
      </c>
      <c r="BC17" s="73">
        <f>F41+F52+F55+F58+F61+F67+F70+F73+F76+F79+F82+F86+F87+F88+F89+F90+F91</f>
        <v>12818358879</v>
      </c>
      <c r="BD17" s="74">
        <f>I41+I52+I55+I58+I61+I67+I70+I73+I76+I79+I82+I86+I87+I88+I89+I90+I91</f>
        <v>5766646969</v>
      </c>
      <c r="BE17" s="75">
        <f>K41+K52+K55+K58+K61+K67+K70+K73+K76+K79+K82+K86+K87+K88+K89+K90+K91</f>
        <v>112316595</v>
      </c>
      <c r="BF17" s="76"/>
      <c r="BG17" s="98" t="s">
        <v>86</v>
      </c>
      <c r="BH17" s="99">
        <f>BC23-BH16</f>
        <v>-104096662157</v>
      </c>
      <c r="BI17" s="99"/>
      <c r="BJ17" s="99"/>
      <c r="BK17" s="99"/>
      <c r="BM17" s="137" t="s">
        <v>434</v>
      </c>
      <c r="BN17" s="83">
        <f>X123-X126-X139+X155-X156-X167-X168</f>
        <v>5039712263</v>
      </c>
      <c r="BO17" s="81">
        <f>AA123-AA126-AA139+AA155-AA156-AA167-AA168</f>
        <v>4381838601</v>
      </c>
      <c r="BP17" s="81">
        <f>AD123-AD126-AD139+AD155-AD156-AD167-AD168</f>
        <v>2880288048</v>
      </c>
      <c r="BQ17" s="82">
        <f>AF123-AF126-AF139+AF155-AF156-AF167-AF168</f>
        <v>812367075</v>
      </c>
      <c r="BR17" s="9"/>
    </row>
    <row r="18" spans="1:70" s="9" customFormat="1" ht="24.95" customHeight="1" thickBot="1">
      <c r="A18" s="593" t="str">
        <f>+IF(JUNIO!A18=0,"",JUNIO!A18)</f>
        <v/>
      </c>
      <c r="B18" s="624" t="str">
        <f>+IF(JUNIO!B18=0,"",JUNIO!B18)</f>
        <v/>
      </c>
      <c r="C18" s="284"/>
      <c r="D18" s="284"/>
      <c r="E18" s="284"/>
      <c r="F18" s="284"/>
      <c r="G18" s="284"/>
      <c r="H18" s="284"/>
      <c r="I18" s="284"/>
      <c r="J18" s="284"/>
      <c r="K18" s="284"/>
      <c r="L18" s="284"/>
      <c r="M18" s="284"/>
      <c r="N18" s="453"/>
      <c r="P18" s="397"/>
      <c r="Q18" s="396"/>
      <c r="S18" s="688">
        <f>+IF(JUNIO!S18=0,"",JUNIO!S18)</f>
        <v>1010102</v>
      </c>
      <c r="T18" s="664" t="str">
        <f>+IF(JUNIO!T18=0,"",JUNIO!T18)</f>
        <v>Horas Extras,Dominic.,Festivos y Rec. Nocturnos</v>
      </c>
      <c r="U18" s="27">
        <f>+ENERO!U18</f>
        <v>7017105</v>
      </c>
      <c r="V18" s="15">
        <f>JUNIO!V18+JULIO!AL18</f>
        <v>0</v>
      </c>
      <c r="W18" s="15">
        <f>JUNIO!W18+JULIO!AM18</f>
        <v>0</v>
      </c>
      <c r="X18" s="18">
        <f>SUM(U18:W18)</f>
        <v>7017105</v>
      </c>
      <c r="Y18" s="19">
        <f>JUNIO!AA18</f>
        <v>4327042</v>
      </c>
      <c r="Z18" s="364">
        <v>1024133</v>
      </c>
      <c r="AA18" s="18">
        <f>SUM(Y18:Z18)</f>
        <v>5351175</v>
      </c>
      <c r="AB18" s="19">
        <f>JUNIO!AD18</f>
        <v>4327042</v>
      </c>
      <c r="AC18" s="364">
        <v>1024133</v>
      </c>
      <c r="AD18" s="18">
        <f>SUM(AB18:AC18)</f>
        <v>5351175</v>
      </c>
      <c r="AE18" s="19">
        <f>JUNIO!AG18</f>
        <v>4327042</v>
      </c>
      <c r="AF18" s="364">
        <v>1024133</v>
      </c>
      <c r="AG18" s="18">
        <f>SUM(AE18:AF18)</f>
        <v>5351175</v>
      </c>
      <c r="AH18" s="19">
        <f>X18-AA18</f>
        <v>1665930</v>
      </c>
      <c r="AI18" s="15">
        <f>X18-AD18</f>
        <v>1665930</v>
      </c>
      <c r="AJ18" s="16">
        <f>X18-AG18</f>
        <v>1665930</v>
      </c>
      <c r="AL18" s="362">
        <v>0</v>
      </c>
      <c r="AM18" s="365">
        <v>0</v>
      </c>
      <c r="AO18" s="21"/>
      <c r="AP18" s="284" t="s">
        <v>51</v>
      </c>
      <c r="AQ18" s="284"/>
      <c r="AR18" s="284"/>
      <c r="AS18" s="284"/>
      <c r="AT18" s="284"/>
      <c r="AU18" s="284"/>
      <c r="AV18" s="284"/>
      <c r="AW18" s="284"/>
      <c r="AX18" s="284"/>
      <c r="AY18" s="284"/>
      <c r="AZ18" s="284"/>
      <c r="BA18" s="372"/>
      <c r="BB18" s="373" t="s">
        <v>420</v>
      </c>
      <c r="BC18" s="73">
        <f>+F95+F96+F97+F99</f>
        <v>15982899073</v>
      </c>
      <c r="BD18" s="74">
        <f>+I95+I96+I97+I99</f>
        <v>14812488354</v>
      </c>
      <c r="BE18" s="75">
        <f>+K95+K96+K97+K99</f>
        <v>3458043932</v>
      </c>
      <c r="BF18" s="95"/>
      <c r="BM18" s="137" t="s">
        <v>87</v>
      </c>
      <c r="BN18" s="83">
        <f>X148+X156</f>
        <v>3194025000</v>
      </c>
      <c r="BO18" s="81">
        <f>AA148+AA156</f>
        <v>2589228075</v>
      </c>
      <c r="BP18" s="81">
        <f>AD148+AD156</f>
        <v>1753434651</v>
      </c>
      <c r="BQ18" s="82">
        <f>AF148+AF156</f>
        <v>531099226</v>
      </c>
      <c r="BR18" s="372"/>
    </row>
    <row r="19" spans="1:70" s="9" customFormat="1" ht="24.95" customHeight="1" thickBot="1">
      <c r="A19" s="714">
        <f>+IF(JUNIO!A19=0,"",JUNIO!A19)</f>
        <v>113</v>
      </c>
      <c r="B19" s="625" t="str">
        <f>+IF(JUNIO!B19=0,"",JUNIO!B19)</f>
        <v>VENTA DE SERVICIOS</v>
      </c>
      <c r="C19" s="324">
        <f t="shared" ref="C19:N19" si="14">C21+C85</f>
        <v>53293559356</v>
      </c>
      <c r="D19" s="321">
        <f t="shared" si="14"/>
        <v>0</v>
      </c>
      <c r="E19" s="321">
        <f t="shared" si="14"/>
        <v>24215459223</v>
      </c>
      <c r="F19" s="322">
        <f t="shared" si="14"/>
        <v>77509018579</v>
      </c>
      <c r="G19" s="324">
        <f t="shared" si="14"/>
        <v>44253153384</v>
      </c>
      <c r="H19" s="321">
        <f t="shared" si="14"/>
        <v>7551483305</v>
      </c>
      <c r="I19" s="322">
        <f t="shared" si="14"/>
        <v>51804636689</v>
      </c>
      <c r="J19" s="324">
        <f t="shared" si="14"/>
        <v>26811160206.759998</v>
      </c>
      <c r="K19" s="321">
        <f t="shared" si="14"/>
        <v>4998995290</v>
      </c>
      <c r="L19" s="322">
        <f t="shared" si="14"/>
        <v>31810155496.759998</v>
      </c>
      <c r="M19" s="324">
        <f t="shared" si="14"/>
        <v>25704381890</v>
      </c>
      <c r="N19" s="322">
        <f t="shared" si="14"/>
        <v>45698863082.239998</v>
      </c>
      <c r="O19" s="372"/>
      <c r="P19" s="43">
        <f>P21+P85</f>
        <v>0</v>
      </c>
      <c r="Q19" s="45">
        <f>Q21+Q85</f>
        <v>367900691</v>
      </c>
      <c r="S19" s="688">
        <f>+IF(JUNIO!S19=0,"",JUNIO!S19)</f>
        <v>1010103</v>
      </c>
      <c r="T19" s="664" t="str">
        <f>+IF(JUNIO!T19=0,"",JUNIO!T19)</f>
        <v>Prima Técnica</v>
      </c>
      <c r="U19" s="27">
        <f>+ENERO!U19</f>
        <v>0</v>
      </c>
      <c r="V19" s="15">
        <f>JUNIO!V19+JULIO!AL19</f>
        <v>0</v>
      </c>
      <c r="W19" s="15">
        <f>JUNIO!W19+JULIO!AM19</f>
        <v>0</v>
      </c>
      <c r="X19" s="18">
        <f>SUM(U19:W19)</f>
        <v>0</v>
      </c>
      <c r="Y19" s="19">
        <f>JUNIO!AA19</f>
        <v>0</v>
      </c>
      <c r="Z19" s="364">
        <v>0</v>
      </c>
      <c r="AA19" s="18">
        <f>SUM(Y19:Z19)</f>
        <v>0</v>
      </c>
      <c r="AB19" s="19">
        <f>JUNIO!AD19</f>
        <v>0</v>
      </c>
      <c r="AC19" s="364">
        <v>0</v>
      </c>
      <c r="AD19" s="18">
        <f>SUM(AB19:AC19)</f>
        <v>0</v>
      </c>
      <c r="AE19" s="19">
        <f>JUNIO!AG19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100378063</v>
      </c>
      <c r="BD19" s="93">
        <f>+I105+I106+I107+I108+I109+I110+I98+I100+I101</f>
        <v>101249055</v>
      </c>
      <c r="BE19" s="94">
        <f>+K105+K106+K107+K108+K109+K110+K98+K100+K101</f>
        <v>31524636</v>
      </c>
      <c r="BF19" s="57"/>
      <c r="BG19" s="372"/>
      <c r="BH19" s="372">
        <f>BN33</f>
        <v>0</v>
      </c>
      <c r="BI19" s="372"/>
      <c r="BJ19" s="372"/>
      <c r="BK19" s="372"/>
      <c r="BM19" s="137" t="s">
        <v>94</v>
      </c>
      <c r="BN19" s="83">
        <f>X126+X167</f>
        <v>740000000</v>
      </c>
      <c r="BO19" s="81">
        <f>AA126+AA167</f>
        <v>383598485</v>
      </c>
      <c r="BP19" s="81">
        <f>AD126+AD167</f>
        <v>383598485</v>
      </c>
      <c r="BQ19" s="82">
        <f>AF126+AF167</f>
        <v>49911394</v>
      </c>
    </row>
    <row r="20" spans="1:70" s="412" customFormat="1" ht="24.95" customHeight="1" thickBot="1">
      <c r="A20" s="593" t="str">
        <f>+IF(JUNIO!A20=0,"",JUNIO!A20)</f>
        <v/>
      </c>
      <c r="B20" s="626" t="str">
        <f>+IF(JUNIO!B20=0,"",JUNIO!B20)</f>
        <v/>
      </c>
      <c r="C20" s="284"/>
      <c r="D20" s="284"/>
      <c r="E20" s="284"/>
      <c r="F20" s="284"/>
      <c r="G20" s="284"/>
      <c r="H20" s="284"/>
      <c r="I20" s="284"/>
      <c r="J20" s="284"/>
      <c r="K20" s="284"/>
      <c r="L20" s="284"/>
      <c r="M20" s="284"/>
      <c r="N20" s="453"/>
      <c r="O20" s="9"/>
      <c r="P20" s="397"/>
      <c r="Q20" s="396"/>
      <c r="R20" s="9"/>
      <c r="S20" s="688">
        <f>+IF(JUNIO!S20=0,"",JUNIO!S20)</f>
        <v>1010104</v>
      </c>
      <c r="T20" s="664" t="str">
        <f>+IF(JUNIO!T20=0,"",JUNIO!T20)</f>
        <v>Otros</v>
      </c>
      <c r="U20" s="27">
        <f t="shared" ref="U20:AJ20" si="15">SUM(U21:U32)</f>
        <v>341805563</v>
      </c>
      <c r="V20" s="15">
        <f t="shared" si="15"/>
        <v>0</v>
      </c>
      <c r="W20" s="15">
        <f t="shared" si="15"/>
        <v>0</v>
      </c>
      <c r="X20" s="18">
        <f t="shared" si="15"/>
        <v>341805563</v>
      </c>
      <c r="Y20" s="19">
        <f t="shared" si="15"/>
        <v>84199483</v>
      </c>
      <c r="Z20" s="142">
        <f t="shared" si="15"/>
        <v>22062088</v>
      </c>
      <c r="AA20" s="18">
        <f t="shared" si="15"/>
        <v>106261571</v>
      </c>
      <c r="AB20" s="19">
        <f t="shared" si="15"/>
        <v>84199483</v>
      </c>
      <c r="AC20" s="142">
        <f t="shared" si="15"/>
        <v>22062088</v>
      </c>
      <c r="AD20" s="18">
        <f t="shared" si="15"/>
        <v>106261571</v>
      </c>
      <c r="AE20" s="19">
        <f t="shared" si="15"/>
        <v>84199483</v>
      </c>
      <c r="AF20" s="142">
        <f t="shared" si="15"/>
        <v>22062088</v>
      </c>
      <c r="AG20" s="18">
        <f t="shared" si="15"/>
        <v>106261571</v>
      </c>
      <c r="AH20" s="19">
        <f t="shared" si="15"/>
        <v>235543992</v>
      </c>
      <c r="AI20" s="15">
        <f t="shared" si="15"/>
        <v>235543992</v>
      </c>
      <c r="AJ20" s="16">
        <f t="shared" si="15"/>
        <v>235543992</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327501404</v>
      </c>
      <c r="BD20" s="66">
        <f>+I115+I117+I119+I120+I121+I123+I124</f>
        <v>585776060</v>
      </c>
      <c r="BE20" s="67">
        <f>+K115+K117+K119+K120+K121+K123+K124</f>
        <v>458562713</v>
      </c>
      <c r="BF20" s="57"/>
      <c r="BG20" s="372"/>
      <c r="BH20" s="372">
        <f>BH19-BH16</f>
        <v>-104096662157</v>
      </c>
      <c r="BI20" s="372"/>
      <c r="BJ20" s="372"/>
      <c r="BK20" s="372"/>
      <c r="BL20" s="372"/>
      <c r="BM20" s="139" t="s">
        <v>429</v>
      </c>
      <c r="BN20" s="83">
        <f>+X141-X143</f>
        <v>527082264</v>
      </c>
      <c r="BO20" s="81">
        <f>+AA141-AA143</f>
        <v>181218154</v>
      </c>
      <c r="BP20" s="81">
        <f>+AD141-AD143</f>
        <v>181218154</v>
      </c>
      <c r="BQ20" s="82">
        <f>+AF141-AF143</f>
        <v>16949240</v>
      </c>
      <c r="BR20" s="9"/>
    </row>
    <row r="21" spans="1:70" s="412" customFormat="1" ht="24.95" customHeight="1" thickBot="1">
      <c r="A21" s="715">
        <f>+IF(JUNIO!A21=0,"",JUNIO!A21)</f>
        <v>11301</v>
      </c>
      <c r="B21" s="627" t="str">
        <f>+IF(JUNIO!B21=0,"",JUNIO!B21)</f>
        <v>Venta de Servicios de Salud</v>
      </c>
      <c r="C21" s="174">
        <f t="shared" ref="C21:N21" si="16">C22+C25+C28+C41+C42+C45+C48+C51+C54+C57+C60+C63+C66+C69+C72+C75+C78+C81</f>
        <v>53293559356</v>
      </c>
      <c r="D21" s="344">
        <f t="shared" si="16"/>
        <v>0</v>
      </c>
      <c r="E21" s="344">
        <f t="shared" si="16"/>
        <v>12014896948</v>
      </c>
      <c r="F21" s="344">
        <f t="shared" si="16"/>
        <v>65308456304</v>
      </c>
      <c r="G21" s="344">
        <f t="shared" si="16"/>
        <v>39651580312</v>
      </c>
      <c r="H21" s="344">
        <f t="shared" si="16"/>
        <v>7016607761</v>
      </c>
      <c r="I21" s="344">
        <f t="shared" si="16"/>
        <v>46668188073</v>
      </c>
      <c r="J21" s="344">
        <f t="shared" si="16"/>
        <v>22839179971.759998</v>
      </c>
      <c r="K21" s="344">
        <f t="shared" si="16"/>
        <v>4974295746</v>
      </c>
      <c r="L21" s="344">
        <f t="shared" si="16"/>
        <v>27813475717.759998</v>
      </c>
      <c r="M21" s="344">
        <f t="shared" si="16"/>
        <v>18640268231</v>
      </c>
      <c r="N21" s="175">
        <f t="shared" si="16"/>
        <v>37494980586.239998</v>
      </c>
      <c r="O21" s="372"/>
      <c r="P21" s="43">
        <f>P22+P25+P28+P41+P42+P45+P48+P51+P54+P57+P60+P63+P66+P69+P72+P75+P78+P81</f>
        <v>0</v>
      </c>
      <c r="Q21" s="45">
        <f>Q22+Q25+Q28+Q41+Q42+Q45+Q48+Q51+Q54+Q57+Q60+Q63+Q66+Q69+Q72+Q75+Q78+Q81</f>
        <v>367900691</v>
      </c>
      <c r="R21" s="9"/>
      <c r="S21" s="689" t="str">
        <f>+IF(JUNIO!S21=0,"",JUNIO!S21)</f>
        <v>1010104-1</v>
      </c>
      <c r="T21" s="665" t="str">
        <f>+IF(JUNIO!T21=0,"",JUNIO!T21)</f>
        <v xml:space="preserve">Prima de Navidad </v>
      </c>
      <c r="U21" s="27">
        <f>+ENERO!U21</f>
        <v>142096948</v>
      </c>
      <c r="V21" s="15">
        <f>JUNIO!V21+JULIO!AL21</f>
        <v>0</v>
      </c>
      <c r="W21" s="15">
        <f>JUNIO!W21+JULIO!AM21</f>
        <v>0</v>
      </c>
      <c r="X21" s="18">
        <f t="shared" ref="X21:X33" si="17">SUM(U21:W21)</f>
        <v>142096948</v>
      </c>
      <c r="Y21" s="19">
        <f>JUNIO!AA21</f>
        <v>105221</v>
      </c>
      <c r="Z21" s="364">
        <v>4422190</v>
      </c>
      <c r="AA21" s="18">
        <f t="shared" ref="AA21:AA33" si="18">SUM(Y21:Z21)</f>
        <v>4527411</v>
      </c>
      <c r="AB21" s="19">
        <f>JUNIO!AD21</f>
        <v>105221</v>
      </c>
      <c r="AC21" s="364">
        <v>4422190</v>
      </c>
      <c r="AD21" s="18">
        <f t="shared" ref="AD21:AD33" si="19">SUM(AB21:AC21)</f>
        <v>4527411</v>
      </c>
      <c r="AE21" s="19">
        <f>JUNIO!AG21</f>
        <v>105221</v>
      </c>
      <c r="AF21" s="364">
        <v>4422190</v>
      </c>
      <c r="AG21" s="18">
        <f t="shared" ref="AG21:AG33" si="20">SUM(AE21:AF21)</f>
        <v>4527411</v>
      </c>
      <c r="AH21" s="19">
        <f t="shared" ref="AH21:AH33" si="21">X21-AA21</f>
        <v>137569537</v>
      </c>
      <c r="AI21" s="15">
        <f t="shared" ref="AI21:AI33" si="22">X21-AD21</f>
        <v>137569537</v>
      </c>
      <c r="AJ21" s="16">
        <f t="shared" ref="AJ21:AJ33" si="23">X21-AG21</f>
        <v>137569537</v>
      </c>
      <c r="AK21" s="9"/>
      <c r="AL21" s="362">
        <v>0</v>
      </c>
      <c r="AM21" s="365">
        <v>0</v>
      </c>
      <c r="AN21" s="9"/>
      <c r="AO21" s="339"/>
      <c r="AP21" s="413"/>
      <c r="AQ21" s="414"/>
      <c r="AR21" s="415" t="str">
        <f>AR6</f>
        <v>JULIO</v>
      </c>
      <c r="AS21" s="416" t="str">
        <f>AR6</f>
        <v>JULIO</v>
      </c>
      <c r="AT21" s="415" t="str">
        <f>AR6</f>
        <v>JULIO</v>
      </c>
      <c r="AU21" s="415" t="s">
        <v>44</v>
      </c>
      <c r="AV21" s="415" t="s">
        <v>22</v>
      </c>
      <c r="AW21" s="417"/>
      <c r="AX21" s="417"/>
      <c r="AY21" s="415" t="s">
        <v>44</v>
      </c>
      <c r="AZ21" s="418" t="s">
        <v>22</v>
      </c>
      <c r="BA21" s="9"/>
      <c r="BB21" s="101" t="s">
        <v>422</v>
      </c>
      <c r="BC21" s="65">
        <f>SUMIF($B8:B122,$B24,F8:F122)+F122</f>
        <v>11980839615</v>
      </c>
      <c r="BD21" s="66">
        <f>SUMIF($B8:B122,$B24,I8:I122)+I122</f>
        <v>13458068585</v>
      </c>
      <c r="BE21" s="67">
        <f>SUMIF($B8:B122,$B24,K8:K122)+K122</f>
        <v>1477228970</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+IF(JUNIO!A22=0,"",JUNIO!A22)</f>
        <v>1130101</v>
      </c>
      <c r="B22" s="628" t="str">
        <f>+IF(JUNIO!B22=0,"",JUNIO!B22)</f>
        <v>EPS - REGIMEN CONTRIBUTIVO</v>
      </c>
      <c r="C22" s="43">
        <f t="shared" ref="C22:N22" si="24">SUM(C23:C24)</f>
        <v>3087894380</v>
      </c>
      <c r="D22" s="44">
        <f t="shared" si="24"/>
        <v>0</v>
      </c>
      <c r="E22" s="44">
        <f t="shared" si="24"/>
        <v>522494587</v>
      </c>
      <c r="F22" s="44">
        <f t="shared" si="24"/>
        <v>3610388967</v>
      </c>
      <c r="G22" s="44">
        <f t="shared" si="24"/>
        <v>1942073969</v>
      </c>
      <c r="H22" s="44">
        <f t="shared" si="24"/>
        <v>521054182</v>
      </c>
      <c r="I22" s="44">
        <f t="shared" si="24"/>
        <v>2463128151</v>
      </c>
      <c r="J22" s="44">
        <f t="shared" si="24"/>
        <v>705400993</v>
      </c>
      <c r="K22" s="44">
        <f t="shared" si="24"/>
        <v>586524216</v>
      </c>
      <c r="L22" s="44">
        <f t="shared" si="24"/>
        <v>1291925209</v>
      </c>
      <c r="M22" s="44">
        <f t="shared" si="24"/>
        <v>1147260816</v>
      </c>
      <c r="N22" s="45">
        <f t="shared" si="24"/>
        <v>2318463758</v>
      </c>
      <c r="P22" s="43">
        <f>SUM(P23:P24)</f>
        <v>0</v>
      </c>
      <c r="Q22" s="45">
        <f>SUM(Q23:Q24)</f>
        <v>50270419</v>
      </c>
      <c r="S22" s="689" t="str">
        <f>+IF(JUNIO!S22=0,"",JUNIO!S22)</f>
        <v>1010104-2</v>
      </c>
      <c r="T22" s="665" t="str">
        <f>+IF(JUNIO!T22=0,"",JUNIO!T22)</f>
        <v>Prima de Vacaciones</v>
      </c>
      <c r="U22" s="27">
        <f>+ENERO!U22</f>
        <v>72708845</v>
      </c>
      <c r="V22" s="15">
        <f>JUNIO!V22+JULIO!AL22</f>
        <v>0</v>
      </c>
      <c r="W22" s="15">
        <f>JUNIO!W22+JULIO!AM22</f>
        <v>0</v>
      </c>
      <c r="X22" s="18">
        <f t="shared" si="17"/>
        <v>72708845</v>
      </c>
      <c r="Y22" s="19">
        <f>JUNIO!AA22</f>
        <v>16038633</v>
      </c>
      <c r="Z22" s="364">
        <v>9633267</v>
      </c>
      <c r="AA22" s="18">
        <f t="shared" si="18"/>
        <v>25671900</v>
      </c>
      <c r="AB22" s="19">
        <f>JUNIO!AD22</f>
        <v>16038633</v>
      </c>
      <c r="AC22" s="364">
        <v>9633267</v>
      </c>
      <c r="AD22" s="18">
        <f t="shared" si="19"/>
        <v>25671900</v>
      </c>
      <c r="AE22" s="19">
        <f>JUNIO!AG22</f>
        <v>16038633</v>
      </c>
      <c r="AF22" s="364">
        <v>9633267</v>
      </c>
      <c r="AG22" s="18">
        <f t="shared" si="20"/>
        <v>25671900</v>
      </c>
      <c r="AH22" s="19">
        <f t="shared" si="21"/>
        <v>47036945</v>
      </c>
      <c r="AI22" s="15">
        <f t="shared" si="22"/>
        <v>47036945</v>
      </c>
      <c r="AJ22" s="16">
        <f t="shared" si="23"/>
        <v>47036945</v>
      </c>
      <c r="AL22" s="362">
        <v>0</v>
      </c>
      <c r="AM22" s="365">
        <v>0</v>
      </c>
      <c r="AO22" s="21"/>
      <c r="AP22" s="419" t="s">
        <v>104</v>
      </c>
      <c r="AQ22" s="420">
        <f>X17+X66</f>
        <v>3649004812</v>
      </c>
      <c r="AR22" s="420">
        <f>AD17+AD66</f>
        <v>1936181838</v>
      </c>
      <c r="AS22" s="420">
        <f>AG17+AG66</f>
        <v>1935979848</v>
      </c>
      <c r="AT22" s="421"/>
      <c r="AU22" s="422">
        <f t="shared" ref="AU22:AU32" si="25">IF(AQ22=0," ",AR22/AQ22)</f>
        <v>0.53060544936327148</v>
      </c>
      <c r="AV22" s="422">
        <f t="shared" ref="AV22:AV32" si="26">IF(AQ22=0," ",AS22/AQ22)</f>
        <v>0.53055009454451774</v>
      </c>
      <c r="AW22" s="423">
        <f>AR22/$AO$2*12</f>
        <v>3319168865.1428566</v>
      </c>
      <c r="AX22" s="423">
        <f>AS22/$AO$2*12</f>
        <v>3318822596.5714288</v>
      </c>
      <c r="AY22" s="423">
        <f t="shared" ref="AY22:AY31" si="27">AW22-AQ22</f>
        <v>-329835946.8571434</v>
      </c>
      <c r="AZ22" s="424">
        <f t="shared" ref="AZ22:AZ31" si="28">AQ22-AX22</f>
        <v>330182215.42857122</v>
      </c>
      <c r="BA22" s="372"/>
      <c r="BB22" s="102" t="s">
        <v>109</v>
      </c>
      <c r="BC22" s="103">
        <f>BC7+BC8+BC20+BC21</f>
        <v>104096662157</v>
      </c>
      <c r="BD22" s="104">
        <f>BD7+BD8+BD20+BD21</f>
        <v>77481015196</v>
      </c>
      <c r="BE22" s="105">
        <f>BE7+BE8+BE20+BE21</f>
        <v>8947126571</v>
      </c>
      <c r="BF22" s="57"/>
      <c r="BG22" s="372"/>
      <c r="BH22" s="372"/>
      <c r="BI22" s="372"/>
      <c r="BJ22" s="372"/>
      <c r="BK22" s="372"/>
      <c r="BM22" s="71" t="s">
        <v>67</v>
      </c>
      <c r="BN22" s="83">
        <f>BN23+BN24</f>
        <v>1282354144</v>
      </c>
      <c r="BO22" s="81">
        <f>BO23+BO24</f>
        <v>645950110</v>
      </c>
      <c r="BP22" s="81">
        <f>BP23+BP24</f>
        <v>645950110</v>
      </c>
      <c r="BQ22" s="82">
        <f>BQ23+BQ24</f>
        <v>87453069</v>
      </c>
      <c r="BR22" s="372"/>
    </row>
    <row r="23" spans="1:70" s="412" customFormat="1" ht="24.95" customHeight="1">
      <c r="A23" s="593" t="str">
        <f>+IF(JUNIO!A23=0,"",JUNIO!A23)</f>
        <v>1130101-1</v>
      </c>
      <c r="B23" s="629" t="str">
        <f>+CONCATENATE("Vigencia ",INSTRUCCIONES!$F$3)</f>
        <v>Vigencia 2019</v>
      </c>
      <c r="C23" s="655">
        <f>+ENERO!C23</f>
        <v>3087894380</v>
      </c>
      <c r="D23" s="363">
        <f>JUNIO!D23+JULIO!P23</f>
        <v>0</v>
      </c>
      <c r="E23" s="363">
        <f>JUNIO!E23+JULIO!Q23</f>
        <v>0</v>
      </c>
      <c r="F23" s="363">
        <f>SUM(C23:E23)</f>
        <v>3087894380</v>
      </c>
      <c r="G23" s="363">
        <f>JUNIO!I23</f>
        <v>1419579382</v>
      </c>
      <c r="H23" s="364">
        <v>318060560</v>
      </c>
      <c r="I23" s="363">
        <f>SUM(G23:H23)</f>
        <v>1737639942</v>
      </c>
      <c r="J23" s="363">
        <f>JUNIO!L23</f>
        <v>182906406</v>
      </c>
      <c r="K23" s="364">
        <v>383530594</v>
      </c>
      <c r="L23" s="363">
        <f>SUM(J23:K23)</f>
        <v>566437000</v>
      </c>
      <c r="M23" s="363">
        <f>F23-I23</f>
        <v>1350254438</v>
      </c>
      <c r="N23" s="143">
        <f>F23-L23</f>
        <v>2521457380</v>
      </c>
      <c r="O23" s="9"/>
      <c r="P23" s="362">
        <v>0</v>
      </c>
      <c r="Q23" s="365">
        <v>0</v>
      </c>
      <c r="R23" s="9"/>
      <c r="S23" s="689" t="str">
        <f>+IF(JUNIO!S23=0,"",JUNIO!S23)</f>
        <v>1010104-3</v>
      </c>
      <c r="T23" s="665" t="str">
        <f>+IF(JUNIO!T23=0,"",JUNIO!T23)</f>
        <v>Bonificación  por servicios prestados</v>
      </c>
      <c r="U23" s="27">
        <f>+ENERO!U23</f>
        <v>44330324</v>
      </c>
      <c r="V23" s="15">
        <f>JUNIO!V23+JULIO!AL23</f>
        <v>0</v>
      </c>
      <c r="W23" s="15">
        <f>JUNIO!W23+JULIO!AM23</f>
        <v>0</v>
      </c>
      <c r="X23" s="18">
        <f t="shared" si="17"/>
        <v>44330324</v>
      </c>
      <c r="Y23" s="19">
        <f>JUNIO!AA23</f>
        <v>14725000</v>
      </c>
      <c r="Z23" s="364">
        <v>4945980</v>
      </c>
      <c r="AA23" s="18">
        <f t="shared" si="18"/>
        <v>19670980</v>
      </c>
      <c r="AB23" s="19">
        <f>JUNIO!AD23</f>
        <v>14725000</v>
      </c>
      <c r="AC23" s="364">
        <v>4945980</v>
      </c>
      <c r="AD23" s="18">
        <f t="shared" si="19"/>
        <v>19670980</v>
      </c>
      <c r="AE23" s="19">
        <f>JUNIO!AG23</f>
        <v>14725000</v>
      </c>
      <c r="AF23" s="364">
        <v>4945980</v>
      </c>
      <c r="AG23" s="18">
        <f t="shared" si="20"/>
        <v>19670980</v>
      </c>
      <c r="AH23" s="19">
        <f t="shared" si="21"/>
        <v>24659344</v>
      </c>
      <c r="AI23" s="15">
        <f t="shared" si="22"/>
        <v>24659344</v>
      </c>
      <c r="AJ23" s="16">
        <f t="shared" si="23"/>
        <v>24659344</v>
      </c>
      <c r="AK23" s="9"/>
      <c r="AL23" s="362">
        <v>0</v>
      </c>
      <c r="AM23" s="365">
        <v>0</v>
      </c>
      <c r="AN23" s="9"/>
      <c r="AO23" s="360"/>
      <c r="AP23" s="425" t="s">
        <v>108</v>
      </c>
      <c r="AQ23" s="426">
        <f>X16+X65-AQ22</f>
        <v>1559680691</v>
      </c>
      <c r="AR23" s="426">
        <f>AD16+AD65-AR22</f>
        <v>381270043</v>
      </c>
      <c r="AS23" s="426">
        <f>AG16+AG65-AS22</f>
        <v>380536629</v>
      </c>
      <c r="AT23" s="317"/>
      <c r="AU23" s="332">
        <f t="shared" si="25"/>
        <v>0.2444539098291626</v>
      </c>
      <c r="AV23" s="332">
        <f t="shared" si="26"/>
        <v>0.24398367639982535</v>
      </c>
      <c r="AW23" s="426">
        <f>(AR23-AD21-AD22-AD23-AD25-AD30-AD33-AD70-AD71-AD72-AD74-AD78-AD81)/$AO$2*12+AX22/12*2.5+AD30+AD33+AD78+AD81</f>
        <v>1067047873.2857144</v>
      </c>
      <c r="AX23" s="426">
        <f>(AS23-AG21-AG22-AG23-AG25-AG30-AG33-AG70-AG71-AG72-AG74-AG78-AG81)/$AO$2*12+AX22/12*2.5+AG30+AG33+AG78+AG81</f>
        <v>1066853457.2857144</v>
      </c>
      <c r="AY23" s="426">
        <f t="shared" si="27"/>
        <v>-492632817.71428561</v>
      </c>
      <c r="AZ23" s="46">
        <f t="shared" si="28"/>
        <v>492827233.71428561</v>
      </c>
      <c r="BA23" s="372"/>
      <c r="BF23" s="372"/>
      <c r="BG23" s="372"/>
      <c r="BH23" s="372"/>
      <c r="BI23" s="372"/>
      <c r="BJ23" s="372"/>
      <c r="BK23" s="372"/>
      <c r="BL23" s="372"/>
      <c r="BM23" s="137" t="s">
        <v>105</v>
      </c>
      <c r="BN23" s="83">
        <f>X177</f>
        <v>965336472</v>
      </c>
      <c r="BO23" s="81">
        <f>AA177</f>
        <v>487754984</v>
      </c>
      <c r="BP23" s="81">
        <f>AD177</f>
        <v>487754984</v>
      </c>
      <c r="BQ23" s="82">
        <f>AF177</f>
        <v>59753470</v>
      </c>
      <c r="BR23" s="9"/>
    </row>
    <row r="24" spans="1:70" s="412" customFormat="1" ht="24.95" customHeight="1">
      <c r="A24" s="593" t="str">
        <f>+IF(JUNIO!A24=0,"",JUNIO!A24)</f>
        <v>1130101-2</v>
      </c>
      <c r="B24" s="629" t="str">
        <f>+IF(JUNIO!B24=0,"",JUNIO!B24)</f>
        <v>Vigencia Anterior</v>
      </c>
      <c r="C24" s="655">
        <f>+ENERO!C24</f>
        <v>0</v>
      </c>
      <c r="D24" s="363">
        <f>JUNIO!D24+JULIO!P24</f>
        <v>0</v>
      </c>
      <c r="E24" s="363">
        <f>JUNIO!E24+JULIO!Q24</f>
        <v>522494587</v>
      </c>
      <c r="F24" s="363">
        <f>SUM(C24:E24)</f>
        <v>522494587</v>
      </c>
      <c r="G24" s="363">
        <f>JUNIO!I24</f>
        <v>522494587</v>
      </c>
      <c r="H24" s="364">
        <v>202993622</v>
      </c>
      <c r="I24" s="363">
        <f>SUM(G24:H24)</f>
        <v>725488209</v>
      </c>
      <c r="J24" s="363">
        <f>JUNIO!L24</f>
        <v>522494587</v>
      </c>
      <c r="K24" s="364">
        <v>202993622</v>
      </c>
      <c r="L24" s="363">
        <f>SUM(J24:K24)</f>
        <v>725488209</v>
      </c>
      <c r="M24" s="363">
        <f>F24-I24</f>
        <v>-202993622</v>
      </c>
      <c r="N24" s="143">
        <f>F24-L24</f>
        <v>-202993622</v>
      </c>
      <c r="O24" s="372"/>
      <c r="P24" s="362">
        <v>0</v>
      </c>
      <c r="Q24" s="365">
        <v>50270419</v>
      </c>
      <c r="R24" s="9"/>
      <c r="S24" s="689" t="str">
        <f>+IF(JUNIO!S24=0,"",JUNIO!S24)</f>
        <v>1010104-4</v>
      </c>
      <c r="T24" s="665" t="str">
        <f>+IF(JUNIO!T24=0,"",JUNIO!T24)</f>
        <v>Prima de Servicios</v>
      </c>
      <c r="U24" s="27">
        <f>+ENERO!U24</f>
        <v>67115850</v>
      </c>
      <c r="V24" s="15">
        <f>JUNIO!V24+JULIO!AL24</f>
        <v>0</v>
      </c>
      <c r="W24" s="15">
        <f>JUNIO!W24+JULIO!AM24</f>
        <v>0</v>
      </c>
      <c r="X24" s="18">
        <f t="shared" si="17"/>
        <v>67115850</v>
      </c>
      <c r="Y24" s="19">
        <f>JUNIO!AA24</f>
        <v>50789342</v>
      </c>
      <c r="Z24" s="364">
        <v>1767905</v>
      </c>
      <c r="AA24" s="18">
        <f t="shared" si="18"/>
        <v>52557247</v>
      </c>
      <c r="AB24" s="19">
        <f>JUNIO!AD24</f>
        <v>50789342</v>
      </c>
      <c r="AC24" s="364">
        <v>1767905</v>
      </c>
      <c r="AD24" s="18">
        <f t="shared" si="19"/>
        <v>52557247</v>
      </c>
      <c r="AE24" s="19">
        <f>JUNIO!AG24</f>
        <v>50789342</v>
      </c>
      <c r="AF24" s="364">
        <v>1767905</v>
      </c>
      <c r="AG24" s="18">
        <f t="shared" si="20"/>
        <v>52557247</v>
      </c>
      <c r="AH24" s="19">
        <f t="shared" si="21"/>
        <v>14558603</v>
      </c>
      <c r="AI24" s="15">
        <f t="shared" si="22"/>
        <v>14558603</v>
      </c>
      <c r="AJ24" s="16">
        <f t="shared" si="23"/>
        <v>14558603</v>
      </c>
      <c r="AK24" s="9"/>
      <c r="AL24" s="362">
        <v>0</v>
      </c>
      <c r="AM24" s="365">
        <v>0</v>
      </c>
      <c r="AN24" s="9"/>
      <c r="AO24" s="360"/>
      <c r="AP24" s="405" t="s">
        <v>113</v>
      </c>
      <c r="AQ24" s="421">
        <f>X35+X83</f>
        <v>27976354338</v>
      </c>
      <c r="AR24" s="421">
        <f>AD35+AD83</f>
        <v>17921204662</v>
      </c>
      <c r="AS24" s="421">
        <f>AG35+AG83</f>
        <v>11352954764</v>
      </c>
      <c r="AT24" s="421"/>
      <c r="AU24" s="363">
        <f t="shared" si="25"/>
        <v>0.64058398908887881</v>
      </c>
      <c r="AV24" s="363">
        <f t="shared" si="26"/>
        <v>0.40580536787737909</v>
      </c>
      <c r="AW24" s="363">
        <f>(AR24-AD41-AD88)/$AO$2*12+AD41+AD88</f>
        <v>27135123337</v>
      </c>
      <c r="AX24" s="363">
        <f>(AS24-AG41-AG88)/$AO$2*12+AG41+AG88</f>
        <v>15875266369</v>
      </c>
      <c r="AY24" s="363">
        <f t="shared" si="27"/>
        <v>-841231001</v>
      </c>
      <c r="AZ24" s="143">
        <f t="shared" si="28"/>
        <v>12101087969</v>
      </c>
      <c r="BA24" s="9"/>
      <c r="BB24" s="427"/>
      <c r="BC24" s="372"/>
      <c r="BD24" s="372"/>
      <c r="BE24" s="372"/>
      <c r="BF24" s="372"/>
      <c r="BG24" s="372"/>
      <c r="BH24" s="372"/>
      <c r="BI24" s="372"/>
      <c r="BJ24" s="372"/>
      <c r="BK24" s="372"/>
      <c r="BL24" s="372"/>
      <c r="BM24" s="137" t="s">
        <v>110</v>
      </c>
      <c r="BN24" s="83">
        <f>X170-X177-X174-X183-X191</f>
        <v>317017672</v>
      </c>
      <c r="BO24" s="81">
        <f>AA170-AA177-AA174-AA183-AA191</f>
        <v>158195126</v>
      </c>
      <c r="BP24" s="81">
        <f>AD170-AD177-AD174-AD183-AD191</f>
        <v>158195126</v>
      </c>
      <c r="BQ24" s="82">
        <f>AF170-AF177-AF174-AF183-AF191</f>
        <v>27699599</v>
      </c>
      <c r="BR24" s="372"/>
    </row>
    <row r="25" spans="1:70" s="372" customFormat="1" ht="24.95" customHeight="1">
      <c r="A25" s="714">
        <f>+IF(JUNIO!A25=0,"",JUNIO!A25)</f>
        <v>1130102</v>
      </c>
      <c r="B25" s="628" t="str">
        <f>+IF(JUNIO!B25=0,"",JUNIO!B25)</f>
        <v>ARS - REGIMEN SUBSIDIADO</v>
      </c>
      <c r="C25" s="43">
        <f t="shared" ref="C25:N25" si="29">SUM(C26:C27)</f>
        <v>32167564656</v>
      </c>
      <c r="D25" s="44">
        <f t="shared" si="29"/>
        <v>0</v>
      </c>
      <c r="E25" s="44">
        <f t="shared" si="29"/>
        <v>7810670343</v>
      </c>
      <c r="F25" s="44">
        <f t="shared" si="29"/>
        <v>39978234999</v>
      </c>
      <c r="G25" s="44">
        <f t="shared" si="29"/>
        <v>24230384722</v>
      </c>
      <c r="H25" s="44">
        <f t="shared" si="29"/>
        <v>3458406401</v>
      </c>
      <c r="I25" s="44">
        <f t="shared" si="29"/>
        <v>27688791123</v>
      </c>
      <c r="J25" s="44">
        <f t="shared" si="29"/>
        <v>15941049008</v>
      </c>
      <c r="K25" s="44">
        <f t="shared" si="29"/>
        <v>2703554333</v>
      </c>
      <c r="L25" s="44">
        <f t="shared" si="29"/>
        <v>18644603341</v>
      </c>
      <c r="M25" s="44">
        <f t="shared" si="29"/>
        <v>12289443876</v>
      </c>
      <c r="N25" s="45">
        <f t="shared" si="29"/>
        <v>21333631658</v>
      </c>
      <c r="P25" s="43">
        <f>SUM(P26:P27)</f>
        <v>0</v>
      </c>
      <c r="Q25" s="45">
        <f>SUM(Q26:Q27)</f>
        <v>219132108</v>
      </c>
      <c r="R25" s="9"/>
      <c r="S25" s="689" t="str">
        <f>+IF(JUNIO!S25=0,"",JUNIO!S25)</f>
        <v>1010104-5</v>
      </c>
      <c r="T25" s="665" t="str">
        <f>+IF(JUNIO!T25=0,"",JUNIO!T25)</f>
        <v>Bonificación Convencional</v>
      </c>
      <c r="U25" s="27">
        <f>+ENERO!U25</f>
        <v>0</v>
      </c>
      <c r="V25" s="15">
        <f>JUNIO!V25+JULIO!AL25</f>
        <v>0</v>
      </c>
      <c r="W25" s="15">
        <f>JUNIO!W25+JULIO!AM25</f>
        <v>0</v>
      </c>
      <c r="X25" s="18">
        <f t="shared" si="17"/>
        <v>0</v>
      </c>
      <c r="Y25" s="19">
        <f>JUNIO!AA25</f>
        <v>0</v>
      </c>
      <c r="Z25" s="364">
        <v>0</v>
      </c>
      <c r="AA25" s="18">
        <f t="shared" si="18"/>
        <v>0</v>
      </c>
      <c r="AB25" s="19">
        <f>JUNIO!AD25</f>
        <v>0</v>
      </c>
      <c r="AC25" s="364">
        <v>0</v>
      </c>
      <c r="AD25" s="18">
        <f t="shared" si="19"/>
        <v>0</v>
      </c>
      <c r="AE25" s="19">
        <f>JUNIO!AG25</f>
        <v>0</v>
      </c>
      <c r="AF25" s="364">
        <v>0</v>
      </c>
      <c r="AG25" s="18">
        <f t="shared" si="20"/>
        <v>0</v>
      </c>
      <c r="AH25" s="19">
        <f t="shared" si="21"/>
        <v>0</v>
      </c>
      <c r="AI25" s="15">
        <f t="shared" si="22"/>
        <v>0</v>
      </c>
      <c r="AJ25" s="16">
        <f t="shared" si="23"/>
        <v>0</v>
      </c>
      <c r="AK25" s="9"/>
      <c r="AL25" s="362">
        <v>0</v>
      </c>
      <c r="AM25" s="365">
        <v>0</v>
      </c>
      <c r="AN25" s="9"/>
      <c r="AO25" s="21"/>
      <c r="AP25" s="428" t="s">
        <v>116</v>
      </c>
      <c r="AQ25" s="363">
        <f>X43+X57+X90+X104</f>
        <v>2077094290</v>
      </c>
      <c r="AR25" s="363">
        <f>AD43+AD57+AD90+AD104</f>
        <v>910573748</v>
      </c>
      <c r="AS25" s="363">
        <f>AG43+AG57+AG90+AG104</f>
        <v>881712638</v>
      </c>
      <c r="AT25" s="421"/>
      <c r="AU25" s="363">
        <f t="shared" si="25"/>
        <v>0.43838825824320188</v>
      </c>
      <c r="AV25" s="363">
        <f t="shared" si="26"/>
        <v>0.4244933136858221</v>
      </c>
      <c r="AW25" s="363">
        <f>(AR25-AD55-AD61-AD102-AD108)/$AO$2*12+AD55+AD61+AD102+AD108</f>
        <v>1351567800.8571429</v>
      </c>
      <c r="AX25" s="363">
        <f>(AS25-AG55-AG61-AG102-AG108)/$AO$2*12+AG55+AG61+AG102+AG108</f>
        <v>1302091612.2857141</v>
      </c>
      <c r="AY25" s="363">
        <f t="shared" si="27"/>
        <v>-725526489.14285707</v>
      </c>
      <c r="AZ25" s="143">
        <f t="shared" si="28"/>
        <v>775002677.71428585</v>
      </c>
      <c r="BM25" s="140" t="s">
        <v>430</v>
      </c>
      <c r="BN25" s="106">
        <f>+SUM(BN26:BN28)</f>
        <v>15465908715</v>
      </c>
      <c r="BO25" s="107">
        <f>+SUM(BO26:BO28)</f>
        <v>14136275669</v>
      </c>
      <c r="BP25" s="107">
        <f>+SUM(BP26:BP28)</f>
        <v>11403785812</v>
      </c>
      <c r="BQ25" s="108">
        <f>+SUM(BQ26:BQ28)</f>
        <v>2378518047</v>
      </c>
    </row>
    <row r="26" spans="1:70" s="9" customFormat="1" ht="24.95" customHeight="1">
      <c r="A26" s="593" t="str">
        <f>+IF(JUNIO!A26=0,"",JUNIO!A26)</f>
        <v>1130102-1</v>
      </c>
      <c r="B26" s="629" t="str">
        <f>+CONCATENATE("Vigencia ",INSTRUCCIONES!$F$3)</f>
        <v>Vigencia 2019</v>
      </c>
      <c r="C26" s="655">
        <f>+ENERO!C26</f>
        <v>32167564656</v>
      </c>
      <c r="D26" s="363">
        <f>JUNIO!D26+JULIO!P26</f>
        <v>0</v>
      </c>
      <c r="E26" s="363">
        <f>JUNIO!E26+JULIO!Q26</f>
        <v>0</v>
      </c>
      <c r="F26" s="363">
        <f>SUM(C26:E26)</f>
        <v>32167564656</v>
      </c>
      <c r="G26" s="363">
        <f>JUNIO!I26</f>
        <v>16419714379</v>
      </c>
      <c r="H26" s="364">
        <v>3389142280</v>
      </c>
      <c r="I26" s="363">
        <f>SUM(G26:H26)</f>
        <v>19808856659</v>
      </c>
      <c r="J26" s="363">
        <f>JUNIO!L26</f>
        <v>8130378665</v>
      </c>
      <c r="K26" s="364">
        <v>2634290212</v>
      </c>
      <c r="L26" s="363">
        <f>SUM(J26:K26)</f>
        <v>10764668877</v>
      </c>
      <c r="M26" s="363">
        <f>F26-I26</f>
        <v>12358707997</v>
      </c>
      <c r="N26" s="143">
        <f>F26-L26</f>
        <v>21402895779</v>
      </c>
      <c r="P26" s="362">
        <v>0</v>
      </c>
      <c r="Q26" s="365">
        <v>0</v>
      </c>
      <c r="S26" s="689" t="str">
        <f>+IF(JUNIO!S26=0,"",JUNIO!S26)</f>
        <v>1010104-6</v>
      </c>
      <c r="T26" s="665" t="str">
        <f>+IF(JUNIO!T26=0,"",JUNIO!T26)</f>
        <v>Auxilio de Transporte</v>
      </c>
      <c r="U26" s="27">
        <f>+ENERO!U26</f>
        <v>7017105</v>
      </c>
      <c r="V26" s="15">
        <f>JUNIO!V26+JULIO!AL26</f>
        <v>0</v>
      </c>
      <c r="W26" s="15">
        <f>JUNIO!W26+JULIO!AM26</f>
        <v>0</v>
      </c>
      <c r="X26" s="18">
        <f t="shared" si="17"/>
        <v>7017105</v>
      </c>
      <c r="Y26" s="19">
        <f>JUNIO!AA26</f>
        <v>507801</v>
      </c>
      <c r="Z26" s="364">
        <v>97032</v>
      </c>
      <c r="AA26" s="18">
        <f t="shared" si="18"/>
        <v>604833</v>
      </c>
      <c r="AB26" s="19">
        <f>JUNIO!AD26</f>
        <v>507801</v>
      </c>
      <c r="AC26" s="364">
        <v>97032</v>
      </c>
      <c r="AD26" s="18">
        <f t="shared" si="19"/>
        <v>604833</v>
      </c>
      <c r="AE26" s="19">
        <f>JUNIO!AG26</f>
        <v>507801</v>
      </c>
      <c r="AF26" s="364">
        <v>97032</v>
      </c>
      <c r="AG26" s="18">
        <f t="shared" si="20"/>
        <v>604833</v>
      </c>
      <c r="AH26" s="19">
        <f t="shared" si="21"/>
        <v>6412272</v>
      </c>
      <c r="AI26" s="15">
        <f t="shared" si="22"/>
        <v>6412272</v>
      </c>
      <c r="AJ26" s="16">
        <f t="shared" si="23"/>
        <v>6412272</v>
      </c>
      <c r="AL26" s="362">
        <v>0</v>
      </c>
      <c r="AM26" s="365">
        <v>0</v>
      </c>
      <c r="AO26" s="21"/>
      <c r="AP26" s="429" t="s">
        <v>120</v>
      </c>
      <c r="AQ26" s="317">
        <f>X110</f>
        <v>12757034256</v>
      </c>
      <c r="AR26" s="317">
        <f>AD110</f>
        <v>7722393340</v>
      </c>
      <c r="AS26" s="317">
        <f>AG110</f>
        <v>6365318979</v>
      </c>
      <c r="AT26" s="361">
        <f>AO2/12</f>
        <v>0.58333333333333337</v>
      </c>
      <c r="AU26" s="332">
        <f t="shared" si="25"/>
        <v>0.60534393692389254</v>
      </c>
      <c r="AV26" s="332">
        <f t="shared" si="26"/>
        <v>0.4989654218421658</v>
      </c>
      <c r="AW26" s="426">
        <f>(AR26-AD121-AD139-AD143-AD153-AD168)/$AO$2*12+AD121+AD139+AD143+AD153+AD168</f>
        <v>11934468060</v>
      </c>
      <c r="AX26" s="426">
        <f>(AS26-AG121-AG139-AG143-AG153-AG168)/$AO$2*12+AG121+AG139+AG143+AG153+AG168</f>
        <v>9608054869.7142868</v>
      </c>
      <c r="AY26" s="426">
        <f t="shared" si="27"/>
        <v>-822566196</v>
      </c>
      <c r="AZ26" s="46">
        <f t="shared" si="28"/>
        <v>3148979386.2857132</v>
      </c>
      <c r="BA26" s="372"/>
      <c r="BB26" s="372"/>
      <c r="BC26" s="372"/>
      <c r="BD26" s="372"/>
      <c r="BE26" s="372"/>
      <c r="BF26" s="372"/>
      <c r="BG26" s="372"/>
      <c r="BH26" s="372"/>
      <c r="BI26" s="372"/>
      <c r="BJ26" s="372"/>
      <c r="BK26" s="372"/>
      <c r="BM26" s="109" t="s">
        <v>431</v>
      </c>
      <c r="BN26" s="86">
        <f>+X198+X212</f>
        <v>6398464356</v>
      </c>
      <c r="BO26" s="84">
        <f>+AA198+AA212</f>
        <v>5909123490</v>
      </c>
      <c r="BP26" s="84">
        <f>+AD198+AD212</f>
        <v>4975346138</v>
      </c>
      <c r="BQ26" s="85">
        <f>+AF198+AF212</f>
        <v>727746244</v>
      </c>
      <c r="BR26" s="372"/>
    </row>
    <row r="27" spans="1:70" s="412" customFormat="1" ht="24.95" customHeight="1">
      <c r="A27" s="593" t="str">
        <f>+IF(JUNIO!A27=0,"",JUNIO!A27)</f>
        <v>1130102-2</v>
      </c>
      <c r="B27" s="629" t="str">
        <f>+IF(JUNIO!B27=0,"",JUNIO!B27)</f>
        <v>Vigencia Anterior</v>
      </c>
      <c r="C27" s="655">
        <f>+ENERO!C27</f>
        <v>0</v>
      </c>
      <c r="D27" s="363">
        <f>JUNIO!D27+JULIO!P27</f>
        <v>0</v>
      </c>
      <c r="E27" s="363">
        <f>JUNIO!E27+JULIO!Q27</f>
        <v>7810670343</v>
      </c>
      <c r="F27" s="363">
        <f>SUM(C27:E27)</f>
        <v>7810670343</v>
      </c>
      <c r="G27" s="363">
        <f>JUNIO!I27</f>
        <v>7810670343</v>
      </c>
      <c r="H27" s="364">
        <v>69264121</v>
      </c>
      <c r="I27" s="363">
        <f>SUM(G27:H27)</f>
        <v>7879934464</v>
      </c>
      <c r="J27" s="363">
        <f>JUNIO!L27</f>
        <v>7810670343</v>
      </c>
      <c r="K27" s="364">
        <v>69264121</v>
      </c>
      <c r="L27" s="363">
        <f>SUM(J27:K27)</f>
        <v>7879934464</v>
      </c>
      <c r="M27" s="363">
        <f>F27-I27</f>
        <v>-69264121</v>
      </c>
      <c r="N27" s="143">
        <f>F27-L27</f>
        <v>-69264121</v>
      </c>
      <c r="O27" s="372"/>
      <c r="P27" s="362">
        <v>0</v>
      </c>
      <c r="Q27" s="365">
        <v>219132108</v>
      </c>
      <c r="R27" s="9"/>
      <c r="S27" s="689" t="str">
        <f>+IF(JUNIO!S27=0,"",JUNIO!S27)</f>
        <v>1010104-7</v>
      </c>
      <c r="T27" s="665" t="str">
        <f>+IF(JUNIO!T27=0,"",JUNIO!T27)</f>
        <v>Auxilio de Alimentación</v>
      </c>
      <c r="U27" s="27">
        <f>+ENERO!U27</f>
        <v>92622</v>
      </c>
      <c r="V27" s="15">
        <f>JUNIO!V27+JULIO!AL27</f>
        <v>0</v>
      </c>
      <c r="W27" s="15">
        <f>JUNIO!W27+JULIO!AM27</f>
        <v>0</v>
      </c>
      <c r="X27" s="18">
        <f t="shared" si="17"/>
        <v>92622</v>
      </c>
      <c r="Y27" s="19">
        <f>JUNIO!AA27</f>
        <v>0</v>
      </c>
      <c r="Z27" s="364">
        <v>0</v>
      </c>
      <c r="AA27" s="18">
        <f t="shared" si="18"/>
        <v>0</v>
      </c>
      <c r="AB27" s="19">
        <f>JUNIO!AD27</f>
        <v>0</v>
      </c>
      <c r="AC27" s="364">
        <v>0</v>
      </c>
      <c r="AD27" s="18">
        <f t="shared" si="19"/>
        <v>0</v>
      </c>
      <c r="AE27" s="19">
        <f>JUNIO!AG27</f>
        <v>0</v>
      </c>
      <c r="AF27" s="364">
        <v>0</v>
      </c>
      <c r="AG27" s="18">
        <f t="shared" si="20"/>
        <v>0</v>
      </c>
      <c r="AH27" s="19">
        <f t="shared" si="21"/>
        <v>92622</v>
      </c>
      <c r="AI27" s="15">
        <f t="shared" si="22"/>
        <v>92622</v>
      </c>
      <c r="AJ27" s="16">
        <f t="shared" si="23"/>
        <v>92622</v>
      </c>
      <c r="AK27" s="9"/>
      <c r="AL27" s="362">
        <v>0</v>
      </c>
      <c r="AM27" s="365">
        <v>0</v>
      </c>
      <c r="AN27" s="9"/>
      <c r="AO27" s="339"/>
      <c r="AP27" s="428" t="s">
        <v>123</v>
      </c>
      <c r="AQ27" s="363">
        <f>X170</f>
        <v>1282354144</v>
      </c>
      <c r="AR27" s="363">
        <f>AD170</f>
        <v>645950110</v>
      </c>
      <c r="AS27" s="363">
        <f>AG170</f>
        <v>641851280</v>
      </c>
      <c r="AT27" s="421"/>
      <c r="AU27" s="363">
        <f t="shared" si="25"/>
        <v>0.50372209036195859</v>
      </c>
      <c r="AV27" s="363">
        <f t="shared" si="26"/>
        <v>0.50052575803895871</v>
      </c>
      <c r="AW27" s="363">
        <f>(AR27-AD174-AD183-AD191)/$AO$2*12+AD174+AD183+AD191</f>
        <v>1107343045.7142859</v>
      </c>
      <c r="AX27" s="363">
        <f>(AS27-AG174-AG183-AG191)/$AO$2*12+AG174+AG183+AG191</f>
        <v>1100316480</v>
      </c>
      <c r="AY27" s="363">
        <f t="shared" si="27"/>
        <v>-175011098.28571415</v>
      </c>
      <c r="AZ27" s="143">
        <f t="shared" si="28"/>
        <v>182037664</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+IF(JUNIO!A28=0,"",JUNIO!A28)</f>
        <v>1130103</v>
      </c>
      <c r="B28" s="605" t="str">
        <f>+IF(JUNIO!B28=0,"",JUNIO!B28)</f>
        <v>SUBSIDIO A LA OFERTA- ATENCION PERSONAS POBRES NO CUBIERTOS CON SUBSIDIO A LA DEMANDA</v>
      </c>
      <c r="C28" s="43">
        <f>C29+C32+C35+C38+C39+C40</f>
        <v>8952361140</v>
      </c>
      <c r="D28" s="44">
        <f>+D29+D32+D35+D38+D39+D40</f>
        <v>0</v>
      </c>
      <c r="E28" s="44">
        <f>+E29+E32+E35+E38+E39+E40</f>
        <v>1624039533</v>
      </c>
      <c r="F28" s="44">
        <f>+F29+F32+F35+F38+F39+F40</f>
        <v>10576400673</v>
      </c>
      <c r="G28" s="44">
        <f t="shared" ref="G28:N28" si="30">G29+G32+G35+G38+G39+G40</f>
        <v>7626277182</v>
      </c>
      <c r="H28" s="44">
        <f t="shared" si="30"/>
        <v>2423669317</v>
      </c>
      <c r="I28" s="44">
        <f t="shared" si="30"/>
        <v>10049946499</v>
      </c>
      <c r="J28" s="44">
        <f t="shared" si="30"/>
        <v>2584529125</v>
      </c>
      <c r="K28" s="44">
        <f t="shared" si="30"/>
        <v>1288946269</v>
      </c>
      <c r="L28" s="44">
        <f t="shared" si="30"/>
        <v>3873475394</v>
      </c>
      <c r="M28" s="44">
        <f t="shared" si="30"/>
        <v>526454174</v>
      </c>
      <c r="N28" s="45">
        <f t="shared" si="30"/>
        <v>6702925279</v>
      </c>
      <c r="O28" s="372"/>
      <c r="P28" s="43">
        <f>P29+P32+P35+P38+P39+P940</f>
        <v>0</v>
      </c>
      <c r="Q28" s="45">
        <f>Q29+Q32+Q35+Q38+Q39+Q40</f>
        <v>0</v>
      </c>
      <c r="R28" s="9"/>
      <c r="S28" s="689" t="str">
        <f>+IF(JUNIO!S28=0,"",JUNIO!S28)</f>
        <v>1010104-8</v>
      </c>
      <c r="T28" s="665" t="str">
        <f>+IF(JUNIO!T28=0,"",JUNIO!T28)</f>
        <v>Indemnizaciones por Vacaciones o Supresión de Cargos por Reestructuración</v>
      </c>
      <c r="U28" s="27">
        <f>+ENERO!U28</f>
        <v>0</v>
      </c>
      <c r="V28" s="15">
        <f>JUNIO!V28+JULIO!AL28</f>
        <v>0</v>
      </c>
      <c r="W28" s="15">
        <f>JUNIO!W28+JULIO!AM28</f>
        <v>0</v>
      </c>
      <c r="X28" s="18">
        <f t="shared" si="17"/>
        <v>0</v>
      </c>
      <c r="Y28" s="19">
        <f>JUNIO!AA28</f>
        <v>0</v>
      </c>
      <c r="Z28" s="364">
        <v>0</v>
      </c>
      <c r="AA28" s="18">
        <f t="shared" si="18"/>
        <v>0</v>
      </c>
      <c r="AB28" s="19">
        <f>JUNIO!AD28</f>
        <v>0</v>
      </c>
      <c r="AC28" s="364">
        <v>0</v>
      </c>
      <c r="AD28" s="18">
        <f t="shared" si="19"/>
        <v>0</v>
      </c>
      <c r="AE28" s="19">
        <f>JUNIO!AG28</f>
        <v>0</v>
      </c>
      <c r="AF28" s="364">
        <v>0</v>
      </c>
      <c r="AG28" s="18">
        <f t="shared" si="20"/>
        <v>0</v>
      </c>
      <c r="AH28" s="19">
        <f t="shared" si="21"/>
        <v>0</v>
      </c>
      <c r="AI28" s="15">
        <f t="shared" si="22"/>
        <v>0</v>
      </c>
      <c r="AJ28" s="16">
        <f t="shared" si="23"/>
        <v>0</v>
      </c>
      <c r="AK28" s="9"/>
      <c r="AL28" s="362">
        <v>0</v>
      </c>
      <c r="AM28" s="365">
        <v>0</v>
      </c>
      <c r="AN28" s="9"/>
      <c r="AO28" s="339"/>
      <c r="AP28" s="777" t="s">
        <v>566</v>
      </c>
      <c r="AQ28" s="363">
        <f>X195</f>
        <v>22167541283</v>
      </c>
      <c r="AR28" s="363">
        <f>AD195</f>
        <v>18059374730</v>
      </c>
      <c r="AS28" s="363">
        <f>AG195</f>
        <v>12490057721</v>
      </c>
      <c r="AT28" s="421"/>
      <c r="AU28" s="363">
        <f t="shared" si="25"/>
        <v>0.8146764902542214</v>
      </c>
      <c r="AV28" s="363">
        <f t="shared" si="26"/>
        <v>0.56343901930966356</v>
      </c>
      <c r="AW28" s="363">
        <f>(AR28-AD207)/$AO$2*12+AD207</f>
        <v>26204936024.285713</v>
      </c>
      <c r="AX28" s="363">
        <f>(AS28-AG207)/$AO$2*12+AG207</f>
        <v>16657535437.428572</v>
      </c>
      <c r="AY28" s="363">
        <f t="shared" si="27"/>
        <v>4037394741.2857132</v>
      </c>
      <c r="AZ28" s="143">
        <f t="shared" si="28"/>
        <v>5510005845.5714283</v>
      </c>
      <c r="BA28" s="372"/>
      <c r="BB28" s="372"/>
      <c r="BC28" s="372"/>
      <c r="BD28" s="372"/>
      <c r="BE28" s="372"/>
      <c r="BF28" s="372"/>
      <c r="BG28" s="372"/>
      <c r="BH28" s="372"/>
      <c r="BI28" s="372"/>
      <c r="BJ28" s="372"/>
      <c r="BK28" s="372"/>
      <c r="BL28" s="372"/>
      <c r="BM28" s="71" t="s">
        <v>433</v>
      </c>
      <c r="BN28" s="83">
        <f>+X196-X198-X207</f>
        <v>9067444359</v>
      </c>
      <c r="BO28" s="81">
        <f>+AA196-AA198-AA207</f>
        <v>8227152179</v>
      </c>
      <c r="BP28" s="81">
        <f>+AD196-AD198-AD207</f>
        <v>6428439674</v>
      </c>
      <c r="BQ28" s="82">
        <f>+AF196-AF198-AF207</f>
        <v>1650771803</v>
      </c>
      <c r="BR28" s="9"/>
    </row>
    <row r="29" spans="1:70" s="9" customFormat="1" ht="24.95" customHeight="1">
      <c r="A29" s="593" t="str">
        <f>+IF(JUNIO!A29=0,"",JUNIO!A29)</f>
        <v>1130103-1</v>
      </c>
      <c r="B29" s="630" t="str">
        <f>+IF(JUNIO!B29=0,"",JUNIO!B29)</f>
        <v>Prestación de Servicios de salud  1er Nivel</v>
      </c>
      <c r="C29" s="19">
        <f t="shared" ref="C29:N29" si="31">SUM(C30:C31)</f>
        <v>0</v>
      </c>
      <c r="D29" s="15">
        <f t="shared" si="31"/>
        <v>0</v>
      </c>
      <c r="E29" s="15">
        <f t="shared" si="31"/>
        <v>0</v>
      </c>
      <c r="F29" s="15">
        <f t="shared" si="31"/>
        <v>0</v>
      </c>
      <c r="G29" s="15">
        <f t="shared" si="31"/>
        <v>0</v>
      </c>
      <c r="H29" s="15">
        <f t="shared" si="31"/>
        <v>0</v>
      </c>
      <c r="I29" s="15">
        <f t="shared" si="31"/>
        <v>0</v>
      </c>
      <c r="J29" s="15">
        <f t="shared" si="31"/>
        <v>0</v>
      </c>
      <c r="K29" s="15">
        <f t="shared" si="31"/>
        <v>0</v>
      </c>
      <c r="L29" s="15">
        <f t="shared" si="31"/>
        <v>0</v>
      </c>
      <c r="M29" s="15">
        <f t="shared" si="31"/>
        <v>0</v>
      </c>
      <c r="N29" s="16">
        <f t="shared" si="31"/>
        <v>0</v>
      </c>
      <c r="O29" s="372"/>
      <c r="P29" s="144">
        <f>SUM(P30:P31)</f>
        <v>0</v>
      </c>
      <c r="Q29" s="145">
        <f>SUM(Q30:Q31)</f>
        <v>0</v>
      </c>
      <c r="S29" s="689" t="str">
        <f>+IF(JUNIO!S29=0,"",JUNIO!S29)</f>
        <v>1010104-9</v>
      </c>
      <c r="T29" s="665" t="str">
        <f>+IF(JUNIO!T29=0,"",JUNIO!T29)</f>
        <v>Bonificación Especial por Recreación</v>
      </c>
      <c r="U29" s="27">
        <f>+ENERO!U29</f>
        <v>8443869</v>
      </c>
      <c r="V29" s="15">
        <f>JUNIO!V29+JULIO!AL29</f>
        <v>0</v>
      </c>
      <c r="W29" s="15">
        <f>JUNIO!W29+JULIO!AM29</f>
        <v>0</v>
      </c>
      <c r="X29" s="18">
        <f t="shared" si="17"/>
        <v>8443869</v>
      </c>
      <c r="Y29" s="19">
        <f>JUNIO!AA29</f>
        <v>2033486</v>
      </c>
      <c r="Z29" s="364">
        <v>1195714</v>
      </c>
      <c r="AA29" s="18">
        <f t="shared" si="18"/>
        <v>3229200</v>
      </c>
      <c r="AB29" s="19">
        <f>JUNIO!AD29</f>
        <v>2033486</v>
      </c>
      <c r="AC29" s="364">
        <v>1195714</v>
      </c>
      <c r="AD29" s="18">
        <f t="shared" si="19"/>
        <v>3229200</v>
      </c>
      <c r="AE29" s="19">
        <f>JUNIO!AG29</f>
        <v>2033486</v>
      </c>
      <c r="AF29" s="364">
        <v>1195714</v>
      </c>
      <c r="AG29" s="18">
        <f t="shared" si="20"/>
        <v>3229200</v>
      </c>
      <c r="AH29" s="19">
        <f t="shared" si="21"/>
        <v>5214669</v>
      </c>
      <c r="AI29" s="15">
        <f t="shared" si="22"/>
        <v>5214669</v>
      </c>
      <c r="AJ29" s="16">
        <f t="shared" si="23"/>
        <v>5214669</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26829618396</v>
      </c>
      <c r="BO29" s="107">
        <f>AA232-AA256-AA241</f>
        <v>19280473830</v>
      </c>
      <c r="BP29" s="107">
        <f>AD232-AD256-AD241</f>
        <v>11502831246</v>
      </c>
      <c r="BQ29" s="108">
        <f>AF232-AF256-AF241</f>
        <v>3868516401</v>
      </c>
      <c r="BR29" s="372"/>
    </row>
    <row r="30" spans="1:70" s="412" customFormat="1" ht="24.95" customHeight="1">
      <c r="A30" s="593" t="str">
        <f>+IF(JUNIO!A30=0,"",JUNIO!A30)</f>
        <v>1130103-1-1</v>
      </c>
      <c r="B30" s="629" t="str">
        <f>+CONCATENATE("Vigencia ",INSTRUCCIONES!$F$3)</f>
        <v>Vigencia 2019</v>
      </c>
      <c r="C30" s="655">
        <f>+ENERO!C30</f>
        <v>0</v>
      </c>
      <c r="D30" s="363">
        <f>JUNIO!D30+JULIO!P30</f>
        <v>0</v>
      </c>
      <c r="E30" s="363">
        <f>JUNIO!E30+JULIO!Q30</f>
        <v>0</v>
      </c>
      <c r="F30" s="363">
        <f>SUM(C30:E30)</f>
        <v>0</v>
      </c>
      <c r="G30" s="363">
        <f>JUNIO!I30</f>
        <v>0</v>
      </c>
      <c r="H30" s="364">
        <v>0</v>
      </c>
      <c r="I30" s="363">
        <f>SUM(G30:H30)</f>
        <v>0</v>
      </c>
      <c r="J30" s="363">
        <f>JUNIO!L30</f>
        <v>0</v>
      </c>
      <c r="K30" s="364">
        <v>0</v>
      </c>
      <c r="L30" s="363">
        <f>SUM(J30:K30)</f>
        <v>0</v>
      </c>
      <c r="M30" s="363">
        <f>F30-I30</f>
        <v>0</v>
      </c>
      <c r="N30" s="143">
        <f>F30-L30</f>
        <v>0</v>
      </c>
      <c r="O30" s="9"/>
      <c r="P30" s="362">
        <v>0</v>
      </c>
      <c r="Q30" s="365">
        <v>0</v>
      </c>
      <c r="R30" s="9"/>
      <c r="S30" s="689" t="str">
        <f>+IF(JUNIO!S30=0,"",JUNIO!S30)</f>
        <v>1010104-10</v>
      </c>
      <c r="T30" s="665" t="str">
        <f>+IF(JUNIO!T30=0,"",JUNIO!T30)</f>
        <v>Gastos de Representación</v>
      </c>
      <c r="U30" s="27">
        <f>+ENERO!U30</f>
        <v>0</v>
      </c>
      <c r="V30" s="15">
        <f>JUNIO!V30+JULIO!AL30</f>
        <v>0</v>
      </c>
      <c r="W30" s="15">
        <f>JUNIO!W30+JULIO!AM30</f>
        <v>0</v>
      </c>
      <c r="X30" s="18">
        <f t="shared" si="17"/>
        <v>0</v>
      </c>
      <c r="Y30" s="19">
        <f>JUNIO!AA30</f>
        <v>0</v>
      </c>
      <c r="Z30" s="364">
        <v>0</v>
      </c>
      <c r="AA30" s="18">
        <f t="shared" si="18"/>
        <v>0</v>
      </c>
      <c r="AB30" s="19">
        <f>JUNIO!AD30</f>
        <v>0</v>
      </c>
      <c r="AC30" s="364">
        <v>0</v>
      </c>
      <c r="AD30" s="18">
        <f t="shared" si="19"/>
        <v>0</v>
      </c>
      <c r="AE30" s="19">
        <f>JUNIO!AG30</f>
        <v>0</v>
      </c>
      <c r="AF30" s="364">
        <v>0</v>
      </c>
      <c r="AG30" s="18">
        <f t="shared" si="20"/>
        <v>0</v>
      </c>
      <c r="AH30" s="19">
        <f t="shared" si="21"/>
        <v>0</v>
      </c>
      <c r="AI30" s="15">
        <f t="shared" si="22"/>
        <v>0</v>
      </c>
      <c r="AJ30" s="16">
        <f t="shared" si="23"/>
        <v>0</v>
      </c>
      <c r="AK30" s="9"/>
      <c r="AL30" s="362">
        <v>0</v>
      </c>
      <c r="AM30" s="365">
        <v>0</v>
      </c>
      <c r="AN30" s="9"/>
      <c r="AO30" s="360" t="s">
        <v>51</v>
      </c>
      <c r="AP30" s="428" t="s">
        <v>130</v>
      </c>
      <c r="AQ30" s="363">
        <f>X220+X232</f>
        <v>32627598343</v>
      </c>
      <c r="AR30" s="363">
        <f>AD220+AD232</f>
        <v>12405021570</v>
      </c>
      <c r="AS30" s="363">
        <f>AG220+AG232</f>
        <v>11390284523</v>
      </c>
      <c r="AT30" s="421"/>
      <c r="AU30" s="363">
        <f t="shared" si="25"/>
        <v>0.38020026603218871</v>
      </c>
      <c r="AV30" s="363">
        <f t="shared" si="26"/>
        <v>0.34909969171677319</v>
      </c>
      <c r="AW30" s="363">
        <f>(AR30-AD225-AD230-AD241-AD256)/$AO$2*12+AD225+AD230+AD241+AD256</f>
        <v>20750119857.142857</v>
      </c>
      <c r="AX30" s="363">
        <f>(AS30-AG225-AG230-AG241-AG256)/$AO$2*12+AG225+AG230+AG241+AG256</f>
        <v>19010570633.714287</v>
      </c>
      <c r="AY30" s="363">
        <f t="shared" si="27"/>
        <v>-11877478485.857143</v>
      </c>
      <c r="AZ30" s="143">
        <f t="shared" si="28"/>
        <v>13617027709.285713</v>
      </c>
      <c r="BA30" s="372"/>
      <c r="BG30" s="372"/>
      <c r="BH30" s="372"/>
      <c r="BI30" s="372"/>
      <c r="BJ30" s="372"/>
      <c r="BK30" s="372"/>
      <c r="BL30" s="372"/>
      <c r="BM30" s="110" t="s">
        <v>74</v>
      </c>
      <c r="BN30" s="106">
        <f>X220-X225-X230</f>
        <v>262344980</v>
      </c>
      <c r="BO30" s="107">
        <f>AA220-AA225-AA230</f>
        <v>180306356</v>
      </c>
      <c r="BP30" s="107">
        <f>AD220-AD225-AD230</f>
        <v>180306356</v>
      </c>
      <c r="BQ30" s="108">
        <f>AF220-AF225-AF230</f>
        <v>25525562</v>
      </c>
      <c r="BR30" s="372"/>
    </row>
    <row r="31" spans="1:70" s="412" customFormat="1" ht="24.95" customHeight="1">
      <c r="A31" s="593" t="str">
        <f>+IF(JUNIO!A31=0,"",JUNIO!A31)</f>
        <v>1130103-1-2</v>
      </c>
      <c r="B31" s="629" t="str">
        <f>+IF(JUNIO!B31=0,"",JUNIO!B31)</f>
        <v>Vigencia Anterior</v>
      </c>
      <c r="C31" s="655">
        <f>+ENERO!C31</f>
        <v>0</v>
      </c>
      <c r="D31" s="363">
        <f>JUNIO!D31+JULIO!P31</f>
        <v>0</v>
      </c>
      <c r="E31" s="363">
        <f>JUNIO!E31+JULIO!Q31</f>
        <v>0</v>
      </c>
      <c r="F31" s="363">
        <f>SUM(C31:E31)</f>
        <v>0</v>
      </c>
      <c r="G31" s="363">
        <f>JUNIO!I31</f>
        <v>0</v>
      </c>
      <c r="H31" s="364">
        <v>0</v>
      </c>
      <c r="I31" s="363">
        <f>SUM(G31:H31)</f>
        <v>0</v>
      </c>
      <c r="J31" s="363">
        <f>JUNIO!L31</f>
        <v>0</v>
      </c>
      <c r="K31" s="364">
        <v>0</v>
      </c>
      <c r="L31" s="363">
        <f>SUM(J31:K31)</f>
        <v>0</v>
      </c>
      <c r="M31" s="363">
        <f>F31-I31</f>
        <v>0</v>
      </c>
      <c r="N31" s="143">
        <f>F31-L31</f>
        <v>0</v>
      </c>
      <c r="O31" s="372"/>
      <c r="P31" s="362">
        <v>0</v>
      </c>
      <c r="Q31" s="365">
        <v>0</v>
      </c>
      <c r="R31" s="9"/>
      <c r="S31" s="689" t="str">
        <f>+IF(JUNIO!S31=0,"",JUNIO!S31)</f>
        <v>1010104-11</v>
      </c>
      <c r="T31" s="665" t="str">
        <f>+IF(JUNIO!T31=0,"",JUNIO!T31)</f>
        <v/>
      </c>
      <c r="U31" s="27">
        <f>+ENERO!U31</f>
        <v>0</v>
      </c>
      <c r="V31" s="15">
        <f>JUNIO!V31+JULIO!AL31</f>
        <v>0</v>
      </c>
      <c r="W31" s="15">
        <f>JUNIO!W31+JULIO!AM31</f>
        <v>0</v>
      </c>
      <c r="X31" s="18">
        <f t="shared" si="17"/>
        <v>0</v>
      </c>
      <c r="Y31" s="19">
        <f>JUNIO!AA31</f>
        <v>0</v>
      </c>
      <c r="Z31" s="364">
        <v>0</v>
      </c>
      <c r="AA31" s="18">
        <f t="shared" si="18"/>
        <v>0</v>
      </c>
      <c r="AB31" s="19">
        <f>JUNIO!AD31</f>
        <v>0</v>
      </c>
      <c r="AC31" s="364">
        <v>0</v>
      </c>
      <c r="AD31" s="18">
        <f t="shared" si="19"/>
        <v>0</v>
      </c>
      <c r="AE31" s="19">
        <f>JUNIO!AG31</f>
        <v>0</v>
      </c>
      <c r="AF31" s="364">
        <v>0</v>
      </c>
      <c r="AG31" s="18">
        <f t="shared" si="20"/>
        <v>0</v>
      </c>
      <c r="AH31" s="19">
        <f t="shared" si="21"/>
        <v>0</v>
      </c>
      <c r="AI31" s="15">
        <f t="shared" si="22"/>
        <v>0</v>
      </c>
      <c r="AJ31" s="16">
        <f t="shared" si="23"/>
        <v>0</v>
      </c>
      <c r="AK31" s="9"/>
      <c r="AL31" s="362">
        <v>0</v>
      </c>
      <c r="AM31" s="365">
        <v>0</v>
      </c>
      <c r="AN31" s="9"/>
      <c r="AO31" s="339"/>
      <c r="AP31" s="405" t="s">
        <v>133</v>
      </c>
      <c r="AQ31" s="421">
        <f>X258</f>
        <v>0</v>
      </c>
      <c r="AR31" s="421">
        <f>AD258</f>
        <v>-2547624583.2400055</v>
      </c>
      <c r="AS31" s="421">
        <f>AG258</f>
        <v>-45438696382</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20021150564</v>
      </c>
      <c r="BO31" s="107">
        <f>AA33+AA41+AA55+AA61+AA81+AA88+AA102+AA108+AA121+AA139+AA143+AA153+AA168+AA174+AA183+AA191+AA207+AA218+AA230+AA241+AA256+AA225</f>
        <v>14517862209</v>
      </c>
      <c r="BP31" s="107">
        <f>AD33+AD41+AD55+AD61+AD81+AD88+AD102+AD108+AD121+AD139+AD143+AD153+AD168+AD174+AD183+AD191+AD207+AD218+AD230+AD241+AD256+AD225</f>
        <v>14517862209</v>
      </c>
      <c r="BQ31" s="108">
        <f>AF33+AF41+AF55+AF61+AF81+AF88+AF102+AF108+AF121+AF139+AF143+AF153+AF168+AF174+AF183+AF191+AF207+AF218+AF230+AF241+AF256+AF225</f>
        <v>1526928890</v>
      </c>
      <c r="BR31" s="9"/>
    </row>
    <row r="32" spans="1:70" s="9" customFormat="1" ht="24.95" customHeight="1" thickBot="1">
      <c r="A32" s="593" t="str">
        <f>+IF(JUNIO!A32=0,"",JUNIO!A32)</f>
        <v>1130103-2</v>
      </c>
      <c r="B32" s="630" t="str">
        <f>+IF(JUNIO!B32=0,"",JUNIO!B32)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72"/>
      <c r="P32" s="144">
        <f>SUM(P33:P34)</f>
        <v>0</v>
      </c>
      <c r="Q32" s="145">
        <f>SUM(Q33:Q34)</f>
        <v>0</v>
      </c>
      <c r="S32" s="689" t="str">
        <f>+IF(JUNIO!S32=0,"",JUNIO!S32)</f>
        <v>1010104-12</v>
      </c>
      <c r="T32" s="665" t="str">
        <f>+IF(JUNIO!T32=0,"",JUNIO!T32)</f>
        <v/>
      </c>
      <c r="U32" s="27">
        <f>+ENERO!U32</f>
        <v>0</v>
      </c>
      <c r="V32" s="15">
        <f>JUNIO!V32+JULIO!AL32</f>
        <v>0</v>
      </c>
      <c r="W32" s="15">
        <f>JUNIO!W32+JULIO!AM32</f>
        <v>0</v>
      </c>
      <c r="X32" s="18">
        <f t="shared" si="17"/>
        <v>0</v>
      </c>
      <c r="Y32" s="19">
        <f>JUNIO!AA32</f>
        <v>0</v>
      </c>
      <c r="Z32" s="364">
        <v>0</v>
      </c>
      <c r="AA32" s="18">
        <f t="shared" si="18"/>
        <v>0</v>
      </c>
      <c r="AB32" s="19">
        <f>JUNIO!AD32</f>
        <v>0</v>
      </c>
      <c r="AC32" s="364">
        <v>0</v>
      </c>
      <c r="AD32" s="18">
        <f t="shared" si="19"/>
        <v>0</v>
      </c>
      <c r="AE32" s="19">
        <f>JUNIO!AG32</f>
        <v>0</v>
      </c>
      <c r="AF32" s="364">
        <v>0</v>
      </c>
      <c r="AG32" s="18">
        <f t="shared" si="20"/>
        <v>0</v>
      </c>
      <c r="AH32" s="19">
        <f t="shared" si="21"/>
        <v>0</v>
      </c>
      <c r="AI32" s="15">
        <f t="shared" si="22"/>
        <v>0</v>
      </c>
      <c r="AJ32" s="16">
        <f t="shared" si="23"/>
        <v>0</v>
      </c>
      <c r="AL32" s="362">
        <v>0</v>
      </c>
      <c r="AM32" s="365">
        <v>0</v>
      </c>
      <c r="AO32" s="21"/>
      <c r="AP32" s="430" t="s">
        <v>138</v>
      </c>
      <c r="AQ32" s="385">
        <f>SUM(AQ22:AQ31)</f>
        <v>104096662157</v>
      </c>
      <c r="AR32" s="385">
        <f>SUM(AR22:AR31)</f>
        <v>57434345457.759995</v>
      </c>
      <c r="AS32" s="385">
        <f>SUM(AS22:AS31)</f>
        <v>0</v>
      </c>
      <c r="AT32" s="431"/>
      <c r="AU32" s="432">
        <f t="shared" si="25"/>
        <v>0.55174050990354262</v>
      </c>
      <c r="AV32" s="432">
        <f t="shared" si="26"/>
        <v>0</v>
      </c>
      <c r="AW32" s="341">
        <f>SUM(AW22:AW31)</f>
        <v>92869774863.428558</v>
      </c>
      <c r="AX32" s="341">
        <f>SUM(AX22:AX31)</f>
        <v>67939511456</v>
      </c>
      <c r="AY32" s="341">
        <f>SUM(AY22:AY31)</f>
        <v>-11226887293.57143</v>
      </c>
      <c r="AZ32" s="342">
        <f>SUM(AZ22:AZ31)</f>
        <v>36157150701</v>
      </c>
      <c r="BA32" s="372"/>
      <c r="BB32" s="412"/>
      <c r="BC32" s="412"/>
      <c r="BD32" s="412"/>
      <c r="BE32" s="412"/>
      <c r="BF32" s="412"/>
      <c r="BG32" s="372"/>
      <c r="BH32" s="372"/>
      <c r="BI32" s="372"/>
      <c r="BJ32" s="372"/>
      <c r="BK32" s="372"/>
      <c r="BM32" s="110" t="s">
        <v>134</v>
      </c>
      <c r="BN32" s="106">
        <f>+BN7+BN25+BN29+BN30+BN31</f>
        <v>104096662157</v>
      </c>
      <c r="BO32" s="107">
        <f>+BO7+BO25+BO29+BO30+BO31</f>
        <v>81990777164</v>
      </c>
      <c r="BP32" s="107">
        <f>+BP7+BP25+BP29+BP30+BP31</f>
        <v>59981970041</v>
      </c>
      <c r="BQ32" s="108">
        <f>+BQ7+BQ25+BQ29+BQ30+BQ31</f>
        <v>12185691302</v>
      </c>
      <c r="BR32" s="372"/>
    </row>
    <row r="33" spans="1:70" s="412" customFormat="1" ht="24.95" customHeight="1" thickBot="1">
      <c r="A33" s="593" t="str">
        <f>+IF(JUNIO!A33=0,"",JUNIO!A33)</f>
        <v>1130103-2-1</v>
      </c>
      <c r="B33" s="629" t="str">
        <f>+CONCATENATE("Vigencia ",INSTRUCCIONES!$F$3)</f>
        <v>Vigencia 2019</v>
      </c>
      <c r="C33" s="655">
        <f>+ENERO!C33</f>
        <v>0</v>
      </c>
      <c r="D33" s="363">
        <f>JUNIO!D33+JULIO!P33</f>
        <v>0</v>
      </c>
      <c r="E33" s="363">
        <f>JUNIO!E33+JULIO!Q33</f>
        <v>0</v>
      </c>
      <c r="F33" s="363">
        <f>SUM(C33:E33)</f>
        <v>0</v>
      </c>
      <c r="G33" s="363">
        <f>JUNIO!I33</f>
        <v>0</v>
      </c>
      <c r="H33" s="364">
        <v>0</v>
      </c>
      <c r="I33" s="363">
        <f>SUM(G33:H33)</f>
        <v>0</v>
      </c>
      <c r="J33" s="363">
        <f>JUNIO!L33</f>
        <v>0</v>
      </c>
      <c r="K33" s="364"/>
      <c r="L33" s="363">
        <f>SUM(J33:K33)</f>
        <v>0</v>
      </c>
      <c r="M33" s="363">
        <f>F33-I33</f>
        <v>0</v>
      </c>
      <c r="N33" s="143">
        <f>F33-L33</f>
        <v>0</v>
      </c>
      <c r="O33" s="9"/>
      <c r="P33" s="362">
        <v>0</v>
      </c>
      <c r="Q33" s="365">
        <v>0</v>
      </c>
      <c r="R33" s="9"/>
      <c r="S33" s="688">
        <f>+IF(JUNIO!S33=0,"",JUNIO!S33)</f>
        <v>1010199</v>
      </c>
      <c r="T33" s="664" t="str">
        <f>+IF(JUNIO!T33=0,"",JUNIO!T33)</f>
        <v>Vigencias Anteriores</v>
      </c>
      <c r="U33" s="27">
        <f>+ENERO!U33</f>
        <v>0</v>
      </c>
      <c r="V33" s="15">
        <f>JUNIO!V33+JULIO!AL33</f>
        <v>-120000000</v>
      </c>
      <c r="W33" s="15">
        <f>JUNIO!W33+JULIO!AM33</f>
        <v>120000000</v>
      </c>
      <c r="X33" s="18">
        <f t="shared" si="17"/>
        <v>0</v>
      </c>
      <c r="Y33" s="19">
        <f>JUNIO!AA33</f>
        <v>0</v>
      </c>
      <c r="Z33" s="364">
        <v>0</v>
      </c>
      <c r="AA33" s="18">
        <f t="shared" si="18"/>
        <v>0</v>
      </c>
      <c r="AB33" s="19">
        <f>JUNIO!AD33</f>
        <v>0</v>
      </c>
      <c r="AC33" s="364">
        <v>0</v>
      </c>
      <c r="AD33" s="18">
        <f t="shared" si="19"/>
        <v>0</v>
      </c>
      <c r="AE33" s="19">
        <f>JUNIO!AG33</f>
        <v>0</v>
      </c>
      <c r="AF33" s="364">
        <v>0</v>
      </c>
      <c r="AG33" s="1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-4509761968</v>
      </c>
      <c r="BP33" s="113">
        <f>AD258</f>
        <v>-2547624583.2400055</v>
      </c>
      <c r="BQ33" s="114">
        <f>AF258</f>
        <v>34476625397.239998</v>
      </c>
      <c r="BR33" s="372"/>
    </row>
    <row r="34" spans="1:70" s="412" customFormat="1" ht="24.95" customHeight="1" thickBot="1">
      <c r="A34" s="593" t="str">
        <f>+IF(JUNIO!A34=0,"",JUNIO!A34)</f>
        <v>1130103-2-2</v>
      </c>
      <c r="B34" s="629" t="str">
        <f>+IF(JUNIO!B34=0,"",JUNIO!B34)</f>
        <v>Vigencia Anterior</v>
      </c>
      <c r="C34" s="655">
        <f>+ENERO!C34</f>
        <v>0</v>
      </c>
      <c r="D34" s="363">
        <f>JUNIO!D34+JULIO!P34</f>
        <v>0</v>
      </c>
      <c r="E34" s="363">
        <f>JUNIO!E34+JULIO!Q34</f>
        <v>0</v>
      </c>
      <c r="F34" s="363">
        <f>SUM(C34:E34)</f>
        <v>0</v>
      </c>
      <c r="G34" s="363">
        <f>JUNIO!I34</f>
        <v>0</v>
      </c>
      <c r="H34" s="364">
        <v>0</v>
      </c>
      <c r="I34" s="363">
        <f>SUM(G34:H34)</f>
        <v>0</v>
      </c>
      <c r="J34" s="363">
        <f>JUNIO!L34</f>
        <v>0</v>
      </c>
      <c r="K34" s="364">
        <v>0</v>
      </c>
      <c r="L34" s="363">
        <f>SUM(J34:K34)</f>
        <v>0</v>
      </c>
      <c r="M34" s="363">
        <f>F34-I34</f>
        <v>0</v>
      </c>
      <c r="N34" s="143">
        <f>F34-L34</f>
        <v>0</v>
      </c>
      <c r="O34" s="372"/>
      <c r="P34" s="362">
        <v>0</v>
      </c>
      <c r="Q34" s="365">
        <v>0</v>
      </c>
      <c r="R34" s="9"/>
      <c r="S34" s="356" t="str">
        <f>+IF(JUNIO!S34=0,"",JUNIO!S34)</f>
        <v/>
      </c>
      <c r="T34" s="678" t="str">
        <f>+IF(JUNIO!T34=0,"",JUNIO!T34)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+IF(JUNIO!A35=0,"",JUNIO!A35)</f>
        <v>1130103-3</v>
      </c>
      <c r="B35" s="630" t="str">
        <f>+IF(JUNIO!B35=0,"",JUNIO!B35)</f>
        <v>Prestación de Servicios de salud  3o. Nivel</v>
      </c>
      <c r="C35" s="19">
        <f t="shared" ref="C35:N35" si="33">SUM(C36:C37)</f>
        <v>7627600802</v>
      </c>
      <c r="D35" s="15">
        <f t="shared" si="33"/>
        <v>0</v>
      </c>
      <c r="E35" s="15">
        <f t="shared" si="33"/>
        <v>1624039533</v>
      </c>
      <c r="F35" s="15">
        <f t="shared" si="33"/>
        <v>9251640335</v>
      </c>
      <c r="G35" s="15">
        <f t="shared" si="33"/>
        <v>7074293707</v>
      </c>
      <c r="H35" s="15">
        <f t="shared" si="33"/>
        <v>2313272622</v>
      </c>
      <c r="I35" s="15">
        <f t="shared" si="33"/>
        <v>9387566329</v>
      </c>
      <c r="J35" s="15">
        <f t="shared" si="33"/>
        <v>2032545650</v>
      </c>
      <c r="K35" s="15">
        <f t="shared" si="33"/>
        <v>1178549574</v>
      </c>
      <c r="L35" s="15">
        <f t="shared" si="33"/>
        <v>3211095224</v>
      </c>
      <c r="M35" s="15">
        <f t="shared" si="33"/>
        <v>-135925994</v>
      </c>
      <c r="N35" s="16">
        <f t="shared" si="33"/>
        <v>6040545111</v>
      </c>
      <c r="P35" s="144">
        <f>SUM(P36:P37)</f>
        <v>0</v>
      </c>
      <c r="Q35" s="145">
        <f>SUM(Q36:Q37)</f>
        <v>0</v>
      </c>
      <c r="R35" s="9"/>
      <c r="S35" s="687">
        <f>+IF(JUNIO!S35=0,"",JUNIO!S35)</f>
        <v>1010200</v>
      </c>
      <c r="T35" s="663" t="str">
        <f>+IF(JUNIO!T35=0,"",JUNIO!T35)</f>
        <v>Servicios Personales Indirectos</v>
      </c>
      <c r="U35" s="132">
        <f t="shared" ref="U35:AJ35" si="34">SUM(U36:U41)</f>
        <v>4253886796</v>
      </c>
      <c r="V35" s="122">
        <f t="shared" si="34"/>
        <v>190000000</v>
      </c>
      <c r="W35" s="122">
        <f t="shared" si="34"/>
        <v>100000000</v>
      </c>
      <c r="X35" s="129">
        <f t="shared" si="34"/>
        <v>4543886796</v>
      </c>
      <c r="Y35" s="128">
        <f t="shared" si="34"/>
        <v>4477687375</v>
      </c>
      <c r="Z35" s="122">
        <f t="shared" si="34"/>
        <v>-26719276</v>
      </c>
      <c r="AA35" s="129">
        <f t="shared" si="34"/>
        <v>4450968099</v>
      </c>
      <c r="AB35" s="128">
        <f t="shared" si="34"/>
        <v>2605235071</v>
      </c>
      <c r="AC35" s="122">
        <f t="shared" si="34"/>
        <v>342954526</v>
      </c>
      <c r="AD35" s="129">
        <f t="shared" si="34"/>
        <v>2948189597</v>
      </c>
      <c r="AE35" s="128">
        <f t="shared" si="34"/>
        <v>1789135061</v>
      </c>
      <c r="AF35" s="122">
        <f t="shared" si="34"/>
        <v>674939965</v>
      </c>
      <c r="AG35" s="129">
        <f t="shared" si="34"/>
        <v>2464075026</v>
      </c>
      <c r="AH35" s="128">
        <f t="shared" si="34"/>
        <v>92918697</v>
      </c>
      <c r="AI35" s="122">
        <f t="shared" si="34"/>
        <v>1595697199</v>
      </c>
      <c r="AJ35" s="130">
        <f t="shared" si="34"/>
        <v>2079811770</v>
      </c>
      <c r="AK35" s="9"/>
      <c r="AL35" s="128">
        <f>SUM(AL36:AL41)</f>
        <v>0</v>
      </c>
      <c r="AM35" s="130">
        <f>SUM(AM36:AM41)</f>
        <v>0</v>
      </c>
      <c r="AN35" s="9"/>
      <c r="AO35" s="339"/>
      <c r="AP35" s="440"/>
      <c r="AQ35" s="282"/>
      <c r="AR35" s="441"/>
      <c r="AS35" s="441"/>
      <c r="AT35" s="441"/>
      <c r="AU35" s="442">
        <f>AR17-AR32</f>
        <v>5132932329.2400055</v>
      </c>
      <c r="AV35" s="443">
        <f>AS17-AR32</f>
        <v>-14861548863</v>
      </c>
      <c r="AW35" s="443" t="s">
        <v>151</v>
      </c>
      <c r="AX35" s="444"/>
      <c r="AY35" s="443">
        <f>AY17+AY32</f>
        <v>15980248929.000004</v>
      </c>
      <c r="AZ35" s="445">
        <f>AZ17+AY32</f>
        <v>-18385470622.047146</v>
      </c>
      <c r="BB35" s="412"/>
      <c r="BC35" s="412"/>
      <c r="BD35" s="412"/>
      <c r="BE35" s="412"/>
      <c r="BF35" s="412"/>
    </row>
    <row r="36" spans="1:70" s="372" customFormat="1" ht="24.95" customHeight="1" thickBot="1">
      <c r="A36" s="593" t="str">
        <f>+IF(JUNIO!A36=0,"",JUNIO!A36)</f>
        <v>1130103-3-1</v>
      </c>
      <c r="B36" s="629" t="str">
        <f>+CONCATENATE("Vigencia ",INSTRUCCIONES!$F$3)</f>
        <v>Vigencia 2019</v>
      </c>
      <c r="C36" s="655">
        <f>+ENERO!C36</f>
        <v>7627600802</v>
      </c>
      <c r="D36" s="363">
        <f>JUNIO!D36+JULIO!P36</f>
        <v>0</v>
      </c>
      <c r="E36" s="363">
        <f>JUNIO!E36+JULIO!Q36</f>
        <v>0</v>
      </c>
      <c r="F36" s="363">
        <f t="shared" ref="F36:F41" si="35">SUM(C36:E36)</f>
        <v>7627600802</v>
      </c>
      <c r="G36" s="363">
        <f>JUNIO!I36</f>
        <v>5450254174</v>
      </c>
      <c r="H36" s="364">
        <v>1134723048</v>
      </c>
      <c r="I36" s="363">
        <f t="shared" ref="I36:I41" si="36">SUM(G36:H36)</f>
        <v>6584977222</v>
      </c>
      <c r="J36" s="363">
        <f>JUNIO!L36</f>
        <v>408506117</v>
      </c>
      <c r="K36" s="364">
        <v>0</v>
      </c>
      <c r="L36" s="363">
        <f t="shared" ref="L36:L41" si="37">SUM(J36:K36)</f>
        <v>408506117</v>
      </c>
      <c r="M36" s="363">
        <f t="shared" ref="M36:M41" si="38">F36-I36</f>
        <v>1042623580</v>
      </c>
      <c r="N36" s="143">
        <f t="shared" ref="N36:N41" si="39">F36-L36</f>
        <v>7219094685</v>
      </c>
      <c r="O36" s="9"/>
      <c r="P36" s="362">
        <v>0</v>
      </c>
      <c r="Q36" s="365">
        <v>0</v>
      </c>
      <c r="R36" s="9"/>
      <c r="S36" s="688" t="str">
        <f>+IF(JUNIO!S36=0,"",JUNIO!S36)</f>
        <v>1010200-1</v>
      </c>
      <c r="T36" s="664" t="str">
        <f>+IF(JUNIO!T36=0,"",JUNIO!T36)</f>
        <v>Remuneración y Honorarios por Servicios Técnicos y Profesionales</v>
      </c>
      <c r="U36" s="27">
        <f>+ENERO!U36</f>
        <v>1270340000</v>
      </c>
      <c r="V36" s="15">
        <f>JUNIO!V36+JULIO!AL36</f>
        <v>70000000</v>
      </c>
      <c r="W36" s="15">
        <f>JUNIO!W36+JULIO!AM36</f>
        <v>100000000</v>
      </c>
      <c r="X36" s="18">
        <f t="shared" ref="X36:X41" si="40">SUM(U36:W36)</f>
        <v>1440340000</v>
      </c>
      <c r="Y36" s="19">
        <f>JUNIO!AA36</f>
        <v>1410980200</v>
      </c>
      <c r="Z36" s="364">
        <v>-27133334</v>
      </c>
      <c r="AA36" s="18">
        <f t="shared" ref="AA36:AA41" si="41">SUM(Y36:Z36)</f>
        <v>1383846866</v>
      </c>
      <c r="AB36" s="19">
        <f>JUNIO!AD36</f>
        <v>727845881</v>
      </c>
      <c r="AC36" s="364">
        <v>96500000</v>
      </c>
      <c r="AD36" s="18">
        <f t="shared" ref="AD36:AD41" si="42">SUM(AB36:AC36)</f>
        <v>824345881</v>
      </c>
      <c r="AE36" s="19">
        <f>JUNIO!AG36</f>
        <v>600298560</v>
      </c>
      <c r="AF36" s="364">
        <v>210606400</v>
      </c>
      <c r="AG36" s="18">
        <f t="shared" ref="AG36:AG41" si="43">SUM(AE36:AF36)</f>
        <v>810904960</v>
      </c>
      <c r="AH36" s="19">
        <f t="shared" ref="AH36:AH41" si="44">X36-AA36</f>
        <v>56493134</v>
      </c>
      <c r="AI36" s="15">
        <f t="shared" ref="AI36:AI41" si="45">X36-AD36</f>
        <v>615994119</v>
      </c>
      <c r="AJ36" s="16">
        <f t="shared" ref="AJ36:AJ41" si="46">X36-AG36</f>
        <v>629435040</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+IF(JUNIO!A37=0,"",JUNIO!A37)</f>
        <v>1130103-3-2</v>
      </c>
      <c r="B37" s="629" t="str">
        <f>+IF(JUNIO!B37=0,"",JUNIO!B37)</f>
        <v>Vigencia Anterior</v>
      </c>
      <c r="C37" s="655">
        <f>+ENERO!C37</f>
        <v>0</v>
      </c>
      <c r="D37" s="363">
        <f>JUNIO!D37+JULIO!P37</f>
        <v>0</v>
      </c>
      <c r="E37" s="363">
        <f>JUNIO!E37+JULIO!Q37</f>
        <v>1624039533</v>
      </c>
      <c r="F37" s="363">
        <f t="shared" si="35"/>
        <v>1624039533</v>
      </c>
      <c r="G37" s="363">
        <f>JUNIO!I37</f>
        <v>1624039533</v>
      </c>
      <c r="H37" s="364">
        <v>1178549574</v>
      </c>
      <c r="I37" s="363">
        <f t="shared" si="36"/>
        <v>2802589107</v>
      </c>
      <c r="J37" s="363">
        <f>JUNIO!L37</f>
        <v>1624039533</v>
      </c>
      <c r="K37" s="364">
        <v>1178549574</v>
      </c>
      <c r="L37" s="363">
        <f t="shared" si="37"/>
        <v>2802589107</v>
      </c>
      <c r="M37" s="363">
        <f t="shared" si="38"/>
        <v>-1178549574</v>
      </c>
      <c r="N37" s="143">
        <f t="shared" si="39"/>
        <v>-1178549574</v>
      </c>
      <c r="P37" s="362">
        <v>0</v>
      </c>
      <c r="Q37" s="365">
        <v>0</v>
      </c>
      <c r="R37" s="9"/>
      <c r="S37" s="688" t="str">
        <f>+IF(JUNIO!S37=0,"",JUNIO!S37)</f>
        <v>1010200-2</v>
      </c>
      <c r="T37" s="664" t="str">
        <f>+IF(JUNIO!T37=0,"",JUNIO!T37)</f>
        <v>Personal Supernumerario</v>
      </c>
      <c r="U37" s="27">
        <f>+ENERO!U37</f>
        <v>0</v>
      </c>
      <c r="V37" s="15">
        <f>JUNIO!V37+JULIO!AL37</f>
        <v>0</v>
      </c>
      <c r="W37" s="15">
        <f>JUNIO!W37+JULIO!AM37</f>
        <v>0</v>
      </c>
      <c r="X37" s="18">
        <f t="shared" si="40"/>
        <v>0</v>
      </c>
      <c r="Y37" s="19">
        <f>JUNIO!AA37</f>
        <v>0</v>
      </c>
      <c r="Z37" s="364">
        <v>0</v>
      </c>
      <c r="AA37" s="18">
        <f t="shared" si="41"/>
        <v>0</v>
      </c>
      <c r="AB37" s="19">
        <f>JUNIO!AD37</f>
        <v>0</v>
      </c>
      <c r="AC37" s="364">
        <v>0</v>
      </c>
      <c r="AD37" s="18">
        <f t="shared" si="42"/>
        <v>0</v>
      </c>
      <c r="AE37" s="19">
        <f>JUNIO!AG37</f>
        <v>0</v>
      </c>
      <c r="AF37" s="364">
        <v>0</v>
      </c>
      <c r="AG37" s="18">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+IF(JUNIO!A38=0,"",JUNIO!A38)</f>
        <v>1130103-4</v>
      </c>
      <c r="B38" s="631" t="str">
        <f>+IF(JUNIO!B38=0,"",JUNIO!B38)</f>
        <v xml:space="preserve"> Aportes Patronales  1o. Nivel</v>
      </c>
      <c r="C38" s="655">
        <f>+ENERO!C38</f>
        <v>0</v>
      </c>
      <c r="D38" s="363">
        <f>JUNIO!D38+JULIO!P38</f>
        <v>0</v>
      </c>
      <c r="E38" s="363">
        <f>JUNIO!E38+JULIO!Q38</f>
        <v>0</v>
      </c>
      <c r="F38" s="363">
        <f t="shared" si="35"/>
        <v>0</v>
      </c>
      <c r="G38" s="363">
        <f>JUNIO!I38</f>
        <v>0</v>
      </c>
      <c r="H38" s="364">
        <v>0</v>
      </c>
      <c r="I38" s="363">
        <f t="shared" si="36"/>
        <v>0</v>
      </c>
      <c r="J38" s="363">
        <f>JUNIO!L38</f>
        <v>0</v>
      </c>
      <c r="K38" s="364">
        <v>0</v>
      </c>
      <c r="L38" s="363">
        <f t="shared" si="37"/>
        <v>0</v>
      </c>
      <c r="M38" s="363">
        <f t="shared" si="38"/>
        <v>0</v>
      </c>
      <c r="N38" s="143">
        <f t="shared" si="39"/>
        <v>0</v>
      </c>
      <c r="O38" s="515"/>
      <c r="P38" s="362">
        <v>0</v>
      </c>
      <c r="Q38" s="365">
        <v>0</v>
      </c>
      <c r="R38" s="9"/>
      <c r="S38" s="688" t="str">
        <f>+IF(JUNIO!S38=0,"",JUNIO!S38)</f>
        <v>1010200-3</v>
      </c>
      <c r="T38" s="664" t="str">
        <f>+IF(JUNIO!T38=0,"",JUNIO!T38)</f>
        <v>Honorarios de la Junta Directiva</v>
      </c>
      <c r="U38" s="27">
        <f>+ENERO!U38</f>
        <v>5000000</v>
      </c>
      <c r="V38" s="15">
        <f>JUNIO!V38+JULIO!AL38</f>
        <v>0</v>
      </c>
      <c r="W38" s="15">
        <f>JUNIO!W38+JULIO!AM38</f>
        <v>0</v>
      </c>
      <c r="X38" s="18">
        <f t="shared" si="40"/>
        <v>5000000</v>
      </c>
      <c r="Y38" s="19">
        <f>JUNIO!AA38</f>
        <v>2484348</v>
      </c>
      <c r="Z38" s="364">
        <v>414058</v>
      </c>
      <c r="AA38" s="18">
        <f t="shared" si="41"/>
        <v>2898406</v>
      </c>
      <c r="AB38" s="19">
        <f>JUNIO!AD38</f>
        <v>2484348</v>
      </c>
      <c r="AC38" s="364">
        <v>414058</v>
      </c>
      <c r="AD38" s="18">
        <f t="shared" si="42"/>
        <v>2898406</v>
      </c>
      <c r="AE38" s="19">
        <f>JUNIO!AG38</f>
        <v>2484348</v>
      </c>
      <c r="AF38" s="364">
        <v>414058</v>
      </c>
      <c r="AG38" s="18">
        <f t="shared" si="43"/>
        <v>2898406</v>
      </c>
      <c r="AH38" s="19">
        <f t="shared" si="44"/>
        <v>2101594</v>
      </c>
      <c r="AI38" s="15">
        <f t="shared" si="45"/>
        <v>2101594</v>
      </c>
      <c r="AJ38" s="16">
        <f t="shared" si="46"/>
        <v>2101594</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+IF(JUNIO!A39=0,"",JUNIO!A39)</f>
        <v>1130103-5</v>
      </c>
      <c r="B39" s="631" t="str">
        <f>+IF(JUNIO!B39=0,"",JUNIO!B39)</f>
        <v xml:space="preserve"> Aportes Patronales  2o. Nivel</v>
      </c>
      <c r="C39" s="655">
        <f>+ENERO!C39</f>
        <v>0</v>
      </c>
      <c r="D39" s="363">
        <f>JUNIO!D39+JULIO!P39</f>
        <v>0</v>
      </c>
      <c r="E39" s="363">
        <f>JUNIO!E39+JULIO!Q39</f>
        <v>0</v>
      </c>
      <c r="F39" s="363">
        <f t="shared" si="35"/>
        <v>0</v>
      </c>
      <c r="G39" s="363">
        <f>JUNIO!I39</f>
        <v>0</v>
      </c>
      <c r="H39" s="364">
        <v>0</v>
      </c>
      <c r="I39" s="363">
        <f t="shared" si="36"/>
        <v>0</v>
      </c>
      <c r="J39" s="363">
        <f>JUNIO!L39</f>
        <v>0</v>
      </c>
      <c r="K39" s="364">
        <v>0</v>
      </c>
      <c r="L39" s="363">
        <f t="shared" si="37"/>
        <v>0</v>
      </c>
      <c r="M39" s="363">
        <f t="shared" si="38"/>
        <v>0</v>
      </c>
      <c r="N39" s="143">
        <f t="shared" si="39"/>
        <v>0</v>
      </c>
      <c r="O39" s="515"/>
      <c r="P39" s="362">
        <v>0</v>
      </c>
      <c r="Q39" s="365">
        <v>0</v>
      </c>
      <c r="R39" s="9"/>
      <c r="S39" s="688" t="str">
        <f>+IF(JUNIO!S39=0,"",JUNIO!S39)</f>
        <v>1010200-4</v>
      </c>
      <c r="T39" s="664" t="str">
        <f>+IF(JUNIO!T39=0,"",JUNIO!T39)</f>
        <v>Otros Honorarios</v>
      </c>
      <c r="U39" s="27">
        <f>+ENERO!U39</f>
        <v>2589745841</v>
      </c>
      <c r="V39" s="15">
        <f>JUNIO!V39+JULIO!AL39</f>
        <v>0</v>
      </c>
      <c r="W39" s="15">
        <f>JUNIO!W39+JULIO!AM39</f>
        <v>0</v>
      </c>
      <c r="X39" s="18">
        <f t="shared" si="40"/>
        <v>2589745841</v>
      </c>
      <c r="Y39" s="19">
        <f>JUNIO!AA39</f>
        <v>2589745626</v>
      </c>
      <c r="Z39" s="364">
        <v>0</v>
      </c>
      <c r="AA39" s="18">
        <f t="shared" si="41"/>
        <v>2589745626</v>
      </c>
      <c r="AB39" s="19">
        <f>JUNIO!AD39</f>
        <v>1400427641</v>
      </c>
      <c r="AC39" s="364">
        <v>246040468</v>
      </c>
      <c r="AD39" s="18">
        <f t="shared" si="42"/>
        <v>1646468109</v>
      </c>
      <c r="AE39" s="19">
        <f>JUNIO!AG39</f>
        <v>711874952</v>
      </c>
      <c r="AF39" s="364">
        <v>463919507</v>
      </c>
      <c r="AG39" s="18">
        <f t="shared" si="43"/>
        <v>1175794459</v>
      </c>
      <c r="AH39" s="19">
        <f t="shared" si="44"/>
        <v>215</v>
      </c>
      <c r="AI39" s="15">
        <f t="shared" si="45"/>
        <v>943277732</v>
      </c>
      <c r="AJ39" s="16">
        <f t="shared" si="46"/>
        <v>1413951382</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+IF(JUNIO!A40=0,"",JUNIO!A40)</f>
        <v>1130103-6</v>
      </c>
      <c r="B40" s="631" t="str">
        <f>+IF(JUNIO!B40=0,"",JUNIO!B40)</f>
        <v xml:space="preserve"> Aportes Patronales  3er. Nivel</v>
      </c>
      <c r="C40" s="655">
        <f>+ENERO!C40</f>
        <v>1324760338</v>
      </c>
      <c r="D40" s="363">
        <f>JUNIO!D40+JULIO!P40</f>
        <v>0</v>
      </c>
      <c r="E40" s="363">
        <f>JUNIO!E40+JULIO!Q40</f>
        <v>0</v>
      </c>
      <c r="F40" s="363">
        <f t="shared" si="35"/>
        <v>1324760338</v>
      </c>
      <c r="G40" s="363">
        <f>JUNIO!I40</f>
        <v>551983475</v>
      </c>
      <c r="H40" s="364">
        <v>110396695</v>
      </c>
      <c r="I40" s="363">
        <f t="shared" si="36"/>
        <v>662380170</v>
      </c>
      <c r="J40" s="363">
        <f>JUNIO!L40</f>
        <v>551983475</v>
      </c>
      <c r="K40" s="364">
        <v>110396695</v>
      </c>
      <c r="L40" s="363">
        <f t="shared" si="37"/>
        <v>662380170</v>
      </c>
      <c r="M40" s="363">
        <f t="shared" si="38"/>
        <v>662380168</v>
      </c>
      <c r="N40" s="143">
        <f t="shared" si="39"/>
        <v>662380168</v>
      </c>
      <c r="O40" s="515"/>
      <c r="P40" s="362">
        <v>0</v>
      </c>
      <c r="Q40" s="365">
        <v>0</v>
      </c>
      <c r="R40" s="9"/>
      <c r="S40" s="688" t="str">
        <f>+IF(JUNIO!S40=0,"",JUNIO!S40)</f>
        <v>1010200-5</v>
      </c>
      <c r="T40" s="664" t="str">
        <f>+IF(JUNIO!T40=0,"",JUNIO!T40)</f>
        <v>Certificación, Habilitación y Acreditación</v>
      </c>
      <c r="U40" s="27">
        <f>+ENERO!U40</f>
        <v>0</v>
      </c>
      <c r="V40" s="15">
        <f>JUNIO!V40+JULIO!AL40</f>
        <v>0</v>
      </c>
      <c r="W40" s="15">
        <f>JUNIO!W40+JULIO!AM40</f>
        <v>0</v>
      </c>
      <c r="X40" s="18">
        <f t="shared" si="40"/>
        <v>0</v>
      </c>
      <c r="Y40" s="19">
        <f>JUNIO!AA40</f>
        <v>0</v>
      </c>
      <c r="Z40" s="364">
        <v>0</v>
      </c>
      <c r="AA40" s="18">
        <f t="shared" si="41"/>
        <v>0</v>
      </c>
      <c r="AB40" s="19">
        <f>JUNIO!AD40</f>
        <v>0</v>
      </c>
      <c r="AC40" s="364">
        <v>0</v>
      </c>
      <c r="AD40" s="18">
        <f t="shared" si="42"/>
        <v>0</v>
      </c>
      <c r="AE40" s="19">
        <f>JUNIO!AG40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+IF(JUNIO!A41=0,"",JUNIO!A41)</f>
        <v>1130104</v>
      </c>
      <c r="B41" s="628" t="str">
        <f>+IF(JUNIO!B41=0,"",JUNIO!B41)</f>
        <v>SUBSIDIO A LA OFERTA- ACTIVIDADES NO POS-S</v>
      </c>
      <c r="C41" s="655">
        <f>+ENERO!C41</f>
        <v>0</v>
      </c>
      <c r="D41" s="122">
        <f>JUNIO!D41+JULIO!P41</f>
        <v>0</v>
      </c>
      <c r="E41" s="122">
        <f>JUNIO!E41+JULIO!Q41</f>
        <v>0</v>
      </c>
      <c r="F41" s="122">
        <f t="shared" si="35"/>
        <v>0</v>
      </c>
      <c r="G41" s="122">
        <f>JUNIO!I41</f>
        <v>0</v>
      </c>
      <c r="H41" s="364">
        <v>0</v>
      </c>
      <c r="I41" s="122">
        <f t="shared" si="36"/>
        <v>0</v>
      </c>
      <c r="J41" s="122">
        <f>JUNIO!L41</f>
        <v>0</v>
      </c>
      <c r="K41" s="364">
        <v>0</v>
      </c>
      <c r="L41" s="122">
        <f t="shared" si="37"/>
        <v>0</v>
      </c>
      <c r="M41" s="122">
        <f t="shared" si="38"/>
        <v>0</v>
      </c>
      <c r="N41" s="130">
        <f t="shared" si="39"/>
        <v>0</v>
      </c>
      <c r="O41" s="372"/>
      <c r="P41" s="364">
        <v>0</v>
      </c>
      <c r="Q41" s="365">
        <v>0</v>
      </c>
      <c r="R41" s="9"/>
      <c r="S41" s="688">
        <f>+IF(JUNIO!S41=0,"",JUNIO!S41)</f>
        <v>1010299</v>
      </c>
      <c r="T41" s="664" t="str">
        <f>+IF(JUNIO!T41=0,"",JUNIO!T41)</f>
        <v>Vigencias Anteriores</v>
      </c>
      <c r="U41" s="27">
        <f>+ENERO!U41</f>
        <v>388800955</v>
      </c>
      <c r="V41" s="15">
        <f>JUNIO!V41+JULIO!AL41</f>
        <v>120000000</v>
      </c>
      <c r="W41" s="15">
        <f>JUNIO!W41+JULIO!AM41</f>
        <v>0</v>
      </c>
      <c r="X41" s="18">
        <f t="shared" si="40"/>
        <v>508800955</v>
      </c>
      <c r="Y41" s="19">
        <f>JUNIO!AA41</f>
        <v>474477201</v>
      </c>
      <c r="Z41" s="364">
        <v>0</v>
      </c>
      <c r="AA41" s="18">
        <f t="shared" si="41"/>
        <v>474477201</v>
      </c>
      <c r="AB41" s="19">
        <f>JUNIO!AD41</f>
        <v>474477201</v>
      </c>
      <c r="AC41" s="364">
        <v>0</v>
      </c>
      <c r="AD41" s="18">
        <f t="shared" si="42"/>
        <v>474477201</v>
      </c>
      <c r="AE41" s="19">
        <f>JUNIO!AG41</f>
        <v>474477201</v>
      </c>
      <c r="AF41" s="364">
        <v>0</v>
      </c>
      <c r="AG41" s="1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+IF(JUNIO!A42=0,"",JUNIO!A42)</f>
        <v>1130106</v>
      </c>
      <c r="B42" s="628" t="str">
        <f>+IF(JUNIO!B42=0,"",JUNIO!B42)</f>
        <v>SALUD PUBLICA - PLAN DE INTERVENCIONES COLECTIVAS</v>
      </c>
      <c r="C42" s="43">
        <f t="shared" ref="C42:N42" si="47">SUM(C43:C44)</f>
        <v>0</v>
      </c>
      <c r="D42" s="44">
        <f t="shared" si="47"/>
        <v>0</v>
      </c>
      <c r="E42" s="44">
        <f t="shared" si="47"/>
        <v>0</v>
      </c>
      <c r="F42" s="44">
        <f t="shared" si="47"/>
        <v>0</v>
      </c>
      <c r="G42" s="44">
        <f t="shared" si="47"/>
        <v>0</v>
      </c>
      <c r="H42" s="44">
        <f t="shared" si="47"/>
        <v>0</v>
      </c>
      <c r="I42" s="44">
        <f t="shared" si="47"/>
        <v>0</v>
      </c>
      <c r="J42" s="44">
        <f t="shared" si="47"/>
        <v>0</v>
      </c>
      <c r="K42" s="44">
        <f t="shared" si="47"/>
        <v>0</v>
      </c>
      <c r="L42" s="44">
        <f t="shared" si="47"/>
        <v>0</v>
      </c>
      <c r="M42" s="44">
        <f t="shared" si="47"/>
        <v>0</v>
      </c>
      <c r="N42" s="45">
        <f t="shared" si="47"/>
        <v>0</v>
      </c>
      <c r="P42" s="43">
        <f>SUM(P43:P44)</f>
        <v>0</v>
      </c>
      <c r="Q42" s="45">
        <f>SUM(Q43:Q44)</f>
        <v>0</v>
      </c>
      <c r="R42" s="9"/>
      <c r="S42" s="356" t="str">
        <f>+IF(JUNIO!S42=0,"",JUNIO!S42)</f>
        <v/>
      </c>
      <c r="T42" s="678" t="str">
        <f>+IF(JUNIO!T42=0,"",JUNIO!T42)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+IF(JUNIO!A43=0,"",JUNIO!A43)</f>
        <v>1130106-1</v>
      </c>
      <c r="B43" s="629" t="str">
        <f>+CONCATENATE("Vigencia ",INSTRUCCIONES!$F$3)</f>
        <v>Vigencia 2019</v>
      </c>
      <c r="C43" s="655">
        <f>+ENERO!C43</f>
        <v>0</v>
      </c>
      <c r="D43" s="363">
        <f>JUNIO!D43+JULIO!P43</f>
        <v>0</v>
      </c>
      <c r="E43" s="363">
        <f>JUNIO!E43+JULIO!Q43</f>
        <v>0</v>
      </c>
      <c r="F43" s="363">
        <f>SUM(C43:E43)</f>
        <v>0</v>
      </c>
      <c r="G43" s="363">
        <f>JUNIO!I43</f>
        <v>0</v>
      </c>
      <c r="H43" s="364">
        <v>0</v>
      </c>
      <c r="I43" s="363">
        <f>SUM(G43:H43)</f>
        <v>0</v>
      </c>
      <c r="J43" s="363">
        <f>JUNIO!L43</f>
        <v>0</v>
      </c>
      <c r="K43" s="364">
        <v>0</v>
      </c>
      <c r="L43" s="363">
        <f>SUM(J43:K43)</f>
        <v>0</v>
      </c>
      <c r="M43" s="363">
        <f>F43-I43</f>
        <v>0</v>
      </c>
      <c r="N43" s="143">
        <f>F43-L43</f>
        <v>0</v>
      </c>
      <c r="O43" s="372"/>
      <c r="P43" s="362">
        <v>0</v>
      </c>
      <c r="Q43" s="365">
        <v>0</v>
      </c>
      <c r="R43" s="9"/>
      <c r="S43" s="687">
        <f>+IF(JUNIO!S43=0,"",JUNIO!S43)</f>
        <v>1010300</v>
      </c>
      <c r="T43" s="663" t="str">
        <f>+IF(JUNIO!T43=0,"",JUNIO!T43)</f>
        <v>Contribuciones Inherentes nómina al Sector Privado</v>
      </c>
      <c r="U43" s="132">
        <f t="shared" ref="U43:AJ43" si="48">U44+U49+U55</f>
        <v>682314446</v>
      </c>
      <c r="V43" s="122">
        <f t="shared" si="48"/>
        <v>-353979942</v>
      </c>
      <c r="W43" s="122">
        <f t="shared" si="48"/>
        <v>0</v>
      </c>
      <c r="X43" s="129">
        <f t="shared" si="48"/>
        <v>328334504</v>
      </c>
      <c r="Y43" s="128">
        <f t="shared" si="48"/>
        <v>200179523</v>
      </c>
      <c r="Z43" s="122">
        <f t="shared" si="48"/>
        <v>18752178</v>
      </c>
      <c r="AA43" s="129">
        <f t="shared" si="48"/>
        <v>218931701</v>
      </c>
      <c r="AB43" s="128">
        <f t="shared" si="48"/>
        <v>200179523</v>
      </c>
      <c r="AC43" s="122">
        <f t="shared" si="48"/>
        <v>18752178</v>
      </c>
      <c r="AD43" s="129">
        <f t="shared" si="48"/>
        <v>218931701</v>
      </c>
      <c r="AE43" s="128">
        <f t="shared" si="48"/>
        <v>193572243</v>
      </c>
      <c r="AF43" s="122">
        <f t="shared" si="48"/>
        <v>20667738</v>
      </c>
      <c r="AG43" s="129">
        <f t="shared" si="48"/>
        <v>214239981</v>
      </c>
      <c r="AH43" s="128">
        <f t="shared" si="48"/>
        <v>109402803</v>
      </c>
      <c r="AI43" s="122">
        <f t="shared" si="48"/>
        <v>109402803</v>
      </c>
      <c r="AJ43" s="130">
        <f t="shared" si="48"/>
        <v>114094523</v>
      </c>
      <c r="AK43" s="9"/>
      <c r="AL43" s="128">
        <f>AL44+AL49+AL55</f>
        <v>-356478874</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+IF(JUNIO!A44=0,"",JUNIO!A44)</f>
        <v>1130106-2</v>
      </c>
      <c r="B44" s="629" t="str">
        <f>+IF(JUNIO!B44=0,"",JUNIO!B44)</f>
        <v>Vigencia Anterior</v>
      </c>
      <c r="C44" s="655">
        <f>+ENERO!C44</f>
        <v>0</v>
      </c>
      <c r="D44" s="363">
        <f>JUNIO!D44+JULIO!P44</f>
        <v>0</v>
      </c>
      <c r="E44" s="363">
        <f>JUNIO!E44+JULIO!Q44</f>
        <v>0</v>
      </c>
      <c r="F44" s="363">
        <f>SUM(C44:E44)</f>
        <v>0</v>
      </c>
      <c r="G44" s="363">
        <f>JUNIO!I44</f>
        <v>0</v>
      </c>
      <c r="H44" s="364">
        <v>0</v>
      </c>
      <c r="I44" s="363">
        <f>SUM(G44:H44)</f>
        <v>0</v>
      </c>
      <c r="J44" s="363">
        <f>JUNIO!L44</f>
        <v>0</v>
      </c>
      <c r="K44" s="364">
        <v>0</v>
      </c>
      <c r="L44" s="363">
        <f>SUM(J44:K44)</f>
        <v>0</v>
      </c>
      <c r="M44" s="363">
        <f>F44-I44</f>
        <v>0</v>
      </c>
      <c r="N44" s="143">
        <f>F44-L44</f>
        <v>0</v>
      </c>
      <c r="O44" s="372"/>
      <c r="P44" s="362">
        <v>0</v>
      </c>
      <c r="Q44" s="365">
        <v>0</v>
      </c>
      <c r="R44" s="9"/>
      <c r="S44" s="688">
        <f>+IF(JUNIO!S44=0,"",JUNIO!S44)</f>
        <v>1010301</v>
      </c>
      <c r="T44" s="664" t="str">
        <f>+IF(JUNIO!T44=0,"",JUNIO!T44)</f>
        <v>Contribuciones - SGP - Aportes Patronales - Cuenta Maestra</v>
      </c>
      <c r="U44" s="27">
        <f t="shared" ref="U44:AJ44" si="49">SUM(U45:U48)</f>
        <v>224699564</v>
      </c>
      <c r="V44" s="15">
        <f t="shared" si="49"/>
        <v>-78698777</v>
      </c>
      <c r="W44" s="15">
        <f t="shared" si="49"/>
        <v>0</v>
      </c>
      <c r="X44" s="18">
        <f t="shared" si="49"/>
        <v>146000787</v>
      </c>
      <c r="Y44" s="19">
        <f t="shared" si="49"/>
        <v>70464671</v>
      </c>
      <c r="Z44" s="142">
        <f t="shared" si="49"/>
        <v>14060458</v>
      </c>
      <c r="AA44" s="18">
        <f t="shared" si="49"/>
        <v>84525129</v>
      </c>
      <c r="AB44" s="19">
        <f t="shared" si="49"/>
        <v>70464671</v>
      </c>
      <c r="AC44" s="142">
        <f t="shared" si="49"/>
        <v>14060458</v>
      </c>
      <c r="AD44" s="18">
        <f t="shared" si="49"/>
        <v>84525129</v>
      </c>
      <c r="AE44" s="19">
        <f t="shared" si="49"/>
        <v>70464671</v>
      </c>
      <c r="AF44" s="142">
        <f t="shared" si="49"/>
        <v>14060458</v>
      </c>
      <c r="AG44" s="18">
        <f t="shared" si="49"/>
        <v>84525129</v>
      </c>
      <c r="AH44" s="19">
        <f t="shared" si="49"/>
        <v>61475658</v>
      </c>
      <c r="AI44" s="15">
        <f t="shared" si="49"/>
        <v>61475658</v>
      </c>
      <c r="AJ44" s="16">
        <f t="shared" si="49"/>
        <v>61475658</v>
      </c>
      <c r="AK44" s="9"/>
      <c r="AL44" s="29">
        <f>SUM(AL45:AL48)</f>
        <v>-87698777</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+IF(JUNIO!A45=0,"",JUNIO!A45)</f>
        <v>1130107</v>
      </c>
      <c r="B45" s="628" t="str">
        <f>+IF(JUNIO!B45=0,"",JUNIO!B45)</f>
        <v>MINSALUD-FOSYGA-RECLAMACIONES ECAT</v>
      </c>
      <c r="C45" s="43">
        <f t="shared" ref="C45:N45" si="50">SUM(C46:C47)</f>
        <v>130489617</v>
      </c>
      <c r="D45" s="44">
        <f t="shared" si="50"/>
        <v>0</v>
      </c>
      <c r="E45" s="44">
        <f t="shared" si="50"/>
        <v>5564279</v>
      </c>
      <c r="F45" s="44">
        <f t="shared" si="50"/>
        <v>136053896</v>
      </c>
      <c r="G45" s="44">
        <f t="shared" si="50"/>
        <v>427026188</v>
      </c>
      <c r="H45" s="44">
        <f t="shared" si="50"/>
        <v>162434959</v>
      </c>
      <c r="I45" s="44">
        <f t="shared" si="50"/>
        <v>589461147</v>
      </c>
      <c r="J45" s="44">
        <f t="shared" si="50"/>
        <v>5564279</v>
      </c>
      <c r="K45" s="44">
        <f t="shared" si="50"/>
        <v>0</v>
      </c>
      <c r="L45" s="44">
        <f t="shared" si="50"/>
        <v>5564279</v>
      </c>
      <c r="M45" s="44">
        <f t="shared" si="50"/>
        <v>-453407251</v>
      </c>
      <c r="N45" s="45">
        <f t="shared" si="50"/>
        <v>130489617</v>
      </c>
      <c r="P45" s="43">
        <f>SUM(P46:P47)</f>
        <v>0</v>
      </c>
      <c r="Q45" s="45">
        <f>SUM(Q46:Q47)</f>
        <v>5564279</v>
      </c>
      <c r="R45" s="9"/>
      <c r="S45" s="689" t="str">
        <f>+IF(JUNIO!S45=0,"",JUNIO!S45)</f>
        <v>1010301-1</v>
      </c>
      <c r="T45" s="665" t="str">
        <f>+IF(JUNIO!T45=0,"",JUNIO!T45)</f>
        <v>E.P.S. - Aportes cuenta maestra</v>
      </c>
      <c r="U45" s="27">
        <f>+ENERO!U45</f>
        <v>56701284</v>
      </c>
      <c r="V45" s="15">
        <f>JUNIO!V45+JULIO!AL45</f>
        <v>0</v>
      </c>
      <c r="W45" s="15">
        <f>JUNIO!W45+JULIO!AM45</f>
        <v>0</v>
      </c>
      <c r="X45" s="18">
        <f>SUM(U45:W45)</f>
        <v>56701284</v>
      </c>
      <c r="Y45" s="19">
        <f>JUNIO!AA45</f>
        <v>29760929</v>
      </c>
      <c r="Z45" s="364">
        <v>6004850</v>
      </c>
      <c r="AA45" s="18">
        <f>SUM(Y45:Z45)</f>
        <v>35765779</v>
      </c>
      <c r="AB45" s="19">
        <f>JUNIO!AD45</f>
        <v>29760929</v>
      </c>
      <c r="AC45" s="364">
        <v>6004850</v>
      </c>
      <c r="AD45" s="18">
        <f>SUM(AB45:AC45)</f>
        <v>35765779</v>
      </c>
      <c r="AE45" s="19">
        <f>JUNIO!AG45</f>
        <v>29760929</v>
      </c>
      <c r="AF45" s="364">
        <v>6004850</v>
      </c>
      <c r="AG45" s="18">
        <f>SUM(AE45:AF45)</f>
        <v>35765779</v>
      </c>
      <c r="AH45" s="19">
        <f>X45-AA45</f>
        <v>20935505</v>
      </c>
      <c r="AI45" s="15">
        <f>X45-AD45</f>
        <v>20935505</v>
      </c>
      <c r="AJ45" s="16">
        <f>X45-AG45</f>
        <v>20935505</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+IF(JUNIO!A46=0,"",JUNIO!A46)</f>
        <v>1130107-1</v>
      </c>
      <c r="B46" s="629" t="str">
        <f>+CONCATENATE("Vigencia ",INSTRUCCIONES!$F$3)</f>
        <v>Vigencia 2019</v>
      </c>
      <c r="C46" s="655">
        <f>+ENERO!C46</f>
        <v>130489617</v>
      </c>
      <c r="D46" s="363">
        <f>JUNIO!D46+JULIO!P46</f>
        <v>0</v>
      </c>
      <c r="E46" s="363">
        <f>JUNIO!E46+JULIO!Q46</f>
        <v>0</v>
      </c>
      <c r="F46" s="363">
        <f>SUM(C46:E46)</f>
        <v>130489617</v>
      </c>
      <c r="G46" s="363">
        <f>JUNIO!I46</f>
        <v>421461909</v>
      </c>
      <c r="H46" s="364">
        <v>162434959</v>
      </c>
      <c r="I46" s="363">
        <f>SUM(G46:H46)</f>
        <v>583896868</v>
      </c>
      <c r="J46" s="363">
        <f>JUNIO!L46</f>
        <v>0</v>
      </c>
      <c r="K46" s="364">
        <v>0</v>
      </c>
      <c r="L46" s="363">
        <f>SUM(J46:K46)</f>
        <v>0</v>
      </c>
      <c r="M46" s="363">
        <f>F46-I46</f>
        <v>-453407251</v>
      </c>
      <c r="N46" s="143">
        <f>F46-L46</f>
        <v>130489617</v>
      </c>
      <c r="O46" s="372"/>
      <c r="P46" s="362">
        <v>0</v>
      </c>
      <c r="Q46" s="365">
        <v>0</v>
      </c>
      <c r="R46" s="9"/>
      <c r="S46" s="689" t="str">
        <f>+IF(JUNIO!S46=0,"",JUNIO!S46)</f>
        <v>1010301-2</v>
      </c>
      <c r="T46" s="665" t="str">
        <f>+IF(JUNIO!T46=0,"",JUNIO!T46)</f>
        <v>Fondos pensionales - Aportes cuenta maestra</v>
      </c>
      <c r="U46" s="27">
        <f>+ENERO!U46</f>
        <v>77319919</v>
      </c>
      <c r="V46" s="15">
        <f>JUNIO!V46+JULIO!AL46</f>
        <v>0</v>
      </c>
      <c r="W46" s="15">
        <f>JUNIO!W46+JULIO!AM46</f>
        <v>0</v>
      </c>
      <c r="X46" s="18">
        <f>SUM(U46:W46)</f>
        <v>77319919</v>
      </c>
      <c r="Y46" s="19">
        <f>JUNIO!AA46</f>
        <v>36313842</v>
      </c>
      <c r="Z46" s="364">
        <v>7152548</v>
      </c>
      <c r="AA46" s="18">
        <f>SUM(Y46:Z46)</f>
        <v>43466390</v>
      </c>
      <c r="AB46" s="19">
        <f>JUNIO!AD46</f>
        <v>36313842</v>
      </c>
      <c r="AC46" s="364">
        <v>7152548</v>
      </c>
      <c r="AD46" s="18">
        <f>SUM(AB46:AC46)</f>
        <v>43466390</v>
      </c>
      <c r="AE46" s="19">
        <f>JUNIO!AG46</f>
        <v>36313842</v>
      </c>
      <c r="AF46" s="364">
        <v>7152548</v>
      </c>
      <c r="AG46" s="18">
        <f>SUM(AE46:AF46)</f>
        <v>43466390</v>
      </c>
      <c r="AH46" s="19">
        <f>X46-AA46</f>
        <v>33853529</v>
      </c>
      <c r="AI46" s="15">
        <f>X46-AD46</f>
        <v>33853529</v>
      </c>
      <c r="AJ46" s="16">
        <f>X46-AG46</f>
        <v>33853529</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+IF(JUNIO!A47=0,"",JUNIO!A47)</f>
        <v>1130107-2</v>
      </c>
      <c r="B47" s="629" t="str">
        <f>+IF(JUNIO!B47=0,"",JUNIO!B47)</f>
        <v>Vigencia Anterior</v>
      </c>
      <c r="C47" s="655">
        <f>+ENERO!C47</f>
        <v>0</v>
      </c>
      <c r="D47" s="363">
        <f>JUNIO!D47+JULIO!P47</f>
        <v>0</v>
      </c>
      <c r="E47" s="363">
        <f>JUNIO!E47+JULIO!Q47</f>
        <v>5564279</v>
      </c>
      <c r="F47" s="363">
        <f>SUM(C47:E47)</f>
        <v>5564279</v>
      </c>
      <c r="G47" s="363">
        <f>JUNIO!I47</f>
        <v>5564279</v>
      </c>
      <c r="H47" s="364">
        <v>0</v>
      </c>
      <c r="I47" s="363">
        <f>SUM(G47:H47)</f>
        <v>5564279</v>
      </c>
      <c r="J47" s="363">
        <f>JUNIO!L47</f>
        <v>5564279</v>
      </c>
      <c r="K47" s="364">
        <v>0</v>
      </c>
      <c r="L47" s="363">
        <f>SUM(J47:K47)</f>
        <v>5564279</v>
      </c>
      <c r="M47" s="363">
        <f>F47-I47</f>
        <v>0</v>
      </c>
      <c r="N47" s="143">
        <f>F47-L47</f>
        <v>0</v>
      </c>
      <c r="O47" s="372"/>
      <c r="P47" s="362">
        <v>0</v>
      </c>
      <c r="Q47" s="365">
        <v>5564279</v>
      </c>
      <c r="R47" s="9"/>
      <c r="S47" s="689" t="str">
        <f>+IF(JUNIO!S47=0,"",JUNIO!S47)</f>
        <v>1010301-3</v>
      </c>
      <c r="T47" s="665" t="str">
        <f>+IF(JUNIO!T47=0,"",JUNIO!T47)</f>
        <v>Fondos de cesantías - Aportes cuenta maestra</v>
      </c>
      <c r="U47" s="27">
        <f>+ENERO!U47</f>
        <v>87698777</v>
      </c>
      <c r="V47" s="15">
        <f>JUNIO!V47+JULIO!AL47</f>
        <v>-87698777</v>
      </c>
      <c r="W47" s="15">
        <f>JUNIO!W47+JULIO!AM47</f>
        <v>0</v>
      </c>
      <c r="X47" s="18">
        <f>SUM(U47:W47)</f>
        <v>0</v>
      </c>
      <c r="Y47" s="19">
        <f>JUNIO!AA47</f>
        <v>0</v>
      </c>
      <c r="Z47" s="364">
        <v>0</v>
      </c>
      <c r="AA47" s="18">
        <f>SUM(Y47:Z47)</f>
        <v>0</v>
      </c>
      <c r="AB47" s="19">
        <f>JUNIO!AD47</f>
        <v>0</v>
      </c>
      <c r="AC47" s="364">
        <v>0</v>
      </c>
      <c r="AD47" s="18">
        <f>SUM(AB47:AC47)</f>
        <v>0</v>
      </c>
      <c r="AE47" s="19">
        <f>JUNIO!AG47</f>
        <v>0</v>
      </c>
      <c r="AF47" s="364">
        <v>0</v>
      </c>
      <c r="AG47" s="18">
        <f>SUM(AE47:AF47)</f>
        <v>0</v>
      </c>
      <c r="AH47" s="19">
        <f>X47-AA47</f>
        <v>0</v>
      </c>
      <c r="AI47" s="15">
        <f>X47-AD47</f>
        <v>0</v>
      </c>
      <c r="AJ47" s="16">
        <f>X47-AG47</f>
        <v>0</v>
      </c>
      <c r="AK47" s="9"/>
      <c r="AL47" s="362">
        <v>-87698777</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+IF(JUNIO!A48=0,"",JUNIO!A48)</f>
        <v>1130108</v>
      </c>
      <c r="B48" s="628" t="str">
        <f>+IF(JUNIO!B48=0,"",JUNIO!B48)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689" t="str">
        <f>+IF(JUNIO!S48=0,"",JUNIO!S48)</f>
        <v>1010301-4</v>
      </c>
      <c r="T48" s="665" t="str">
        <f>+IF(JUNIO!T48=0,"",JUNIO!T48)</f>
        <v>Riesgos laborales - Aportes cuenta maestra</v>
      </c>
      <c r="U48" s="27">
        <f>+ENERO!U48</f>
        <v>2979584</v>
      </c>
      <c r="V48" s="15">
        <f>JUNIO!V48+JULIO!AL48</f>
        <v>9000000</v>
      </c>
      <c r="W48" s="15">
        <f>JUNIO!W48+JULIO!AM48</f>
        <v>0</v>
      </c>
      <c r="X48" s="18">
        <f>SUM(U48:W48)</f>
        <v>11979584</v>
      </c>
      <c r="Y48" s="19">
        <f>JUNIO!AA48</f>
        <v>4389900</v>
      </c>
      <c r="Z48" s="364">
        <v>903060</v>
      </c>
      <c r="AA48" s="18">
        <f>SUM(Y48:Z48)</f>
        <v>5292960</v>
      </c>
      <c r="AB48" s="19">
        <f>JUNIO!AD48</f>
        <v>4389900</v>
      </c>
      <c r="AC48" s="364">
        <v>903060</v>
      </c>
      <c r="AD48" s="18">
        <f>SUM(AB48:AC48)</f>
        <v>5292960</v>
      </c>
      <c r="AE48" s="19">
        <f>JUNIO!AG48</f>
        <v>4389900</v>
      </c>
      <c r="AF48" s="364">
        <v>903060</v>
      </c>
      <c r="AG48" s="18">
        <f>SUM(AE48:AF48)</f>
        <v>5292960</v>
      </c>
      <c r="AH48" s="19">
        <f>X48-AA48</f>
        <v>6686624</v>
      </c>
      <c r="AI48" s="15">
        <f>X48-AD48</f>
        <v>6686624</v>
      </c>
      <c r="AJ48" s="16">
        <f>X48-AG48</f>
        <v>6686624</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+IF(JUNIO!A49=0,"",JUNIO!A49)</f>
        <v>1130108-1</v>
      </c>
      <c r="B49" s="629" t="str">
        <f>+CONCATENATE("Vigencia ",INSTRUCCIONES!$F$3)</f>
        <v>Vigencia 2019</v>
      </c>
      <c r="C49" s="655">
        <f>+ENERO!C49</f>
        <v>0</v>
      </c>
      <c r="D49" s="363">
        <f>JUNIO!D49+JULIO!P49</f>
        <v>0</v>
      </c>
      <c r="E49" s="363">
        <f>JUNIO!E49+JULIO!Q49</f>
        <v>0</v>
      </c>
      <c r="F49" s="363">
        <f>SUM(C49:E49)</f>
        <v>0</v>
      </c>
      <c r="G49" s="363">
        <f>JUNIO!I49</f>
        <v>0</v>
      </c>
      <c r="H49" s="364">
        <v>0</v>
      </c>
      <c r="I49" s="363">
        <f>SUM(G49:H49)</f>
        <v>0</v>
      </c>
      <c r="J49" s="363">
        <f>JUNIO!L49</f>
        <v>0</v>
      </c>
      <c r="K49" s="364">
        <v>0</v>
      </c>
      <c r="L49" s="363">
        <f>SUM(J49:K49)</f>
        <v>0</v>
      </c>
      <c r="M49" s="363">
        <f>F49-I49</f>
        <v>0</v>
      </c>
      <c r="N49" s="143">
        <f>F49-L49</f>
        <v>0</v>
      </c>
      <c r="O49" s="372"/>
      <c r="P49" s="362">
        <v>0</v>
      </c>
      <c r="Q49" s="365">
        <v>0</v>
      </c>
      <c r="R49" s="9"/>
      <c r="S49" s="688">
        <f>+IF(JUNIO!S49=0,"",JUNIO!S49)</f>
        <v>1010302</v>
      </c>
      <c r="T49" s="664" t="str">
        <f>+IF(JUNIO!T49=0,"",JUNIO!T49)</f>
        <v>Contribuciones - Otros</v>
      </c>
      <c r="U49" s="27">
        <f t="shared" ref="U49:AJ49" si="52">SUM(U50:U54)</f>
        <v>349614882</v>
      </c>
      <c r="V49" s="15">
        <f t="shared" si="52"/>
        <v>-268780097</v>
      </c>
      <c r="W49" s="15">
        <f t="shared" si="52"/>
        <v>0</v>
      </c>
      <c r="X49" s="18">
        <f t="shared" si="52"/>
        <v>80834785</v>
      </c>
      <c r="Y49" s="19">
        <f t="shared" si="52"/>
        <v>28215920</v>
      </c>
      <c r="Z49" s="142">
        <f t="shared" si="52"/>
        <v>4691720</v>
      </c>
      <c r="AA49" s="18">
        <f t="shared" si="52"/>
        <v>32907640</v>
      </c>
      <c r="AB49" s="19">
        <f t="shared" si="52"/>
        <v>28215920</v>
      </c>
      <c r="AC49" s="142">
        <f t="shared" si="52"/>
        <v>4691720</v>
      </c>
      <c r="AD49" s="18">
        <f t="shared" si="52"/>
        <v>32907640</v>
      </c>
      <c r="AE49" s="19">
        <f t="shared" si="52"/>
        <v>21608640</v>
      </c>
      <c r="AF49" s="142">
        <f t="shared" si="52"/>
        <v>6607280</v>
      </c>
      <c r="AG49" s="18">
        <f t="shared" si="52"/>
        <v>28215920</v>
      </c>
      <c r="AH49" s="19">
        <f t="shared" si="52"/>
        <v>47927145</v>
      </c>
      <c r="AI49" s="15">
        <f t="shared" si="52"/>
        <v>47927145</v>
      </c>
      <c r="AJ49" s="16">
        <f t="shared" si="52"/>
        <v>52618865</v>
      </c>
      <c r="AK49" s="9"/>
      <c r="AL49" s="29">
        <f>SUM(AL50:AL54)</f>
        <v>-268780097</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+IF(JUNIO!A50=0,"",JUNIO!A50)</f>
        <v>1130108-2</v>
      </c>
      <c r="B50" s="629" t="str">
        <f>+IF(JUNIO!B50=0,"",JUNIO!B50)</f>
        <v>Vigencia Anterior</v>
      </c>
      <c r="C50" s="655">
        <f>+ENERO!C50</f>
        <v>0</v>
      </c>
      <c r="D50" s="363">
        <f>JUNIO!D50+JULIO!P50</f>
        <v>0</v>
      </c>
      <c r="E50" s="363">
        <f>JUNIO!E50+JULIO!Q50</f>
        <v>0</v>
      </c>
      <c r="F50" s="363">
        <f>SUM(C50:E50)</f>
        <v>0</v>
      </c>
      <c r="G50" s="363">
        <f>JUNIO!I50</f>
        <v>0</v>
      </c>
      <c r="H50" s="364">
        <v>0</v>
      </c>
      <c r="I50" s="363">
        <f>SUM(G50:H50)</f>
        <v>0</v>
      </c>
      <c r="J50" s="363">
        <f>JUNIO!L50</f>
        <v>0</v>
      </c>
      <c r="K50" s="364">
        <v>0</v>
      </c>
      <c r="L50" s="363">
        <f>SUM(J50:K50)</f>
        <v>0</v>
      </c>
      <c r="M50" s="363">
        <f>F50-I50</f>
        <v>0</v>
      </c>
      <c r="N50" s="143">
        <f>F50-L50</f>
        <v>0</v>
      </c>
      <c r="O50" s="372"/>
      <c r="P50" s="362">
        <v>0</v>
      </c>
      <c r="Q50" s="365">
        <v>0</v>
      </c>
      <c r="R50" s="9"/>
      <c r="S50" s="689" t="str">
        <f>+IF(JUNIO!S50=0,"",JUNIO!S50)</f>
        <v>1010302-1</v>
      </c>
      <c r="T50" s="665" t="str">
        <f>+IF(JUNIO!T50=0,"",JUNIO!T50)</f>
        <v>Aportes a E.P.S. - recursos propios</v>
      </c>
      <c r="U50" s="27">
        <f>+ENERO!U50</f>
        <v>79647420</v>
      </c>
      <c r="V50" s="15">
        <f>JUNIO!V50+JULIO!AL50</f>
        <v>-79647420</v>
      </c>
      <c r="W50" s="15">
        <f>JUNIO!W50+JULIO!AM50</f>
        <v>0</v>
      </c>
      <c r="X50" s="18">
        <f t="shared" ref="X50:X55" si="53">SUM(U50:W50)</f>
        <v>0</v>
      </c>
      <c r="Y50" s="19">
        <f>JUNIO!AA50</f>
        <v>0</v>
      </c>
      <c r="Z50" s="364">
        <v>0</v>
      </c>
      <c r="AA50" s="18">
        <f t="shared" ref="AA50:AA55" si="54">SUM(Y50:Z50)</f>
        <v>0</v>
      </c>
      <c r="AB50" s="19">
        <f>JUNIO!AD50</f>
        <v>0</v>
      </c>
      <c r="AC50" s="364">
        <v>0</v>
      </c>
      <c r="AD50" s="18">
        <f t="shared" ref="AD50:AD55" si="55">SUM(AB50:AC50)</f>
        <v>0</v>
      </c>
      <c r="AE50" s="19">
        <f>JUNIO!AG50</f>
        <v>0</v>
      </c>
      <c r="AF50" s="364">
        <v>0</v>
      </c>
      <c r="AG50" s="18">
        <f t="shared" ref="AG50:AG55" si="56">SUM(AE50:AF50)</f>
        <v>0</v>
      </c>
      <c r="AH50" s="19">
        <f t="shared" ref="AH50:AH55" si="57">X50-AA50</f>
        <v>0</v>
      </c>
      <c r="AI50" s="15">
        <f t="shared" ref="AI50:AI55" si="58">X50-AD50</f>
        <v>0</v>
      </c>
      <c r="AJ50" s="16">
        <f t="shared" ref="AJ50:AJ55" si="59">X50-AG50</f>
        <v>0</v>
      </c>
      <c r="AK50" s="9"/>
      <c r="AL50" s="362">
        <v>-79647420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+IF(JUNIO!A51=0,"",JUNIO!A51)</f>
        <v>1130109</v>
      </c>
      <c r="B51" s="628" t="str">
        <f>+IF(JUNIO!B51=0,"",JUNIO!B51)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689" t="str">
        <f>+IF(JUNIO!S51=0,"",JUNIO!S51)</f>
        <v>1010302-2</v>
      </c>
      <c r="T51" s="665" t="str">
        <f>+IF(JUNIO!T51=0,"",JUNIO!T51)</f>
        <v>Aportes Fondos Pensionales - recursos propios</v>
      </c>
      <c r="U51" s="27">
        <f>+ENERO!U51</f>
        <v>115172321</v>
      </c>
      <c r="V51" s="15">
        <f>JUNIO!V51+JULIO!AL51</f>
        <v>-115172321</v>
      </c>
      <c r="W51" s="15">
        <f>JUNIO!W51+JULIO!AM51</f>
        <v>0</v>
      </c>
      <c r="X51" s="18">
        <f t="shared" si="53"/>
        <v>0</v>
      </c>
      <c r="Y51" s="19">
        <f>JUNIO!AA51</f>
        <v>0</v>
      </c>
      <c r="Z51" s="364">
        <v>0</v>
      </c>
      <c r="AA51" s="18">
        <f t="shared" si="54"/>
        <v>0</v>
      </c>
      <c r="AB51" s="19">
        <f>JUNIO!AD51</f>
        <v>0</v>
      </c>
      <c r="AC51" s="364">
        <v>0</v>
      </c>
      <c r="AD51" s="18">
        <f t="shared" si="55"/>
        <v>0</v>
      </c>
      <c r="AE51" s="19">
        <f>JUNIO!AG51</f>
        <v>0</v>
      </c>
      <c r="AF51" s="364">
        <v>0</v>
      </c>
      <c r="AG51" s="18">
        <f t="shared" si="56"/>
        <v>0</v>
      </c>
      <c r="AH51" s="19">
        <f t="shared" si="57"/>
        <v>0</v>
      </c>
      <c r="AI51" s="15">
        <f t="shared" si="58"/>
        <v>0</v>
      </c>
      <c r="AJ51" s="16">
        <f t="shared" si="59"/>
        <v>0</v>
      </c>
      <c r="AK51" s="9"/>
      <c r="AL51" s="362">
        <v>-115172321</v>
      </c>
      <c r="AM51" s="365">
        <v>0</v>
      </c>
      <c r="AN51" s="9"/>
      <c r="AO51" s="284"/>
      <c r="AP51" s="284"/>
      <c r="AQ51" s="284"/>
      <c r="AR51" s="284"/>
      <c r="AS51" s="284"/>
      <c r="AT51" s="284"/>
      <c r="AU51" s="284"/>
      <c r="AV51" s="284"/>
      <c r="AW51" s="284"/>
      <c r="AX51" s="284"/>
      <c r="AY51" s="284"/>
      <c r="AZ51" s="284"/>
    </row>
    <row r="52" spans="1:70" s="412" customFormat="1" ht="24.95" customHeight="1">
      <c r="A52" s="593" t="str">
        <f>+IF(JUNIO!A52=0,"",JUNIO!A52)</f>
        <v>1130109-1</v>
      </c>
      <c r="B52" s="629" t="str">
        <f>+CONCATENATE("Vigencia ",INSTRUCCIONES!$F$3)</f>
        <v>Vigencia 2019</v>
      </c>
      <c r="C52" s="655">
        <f>+ENERO!C52</f>
        <v>0</v>
      </c>
      <c r="D52" s="363">
        <f>JUNIO!D52+JULIO!P52</f>
        <v>0</v>
      </c>
      <c r="E52" s="363">
        <f>JUNIO!E52+JULIO!Q52</f>
        <v>0</v>
      </c>
      <c r="F52" s="363">
        <f>SUM(C52:E52)</f>
        <v>0</v>
      </c>
      <c r="G52" s="363">
        <f>JUNIO!I52</f>
        <v>0</v>
      </c>
      <c r="H52" s="364">
        <v>0</v>
      </c>
      <c r="I52" s="363">
        <f>SUM(G52:H52)</f>
        <v>0</v>
      </c>
      <c r="J52" s="363">
        <f>JUNIO!L52</f>
        <v>0</v>
      </c>
      <c r="K52" s="364">
        <v>0</v>
      </c>
      <c r="L52" s="363">
        <f>SUM(J52:K52)</f>
        <v>0</v>
      </c>
      <c r="M52" s="363">
        <f>F52-I52</f>
        <v>0</v>
      </c>
      <c r="N52" s="143">
        <f>F52-L52</f>
        <v>0</v>
      </c>
      <c r="O52" s="372"/>
      <c r="P52" s="362">
        <v>0</v>
      </c>
      <c r="Q52" s="365">
        <v>0</v>
      </c>
      <c r="R52" s="9"/>
      <c r="S52" s="689" t="str">
        <f>+IF(JUNIO!S52=0,"",JUNIO!S52)</f>
        <v>1010302-3</v>
      </c>
      <c r="T52" s="665" t="str">
        <f>+IF(JUNIO!T52=0,"",JUNIO!T52)</f>
        <v>Aportes a Fondos de Cesantia - recursos propios</v>
      </c>
      <c r="U52" s="27">
        <f>+ENERO!U52</f>
        <v>73960356</v>
      </c>
      <c r="V52" s="15">
        <f>JUNIO!V52+JULIO!AL52</f>
        <v>-73960356</v>
      </c>
      <c r="W52" s="15">
        <f>JUNIO!W52+JULIO!AM52</f>
        <v>0</v>
      </c>
      <c r="X52" s="18">
        <f t="shared" si="53"/>
        <v>0</v>
      </c>
      <c r="Y52" s="19">
        <f>JUNIO!AA52</f>
        <v>0</v>
      </c>
      <c r="Z52" s="364">
        <v>0</v>
      </c>
      <c r="AA52" s="18">
        <f t="shared" si="54"/>
        <v>0</v>
      </c>
      <c r="AB52" s="19">
        <f>JUNIO!AD52</f>
        <v>0</v>
      </c>
      <c r="AC52" s="364">
        <v>0</v>
      </c>
      <c r="AD52" s="18">
        <f t="shared" si="55"/>
        <v>0</v>
      </c>
      <c r="AE52" s="19">
        <f>JUNIO!AG52</f>
        <v>0</v>
      </c>
      <c r="AF52" s="364">
        <v>0</v>
      </c>
      <c r="AG52" s="18">
        <f t="shared" si="56"/>
        <v>0</v>
      </c>
      <c r="AH52" s="19">
        <f t="shared" si="57"/>
        <v>0</v>
      </c>
      <c r="AI52" s="15">
        <f t="shared" si="58"/>
        <v>0</v>
      </c>
      <c r="AJ52" s="16">
        <f t="shared" si="59"/>
        <v>0</v>
      </c>
      <c r="AK52" s="9"/>
      <c r="AL52" s="362">
        <v>-73960356</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+IF(JUNIO!A53=0,"",JUNIO!A53)</f>
        <v>1130109-2</v>
      </c>
      <c r="B53" s="629" t="str">
        <f>+IF(JUNIO!B53=0,"",JUNIO!B53)</f>
        <v>Vigencia Anterior</v>
      </c>
      <c r="C53" s="655">
        <f>+ENERO!C53</f>
        <v>0</v>
      </c>
      <c r="D53" s="363">
        <f>JUNIO!D53+JULIO!P53</f>
        <v>0</v>
      </c>
      <c r="E53" s="363">
        <f>JUNIO!E53+JULIO!Q53</f>
        <v>0</v>
      </c>
      <c r="F53" s="363">
        <f>SUM(C53:E53)</f>
        <v>0</v>
      </c>
      <c r="G53" s="363">
        <f>JUNIO!I53</f>
        <v>0</v>
      </c>
      <c r="H53" s="364">
        <v>0</v>
      </c>
      <c r="I53" s="363">
        <f>SUM(G53:H53)</f>
        <v>0</v>
      </c>
      <c r="J53" s="363">
        <f>JUNIO!L53</f>
        <v>0</v>
      </c>
      <c r="K53" s="364">
        <v>0</v>
      </c>
      <c r="L53" s="363">
        <f>SUM(J53:K53)</f>
        <v>0</v>
      </c>
      <c r="M53" s="363">
        <f>F53-I53</f>
        <v>0</v>
      </c>
      <c r="N53" s="143">
        <f>F53-L53</f>
        <v>0</v>
      </c>
      <c r="O53" s="372"/>
      <c r="P53" s="362">
        <v>0</v>
      </c>
      <c r="Q53" s="365">
        <v>0</v>
      </c>
      <c r="R53" s="9"/>
      <c r="S53" s="689" t="str">
        <f>+IF(JUNIO!S53=0,"",JUNIO!S53)</f>
        <v>1010302-4</v>
      </c>
      <c r="T53" s="665" t="str">
        <f>+IF(JUNIO!T53=0,"",JUNIO!T53)</f>
        <v>Aporte a ARL. - recursos propios</v>
      </c>
      <c r="U53" s="27">
        <f>+ENERO!U53</f>
        <v>5393830</v>
      </c>
      <c r="V53" s="15">
        <f>JUNIO!V53+JULIO!AL53</f>
        <v>0</v>
      </c>
      <c r="W53" s="15">
        <f>JUNIO!W53+JULIO!AM53</f>
        <v>0</v>
      </c>
      <c r="X53" s="18">
        <f t="shared" si="53"/>
        <v>5393830</v>
      </c>
      <c r="Y53" s="19">
        <f>JUNIO!AA53</f>
        <v>0</v>
      </c>
      <c r="Z53" s="364">
        <v>0</v>
      </c>
      <c r="AA53" s="18">
        <f t="shared" si="54"/>
        <v>0</v>
      </c>
      <c r="AB53" s="19">
        <f>JUNIO!AD53</f>
        <v>0</v>
      </c>
      <c r="AC53" s="364">
        <v>0</v>
      </c>
      <c r="AD53" s="18">
        <f t="shared" si="55"/>
        <v>0</v>
      </c>
      <c r="AE53" s="19">
        <f>JUNIO!AG53</f>
        <v>0</v>
      </c>
      <c r="AF53" s="364">
        <v>0</v>
      </c>
      <c r="AG53" s="1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+IF(JUNIO!A54=0,"",JUNIO!A54)</f>
        <v>1130110</v>
      </c>
      <c r="B54" s="628" t="str">
        <f>+IF(JUNIO!B54=0,"",JUNIO!B54)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689" t="str">
        <f>+IF(JUNIO!S54=0,"",JUNIO!S54)</f>
        <v>1010302-5</v>
      </c>
      <c r="T54" s="665" t="str">
        <f>+IF(JUNIO!T54=0,"",JUNIO!T54)</f>
        <v>Aporte a Caja Compensación Familiar</v>
      </c>
      <c r="U54" s="27">
        <f>+ENERO!U54</f>
        <v>75440955</v>
      </c>
      <c r="V54" s="15">
        <f>JUNIO!V54+JULIO!AL54</f>
        <v>0</v>
      </c>
      <c r="W54" s="15">
        <f>JUNIO!W54+JULIO!AM54</f>
        <v>0</v>
      </c>
      <c r="X54" s="18">
        <f t="shared" si="53"/>
        <v>75440955</v>
      </c>
      <c r="Y54" s="19">
        <f>JUNIO!AA54</f>
        <v>28215920</v>
      </c>
      <c r="Z54" s="364">
        <v>4691720</v>
      </c>
      <c r="AA54" s="18">
        <f t="shared" si="54"/>
        <v>32907640</v>
      </c>
      <c r="AB54" s="19">
        <f>JUNIO!AD54</f>
        <v>28215920</v>
      </c>
      <c r="AC54" s="364">
        <v>4691720</v>
      </c>
      <c r="AD54" s="18">
        <f t="shared" si="55"/>
        <v>32907640</v>
      </c>
      <c r="AE54" s="19">
        <f>JUNIO!AG54</f>
        <v>21608640</v>
      </c>
      <c r="AF54" s="364">
        <v>6607280</v>
      </c>
      <c r="AG54" s="18">
        <f t="shared" si="56"/>
        <v>28215920</v>
      </c>
      <c r="AH54" s="19">
        <f t="shared" si="57"/>
        <v>42533315</v>
      </c>
      <c r="AI54" s="15">
        <f t="shared" si="58"/>
        <v>42533315</v>
      </c>
      <c r="AJ54" s="16">
        <f t="shared" si="59"/>
        <v>47225035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+IF(JUNIO!A55=0,"",JUNIO!A55)</f>
        <v>1130110-1</v>
      </c>
      <c r="B55" s="629" t="str">
        <f>+CONCATENATE("Vigencia ",INSTRUCCIONES!$F$3)</f>
        <v>Vigencia 2019</v>
      </c>
      <c r="C55" s="655">
        <f>+ENERO!C55</f>
        <v>0</v>
      </c>
      <c r="D55" s="363">
        <f>JUNIO!D55+JULIO!P55</f>
        <v>0</v>
      </c>
      <c r="E55" s="363">
        <f>JUNIO!E55+JULIO!Q55</f>
        <v>0</v>
      </c>
      <c r="F55" s="363">
        <f>SUM(C55:E55)</f>
        <v>0</v>
      </c>
      <c r="G55" s="363">
        <f>JUNIO!I55</f>
        <v>0</v>
      </c>
      <c r="H55" s="364">
        <v>0</v>
      </c>
      <c r="I55" s="363">
        <f>SUM(G55:H55)</f>
        <v>0</v>
      </c>
      <c r="J55" s="363">
        <f>JUNIO!L55</f>
        <v>0</v>
      </c>
      <c r="K55" s="364">
        <v>0</v>
      </c>
      <c r="L55" s="363">
        <f>SUM(J55:K55)</f>
        <v>0</v>
      </c>
      <c r="M55" s="363">
        <f>F55-I55</f>
        <v>0</v>
      </c>
      <c r="N55" s="143">
        <f>F55-L55</f>
        <v>0</v>
      </c>
      <c r="O55" s="372"/>
      <c r="P55" s="362">
        <v>0</v>
      </c>
      <c r="Q55" s="365">
        <v>0</v>
      </c>
      <c r="R55" s="9"/>
      <c r="S55" s="688">
        <f>+IF(JUNIO!S55=0,"",JUNIO!S55)</f>
        <v>1010399</v>
      </c>
      <c r="T55" s="664" t="str">
        <f>+IF(JUNIO!T55=0,"",JUNIO!T55)</f>
        <v>Vigencias Anteriores</v>
      </c>
      <c r="U55" s="27">
        <f>+ENERO!U55</f>
        <v>108000000</v>
      </c>
      <c r="V55" s="15">
        <f>JUNIO!V55+JULIO!AL55</f>
        <v>-6501068</v>
      </c>
      <c r="W55" s="15">
        <f>JUNIO!W55+JULIO!AM55</f>
        <v>0</v>
      </c>
      <c r="X55" s="18">
        <f t="shared" si="53"/>
        <v>101498932</v>
      </c>
      <c r="Y55" s="19">
        <f>JUNIO!AA55</f>
        <v>101498932</v>
      </c>
      <c r="Z55" s="364">
        <v>0</v>
      </c>
      <c r="AA55" s="18">
        <f t="shared" si="54"/>
        <v>101498932</v>
      </c>
      <c r="AB55" s="19">
        <f>JUNIO!AD55</f>
        <v>101498932</v>
      </c>
      <c r="AC55" s="364">
        <v>0</v>
      </c>
      <c r="AD55" s="18">
        <f t="shared" si="55"/>
        <v>101498932</v>
      </c>
      <c r="AE55" s="19">
        <f>JUNIO!AG55</f>
        <v>101498932</v>
      </c>
      <c r="AF55" s="364">
        <v>0</v>
      </c>
      <c r="AG55" s="1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+IF(JUNIO!A56=0,"",JUNIO!A56)</f>
        <v>1130110-2</v>
      </c>
      <c r="B56" s="629" t="str">
        <f>+IF(JUNIO!B56=0,"",JUNIO!B56)</f>
        <v>Vigencia Anterior</v>
      </c>
      <c r="C56" s="655">
        <f>+ENERO!C56</f>
        <v>0</v>
      </c>
      <c r="D56" s="363">
        <f>JUNIO!D56+JULIO!P56</f>
        <v>0</v>
      </c>
      <c r="E56" s="363">
        <f>JUNIO!E56+JULIO!Q56</f>
        <v>0</v>
      </c>
      <c r="F56" s="363">
        <f>SUM(C56:E56)</f>
        <v>0</v>
      </c>
      <c r="G56" s="363">
        <f>JUNIO!I56</f>
        <v>0</v>
      </c>
      <c r="H56" s="364">
        <v>0</v>
      </c>
      <c r="I56" s="363">
        <f>SUM(G56:H56)</f>
        <v>0</v>
      </c>
      <c r="J56" s="363">
        <f>JUNIO!L56</f>
        <v>0</v>
      </c>
      <c r="K56" s="364">
        <v>0</v>
      </c>
      <c r="L56" s="363">
        <f>SUM(J56:K56)</f>
        <v>0</v>
      </c>
      <c r="M56" s="363">
        <f>F56-I56</f>
        <v>0</v>
      </c>
      <c r="N56" s="143">
        <f>F56-L56</f>
        <v>0</v>
      </c>
      <c r="O56" s="372"/>
      <c r="P56" s="362">
        <v>0</v>
      </c>
      <c r="Q56" s="365">
        <v>0</v>
      </c>
      <c r="R56" s="9"/>
      <c r="S56" s="356" t="str">
        <f>+IF(JUNIO!S56=0,"",JUNIO!S56)</f>
        <v/>
      </c>
      <c r="T56" s="678" t="str">
        <f>+IF(JUNIO!T56=0,"",JUNIO!T56)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+IF(JUNIO!A57=0,"",JUNIO!A57)</f>
        <v>1130111</v>
      </c>
      <c r="B57" s="628" t="str">
        <f>+IF(JUNIO!B57=0,"",JUNIO!B57)</f>
        <v>IPS PRIVADAS</v>
      </c>
      <c r="C57" s="43">
        <f t="shared" ref="C57:N57" si="62">SUM(C58:C59)</f>
        <v>205713</v>
      </c>
      <c r="D57" s="44">
        <f t="shared" si="62"/>
        <v>0</v>
      </c>
      <c r="E57" s="44">
        <f t="shared" si="62"/>
        <v>0</v>
      </c>
      <c r="F57" s="44">
        <f t="shared" si="62"/>
        <v>205713</v>
      </c>
      <c r="G57" s="44">
        <f t="shared" si="62"/>
        <v>1082717</v>
      </c>
      <c r="H57" s="44">
        <f t="shared" si="62"/>
        <v>0</v>
      </c>
      <c r="I57" s="44">
        <f t="shared" si="62"/>
        <v>1082717</v>
      </c>
      <c r="J57" s="44">
        <f t="shared" si="62"/>
        <v>0</v>
      </c>
      <c r="K57" s="44">
        <f t="shared" si="62"/>
        <v>0</v>
      </c>
      <c r="L57" s="44">
        <f t="shared" si="62"/>
        <v>0</v>
      </c>
      <c r="M57" s="44">
        <f t="shared" si="62"/>
        <v>-877004</v>
      </c>
      <c r="N57" s="45">
        <f t="shared" si="62"/>
        <v>205713</v>
      </c>
      <c r="P57" s="43">
        <f>SUM(P58:P59)</f>
        <v>0</v>
      </c>
      <c r="Q57" s="45">
        <f>SUM(Q58:Q59)</f>
        <v>0</v>
      </c>
      <c r="R57" s="9"/>
      <c r="S57" s="687">
        <f>+IF(JUNIO!S57=0,"",JUNIO!S57)</f>
        <v>1010400</v>
      </c>
      <c r="T57" s="663" t="str">
        <f>+IF(JUNIO!T57=0,"",JUNIO!T57)</f>
        <v>Contribuciones Inherentes nómina del Sector Publico</v>
      </c>
      <c r="U57" s="132">
        <f t="shared" ref="U57:AJ57" si="63">U58+U61</f>
        <v>94301194</v>
      </c>
      <c r="V57" s="122">
        <f t="shared" si="63"/>
        <v>0</v>
      </c>
      <c r="W57" s="122">
        <f t="shared" si="63"/>
        <v>0</v>
      </c>
      <c r="X57" s="129">
        <f t="shared" si="63"/>
        <v>94301194</v>
      </c>
      <c r="Y57" s="128">
        <f t="shared" si="63"/>
        <v>35269900</v>
      </c>
      <c r="Z57" s="122">
        <f t="shared" si="63"/>
        <v>5864650</v>
      </c>
      <c r="AA57" s="129">
        <f t="shared" si="63"/>
        <v>41134550</v>
      </c>
      <c r="AB57" s="128">
        <f t="shared" si="63"/>
        <v>35269900</v>
      </c>
      <c r="AC57" s="122">
        <f t="shared" si="63"/>
        <v>5864650</v>
      </c>
      <c r="AD57" s="129">
        <f t="shared" si="63"/>
        <v>41134550</v>
      </c>
      <c r="AE57" s="128">
        <f t="shared" si="63"/>
        <v>27010800</v>
      </c>
      <c r="AF57" s="122">
        <f t="shared" si="63"/>
        <v>8259100</v>
      </c>
      <c r="AG57" s="129">
        <f t="shared" si="63"/>
        <v>35269900</v>
      </c>
      <c r="AH57" s="128">
        <f t="shared" si="63"/>
        <v>53166644</v>
      </c>
      <c r="AI57" s="122">
        <f t="shared" si="63"/>
        <v>53166644</v>
      </c>
      <c r="AJ57" s="130">
        <f t="shared" si="63"/>
        <v>59031294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+IF(JUNIO!A58=0,"",JUNIO!A58)</f>
        <v>1130111-1</v>
      </c>
      <c r="B58" s="629" t="str">
        <f>+CONCATENATE("Vigencia ",INSTRUCCIONES!$F$3)</f>
        <v>Vigencia 2019</v>
      </c>
      <c r="C58" s="655">
        <f>+ENERO!C58</f>
        <v>205713</v>
      </c>
      <c r="D58" s="363">
        <f>JUNIO!D58+JULIO!P58</f>
        <v>0</v>
      </c>
      <c r="E58" s="363">
        <f>JUNIO!E58+JULIO!Q58</f>
        <v>0</v>
      </c>
      <c r="F58" s="363">
        <f>SUM(C58:E58)</f>
        <v>205713</v>
      </c>
      <c r="G58" s="363">
        <f>JUNIO!I58</f>
        <v>1082717</v>
      </c>
      <c r="H58" s="364">
        <v>0</v>
      </c>
      <c r="I58" s="363">
        <f>SUM(G58:H58)</f>
        <v>1082717</v>
      </c>
      <c r="J58" s="363">
        <f>JUNIO!L58</f>
        <v>0</v>
      </c>
      <c r="K58" s="364">
        <v>0</v>
      </c>
      <c r="L58" s="363">
        <f>SUM(J58:K58)</f>
        <v>0</v>
      </c>
      <c r="M58" s="363">
        <f>F58-I58</f>
        <v>-877004</v>
      </c>
      <c r="N58" s="143">
        <f>F58-L58</f>
        <v>205713</v>
      </c>
      <c r="O58" s="372"/>
      <c r="P58" s="362">
        <v>0</v>
      </c>
      <c r="Q58" s="365">
        <v>0</v>
      </c>
      <c r="R58" s="9"/>
      <c r="S58" s="688">
        <f>+IF(JUNIO!S58=0,"",JUNIO!S58)</f>
        <v>1010402</v>
      </c>
      <c r="T58" s="664" t="str">
        <f>+IF(JUNIO!T58=0,"",JUNIO!T58)</f>
        <v>Contribuciones - Otros</v>
      </c>
      <c r="U58" s="27">
        <f t="shared" ref="U58:AJ58" si="64">SUM(U59:U60)</f>
        <v>94301194</v>
      </c>
      <c r="V58" s="15">
        <f t="shared" si="64"/>
        <v>0</v>
      </c>
      <c r="W58" s="15">
        <f t="shared" si="64"/>
        <v>0</v>
      </c>
      <c r="X58" s="18">
        <f t="shared" si="64"/>
        <v>94301194</v>
      </c>
      <c r="Y58" s="19">
        <f t="shared" si="64"/>
        <v>35269900</v>
      </c>
      <c r="Z58" s="142">
        <f t="shared" si="64"/>
        <v>5864650</v>
      </c>
      <c r="AA58" s="18">
        <f t="shared" si="64"/>
        <v>41134550</v>
      </c>
      <c r="AB58" s="19">
        <f t="shared" si="64"/>
        <v>35269900</v>
      </c>
      <c r="AC58" s="142">
        <f t="shared" si="64"/>
        <v>5864650</v>
      </c>
      <c r="AD58" s="18">
        <f t="shared" si="64"/>
        <v>41134550</v>
      </c>
      <c r="AE58" s="19">
        <f t="shared" si="64"/>
        <v>27010800</v>
      </c>
      <c r="AF58" s="142">
        <f t="shared" si="64"/>
        <v>8259100</v>
      </c>
      <c r="AG58" s="18">
        <f t="shared" si="64"/>
        <v>35269900</v>
      </c>
      <c r="AH58" s="19">
        <f t="shared" si="64"/>
        <v>53166644</v>
      </c>
      <c r="AI58" s="15">
        <f t="shared" si="64"/>
        <v>53166644</v>
      </c>
      <c r="AJ58" s="16">
        <f t="shared" si="64"/>
        <v>59031294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+IF(JUNIO!A59=0,"",JUNIO!A59)</f>
        <v>1130111-2</v>
      </c>
      <c r="B59" s="629" t="str">
        <f>+IF(JUNIO!B59=0,"",JUNIO!B59)</f>
        <v>Vigencia Anterior</v>
      </c>
      <c r="C59" s="655">
        <f>+ENERO!C59</f>
        <v>0</v>
      </c>
      <c r="D59" s="363">
        <f>JUNIO!D59+JULIO!P59</f>
        <v>0</v>
      </c>
      <c r="E59" s="363">
        <f>JUNIO!E59+JULIO!Q59</f>
        <v>0</v>
      </c>
      <c r="F59" s="363">
        <f>SUM(C59:E59)</f>
        <v>0</v>
      </c>
      <c r="G59" s="363">
        <f>JUNIO!I59</f>
        <v>0</v>
      </c>
      <c r="H59" s="364">
        <v>0</v>
      </c>
      <c r="I59" s="363">
        <f>SUM(G59:H59)</f>
        <v>0</v>
      </c>
      <c r="J59" s="363">
        <f>JUNIO!L59</f>
        <v>0</v>
      </c>
      <c r="K59" s="364">
        <v>0</v>
      </c>
      <c r="L59" s="363">
        <f>SUM(J59:K59)</f>
        <v>0</v>
      </c>
      <c r="M59" s="363">
        <f>F59-I59</f>
        <v>0</v>
      </c>
      <c r="N59" s="143">
        <f>F59-L59</f>
        <v>0</v>
      </c>
      <c r="O59" s="372"/>
      <c r="P59" s="362">
        <v>0</v>
      </c>
      <c r="Q59" s="365">
        <v>0</v>
      </c>
      <c r="R59" s="9"/>
      <c r="S59" s="689" t="str">
        <f>+IF(JUNIO!S59=0,"",JUNIO!S59)</f>
        <v>1010402-1</v>
      </c>
      <c r="T59" s="664" t="str">
        <f>+IF(JUNIO!T59=0,"",JUNIO!T59)</f>
        <v>S.E.N.A.</v>
      </c>
      <c r="U59" s="27">
        <f>+ENERO!U59</f>
        <v>37720478</v>
      </c>
      <c r="V59" s="15">
        <f>JUNIO!V59+JULIO!AL59</f>
        <v>0</v>
      </c>
      <c r="W59" s="15">
        <f>JUNIO!W59+JULIO!AM59</f>
        <v>0</v>
      </c>
      <c r="X59" s="18">
        <f>SUM(U59:W59)</f>
        <v>37720478</v>
      </c>
      <c r="Y59" s="19">
        <f>JUNIO!AA59</f>
        <v>14107960</v>
      </c>
      <c r="Z59" s="364">
        <v>2345860</v>
      </c>
      <c r="AA59" s="18">
        <f>SUM(Y59:Z59)</f>
        <v>16453820</v>
      </c>
      <c r="AB59" s="19">
        <f>JUNIO!AD59</f>
        <v>14107960</v>
      </c>
      <c r="AC59" s="364">
        <v>2345860</v>
      </c>
      <c r="AD59" s="18">
        <f>SUM(AB59:AC59)</f>
        <v>16453820</v>
      </c>
      <c r="AE59" s="19">
        <f>JUNIO!AG59</f>
        <v>10804320</v>
      </c>
      <c r="AF59" s="364">
        <v>3303640</v>
      </c>
      <c r="AG59" s="18">
        <f>SUM(AE59:AF59)</f>
        <v>14107960</v>
      </c>
      <c r="AH59" s="19">
        <f>X59-AA59</f>
        <v>21266658</v>
      </c>
      <c r="AI59" s="15">
        <f>X59-AD59</f>
        <v>21266658</v>
      </c>
      <c r="AJ59" s="16">
        <f>X59-AG59</f>
        <v>23612518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+IF(JUNIO!A60=0,"",JUNIO!A60)</f>
        <v>1130112</v>
      </c>
      <c r="B60" s="628" t="str">
        <f>+IF(JUNIO!B60=0,"",JUNIO!B60)</f>
        <v>IPS PUBLICAS</v>
      </c>
      <c r="C60" s="43">
        <f t="shared" ref="C60:N60" si="65">SUM(C61:C62)</f>
        <v>0</v>
      </c>
      <c r="D60" s="44">
        <f t="shared" si="65"/>
        <v>0</v>
      </c>
      <c r="E60" s="44">
        <f t="shared" si="65"/>
        <v>18868172</v>
      </c>
      <c r="F60" s="44">
        <f t="shared" si="65"/>
        <v>18868172</v>
      </c>
      <c r="G60" s="44">
        <f t="shared" si="65"/>
        <v>18933039</v>
      </c>
      <c r="H60" s="44">
        <f t="shared" si="65"/>
        <v>1122762</v>
      </c>
      <c r="I60" s="44">
        <f t="shared" si="65"/>
        <v>20055801</v>
      </c>
      <c r="J60" s="44">
        <f t="shared" si="65"/>
        <v>18868172</v>
      </c>
      <c r="K60" s="44">
        <f t="shared" si="65"/>
        <v>345224</v>
      </c>
      <c r="L60" s="44">
        <f t="shared" si="65"/>
        <v>19213396</v>
      </c>
      <c r="M60" s="44">
        <f t="shared" si="65"/>
        <v>-1187629</v>
      </c>
      <c r="N60" s="45">
        <f t="shared" si="65"/>
        <v>-345224</v>
      </c>
      <c r="P60" s="43">
        <f>SUM(P61:P62)</f>
        <v>0</v>
      </c>
      <c r="Q60" s="45">
        <f>SUM(Q61:Q62)</f>
        <v>17160818</v>
      </c>
      <c r="R60" s="9"/>
      <c r="S60" s="689" t="str">
        <f>+IF(JUNIO!S60=0,"",JUNIO!S60)</f>
        <v>1010402-2</v>
      </c>
      <c r="T60" s="664" t="str">
        <f>+IF(JUNIO!T60=0,"",JUNIO!T60)</f>
        <v>I.C.B.F.</v>
      </c>
      <c r="U60" s="27">
        <f>+ENERO!U60</f>
        <v>56580716</v>
      </c>
      <c r="V60" s="15">
        <f>JUNIO!V60+JULIO!AL60</f>
        <v>0</v>
      </c>
      <c r="W60" s="15">
        <f>JUNIO!W60+JULIO!AM60</f>
        <v>0</v>
      </c>
      <c r="X60" s="18">
        <f>SUM(U60:W60)</f>
        <v>56580716</v>
      </c>
      <c r="Y60" s="19">
        <f>JUNIO!AA60</f>
        <v>21161940</v>
      </c>
      <c r="Z60" s="364">
        <v>3518790</v>
      </c>
      <c r="AA60" s="18">
        <f>SUM(Y60:Z60)</f>
        <v>24680730</v>
      </c>
      <c r="AB60" s="19">
        <f>JUNIO!AD60</f>
        <v>21161940</v>
      </c>
      <c r="AC60" s="364">
        <v>3518790</v>
      </c>
      <c r="AD60" s="18">
        <f>SUM(AB60:AC60)</f>
        <v>24680730</v>
      </c>
      <c r="AE60" s="19">
        <f>JUNIO!AG60</f>
        <v>16206480</v>
      </c>
      <c r="AF60" s="364">
        <v>4955460</v>
      </c>
      <c r="AG60" s="18">
        <f>SUM(AE60:AF60)</f>
        <v>21161940</v>
      </c>
      <c r="AH60" s="19">
        <f>X60-AA60</f>
        <v>31899986</v>
      </c>
      <c r="AI60" s="15">
        <f>X60-AD60</f>
        <v>31899986</v>
      </c>
      <c r="AJ60" s="16">
        <f>X60-AG60</f>
        <v>35418776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+IF(JUNIO!A61=0,"",JUNIO!A61)</f>
        <v>1130112-1</v>
      </c>
      <c r="B61" s="629" t="str">
        <f>+CONCATENATE("Vigencia ",INSTRUCCIONES!$F$3)</f>
        <v>Vigencia 2019</v>
      </c>
      <c r="C61" s="655">
        <f>+ENERO!C61</f>
        <v>0</v>
      </c>
      <c r="D61" s="363">
        <f>JUNIO!D61+JULIO!P61</f>
        <v>0</v>
      </c>
      <c r="E61" s="363">
        <f>JUNIO!E61+JULIO!Q61</f>
        <v>437725</v>
      </c>
      <c r="F61" s="363">
        <f>SUM(C61:E61)</f>
        <v>437725</v>
      </c>
      <c r="G61" s="363">
        <f>JUNIO!I61</f>
        <v>502592</v>
      </c>
      <c r="H61" s="364">
        <v>995114</v>
      </c>
      <c r="I61" s="363">
        <f>SUM(G61:H61)</f>
        <v>1497706</v>
      </c>
      <c r="J61" s="363">
        <f>JUNIO!L61</f>
        <v>437725</v>
      </c>
      <c r="K61" s="364">
        <v>217576</v>
      </c>
      <c r="L61" s="363">
        <f>SUM(J61:K61)</f>
        <v>655301</v>
      </c>
      <c r="M61" s="363">
        <f>F61-I61</f>
        <v>-1059981</v>
      </c>
      <c r="N61" s="143">
        <f>F61-L61</f>
        <v>-217576</v>
      </c>
      <c r="O61" s="372"/>
      <c r="P61" s="362">
        <v>0</v>
      </c>
      <c r="Q61" s="365">
        <v>437725</v>
      </c>
      <c r="R61" s="9"/>
      <c r="S61" s="688">
        <f>+IF(JUNIO!S61=0,"",JUNIO!S61)</f>
        <v>1010499</v>
      </c>
      <c r="T61" s="664" t="str">
        <f>+IF(JUNIO!T61=0,"",JUNIO!T61)</f>
        <v>Vigencias Anteriores</v>
      </c>
      <c r="U61" s="27">
        <f>+ENERO!U61</f>
        <v>0</v>
      </c>
      <c r="V61" s="15">
        <f>JUNIO!V61+JULIO!AL61</f>
        <v>0</v>
      </c>
      <c r="W61" s="15">
        <f>JUNIO!W61+JULIO!AM61</f>
        <v>0</v>
      </c>
      <c r="X61" s="18">
        <f>SUM(U61:W61)</f>
        <v>0</v>
      </c>
      <c r="Y61" s="19">
        <f>JUNIO!AA61</f>
        <v>0</v>
      </c>
      <c r="Z61" s="364">
        <v>0</v>
      </c>
      <c r="AA61" s="18">
        <f>SUM(Y61:Z61)</f>
        <v>0</v>
      </c>
      <c r="AB61" s="19">
        <f>JUNIO!AD61</f>
        <v>0</v>
      </c>
      <c r="AC61" s="364">
        <v>0</v>
      </c>
      <c r="AD61" s="18">
        <f>SUM(AB61:AC61)</f>
        <v>0</v>
      </c>
      <c r="AE61" s="19">
        <f>JUNIO!AG61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+IF(JUNIO!A62=0,"",JUNIO!A62)</f>
        <v>1130112-2</v>
      </c>
      <c r="B62" s="629" t="str">
        <f>+IF(JUNIO!B62=0,"",JUNIO!B62)</f>
        <v>Vigencia Anterior</v>
      </c>
      <c r="C62" s="655">
        <f>+ENERO!C62</f>
        <v>0</v>
      </c>
      <c r="D62" s="363">
        <f>JUNIO!D62+JULIO!P62</f>
        <v>0</v>
      </c>
      <c r="E62" s="363">
        <f>JUNIO!E62+JULIO!Q62</f>
        <v>18430447</v>
      </c>
      <c r="F62" s="363">
        <f>SUM(C62:E62)</f>
        <v>18430447</v>
      </c>
      <c r="G62" s="363">
        <f>JUNIO!I62</f>
        <v>18430447</v>
      </c>
      <c r="H62" s="364">
        <v>127648</v>
      </c>
      <c r="I62" s="363">
        <f>SUM(G62:H62)</f>
        <v>18558095</v>
      </c>
      <c r="J62" s="363">
        <f>JUNIO!L62</f>
        <v>18430447</v>
      </c>
      <c r="K62" s="364">
        <v>127648</v>
      </c>
      <c r="L62" s="363">
        <f>SUM(J62:K62)</f>
        <v>18558095</v>
      </c>
      <c r="M62" s="363">
        <f>F62-I62</f>
        <v>-127648</v>
      </c>
      <c r="N62" s="143">
        <f>F62-L62</f>
        <v>-127648</v>
      </c>
      <c r="O62" s="372"/>
      <c r="P62" s="362">
        <v>0</v>
      </c>
      <c r="Q62" s="365">
        <v>16723093</v>
      </c>
      <c r="R62" s="9"/>
      <c r="S62" s="356" t="str">
        <f>+IF(JUNIO!S62=0,"",JUNIO!S62)</f>
        <v/>
      </c>
      <c r="T62" s="678" t="str">
        <f>+IF(JUNIO!T62=0,"",JUNIO!T62)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+IF(JUNIO!A63=0,"",JUNIO!A63)</f>
        <v>1130113</v>
      </c>
      <c r="B63" s="628" t="str">
        <f>+IF(JUNIO!B63=0,"",JUNIO!B63)</f>
        <v>COMPAÑIAS DE SEGUROS  - ACCIDENTES DE TRANSITO (SOAT)</v>
      </c>
      <c r="C63" s="43">
        <f t="shared" ref="C63:N63" si="66">SUM(C64:C65)</f>
        <v>8371510292</v>
      </c>
      <c r="D63" s="44">
        <f t="shared" si="66"/>
        <v>0</v>
      </c>
      <c r="E63" s="44">
        <f t="shared" si="66"/>
        <v>1847255167</v>
      </c>
      <c r="F63" s="44">
        <f t="shared" si="66"/>
        <v>10218765459</v>
      </c>
      <c r="G63" s="44">
        <f t="shared" si="66"/>
        <v>4703869621</v>
      </c>
      <c r="H63" s="44">
        <f t="shared" si="66"/>
        <v>370483556</v>
      </c>
      <c r="I63" s="44">
        <f t="shared" si="66"/>
        <v>5074353177</v>
      </c>
      <c r="J63" s="44">
        <f t="shared" si="66"/>
        <v>3061905242.0699997</v>
      </c>
      <c r="K63" s="44">
        <f t="shared" si="66"/>
        <v>306159960</v>
      </c>
      <c r="L63" s="44">
        <f t="shared" si="66"/>
        <v>3368065202.0699997</v>
      </c>
      <c r="M63" s="44">
        <f t="shared" si="66"/>
        <v>5144412282</v>
      </c>
      <c r="N63" s="45">
        <f t="shared" si="66"/>
        <v>6850700256.9300003</v>
      </c>
      <c r="P63" s="43">
        <f>SUM(P64:P65)</f>
        <v>0</v>
      </c>
      <c r="Q63" s="45">
        <f>SUM(Q64:Q65)</f>
        <v>27364041</v>
      </c>
      <c r="R63" s="9"/>
      <c r="S63" s="686">
        <f>+IF(JUNIO!S63=0,"",JUNIO!S63)</f>
        <v>1020010</v>
      </c>
      <c r="T63" s="662" t="str">
        <f>+IF(JUNIO!T63=0,"",JUNIO!T63)</f>
        <v>Gastos de Operación</v>
      </c>
      <c r="U63" s="132">
        <f t="shared" ref="U63:AJ63" si="67">U65+U83+U90+U104</f>
        <v>29994047768</v>
      </c>
      <c r="V63" s="122">
        <f t="shared" si="67"/>
        <v>-3020337847</v>
      </c>
      <c r="W63" s="122">
        <f t="shared" si="67"/>
        <v>1653182074</v>
      </c>
      <c r="X63" s="129">
        <f t="shared" si="67"/>
        <v>28626891995</v>
      </c>
      <c r="Y63" s="128">
        <f t="shared" si="67"/>
        <v>24376875218</v>
      </c>
      <c r="Z63" s="122">
        <f t="shared" si="67"/>
        <v>360373582</v>
      </c>
      <c r="AA63" s="129">
        <f t="shared" si="67"/>
        <v>24737248800</v>
      </c>
      <c r="AB63" s="128">
        <f t="shared" si="67"/>
        <v>15187965809</v>
      </c>
      <c r="AC63" s="122">
        <f t="shared" si="67"/>
        <v>1900214212</v>
      </c>
      <c r="AD63" s="129">
        <f t="shared" si="67"/>
        <v>17088180021</v>
      </c>
      <c r="AE63" s="128">
        <f t="shared" si="67"/>
        <v>9072084075</v>
      </c>
      <c r="AF63" s="122">
        <f t="shared" si="67"/>
        <v>1912720475</v>
      </c>
      <c r="AG63" s="129">
        <f t="shared" si="67"/>
        <v>10984804550</v>
      </c>
      <c r="AH63" s="128">
        <f t="shared" si="67"/>
        <v>3889643195</v>
      </c>
      <c r="AI63" s="122">
        <f t="shared" si="67"/>
        <v>11538711974</v>
      </c>
      <c r="AJ63" s="130">
        <f t="shared" si="67"/>
        <v>17642087445</v>
      </c>
      <c r="AK63" s="9"/>
      <c r="AL63" s="128">
        <f>AL65+AL83+AL90+AL104</f>
        <v>-2433838915</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+IF(JUNIO!A64=0,"",JUNIO!A64)</f>
        <v>1130113-1</v>
      </c>
      <c r="B64" s="629" t="str">
        <f>+CONCATENATE("Vigencia ",INSTRUCCIONES!$F$3)</f>
        <v>Vigencia 2019</v>
      </c>
      <c r="C64" s="655">
        <f>+ENERO!C64</f>
        <v>8371510292</v>
      </c>
      <c r="D64" s="363">
        <f>JUNIO!D64+JULIO!P64</f>
        <v>0</v>
      </c>
      <c r="E64" s="363">
        <f>JUNIO!E64+JULIO!Q64</f>
        <v>0</v>
      </c>
      <c r="F64" s="363">
        <f>SUM(C64:E64)</f>
        <v>8371510292</v>
      </c>
      <c r="G64" s="363">
        <f>JUNIO!I64</f>
        <v>2856614454</v>
      </c>
      <c r="H64" s="364">
        <v>345555820</v>
      </c>
      <c r="I64" s="363">
        <f>SUM(G64:H64)</f>
        <v>3202170274</v>
      </c>
      <c r="J64" s="363">
        <f>JUNIO!L64</f>
        <v>1214650075.0699999</v>
      </c>
      <c r="K64" s="364">
        <v>281232224</v>
      </c>
      <c r="L64" s="363">
        <f>SUM(J64:K64)</f>
        <v>1495882299.0699999</v>
      </c>
      <c r="M64" s="363">
        <f>F64-I64</f>
        <v>5169340018</v>
      </c>
      <c r="N64" s="143">
        <f>F64-L64</f>
        <v>6875627992.9300003</v>
      </c>
      <c r="O64" s="372"/>
      <c r="P64" s="362">
        <v>0</v>
      </c>
      <c r="Q64" s="365">
        <v>0</v>
      </c>
      <c r="R64" s="9"/>
      <c r="S64" s="356" t="str">
        <f>+IF(JUNIO!S64=0,"",JUNIO!S64)</f>
        <v/>
      </c>
      <c r="T64" s="678" t="str">
        <f>+IF(JUNIO!T64=0,"",JUNIO!T64)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+IF(JUNIO!A65=0,"",JUNIO!A65)</f>
        <v>1130113-2</v>
      </c>
      <c r="B65" s="629" t="str">
        <f>+IF(JUNIO!B65=0,"",JUNIO!B65)</f>
        <v>Vigencia Anterior</v>
      </c>
      <c r="C65" s="655">
        <f>+ENERO!C65</f>
        <v>0</v>
      </c>
      <c r="D65" s="363">
        <f>JUNIO!D65+JULIO!P65</f>
        <v>0</v>
      </c>
      <c r="E65" s="363">
        <f>JUNIO!E65+JULIO!Q65</f>
        <v>1847255167</v>
      </c>
      <c r="F65" s="363">
        <f>SUM(C65:E65)</f>
        <v>1847255167</v>
      </c>
      <c r="G65" s="363">
        <f>JUNIO!I65</f>
        <v>1847255167</v>
      </c>
      <c r="H65" s="364">
        <v>24927736</v>
      </c>
      <c r="I65" s="363">
        <f>SUM(G65:H65)</f>
        <v>1872182903</v>
      </c>
      <c r="J65" s="363">
        <f>JUNIO!L65</f>
        <v>1847255167</v>
      </c>
      <c r="K65" s="364">
        <v>24927736</v>
      </c>
      <c r="L65" s="363">
        <f>SUM(J65:K65)</f>
        <v>1872182903</v>
      </c>
      <c r="M65" s="363">
        <f>F65-I65</f>
        <v>-24927736</v>
      </c>
      <c r="N65" s="143">
        <f>F65-L65</f>
        <v>-24927736</v>
      </c>
      <c r="O65" s="372"/>
      <c r="P65" s="362">
        <v>0</v>
      </c>
      <c r="Q65" s="365">
        <v>27364041</v>
      </c>
      <c r="R65" s="9"/>
      <c r="S65" s="687">
        <f>+IF(JUNIO!S65=0,"",JUNIO!S65)</f>
        <v>1020100</v>
      </c>
      <c r="T65" s="663" t="str">
        <f>+IF(JUNIO!T65=0,"",JUNIO!T65)</f>
        <v>Servicios Personales Asociados a Nómina</v>
      </c>
      <c r="U65" s="132">
        <f t="shared" ref="U65:AJ65" si="68">SUM(U66:U69)+U81</f>
        <v>5283965861</v>
      </c>
      <c r="V65" s="122">
        <f t="shared" si="68"/>
        <v>-1744000000</v>
      </c>
      <c r="W65" s="122">
        <f t="shared" si="68"/>
        <v>0</v>
      </c>
      <c r="X65" s="129">
        <f t="shared" si="68"/>
        <v>3539965861</v>
      </c>
      <c r="Y65" s="128">
        <f t="shared" si="68"/>
        <v>1230610501</v>
      </c>
      <c r="Z65" s="122">
        <f t="shared" si="68"/>
        <v>234046958</v>
      </c>
      <c r="AA65" s="129">
        <f t="shared" si="68"/>
        <v>1464657459</v>
      </c>
      <c r="AB65" s="128">
        <f t="shared" si="68"/>
        <v>1230610501</v>
      </c>
      <c r="AC65" s="122">
        <f t="shared" si="68"/>
        <v>234046958</v>
      </c>
      <c r="AD65" s="129">
        <f t="shared" si="68"/>
        <v>1464657459</v>
      </c>
      <c r="AE65" s="128">
        <f t="shared" si="68"/>
        <v>1227296781</v>
      </c>
      <c r="AF65" s="122">
        <f t="shared" si="68"/>
        <v>236425274</v>
      </c>
      <c r="AG65" s="129">
        <f t="shared" si="68"/>
        <v>1463722055</v>
      </c>
      <c r="AH65" s="128">
        <f t="shared" si="68"/>
        <v>2075308402</v>
      </c>
      <c r="AI65" s="122">
        <f t="shared" si="68"/>
        <v>2075308402</v>
      </c>
      <c r="AJ65" s="130">
        <f t="shared" si="68"/>
        <v>2076243806</v>
      </c>
      <c r="AK65" s="9"/>
      <c r="AL65" s="128">
        <f>SUM(AL66:AL69)+AL81</f>
        <v>-660000000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+IF(JUNIO!A66=0,"",JUNIO!A66)</f>
        <v>1130114</v>
      </c>
      <c r="B66" s="628" t="str">
        <f>+IF(JUNIO!B66=0,"",JUNIO!B66)</f>
        <v xml:space="preserve">COMPAÑIAS DE SEGUROS  - PLANES DE SALUD  </v>
      </c>
      <c r="C66" s="43">
        <f t="shared" ref="C66:N66" si="69">SUM(C67:C68)</f>
        <v>11965775</v>
      </c>
      <c r="D66" s="44">
        <f t="shared" si="69"/>
        <v>0</v>
      </c>
      <c r="E66" s="44">
        <f t="shared" si="69"/>
        <v>0</v>
      </c>
      <c r="F66" s="44">
        <f t="shared" si="69"/>
        <v>11965775</v>
      </c>
      <c r="G66" s="44">
        <f t="shared" si="69"/>
        <v>32206761</v>
      </c>
      <c r="H66" s="44">
        <f t="shared" si="69"/>
        <v>9752674</v>
      </c>
      <c r="I66" s="44">
        <f t="shared" si="69"/>
        <v>41959435</v>
      </c>
      <c r="J66" s="44">
        <f t="shared" si="69"/>
        <v>0</v>
      </c>
      <c r="K66" s="44">
        <f t="shared" si="69"/>
        <v>0</v>
      </c>
      <c r="L66" s="44">
        <f t="shared" si="69"/>
        <v>0</v>
      </c>
      <c r="M66" s="44">
        <f t="shared" si="69"/>
        <v>-29993660</v>
      </c>
      <c r="N66" s="45">
        <f t="shared" si="69"/>
        <v>11965775</v>
      </c>
      <c r="P66" s="43">
        <f>SUM(P67:P68)</f>
        <v>0</v>
      </c>
      <c r="Q66" s="45">
        <f>SUM(Q67:Q68)</f>
        <v>0</v>
      </c>
      <c r="R66" s="9"/>
      <c r="S66" s="688">
        <f>+IF(JUNIO!S66=0,"",JUNIO!S66)</f>
        <v>1020101</v>
      </c>
      <c r="T66" s="664" t="str">
        <f>+IF(JUNIO!T66=0,"",JUNIO!T66)</f>
        <v>Sueldos del Personal de nómina</v>
      </c>
      <c r="U66" s="27">
        <f>+ENERO!U66</f>
        <v>3773107838</v>
      </c>
      <c r="V66" s="15">
        <f>JUNIO!V66+JULIO!AL66</f>
        <v>-1444000000</v>
      </c>
      <c r="W66" s="15">
        <f>JUNIO!W66+JULIO!AM66</f>
        <v>0</v>
      </c>
      <c r="X66" s="18">
        <f>SUM(U66:W66)</f>
        <v>2329107838</v>
      </c>
      <c r="Y66" s="19">
        <f>JUNIO!AA66</f>
        <v>1011510156</v>
      </c>
      <c r="Z66" s="364">
        <v>183490006</v>
      </c>
      <c r="AA66" s="18">
        <f>SUM(Y66:Z66)</f>
        <v>1195000162</v>
      </c>
      <c r="AB66" s="19">
        <f>JUNIO!AD66</f>
        <v>1011510156</v>
      </c>
      <c r="AC66" s="364">
        <v>183490006</v>
      </c>
      <c r="AD66" s="18">
        <f>SUM(AB66:AC66)</f>
        <v>1195000162</v>
      </c>
      <c r="AE66" s="19">
        <f>JUNIO!AG66</f>
        <v>1011291646</v>
      </c>
      <c r="AF66" s="364">
        <v>183506526</v>
      </c>
      <c r="AG66" s="18">
        <f>SUM(AE66:AF66)</f>
        <v>1194798172</v>
      </c>
      <c r="AH66" s="19">
        <f>X66-AA66</f>
        <v>1134107676</v>
      </c>
      <c r="AI66" s="15">
        <f>X66-AD66</f>
        <v>1134107676</v>
      </c>
      <c r="AJ66" s="16">
        <f>X66-AG66</f>
        <v>1134309666</v>
      </c>
      <c r="AK66" s="9"/>
      <c r="AL66" s="362">
        <f>-320000000-40000000</f>
        <v>-360000000</v>
      </c>
      <c r="AM66" s="365">
        <v>0</v>
      </c>
      <c r="AN66" s="9"/>
      <c r="AO66" s="284"/>
      <c r="AP66" s="284"/>
      <c r="AQ66" s="284"/>
      <c r="AR66" s="284"/>
      <c r="AS66" s="284"/>
      <c r="AT66" s="284"/>
      <c r="AU66" s="284"/>
      <c r="AV66" s="284"/>
      <c r="AW66" s="284"/>
      <c r="AX66" s="284"/>
      <c r="AY66" s="284"/>
      <c r="AZ66" s="284"/>
    </row>
    <row r="67" spans="1:70" s="412" customFormat="1" ht="24.95" customHeight="1">
      <c r="A67" s="593" t="str">
        <f>+IF(JUNIO!A67=0,"",JUNIO!A67)</f>
        <v>1130114-1</v>
      </c>
      <c r="B67" s="629" t="str">
        <f>+CONCATENATE("Vigencia ",INSTRUCCIONES!$F$3)</f>
        <v>Vigencia 2019</v>
      </c>
      <c r="C67" s="655">
        <f>+ENERO!C67</f>
        <v>11965775</v>
      </c>
      <c r="D67" s="363">
        <f>JUNIO!D67+JULIO!P67</f>
        <v>0</v>
      </c>
      <c r="E67" s="363">
        <f>JUNIO!E67+JULIO!Q67</f>
        <v>0</v>
      </c>
      <c r="F67" s="363">
        <f>SUM(C67:E67)</f>
        <v>11965775</v>
      </c>
      <c r="G67" s="363">
        <f>JUNIO!I67</f>
        <v>32206761</v>
      </c>
      <c r="H67" s="364">
        <v>9752674</v>
      </c>
      <c r="I67" s="363">
        <f>SUM(G67:H67)</f>
        <v>41959435</v>
      </c>
      <c r="J67" s="363">
        <f>JUNIO!L67</f>
        <v>0</v>
      </c>
      <c r="K67" s="364">
        <v>0</v>
      </c>
      <c r="L67" s="363">
        <f>SUM(J67:K67)</f>
        <v>0</v>
      </c>
      <c r="M67" s="363">
        <f>F67-I67</f>
        <v>-29993660</v>
      </c>
      <c r="N67" s="143">
        <f>F67-L67</f>
        <v>11965775</v>
      </c>
      <c r="O67" s="372"/>
      <c r="P67" s="362">
        <v>0</v>
      </c>
      <c r="Q67" s="365">
        <v>0</v>
      </c>
      <c r="R67" s="9"/>
      <c r="S67" s="688">
        <f>+IF(JUNIO!S67=0,"",JUNIO!S67)</f>
        <v>1020102</v>
      </c>
      <c r="T67" s="664" t="str">
        <f>+IF(JUNIO!T67=0,"",JUNIO!T67)</f>
        <v>Horas Extras,Dominic.,Festivos y Rec. Nocturnos</v>
      </c>
      <c r="U67" s="27">
        <f>+ENERO!U67</f>
        <v>329885360</v>
      </c>
      <c r="V67" s="15">
        <f>JUNIO!V67+JULIO!AL67</f>
        <v>0</v>
      </c>
      <c r="W67" s="15">
        <f>JUNIO!W67+JULIO!AM67</f>
        <v>0</v>
      </c>
      <c r="X67" s="18">
        <f>SUM(U67:W67)</f>
        <v>329885360</v>
      </c>
      <c r="Y67" s="19">
        <f>JUNIO!AA67</f>
        <v>53407085</v>
      </c>
      <c r="Z67" s="364">
        <v>12808406</v>
      </c>
      <c r="AA67" s="18">
        <f>SUM(Y67:Z67)</f>
        <v>66215491</v>
      </c>
      <c r="AB67" s="19">
        <f>JUNIO!AD67</f>
        <v>53407085</v>
      </c>
      <c r="AC67" s="364">
        <v>12808406</v>
      </c>
      <c r="AD67" s="18">
        <f>SUM(AB67:AC67)</f>
        <v>66215491</v>
      </c>
      <c r="AE67" s="19">
        <f>JUNIO!AG67</f>
        <v>53407085</v>
      </c>
      <c r="AF67" s="364">
        <v>12710707</v>
      </c>
      <c r="AG67" s="18">
        <f>SUM(AE67:AF67)</f>
        <v>66117792</v>
      </c>
      <c r="AH67" s="19">
        <f>X67-AA67</f>
        <v>263669869</v>
      </c>
      <c r="AI67" s="15">
        <f>X67-AD67</f>
        <v>263669869</v>
      </c>
      <c r="AJ67" s="16">
        <f>X67-AG67</f>
        <v>263767568</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+IF(JUNIO!A68=0,"",JUNIO!A68)</f>
        <v>1130114-2</v>
      </c>
      <c r="B68" s="629" t="str">
        <f>+IF(JUNIO!B68=0,"",JUNIO!B68)</f>
        <v>Vigencia Anterior</v>
      </c>
      <c r="C68" s="655">
        <f>+ENERO!C68</f>
        <v>0</v>
      </c>
      <c r="D68" s="363">
        <f>JUNIO!D68+JULIO!P68</f>
        <v>0</v>
      </c>
      <c r="E68" s="363">
        <f>JUNIO!E68+JULIO!Q68</f>
        <v>0</v>
      </c>
      <c r="F68" s="363">
        <f>SUM(C68:E68)</f>
        <v>0</v>
      </c>
      <c r="G68" s="363">
        <f>JUNIO!I68</f>
        <v>0</v>
      </c>
      <c r="H68" s="364">
        <v>0</v>
      </c>
      <c r="I68" s="363">
        <f>SUM(G68:H68)</f>
        <v>0</v>
      </c>
      <c r="J68" s="363">
        <f>JUNIO!L68</f>
        <v>0</v>
      </c>
      <c r="K68" s="364">
        <v>0</v>
      </c>
      <c r="L68" s="363">
        <f>SUM(J68:K68)</f>
        <v>0</v>
      </c>
      <c r="M68" s="363">
        <f>F68-I68</f>
        <v>0</v>
      </c>
      <c r="N68" s="143">
        <f>F68-L68</f>
        <v>0</v>
      </c>
      <c r="O68" s="372"/>
      <c r="P68" s="362">
        <v>0</v>
      </c>
      <c r="Q68" s="365">
        <v>0</v>
      </c>
      <c r="R68" s="9"/>
      <c r="S68" s="688">
        <f>+IF(JUNIO!S68=0,"",JUNIO!S68)</f>
        <v>1020103</v>
      </c>
      <c r="T68" s="664" t="str">
        <f>+IF(JUNIO!T68=0,"",JUNIO!T68)</f>
        <v>Prima Técnica</v>
      </c>
      <c r="U68" s="27">
        <f>+ENERO!U68</f>
        <v>0</v>
      </c>
      <c r="V68" s="15">
        <f>JUNIO!V68+JULIO!AL68</f>
        <v>0</v>
      </c>
      <c r="W68" s="15">
        <f>JUNIO!W68+JULIO!AM68</f>
        <v>0</v>
      </c>
      <c r="X68" s="18">
        <f>SUM(U68:W68)</f>
        <v>0</v>
      </c>
      <c r="Y68" s="19">
        <f>JUNIO!AA68</f>
        <v>0</v>
      </c>
      <c r="Z68" s="364">
        <v>0</v>
      </c>
      <c r="AA68" s="18">
        <f>SUM(Y68:Z68)</f>
        <v>0</v>
      </c>
      <c r="AB68" s="19">
        <f>JUNIO!AD68</f>
        <v>0</v>
      </c>
      <c r="AC68" s="364">
        <v>0</v>
      </c>
      <c r="AD68" s="18">
        <f>SUM(AB68:AC68)</f>
        <v>0</v>
      </c>
      <c r="AE68" s="19">
        <f>JUNIO!AG68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+IF(JUNIO!A69=0,"",JUNIO!A69)</f>
        <v>1130115</v>
      </c>
      <c r="B69" s="628" t="str">
        <f>+IF(JUNIO!B69=0,"",JUNIO!B69)</f>
        <v>ENTIDADES DE REGIMEN ESPECIAL (Magisterio, Fuerza Pca.)</v>
      </c>
      <c r="C69" s="43">
        <f t="shared" ref="C69:N69" si="70">SUM(C70:C71)</f>
        <v>8401952</v>
      </c>
      <c r="D69" s="44">
        <f t="shared" si="70"/>
        <v>0</v>
      </c>
      <c r="E69" s="44">
        <f t="shared" si="70"/>
        <v>132615905</v>
      </c>
      <c r="F69" s="44">
        <f t="shared" si="70"/>
        <v>141017857</v>
      </c>
      <c r="G69" s="44">
        <f t="shared" si="70"/>
        <v>164351678</v>
      </c>
      <c r="H69" s="44">
        <f t="shared" si="70"/>
        <v>13502323</v>
      </c>
      <c r="I69" s="44">
        <f t="shared" si="70"/>
        <v>177854001</v>
      </c>
      <c r="J69" s="44">
        <f t="shared" si="70"/>
        <v>141017857</v>
      </c>
      <c r="K69" s="44">
        <f t="shared" si="70"/>
        <v>36836144</v>
      </c>
      <c r="L69" s="44">
        <f t="shared" si="70"/>
        <v>177854001</v>
      </c>
      <c r="M69" s="44">
        <f t="shared" si="70"/>
        <v>-36836144</v>
      </c>
      <c r="N69" s="45">
        <f t="shared" si="70"/>
        <v>-36836144</v>
      </c>
      <c r="P69" s="43">
        <f>SUM(P70:P71)</f>
        <v>0</v>
      </c>
      <c r="Q69" s="45">
        <f>SUM(Q70:Q71)</f>
        <v>10046737</v>
      </c>
      <c r="R69" s="9"/>
      <c r="S69" s="688">
        <f>+IF(JUNIO!S69=0,"",JUNIO!S69)</f>
        <v>1020104</v>
      </c>
      <c r="T69" s="664" t="str">
        <f>+IF(JUNIO!T69=0,"",JUNIO!T69)</f>
        <v>Otros</v>
      </c>
      <c r="U69" s="27">
        <f t="shared" ref="U69:AJ69" si="71">SUM(U70:U80)</f>
        <v>1180972663</v>
      </c>
      <c r="V69" s="15">
        <f t="shared" si="71"/>
        <v>-300000000</v>
      </c>
      <c r="W69" s="15">
        <f t="shared" si="71"/>
        <v>0</v>
      </c>
      <c r="X69" s="18">
        <f t="shared" si="71"/>
        <v>880972663</v>
      </c>
      <c r="Y69" s="19">
        <f t="shared" si="71"/>
        <v>165693260</v>
      </c>
      <c r="Z69" s="142">
        <f t="shared" si="71"/>
        <v>37748546</v>
      </c>
      <c r="AA69" s="18">
        <f t="shared" si="71"/>
        <v>203441806</v>
      </c>
      <c r="AB69" s="19">
        <f t="shared" si="71"/>
        <v>165693260</v>
      </c>
      <c r="AC69" s="142">
        <f t="shared" si="71"/>
        <v>37748546</v>
      </c>
      <c r="AD69" s="18">
        <f t="shared" si="71"/>
        <v>203441806</v>
      </c>
      <c r="AE69" s="19">
        <f t="shared" si="71"/>
        <v>162598050</v>
      </c>
      <c r="AF69" s="142">
        <f t="shared" si="71"/>
        <v>40208041</v>
      </c>
      <c r="AG69" s="18">
        <f t="shared" si="71"/>
        <v>202806091</v>
      </c>
      <c r="AH69" s="19">
        <f t="shared" si="71"/>
        <v>677530857</v>
      </c>
      <c r="AI69" s="15">
        <f t="shared" si="71"/>
        <v>677530857</v>
      </c>
      <c r="AJ69" s="16">
        <f t="shared" si="71"/>
        <v>678166572</v>
      </c>
      <c r="AK69" s="9"/>
      <c r="AL69" s="29">
        <f>SUM(AL70:AL80)</f>
        <v>-300000000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+IF(JUNIO!A70=0,"",JUNIO!A70)</f>
        <v>1130115-1</v>
      </c>
      <c r="B70" s="629" t="str">
        <f>+CONCATENATE("Vigencia ",INSTRUCCIONES!$F$3)</f>
        <v>Vigencia 2019</v>
      </c>
      <c r="C70" s="655">
        <f>+ENERO!C70</f>
        <v>8401952</v>
      </c>
      <c r="D70" s="363">
        <f>JUNIO!D70+JULIO!P70</f>
        <v>0</v>
      </c>
      <c r="E70" s="363">
        <f>JUNIO!E70+JULIO!Q70</f>
        <v>9873550</v>
      </c>
      <c r="F70" s="363">
        <f>SUM(C70:E70)</f>
        <v>18275502</v>
      </c>
      <c r="G70" s="363">
        <f>JUNIO!I70</f>
        <v>41609323</v>
      </c>
      <c r="H70" s="364">
        <v>13502323</v>
      </c>
      <c r="I70" s="363">
        <f>SUM(G70:H70)</f>
        <v>55111646</v>
      </c>
      <c r="J70" s="363">
        <f>JUNIO!L70</f>
        <v>18275502</v>
      </c>
      <c r="K70" s="364">
        <v>36836144</v>
      </c>
      <c r="L70" s="363">
        <f>SUM(J70:K70)</f>
        <v>55111646</v>
      </c>
      <c r="M70" s="363">
        <f>F70-I70</f>
        <v>-36836144</v>
      </c>
      <c r="N70" s="143">
        <f>F70-L70</f>
        <v>-36836144</v>
      </c>
      <c r="O70" s="372"/>
      <c r="P70" s="362">
        <v>0</v>
      </c>
      <c r="Q70" s="365">
        <v>9182641</v>
      </c>
      <c r="R70" s="9"/>
      <c r="S70" s="689" t="str">
        <f>+IF(JUNIO!S70=0,"",JUNIO!S70)</f>
        <v>1020104-1</v>
      </c>
      <c r="T70" s="665" t="str">
        <f>+IF(JUNIO!T70=0,"",JUNIO!T70)</f>
        <v xml:space="preserve">Prima de Navidad </v>
      </c>
      <c r="U70" s="27">
        <f>+ENERO!U70</f>
        <v>352482456</v>
      </c>
      <c r="V70" s="15">
        <f>JUNIO!V70+JULIO!AL70</f>
        <v>0</v>
      </c>
      <c r="W70" s="15">
        <f>JUNIO!W70+JULIO!AM70</f>
        <v>0</v>
      </c>
      <c r="X70" s="18">
        <f t="shared" ref="X70:X81" si="72">SUM(U70:W70)</f>
        <v>352482456</v>
      </c>
      <c r="Y70" s="19">
        <f>JUNIO!AA70</f>
        <v>2580433</v>
      </c>
      <c r="Z70" s="364">
        <v>3484858</v>
      </c>
      <c r="AA70" s="18">
        <f t="shared" ref="AA70:AA81" si="73">SUM(Y70:Z70)</f>
        <v>6065291</v>
      </c>
      <c r="AB70" s="19">
        <f>JUNIO!AD70</f>
        <v>2580433</v>
      </c>
      <c r="AC70" s="364">
        <v>3484858</v>
      </c>
      <c r="AD70" s="18">
        <f t="shared" ref="AD70:AD81" si="74">SUM(AB70:AC70)</f>
        <v>6065291</v>
      </c>
      <c r="AE70" s="19">
        <f>JUNIO!AG70</f>
        <v>1586917</v>
      </c>
      <c r="AF70" s="364">
        <v>4071581</v>
      </c>
      <c r="AG70" s="18">
        <f t="shared" ref="AG70:AG81" si="75">SUM(AE70:AF70)</f>
        <v>5658498</v>
      </c>
      <c r="AH70" s="19">
        <f t="shared" ref="AH70:AH81" si="76">X70-AA70</f>
        <v>346417165</v>
      </c>
      <c r="AI70" s="15">
        <f t="shared" ref="AI70:AI81" si="77">X70-AD70</f>
        <v>346417165</v>
      </c>
      <c r="AJ70" s="16">
        <f t="shared" ref="AJ70:AJ81" si="78">X70-AG70</f>
        <v>346823958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+IF(JUNIO!A71=0,"",JUNIO!A71)</f>
        <v>1130115-2</v>
      </c>
      <c r="B71" s="629" t="str">
        <f>+IF(JUNIO!B71=0,"",JUNIO!B71)</f>
        <v>Vigencia Anterior</v>
      </c>
      <c r="C71" s="655">
        <f>+ENERO!C71</f>
        <v>0</v>
      </c>
      <c r="D71" s="363">
        <f>JUNIO!D71+JULIO!P71</f>
        <v>0</v>
      </c>
      <c r="E71" s="363">
        <f>JUNIO!E71+JULIO!Q71</f>
        <v>122742355</v>
      </c>
      <c r="F71" s="363">
        <f>SUM(C71:E71)</f>
        <v>122742355</v>
      </c>
      <c r="G71" s="363">
        <f>JUNIO!I71</f>
        <v>122742355</v>
      </c>
      <c r="H71" s="364">
        <v>0</v>
      </c>
      <c r="I71" s="363">
        <f>SUM(G71:H71)</f>
        <v>122742355</v>
      </c>
      <c r="J71" s="363">
        <f>JUNIO!L71</f>
        <v>122742355</v>
      </c>
      <c r="K71" s="364">
        <v>0</v>
      </c>
      <c r="L71" s="363">
        <f>SUM(J71:K71)</f>
        <v>122742355</v>
      </c>
      <c r="M71" s="363">
        <f>F71-I71</f>
        <v>0</v>
      </c>
      <c r="N71" s="143">
        <f>F71-L71</f>
        <v>0</v>
      </c>
      <c r="O71" s="372"/>
      <c r="P71" s="362">
        <v>0</v>
      </c>
      <c r="Q71" s="365">
        <v>864096</v>
      </c>
      <c r="R71" s="9"/>
      <c r="S71" s="689" t="str">
        <f>+IF(JUNIO!S71=0,"",JUNIO!S71)</f>
        <v>1020104-2</v>
      </c>
      <c r="T71" s="665" t="str">
        <f>+IF(JUNIO!T71=0,"",JUNIO!T71)</f>
        <v>Prima de Vacaciones</v>
      </c>
      <c r="U71" s="27">
        <f>+ENERO!U71</f>
        <v>180248873</v>
      </c>
      <c r="V71" s="15">
        <f>JUNIO!V71+JULIO!AL71</f>
        <v>0</v>
      </c>
      <c r="W71" s="15">
        <f>JUNIO!W71+JULIO!AM71</f>
        <v>0</v>
      </c>
      <c r="X71" s="18">
        <f t="shared" si="72"/>
        <v>180248873</v>
      </c>
      <c r="Y71" s="19">
        <f>JUNIO!AA71</f>
        <v>36722811</v>
      </c>
      <c r="Z71" s="364">
        <v>18901269</v>
      </c>
      <c r="AA71" s="18">
        <f t="shared" si="73"/>
        <v>55624080</v>
      </c>
      <c r="AB71" s="19">
        <f>JUNIO!AD71</f>
        <v>36722811</v>
      </c>
      <c r="AC71" s="364">
        <v>18901269</v>
      </c>
      <c r="AD71" s="18">
        <f t="shared" si="74"/>
        <v>55624080</v>
      </c>
      <c r="AE71" s="19">
        <f>JUNIO!AG71</f>
        <v>36504301</v>
      </c>
      <c r="AF71" s="364">
        <v>18917789</v>
      </c>
      <c r="AG71" s="18">
        <f t="shared" si="75"/>
        <v>55422090</v>
      </c>
      <c r="AH71" s="19">
        <f t="shared" si="76"/>
        <v>124624793</v>
      </c>
      <c r="AI71" s="15">
        <f t="shared" si="77"/>
        <v>124624793</v>
      </c>
      <c r="AJ71" s="16">
        <f t="shared" si="78"/>
        <v>124826783</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+IF(JUNIO!A72=0,"",JUNIO!A72)</f>
        <v>1130116</v>
      </c>
      <c r="B72" s="628" t="str">
        <f>+IF(JUNIO!B72=0,"",JUNIO!B72)</f>
        <v>ADMINISTRADORAS DE RIESGOS LABORALES</v>
      </c>
      <c r="C72" s="43">
        <f t="shared" ref="C72:N72" si="79">SUM(C73:C74)</f>
        <v>2163183</v>
      </c>
      <c r="D72" s="44">
        <f t="shared" si="79"/>
        <v>0</v>
      </c>
      <c r="E72" s="44">
        <f t="shared" si="79"/>
        <v>21811961</v>
      </c>
      <c r="F72" s="44">
        <f t="shared" si="79"/>
        <v>23975144</v>
      </c>
      <c r="G72" s="44">
        <f t="shared" si="79"/>
        <v>36552757</v>
      </c>
      <c r="H72" s="44">
        <f t="shared" si="79"/>
        <v>2774820</v>
      </c>
      <c r="I72" s="44">
        <f t="shared" si="79"/>
        <v>39327577</v>
      </c>
      <c r="J72" s="44">
        <f t="shared" si="79"/>
        <v>23975143.690000001</v>
      </c>
      <c r="K72" s="44">
        <f t="shared" si="79"/>
        <v>1513223</v>
      </c>
      <c r="L72" s="44">
        <f t="shared" si="79"/>
        <v>25488366.690000001</v>
      </c>
      <c r="M72" s="44">
        <f t="shared" si="79"/>
        <v>-15352433</v>
      </c>
      <c r="N72" s="45">
        <f t="shared" si="79"/>
        <v>-1513222.6900000013</v>
      </c>
      <c r="P72" s="43">
        <f>SUM(P73:P74)</f>
        <v>0</v>
      </c>
      <c r="Q72" s="45">
        <f>SUM(Q73:Q74)</f>
        <v>21811961</v>
      </c>
      <c r="R72" s="9"/>
      <c r="S72" s="689" t="str">
        <f>+IF(JUNIO!S72=0,"",JUNIO!S72)</f>
        <v>1020104-3</v>
      </c>
      <c r="T72" s="665" t="str">
        <f>+IF(JUNIO!T72=0,"",JUNIO!T72)</f>
        <v>Bonificación  por servicios prestados</v>
      </c>
      <c r="U72" s="27">
        <f>+ENERO!U72</f>
        <v>110048955</v>
      </c>
      <c r="V72" s="15">
        <f>JUNIO!V72+JULIO!AL72</f>
        <v>0</v>
      </c>
      <c r="W72" s="15">
        <f>JUNIO!W72+JULIO!AM72</f>
        <v>0</v>
      </c>
      <c r="X72" s="18">
        <f t="shared" si="72"/>
        <v>110048955</v>
      </c>
      <c r="Y72" s="19">
        <f>JUNIO!AA72</f>
        <v>35705593</v>
      </c>
      <c r="Z72" s="364">
        <v>11964709</v>
      </c>
      <c r="AA72" s="18">
        <f t="shared" si="73"/>
        <v>47670302</v>
      </c>
      <c r="AB72" s="19">
        <f>JUNIO!AD72</f>
        <v>35705593</v>
      </c>
      <c r="AC72" s="364">
        <v>11964709</v>
      </c>
      <c r="AD72" s="18">
        <f t="shared" si="74"/>
        <v>47670302</v>
      </c>
      <c r="AE72" s="19">
        <f>JUNIO!AG72</f>
        <v>35298808</v>
      </c>
      <c r="AF72" s="364">
        <v>12371494</v>
      </c>
      <c r="AG72" s="18">
        <f t="shared" si="75"/>
        <v>47670302</v>
      </c>
      <c r="AH72" s="19">
        <f t="shared" si="76"/>
        <v>62378653</v>
      </c>
      <c r="AI72" s="15">
        <f t="shared" si="77"/>
        <v>62378653</v>
      </c>
      <c r="AJ72" s="16">
        <f t="shared" si="78"/>
        <v>62378653</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+IF(JUNIO!A73=0,"",JUNIO!A73)</f>
        <v>1130116-1</v>
      </c>
      <c r="B73" s="629" t="str">
        <f>+CONCATENATE("Vigencia ",INSTRUCCIONES!$F$3)</f>
        <v>Vigencia 2019</v>
      </c>
      <c r="C73" s="655">
        <f>+ENERO!C73</f>
        <v>2163183</v>
      </c>
      <c r="D73" s="363">
        <f>JUNIO!D73+JULIO!P73</f>
        <v>0</v>
      </c>
      <c r="E73" s="363">
        <f>JUNIO!E73+JULIO!Q73</f>
        <v>11226215</v>
      </c>
      <c r="F73" s="363">
        <f>SUM(C73:E73)</f>
        <v>13389398</v>
      </c>
      <c r="G73" s="363">
        <f>JUNIO!I73</f>
        <v>25967011</v>
      </c>
      <c r="H73" s="364">
        <v>1916565</v>
      </c>
      <c r="I73" s="363">
        <f>SUM(G73:H73)</f>
        <v>27883576</v>
      </c>
      <c r="J73" s="363">
        <f>JUNIO!L73</f>
        <v>13389398</v>
      </c>
      <c r="K73" s="364">
        <v>654968</v>
      </c>
      <c r="L73" s="363">
        <f>SUM(J73:K73)</f>
        <v>14044366</v>
      </c>
      <c r="M73" s="363">
        <f>F73-I73</f>
        <v>-14494178</v>
      </c>
      <c r="N73" s="143">
        <f>F73-L73</f>
        <v>-654968</v>
      </c>
      <c r="O73" s="372"/>
      <c r="P73" s="362">
        <v>0</v>
      </c>
      <c r="Q73" s="365">
        <v>11226215</v>
      </c>
      <c r="R73" s="9"/>
      <c r="S73" s="689" t="str">
        <f>+IF(JUNIO!S73=0,"",JUNIO!S73)</f>
        <v>1020104-4</v>
      </c>
      <c r="T73" s="665" t="str">
        <f>+IF(JUNIO!T73=0,"",JUNIO!T73)</f>
        <v>Prima de Servicios</v>
      </c>
      <c r="U73" s="27">
        <f>+ENERO!U73</f>
        <v>166383593</v>
      </c>
      <c r="V73" s="15">
        <f>JUNIO!V73+JULIO!AL73</f>
        <v>0</v>
      </c>
      <c r="W73" s="15">
        <f>JUNIO!W73+JULIO!AM73</f>
        <v>0</v>
      </c>
      <c r="X73" s="18">
        <f t="shared" si="72"/>
        <v>166383593</v>
      </c>
      <c r="Y73" s="19">
        <f>JUNIO!AA73</f>
        <v>82884663</v>
      </c>
      <c r="Z73" s="364">
        <v>491163</v>
      </c>
      <c r="AA73" s="18">
        <f t="shared" si="73"/>
        <v>83375826</v>
      </c>
      <c r="AB73" s="19">
        <f>JUNIO!AD73</f>
        <v>82884663</v>
      </c>
      <c r="AC73" s="364">
        <v>491163</v>
      </c>
      <c r="AD73" s="18">
        <f t="shared" si="74"/>
        <v>83375826</v>
      </c>
      <c r="AE73" s="19">
        <f>JUNIO!AG73</f>
        <v>81437144</v>
      </c>
      <c r="AF73" s="364">
        <v>1938682</v>
      </c>
      <c r="AG73" s="18">
        <f t="shared" si="75"/>
        <v>83375826</v>
      </c>
      <c r="AH73" s="19">
        <f t="shared" si="76"/>
        <v>83007767</v>
      </c>
      <c r="AI73" s="15">
        <f t="shared" si="77"/>
        <v>83007767</v>
      </c>
      <c r="AJ73" s="16">
        <f t="shared" si="78"/>
        <v>83007767</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+IF(JUNIO!A74=0,"",JUNIO!A74)</f>
        <v>1130116-2</v>
      </c>
      <c r="B74" s="629" t="str">
        <f>+IF(JUNIO!B74=0,"",JUNIO!B74)</f>
        <v>Vigencia Anterior</v>
      </c>
      <c r="C74" s="655">
        <f>+ENERO!C74</f>
        <v>0</v>
      </c>
      <c r="D74" s="363">
        <f>JUNIO!D74+JULIO!P74</f>
        <v>0</v>
      </c>
      <c r="E74" s="363">
        <f>JUNIO!E74+JULIO!Q74</f>
        <v>10585746</v>
      </c>
      <c r="F74" s="363">
        <f>SUM(C74:E74)</f>
        <v>10585746</v>
      </c>
      <c r="G74" s="363">
        <f>JUNIO!I74</f>
        <v>10585746</v>
      </c>
      <c r="H74" s="364">
        <v>858255</v>
      </c>
      <c r="I74" s="363">
        <f>SUM(G74:H74)</f>
        <v>11444001</v>
      </c>
      <c r="J74" s="363">
        <f>JUNIO!L74</f>
        <v>10585745.690000001</v>
      </c>
      <c r="K74" s="364">
        <v>858255</v>
      </c>
      <c r="L74" s="363">
        <f>SUM(J74:K74)</f>
        <v>11444000.690000001</v>
      </c>
      <c r="M74" s="363">
        <f>F74-I74</f>
        <v>-858255</v>
      </c>
      <c r="N74" s="143">
        <f>F74-L74</f>
        <v>-858254.69000000134</v>
      </c>
      <c r="O74" s="372"/>
      <c r="P74" s="362">
        <v>0</v>
      </c>
      <c r="Q74" s="365">
        <v>10585746</v>
      </c>
      <c r="R74" s="9"/>
      <c r="S74" s="689" t="str">
        <f>+IF(JUNIO!S74=0,"",JUNIO!S74)</f>
        <v>1020104-5</v>
      </c>
      <c r="T74" s="665" t="str">
        <f>+IF(JUNIO!T74=0,"",JUNIO!T74)</f>
        <v>Bonificación Convencional</v>
      </c>
      <c r="U74" s="27">
        <f>+ENERO!U74</f>
        <v>20961713</v>
      </c>
      <c r="V74" s="15">
        <f>JUNIO!V74+JULIO!AL74</f>
        <v>0</v>
      </c>
      <c r="W74" s="15">
        <f>JUNIO!W74+JULIO!AM74</f>
        <v>0</v>
      </c>
      <c r="X74" s="18">
        <f t="shared" si="72"/>
        <v>20961713</v>
      </c>
      <c r="Y74" s="19">
        <f>JUNIO!AA74</f>
        <v>0</v>
      </c>
      <c r="Z74" s="364">
        <v>0</v>
      </c>
      <c r="AA74" s="18">
        <f t="shared" si="73"/>
        <v>0</v>
      </c>
      <c r="AB74" s="19">
        <f>JUNIO!AD74</f>
        <v>0</v>
      </c>
      <c r="AC74" s="364">
        <v>0</v>
      </c>
      <c r="AD74" s="18">
        <f t="shared" si="74"/>
        <v>0</v>
      </c>
      <c r="AE74" s="19">
        <f>JUNIO!AG74</f>
        <v>0</v>
      </c>
      <c r="AF74" s="364">
        <v>0</v>
      </c>
      <c r="AG74" s="1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+IF(JUNIO!A75=0,"",JUNIO!A75)</f>
        <v>1130117</v>
      </c>
      <c r="B75" s="628" t="str">
        <f>+IF(JUNIO!B75=0,"",JUNIO!B75)</f>
        <v>CUOTAS DE RECUPERACION</v>
      </c>
      <c r="C75" s="43">
        <f t="shared" ref="C75:N75" si="80">SUM(C76:C77)</f>
        <v>351388967</v>
      </c>
      <c r="D75" s="44">
        <f t="shared" si="80"/>
        <v>0</v>
      </c>
      <c r="E75" s="44">
        <f t="shared" si="80"/>
        <v>290623</v>
      </c>
      <c r="F75" s="44">
        <f t="shared" si="80"/>
        <v>351679590</v>
      </c>
      <c r="G75" s="44">
        <f t="shared" si="80"/>
        <v>227921619</v>
      </c>
      <c r="H75" s="44">
        <f t="shared" si="80"/>
        <v>19960983</v>
      </c>
      <c r="I75" s="44">
        <f t="shared" si="80"/>
        <v>247882602</v>
      </c>
      <c r="J75" s="44">
        <f t="shared" si="80"/>
        <v>115970093</v>
      </c>
      <c r="K75" s="44">
        <f t="shared" si="80"/>
        <v>16970593</v>
      </c>
      <c r="L75" s="44">
        <f t="shared" si="80"/>
        <v>132940686</v>
      </c>
      <c r="M75" s="44">
        <f t="shared" si="80"/>
        <v>103796988</v>
      </c>
      <c r="N75" s="45">
        <f t="shared" si="80"/>
        <v>218738904</v>
      </c>
      <c r="P75" s="43">
        <f>SUM(P76:P77)</f>
        <v>0</v>
      </c>
      <c r="Q75" s="45">
        <f>SUM(Q76:Q77)</f>
        <v>30000</v>
      </c>
      <c r="R75" s="9"/>
      <c r="S75" s="689" t="str">
        <f>+IF(JUNIO!S75=0,"",JUNIO!S75)</f>
        <v>1020104-6</v>
      </c>
      <c r="T75" s="665" t="str">
        <f>+IF(JUNIO!T75=0,"",JUNIO!T75)</f>
        <v>Auxilio de Transporte</v>
      </c>
      <c r="U75" s="27">
        <f>+ENERO!U75</f>
        <v>329885360</v>
      </c>
      <c r="V75" s="15">
        <f>JUNIO!V75+JULIO!AL75</f>
        <v>-300000000</v>
      </c>
      <c r="W75" s="15">
        <f>JUNIO!W75+JULIO!AM75</f>
        <v>0</v>
      </c>
      <c r="X75" s="18">
        <f t="shared" si="72"/>
        <v>29885360</v>
      </c>
      <c r="Y75" s="19">
        <f>JUNIO!AA75</f>
        <v>3195587</v>
      </c>
      <c r="Z75" s="364">
        <v>491629</v>
      </c>
      <c r="AA75" s="18">
        <f t="shared" si="73"/>
        <v>3687216</v>
      </c>
      <c r="AB75" s="19">
        <f>JUNIO!AD75</f>
        <v>3195587</v>
      </c>
      <c r="AC75" s="364">
        <v>491629</v>
      </c>
      <c r="AD75" s="18">
        <f t="shared" si="74"/>
        <v>3687216</v>
      </c>
      <c r="AE75" s="19">
        <f>JUNIO!AG75</f>
        <v>3195587</v>
      </c>
      <c r="AF75" s="364">
        <v>491629</v>
      </c>
      <c r="AG75" s="18">
        <f t="shared" si="75"/>
        <v>3687216</v>
      </c>
      <c r="AH75" s="19">
        <f t="shared" si="76"/>
        <v>26198144</v>
      </c>
      <c r="AI75" s="15">
        <f t="shared" si="77"/>
        <v>26198144</v>
      </c>
      <c r="AJ75" s="16">
        <f t="shared" si="78"/>
        <v>26198144</v>
      </c>
      <c r="AK75" s="9"/>
      <c r="AL75" s="362">
        <v>-300000000</v>
      </c>
      <c r="AM75" s="365">
        <v>0</v>
      </c>
      <c r="AN75" s="9"/>
      <c r="AO75" s="284"/>
      <c r="AP75" s="284"/>
      <c r="AQ75" s="284"/>
      <c r="AR75" s="284"/>
      <c r="AS75" s="284"/>
      <c r="AT75" s="284"/>
      <c r="AU75" s="284"/>
      <c r="AV75" s="284"/>
      <c r="AW75" s="284"/>
      <c r="AX75" s="284"/>
      <c r="AY75" s="284"/>
      <c r="AZ75" s="284"/>
    </row>
    <row r="76" spans="1:70" s="412" customFormat="1" ht="24.95" customHeight="1">
      <c r="A76" s="593" t="str">
        <f>+IF(JUNIO!A76=0,"",JUNIO!A76)</f>
        <v>1130117-1</v>
      </c>
      <c r="B76" s="629" t="str">
        <f>+CONCATENATE("Vigencia ",INSTRUCCIONES!$F$3)</f>
        <v>Vigencia 2019</v>
      </c>
      <c r="C76" s="655">
        <f>+ENERO!C76</f>
        <v>351388967</v>
      </c>
      <c r="D76" s="363">
        <f>JUNIO!D76+JULIO!P76</f>
        <v>0</v>
      </c>
      <c r="E76" s="363">
        <f>JUNIO!E76+JULIO!Q76</f>
        <v>0</v>
      </c>
      <c r="F76" s="363">
        <f t="shared" ref="F76:F83" si="81">SUM(C76:E76)</f>
        <v>351388967</v>
      </c>
      <c r="G76" s="363">
        <f>JUNIO!I76</f>
        <v>227630996</v>
      </c>
      <c r="H76" s="364">
        <v>19960983</v>
      </c>
      <c r="I76" s="363">
        <f t="shared" ref="I76:I83" si="82">SUM(G76:H76)</f>
        <v>247591979</v>
      </c>
      <c r="J76" s="363">
        <f>JUNIO!L76</f>
        <v>115679470</v>
      </c>
      <c r="K76" s="364">
        <v>16970593</v>
      </c>
      <c r="L76" s="363">
        <f t="shared" ref="L76:L83" si="83">SUM(J76:K76)</f>
        <v>132650063</v>
      </c>
      <c r="M76" s="363">
        <f t="shared" ref="M76:M83" si="84">F76-I76</f>
        <v>103796988</v>
      </c>
      <c r="N76" s="143">
        <f t="shared" ref="N76:N83" si="85">F76-L76</f>
        <v>218738904</v>
      </c>
      <c r="O76" s="372"/>
      <c r="P76" s="362">
        <v>0</v>
      </c>
      <c r="Q76" s="365">
        <v>0</v>
      </c>
      <c r="R76" s="9"/>
      <c r="S76" s="689" t="str">
        <f>+IF(JUNIO!S76=0,"",JUNIO!S76)</f>
        <v>1020104-7</v>
      </c>
      <c r="T76" s="665" t="str">
        <f>+IF(JUNIO!T76=0,"",JUNIO!T76)</f>
        <v>Auxilio de Alimentación</v>
      </c>
      <c r="U76" s="27">
        <f>+ENERO!U76</f>
        <v>0</v>
      </c>
      <c r="V76" s="15">
        <f>JUNIO!V76+JULIO!AL76</f>
        <v>0</v>
      </c>
      <c r="W76" s="15">
        <f>JUNIO!W76+JULIO!AM76</f>
        <v>0</v>
      </c>
      <c r="X76" s="18">
        <f t="shared" si="72"/>
        <v>0</v>
      </c>
      <c r="Y76" s="19">
        <f>JUNIO!AA76</f>
        <v>0</v>
      </c>
      <c r="Z76" s="364">
        <v>0</v>
      </c>
      <c r="AA76" s="18">
        <f t="shared" si="73"/>
        <v>0</v>
      </c>
      <c r="AB76" s="19">
        <f>JUNIO!AD76</f>
        <v>0</v>
      </c>
      <c r="AC76" s="364">
        <v>0</v>
      </c>
      <c r="AD76" s="18">
        <f t="shared" si="74"/>
        <v>0</v>
      </c>
      <c r="AE76" s="19">
        <f>JUNIO!AG76</f>
        <v>0</v>
      </c>
      <c r="AF76" s="364">
        <v>0</v>
      </c>
      <c r="AG76" s="1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+IF(JUNIO!A77=0,"",JUNIO!A77)</f>
        <v>1130117-2</v>
      </c>
      <c r="B77" s="629" t="str">
        <f>+IF(JUNIO!B77=0,"",JUNIO!B77)</f>
        <v>Vigencia Anterior</v>
      </c>
      <c r="C77" s="655">
        <f>+ENERO!C77</f>
        <v>0</v>
      </c>
      <c r="D77" s="363">
        <f>JUNIO!D77+JULIO!P77</f>
        <v>0</v>
      </c>
      <c r="E77" s="363">
        <f>JUNIO!E77+JULIO!Q77</f>
        <v>290623</v>
      </c>
      <c r="F77" s="363">
        <f t="shared" si="81"/>
        <v>290623</v>
      </c>
      <c r="G77" s="363">
        <f>JUNIO!I77</f>
        <v>290623</v>
      </c>
      <c r="H77" s="364">
        <v>0</v>
      </c>
      <c r="I77" s="363">
        <f t="shared" si="82"/>
        <v>290623</v>
      </c>
      <c r="J77" s="363">
        <f>JUNIO!L77</f>
        <v>290623</v>
      </c>
      <c r="K77" s="364">
        <v>0</v>
      </c>
      <c r="L77" s="363">
        <f t="shared" si="83"/>
        <v>290623</v>
      </c>
      <c r="M77" s="363">
        <f t="shared" si="84"/>
        <v>0</v>
      </c>
      <c r="N77" s="143">
        <f t="shared" si="85"/>
        <v>0</v>
      </c>
      <c r="O77" s="372"/>
      <c r="P77" s="362">
        <v>0</v>
      </c>
      <c r="Q77" s="365">
        <v>30000</v>
      </c>
      <c r="R77" s="9"/>
      <c r="S77" s="689" t="str">
        <f>+IF(JUNIO!S77=0,"",JUNIO!S77)</f>
        <v>1020104-8</v>
      </c>
      <c r="T77" s="665" t="str">
        <f>+IF(JUNIO!T77=0,"",JUNIO!T77)</f>
        <v>Indemnizaciones por Vacaciones o Supresión de Cargos por Reestructuración</v>
      </c>
      <c r="U77" s="27">
        <f>+ENERO!U77</f>
        <v>0</v>
      </c>
      <c r="V77" s="15">
        <f>JUNIO!V77+JULIO!AL77</f>
        <v>0</v>
      </c>
      <c r="W77" s="15">
        <f>JUNIO!W77+JULIO!AM77</f>
        <v>0</v>
      </c>
      <c r="X77" s="18">
        <f t="shared" si="72"/>
        <v>0</v>
      </c>
      <c r="Y77" s="19">
        <f>JUNIO!AA77</f>
        <v>0</v>
      </c>
      <c r="Z77" s="364">
        <v>0</v>
      </c>
      <c r="AA77" s="18">
        <f t="shared" si="73"/>
        <v>0</v>
      </c>
      <c r="AB77" s="19">
        <f>JUNIO!AD77</f>
        <v>0</v>
      </c>
      <c r="AC77" s="364">
        <v>0</v>
      </c>
      <c r="AD77" s="18">
        <f t="shared" si="74"/>
        <v>0</v>
      </c>
      <c r="AE77" s="19">
        <f>JUNIO!AG77</f>
        <v>0</v>
      </c>
      <c r="AF77" s="364">
        <v>0</v>
      </c>
      <c r="AG77" s="1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+IF(JUNIO!A78=0,"",JUNIO!A78)</f>
        <v>1130118</v>
      </c>
      <c r="B78" s="628" t="str">
        <f>+IF(JUNIO!B78=0,"",JUNIO!B78)</f>
        <v>PARTICULARES   (Venta de Contado)</v>
      </c>
      <c r="C78" s="43">
        <f>SUM(C79:C80)</f>
        <v>209613681</v>
      </c>
      <c r="D78" s="44">
        <f>SUM(D79:D80)</f>
        <v>0</v>
      </c>
      <c r="E78" s="44">
        <f>SUM(E79:E80)</f>
        <v>31286378</v>
      </c>
      <c r="F78" s="44">
        <f t="shared" si="81"/>
        <v>240900059</v>
      </c>
      <c r="G78" s="44">
        <f>SUM(G79:G80)</f>
        <v>240900059</v>
      </c>
      <c r="H78" s="44">
        <f>SUM(H79:H80)</f>
        <v>33445784</v>
      </c>
      <c r="I78" s="44">
        <f t="shared" si="82"/>
        <v>274345843</v>
      </c>
      <c r="J78" s="44">
        <f>SUM(J79:J80)</f>
        <v>240900059</v>
      </c>
      <c r="K78" s="44">
        <f>SUM(K79:K80)</f>
        <v>33445784</v>
      </c>
      <c r="L78" s="44">
        <f t="shared" si="83"/>
        <v>274345843</v>
      </c>
      <c r="M78" s="44">
        <f t="shared" si="84"/>
        <v>-33445784</v>
      </c>
      <c r="N78" s="45">
        <f t="shared" si="85"/>
        <v>-33445784</v>
      </c>
      <c r="O78" s="372"/>
      <c r="P78" s="43">
        <f>SUM(P79:P80)</f>
        <v>0</v>
      </c>
      <c r="Q78" s="45">
        <f>SUM(Q79:Q80)</f>
        <v>16520328</v>
      </c>
      <c r="R78" s="9"/>
      <c r="S78" s="689" t="str">
        <f>+IF(JUNIO!S78=0,"",JUNIO!S78)</f>
        <v>1020104-9</v>
      </c>
      <c r="T78" s="665" t="str">
        <f>+IF(JUNIO!T78=0,"",JUNIO!T78)</f>
        <v>Bonificación Especial por Recreación</v>
      </c>
      <c r="U78" s="27">
        <f>+ENERO!U78</f>
        <v>20961713</v>
      </c>
      <c r="V78" s="15">
        <f>JUNIO!V78+JULIO!AL78</f>
        <v>0</v>
      </c>
      <c r="W78" s="15">
        <f>JUNIO!W78+JULIO!AM78</f>
        <v>0</v>
      </c>
      <c r="X78" s="18">
        <f t="shared" si="72"/>
        <v>20961713</v>
      </c>
      <c r="Y78" s="19">
        <f>JUNIO!AA78</f>
        <v>4604173</v>
      </c>
      <c r="Z78" s="364">
        <v>2414918</v>
      </c>
      <c r="AA78" s="18">
        <f t="shared" si="73"/>
        <v>7019091</v>
      </c>
      <c r="AB78" s="19">
        <f>JUNIO!AD78</f>
        <v>4604173</v>
      </c>
      <c r="AC78" s="364">
        <v>2414918</v>
      </c>
      <c r="AD78" s="18">
        <f t="shared" si="74"/>
        <v>7019091</v>
      </c>
      <c r="AE78" s="19">
        <f>JUNIO!AG78</f>
        <v>4575293</v>
      </c>
      <c r="AF78" s="364">
        <v>2416866</v>
      </c>
      <c r="AG78" s="18">
        <f t="shared" si="75"/>
        <v>6992159</v>
      </c>
      <c r="AH78" s="19">
        <f t="shared" si="76"/>
        <v>13942622</v>
      </c>
      <c r="AI78" s="15">
        <f t="shared" si="77"/>
        <v>13942622</v>
      </c>
      <c r="AJ78" s="16">
        <f t="shared" si="78"/>
        <v>13969554</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+IF(JUNIO!A79=0,"",JUNIO!A79)</f>
        <v>1130118-1</v>
      </c>
      <c r="B79" s="629" t="str">
        <f>+CONCATENATE("Vigencia ",INSTRUCCIONES!$F$3)</f>
        <v>Vigencia 2019</v>
      </c>
      <c r="C79" s="655">
        <f>+ENERO!C79</f>
        <v>209613681</v>
      </c>
      <c r="D79" s="363">
        <f>JUNIO!D79+JULIO!P79</f>
        <v>0</v>
      </c>
      <c r="E79" s="363">
        <f>JUNIO!E79+JULIO!Q79</f>
        <v>12519843</v>
      </c>
      <c r="F79" s="363">
        <f t="shared" si="81"/>
        <v>222133524</v>
      </c>
      <c r="G79" s="363">
        <f>JUNIO!I79</f>
        <v>222133524</v>
      </c>
      <c r="H79" s="364">
        <v>32937770</v>
      </c>
      <c r="I79" s="363">
        <f t="shared" si="82"/>
        <v>255071294</v>
      </c>
      <c r="J79" s="363">
        <f>JUNIO!L79</f>
        <v>222133524</v>
      </c>
      <c r="K79" s="364">
        <v>32937770</v>
      </c>
      <c r="L79" s="363">
        <f t="shared" si="83"/>
        <v>255071294</v>
      </c>
      <c r="M79" s="363">
        <f t="shared" si="84"/>
        <v>-32937770</v>
      </c>
      <c r="N79" s="143">
        <f t="shared" si="85"/>
        <v>-32937770</v>
      </c>
      <c r="P79" s="362">
        <v>0</v>
      </c>
      <c r="Q79" s="365">
        <v>12519843</v>
      </c>
      <c r="R79" s="9"/>
      <c r="S79" s="689" t="str">
        <f>+IF(JUNIO!S79=0,"",JUNIO!S79)</f>
        <v>1020104-10</v>
      </c>
      <c r="T79" s="665" t="str">
        <f>+IF(JUNIO!T79=0,"",JUNIO!T79)</f>
        <v/>
      </c>
      <c r="U79" s="27">
        <f>+ENERO!U79</f>
        <v>0</v>
      </c>
      <c r="V79" s="15">
        <f>JUNIO!V79+JULIO!AL79</f>
        <v>0</v>
      </c>
      <c r="W79" s="15">
        <f>JUNIO!W79+JULIO!AM79</f>
        <v>0</v>
      </c>
      <c r="X79" s="18">
        <f t="shared" si="72"/>
        <v>0</v>
      </c>
      <c r="Y79" s="19">
        <f>JUNIO!AA79</f>
        <v>0</v>
      </c>
      <c r="Z79" s="364">
        <v>0</v>
      </c>
      <c r="AA79" s="18">
        <f t="shared" si="73"/>
        <v>0</v>
      </c>
      <c r="AB79" s="19">
        <f>JUNIO!AD79</f>
        <v>0</v>
      </c>
      <c r="AC79" s="364">
        <v>0</v>
      </c>
      <c r="AD79" s="18">
        <f t="shared" si="74"/>
        <v>0</v>
      </c>
      <c r="AE79" s="19">
        <f>JUNIO!AG79</f>
        <v>0</v>
      </c>
      <c r="AF79" s="364">
        <v>0</v>
      </c>
      <c r="AG79" s="1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+IF(JUNIO!A80=0,"",JUNIO!A80)</f>
        <v>1130118-2</v>
      </c>
      <c r="B80" s="629" t="str">
        <f>+IF(JUNIO!B80=0,"",JUNIO!B80)</f>
        <v>Vigencia Anterior</v>
      </c>
      <c r="C80" s="655">
        <f>+ENERO!C80</f>
        <v>0</v>
      </c>
      <c r="D80" s="363">
        <f>JUNIO!D80+JULIO!P80</f>
        <v>0</v>
      </c>
      <c r="E80" s="363">
        <f>JUNIO!E80+JULIO!Q80</f>
        <v>18766535</v>
      </c>
      <c r="F80" s="363">
        <f t="shared" si="81"/>
        <v>18766535</v>
      </c>
      <c r="G80" s="363">
        <f>JUNIO!I80</f>
        <v>18766535</v>
      </c>
      <c r="H80" s="364">
        <v>508014</v>
      </c>
      <c r="I80" s="363">
        <f t="shared" si="82"/>
        <v>19274549</v>
      </c>
      <c r="J80" s="363">
        <f>JUNIO!L80</f>
        <v>18766535</v>
      </c>
      <c r="K80" s="364">
        <v>508014</v>
      </c>
      <c r="L80" s="363">
        <f t="shared" si="83"/>
        <v>19274549</v>
      </c>
      <c r="M80" s="363">
        <f t="shared" si="84"/>
        <v>-508014</v>
      </c>
      <c r="N80" s="143">
        <f t="shared" si="85"/>
        <v>-508014</v>
      </c>
      <c r="O80" s="372"/>
      <c r="P80" s="362">
        <v>0</v>
      </c>
      <c r="Q80" s="365">
        <v>4000485</v>
      </c>
      <c r="S80" s="689" t="str">
        <f>+IF(JUNIO!S80=0,"",JUNIO!S80)</f>
        <v>1020104-11</v>
      </c>
      <c r="T80" s="665" t="str">
        <f>+IF(JUNIO!T80=0,"",JUNIO!T80)</f>
        <v/>
      </c>
      <c r="U80" s="27">
        <f>+ENERO!U80</f>
        <v>0</v>
      </c>
      <c r="V80" s="15">
        <f>JUNIO!V80+JULIO!AL80</f>
        <v>0</v>
      </c>
      <c r="W80" s="15">
        <f>JUNIO!W80+JULIO!AM80</f>
        <v>0</v>
      </c>
      <c r="X80" s="18">
        <f t="shared" si="72"/>
        <v>0</v>
      </c>
      <c r="Y80" s="19">
        <f>JUNIO!AA80</f>
        <v>0</v>
      </c>
      <c r="Z80" s="364">
        <v>0</v>
      </c>
      <c r="AA80" s="18">
        <f t="shared" si="73"/>
        <v>0</v>
      </c>
      <c r="AB80" s="19">
        <f>JUNIO!AD80</f>
        <v>0</v>
      </c>
      <c r="AC80" s="364">
        <v>0</v>
      </c>
      <c r="AD80" s="18">
        <f t="shared" si="74"/>
        <v>0</v>
      </c>
      <c r="AE80" s="19">
        <f>JUNIO!AG80</f>
        <v>0</v>
      </c>
      <c r="AF80" s="364">
        <v>0</v>
      </c>
      <c r="AG80" s="1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+IF(JUNIO!A81=0,"",JUNIO!A81)</f>
        <v>1130119</v>
      </c>
      <c r="B81" s="632" t="str">
        <f>+IF(JUNIO!B81=0,"",JUNIO!B81)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688">
        <f>+IF(JUNIO!S81=0,"",JUNIO!S81)</f>
        <v>1020199</v>
      </c>
      <c r="T81" s="664" t="str">
        <f>+IF(JUNIO!T81=0,"",JUNIO!T81)</f>
        <v>Vigencias Anteriores</v>
      </c>
      <c r="U81" s="27">
        <f>+ENERO!U81</f>
        <v>0</v>
      </c>
      <c r="V81" s="15">
        <f>JUNIO!V81+JULIO!AL81</f>
        <v>0</v>
      </c>
      <c r="W81" s="15">
        <f>JUNIO!W81+JULIO!AM81</f>
        <v>0</v>
      </c>
      <c r="X81" s="18">
        <f t="shared" si="72"/>
        <v>0</v>
      </c>
      <c r="Y81" s="19">
        <f>JUNIO!AA81</f>
        <v>0</v>
      </c>
      <c r="Z81" s="364">
        <v>0</v>
      </c>
      <c r="AA81" s="18">
        <f t="shared" si="73"/>
        <v>0</v>
      </c>
      <c r="AB81" s="19">
        <f>JUNIO!AD81</f>
        <v>0</v>
      </c>
      <c r="AC81" s="364">
        <v>0</v>
      </c>
      <c r="AD81" s="18">
        <f t="shared" si="74"/>
        <v>0</v>
      </c>
      <c r="AE81" s="19">
        <f>JUNIO!AG81</f>
        <v>0</v>
      </c>
      <c r="AF81" s="364">
        <v>0</v>
      </c>
      <c r="AG81" s="1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+IF(JUNIO!A82=0,"",JUNIO!A82)</f>
        <v>1130119-1</v>
      </c>
      <c r="B82" s="629" t="str">
        <f>+CONCATENATE("Vigencia ",INSTRUCCIONES!$F$3)</f>
        <v>Vigencia 2019</v>
      </c>
      <c r="C82" s="655">
        <f>+ENERO!C82</f>
        <v>0</v>
      </c>
      <c r="D82" s="363">
        <f>JUNIO!D82+JULIO!P82</f>
        <v>0</v>
      </c>
      <c r="E82" s="363">
        <f>JUNIO!E82+JULIO!Q82</f>
        <v>0</v>
      </c>
      <c r="F82" s="363">
        <f t="shared" si="81"/>
        <v>0</v>
      </c>
      <c r="G82" s="363">
        <f>JUNIO!I82</f>
        <v>0</v>
      </c>
      <c r="H82" s="364">
        <v>0</v>
      </c>
      <c r="I82" s="363">
        <f t="shared" si="82"/>
        <v>0</v>
      </c>
      <c r="J82" s="363">
        <f>JUNIO!L82</f>
        <v>0</v>
      </c>
      <c r="K82" s="364">
        <v>0</v>
      </c>
      <c r="L82" s="363">
        <f t="shared" si="83"/>
        <v>0</v>
      </c>
      <c r="M82" s="363">
        <f t="shared" si="84"/>
        <v>0</v>
      </c>
      <c r="N82" s="143">
        <f t="shared" si="85"/>
        <v>0</v>
      </c>
      <c r="P82" s="362">
        <v>0</v>
      </c>
      <c r="Q82" s="365">
        <v>0</v>
      </c>
      <c r="R82" s="9"/>
      <c r="S82" s="356" t="str">
        <f>+IF(JUNIO!S82=0,"",JUNIO!S82)</f>
        <v/>
      </c>
      <c r="T82" s="678" t="str">
        <f>+IF(JUNIO!T82=0,"",JUNIO!T82)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+IF(JUNIO!A83=0,"",JUNIO!A83)</f>
        <v>1130119-2</v>
      </c>
      <c r="B83" s="633" t="str">
        <f>+IF(JUNIO!B83=0,"",JUNIO!B83)</f>
        <v>Vigencia Anterior</v>
      </c>
      <c r="C83" s="759">
        <f>+ENERO!C83</f>
        <v>0</v>
      </c>
      <c r="D83" s="375">
        <f>JUNIO!D83+JULIO!P83</f>
        <v>0</v>
      </c>
      <c r="E83" s="375">
        <f>JUNIO!E83+JULIO!Q83</f>
        <v>0</v>
      </c>
      <c r="F83" s="375">
        <f t="shared" si="81"/>
        <v>0</v>
      </c>
      <c r="G83" s="375">
        <f>JUNIO!I83</f>
        <v>0</v>
      </c>
      <c r="H83" s="378">
        <v>0</v>
      </c>
      <c r="I83" s="375">
        <f t="shared" si="82"/>
        <v>0</v>
      </c>
      <c r="J83" s="375">
        <f>JUNIO!L83</f>
        <v>0</v>
      </c>
      <c r="K83" s="378">
        <v>0</v>
      </c>
      <c r="L83" s="375">
        <f t="shared" si="83"/>
        <v>0</v>
      </c>
      <c r="M83" s="375">
        <f t="shared" si="84"/>
        <v>0</v>
      </c>
      <c r="N83" s="376">
        <f t="shared" si="85"/>
        <v>0</v>
      </c>
      <c r="P83" s="362">
        <v>0</v>
      </c>
      <c r="Q83" s="365">
        <v>0</v>
      </c>
      <c r="R83" s="9"/>
      <c r="S83" s="687">
        <f>+IF(JUNIO!S83=0,"",JUNIO!S83)</f>
        <v>1020200</v>
      </c>
      <c r="T83" s="663" t="str">
        <f>+IF(JUNIO!T83=0,"",JUNIO!T83)</f>
        <v>Servicios Personales Indirectos</v>
      </c>
      <c r="U83" s="132">
        <f t="shared" ref="U83:AJ83" si="87">SUM(U84:U88)</f>
        <v>21292467542</v>
      </c>
      <c r="V83" s="122">
        <f t="shared" si="87"/>
        <v>500000000</v>
      </c>
      <c r="W83" s="122">
        <f t="shared" si="87"/>
        <v>1640000000</v>
      </c>
      <c r="X83" s="129">
        <f t="shared" si="87"/>
        <v>23432467542</v>
      </c>
      <c r="Y83" s="128">
        <f t="shared" si="87"/>
        <v>22570303795</v>
      </c>
      <c r="Z83" s="122">
        <f t="shared" si="87"/>
        <v>51780049</v>
      </c>
      <c r="AA83" s="129">
        <f t="shared" si="87"/>
        <v>22622083844</v>
      </c>
      <c r="AB83" s="128">
        <f t="shared" si="87"/>
        <v>13381394386</v>
      </c>
      <c r="AC83" s="122">
        <f t="shared" si="87"/>
        <v>1591620679</v>
      </c>
      <c r="AD83" s="129">
        <f t="shared" si="87"/>
        <v>14973015065</v>
      </c>
      <c r="AE83" s="128">
        <f t="shared" si="87"/>
        <v>7292995332</v>
      </c>
      <c r="AF83" s="122">
        <f t="shared" si="87"/>
        <v>1595884406</v>
      </c>
      <c r="AG83" s="129">
        <f t="shared" si="87"/>
        <v>8888879738</v>
      </c>
      <c r="AH83" s="128">
        <f t="shared" si="87"/>
        <v>810383698</v>
      </c>
      <c r="AI83" s="122">
        <f t="shared" si="87"/>
        <v>8459452477</v>
      </c>
      <c r="AJ83" s="130">
        <f t="shared" si="87"/>
        <v>14543587804</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+IF(JUNIO!A84=0,"",JUNIO!A84)</f>
        <v/>
      </c>
      <c r="B84" s="634" t="str">
        <f>+IF(JUNIO!B84=0,"",JUNIO!B84)</f>
        <v/>
      </c>
      <c r="C84" s="284"/>
      <c r="D84" s="284"/>
      <c r="E84" s="284"/>
      <c r="F84" s="284"/>
      <c r="G84" s="284"/>
      <c r="H84" s="284"/>
      <c r="I84" s="284"/>
      <c r="J84" s="284"/>
      <c r="K84" s="284"/>
      <c r="L84" s="284"/>
      <c r="M84" s="284"/>
      <c r="N84" s="453"/>
      <c r="O84" s="451"/>
      <c r="P84" s="457"/>
      <c r="Q84" s="381"/>
      <c r="R84" s="9"/>
      <c r="S84" s="688" t="str">
        <f>+IF(JUNIO!S84=0,"",JUNIO!S84)</f>
        <v>1020200-1</v>
      </c>
      <c r="T84" s="664" t="str">
        <f>+IF(JUNIO!T84=0,"",JUNIO!T84)</f>
        <v>Remuneración y Honorarios por Servicios Técnicos y Profesionales</v>
      </c>
      <c r="U84" s="27">
        <f>+ENERO!U84</f>
        <v>304448100</v>
      </c>
      <c r="V84" s="15">
        <f>JUNIO!V84+JULIO!AL84</f>
        <v>160000000</v>
      </c>
      <c r="W84" s="15">
        <f>JUNIO!W84+JULIO!AM84</f>
        <v>90000000</v>
      </c>
      <c r="X84" s="18">
        <f>SUM(U84:W84)</f>
        <v>554448100</v>
      </c>
      <c r="Y84" s="19">
        <f>JUNIO!AA84</f>
        <v>497122910</v>
      </c>
      <c r="Z84" s="364">
        <v>27000000</v>
      </c>
      <c r="AA84" s="18">
        <f>SUM(Y84:Z84)</f>
        <v>524122910</v>
      </c>
      <c r="AB84" s="19">
        <f>JUNIO!AD84</f>
        <v>166021213</v>
      </c>
      <c r="AC84" s="364">
        <v>51434774</v>
      </c>
      <c r="AD84" s="18">
        <f>SUM(AB84:AC84)</f>
        <v>217455987</v>
      </c>
      <c r="AE84" s="19">
        <f>JUNIO!AG84</f>
        <v>104936477</v>
      </c>
      <c r="AF84" s="364">
        <v>57606230</v>
      </c>
      <c r="AG84" s="18">
        <f>SUM(AE84:AF84)</f>
        <v>162542707</v>
      </c>
      <c r="AH84" s="19">
        <f>X84-AA84</f>
        <v>30325190</v>
      </c>
      <c r="AI84" s="15">
        <f>X84-AD84</f>
        <v>336992113</v>
      </c>
      <c r="AJ84" s="16">
        <f>X84-AG84</f>
        <v>391905393</v>
      </c>
      <c r="AK84" s="9"/>
      <c r="AL84" s="362">
        <v>50000000</v>
      </c>
      <c r="AM84" s="365">
        <v>0</v>
      </c>
      <c r="AN84" s="9"/>
      <c r="AO84" s="284"/>
      <c r="AP84" s="284"/>
      <c r="AQ84" s="284"/>
      <c r="AR84" s="284"/>
      <c r="AS84" s="284"/>
      <c r="AT84" s="284"/>
      <c r="AU84" s="284"/>
      <c r="AV84" s="284"/>
      <c r="AW84" s="284"/>
      <c r="AX84" s="284"/>
      <c r="AY84" s="284"/>
      <c r="AZ84" s="284"/>
    </row>
    <row r="85" spans="1:70" s="372" customFormat="1" ht="24.95" customHeight="1">
      <c r="A85" s="718">
        <f>+IF(JUNIO!A85=0,"",JUNIO!A85)</f>
        <v>11302</v>
      </c>
      <c r="B85" s="635" t="str">
        <f>+IF(JUNIO!B85=0,"",JUNIO!B85)</f>
        <v>Otras Ventas de Servicios de Salud</v>
      </c>
      <c r="C85" s="600">
        <f t="shared" ref="C85:N85" si="88">SUM(C86:C92)</f>
        <v>0</v>
      </c>
      <c r="D85" s="598">
        <f t="shared" si="88"/>
        <v>0</v>
      </c>
      <c r="E85" s="598">
        <f t="shared" si="88"/>
        <v>12200562275</v>
      </c>
      <c r="F85" s="598">
        <f t="shared" si="88"/>
        <v>12200562275</v>
      </c>
      <c r="G85" s="598">
        <f t="shared" si="88"/>
        <v>4601573072</v>
      </c>
      <c r="H85" s="598">
        <f t="shared" si="88"/>
        <v>534875544</v>
      </c>
      <c r="I85" s="598">
        <f t="shared" si="88"/>
        <v>5136448616</v>
      </c>
      <c r="J85" s="598">
        <f t="shared" si="88"/>
        <v>3971980235</v>
      </c>
      <c r="K85" s="598">
        <f t="shared" si="88"/>
        <v>24699544</v>
      </c>
      <c r="L85" s="598">
        <f t="shared" si="88"/>
        <v>3996679779</v>
      </c>
      <c r="M85" s="598">
        <f t="shared" si="88"/>
        <v>7064113659</v>
      </c>
      <c r="N85" s="599">
        <f t="shared" si="88"/>
        <v>8203882496</v>
      </c>
      <c r="P85" s="43">
        <f>SUM(P86:P92)</f>
        <v>0</v>
      </c>
      <c r="Q85" s="45">
        <f>SUM(Q86:Q92)</f>
        <v>0</v>
      </c>
      <c r="R85" s="9"/>
      <c r="S85" s="688" t="str">
        <f>+IF(JUNIO!S85=0,"",JUNIO!S85)</f>
        <v>1020200-2</v>
      </c>
      <c r="T85" s="664" t="str">
        <f>+IF(JUNIO!T85=0,"",JUNIO!T85)</f>
        <v>Personal Supernumerario</v>
      </c>
      <c r="U85" s="27">
        <f>+ENERO!U85</f>
        <v>0</v>
      </c>
      <c r="V85" s="15">
        <f>JUNIO!V85+JULIO!AL85</f>
        <v>0</v>
      </c>
      <c r="W85" s="15">
        <f>JUNIO!W85+JULIO!AM85</f>
        <v>0</v>
      </c>
      <c r="X85" s="18">
        <f>SUM(U85:W85)</f>
        <v>0</v>
      </c>
      <c r="Y85" s="19">
        <f>JUNIO!AA85</f>
        <v>0</v>
      </c>
      <c r="Z85" s="364">
        <v>0</v>
      </c>
      <c r="AA85" s="18">
        <f>SUM(Y85:Z85)</f>
        <v>0</v>
      </c>
      <c r="AB85" s="19">
        <f>JUNIO!AD85</f>
        <v>0</v>
      </c>
      <c r="AC85" s="364">
        <v>0</v>
      </c>
      <c r="AD85" s="18">
        <f>SUM(AB85:AC85)</f>
        <v>0</v>
      </c>
      <c r="AE85" s="19">
        <f>JUNIO!AG85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+IF(JUNIO!A86=0,"",JUNIO!A86)</f>
        <v>1130201</v>
      </c>
      <c r="B86" s="609" t="str">
        <f>+IF(JUNIO!B86=0,"",JUNIO!B86)</f>
        <v/>
      </c>
      <c r="C86" s="654">
        <f>+ENERO!C86</f>
        <v>0</v>
      </c>
      <c r="D86" s="363">
        <f>JUNIO!D86+JULIO!P86</f>
        <v>0</v>
      </c>
      <c r="E86" s="363">
        <f>JUNIO!E86+JULIO!Q86</f>
        <v>0</v>
      </c>
      <c r="F86" s="363">
        <f t="shared" ref="F86:F92" si="89">SUM(C86:E86)</f>
        <v>0</v>
      </c>
      <c r="G86" s="363">
        <f>JUNIO!I86</f>
        <v>0</v>
      </c>
      <c r="H86" s="364">
        <v>0</v>
      </c>
      <c r="I86" s="363">
        <f t="shared" ref="I86:I92" si="90">SUM(G86:H86)</f>
        <v>0</v>
      </c>
      <c r="J86" s="363">
        <f>JUNIO!L86</f>
        <v>0</v>
      </c>
      <c r="K86" s="364">
        <v>0</v>
      </c>
      <c r="L86" s="363">
        <f t="shared" ref="L86:L92" si="91">SUM(J86:K86)</f>
        <v>0</v>
      </c>
      <c r="M86" s="363">
        <f t="shared" ref="M86:M92" si="92">F86-I86</f>
        <v>0</v>
      </c>
      <c r="N86" s="143">
        <f t="shared" ref="N86:N92" si="93">F86-L86</f>
        <v>0</v>
      </c>
      <c r="O86" s="372"/>
      <c r="P86" s="362">
        <v>0</v>
      </c>
      <c r="Q86" s="365">
        <v>0</v>
      </c>
      <c r="S86" s="688" t="str">
        <f>+IF(JUNIO!S86=0,"",JUNIO!S86)</f>
        <v>1020200-3</v>
      </c>
      <c r="T86" s="664" t="str">
        <f>+IF(JUNIO!T86=0,"",JUNIO!T86)</f>
        <v>Otros Honorarios</v>
      </c>
      <c r="U86" s="27">
        <f>+ENERO!U86</f>
        <v>18988019442</v>
      </c>
      <c r="V86" s="15">
        <f>JUNIO!V86+JULIO!AL86</f>
        <v>-1160000000</v>
      </c>
      <c r="W86" s="15">
        <f>JUNIO!W86+JULIO!AM86</f>
        <v>50000000</v>
      </c>
      <c r="X86" s="18">
        <f>SUM(U86:W86)</f>
        <v>17878019442</v>
      </c>
      <c r="Y86" s="19">
        <f>JUNIO!AA86</f>
        <v>17550719618</v>
      </c>
      <c r="Z86" s="364">
        <v>0</v>
      </c>
      <c r="AA86" s="18">
        <f>SUM(Y86:Z86)</f>
        <v>17550719618</v>
      </c>
      <c r="AB86" s="19">
        <f>JUNIO!AD86</f>
        <v>8692911906</v>
      </c>
      <c r="AC86" s="364">
        <v>1515405856</v>
      </c>
      <c r="AD86" s="18">
        <f>SUM(AB86:AC86)</f>
        <v>10208317762</v>
      </c>
      <c r="AE86" s="19">
        <f>JUNIO!AG86</f>
        <v>2665597588</v>
      </c>
      <c r="AF86" s="364">
        <v>1513498127</v>
      </c>
      <c r="AG86" s="18">
        <f>SUM(AE86:AF86)</f>
        <v>4179095715</v>
      </c>
      <c r="AH86" s="19">
        <f>X86-AA86</f>
        <v>327299824</v>
      </c>
      <c r="AI86" s="15">
        <f>X86-AD86</f>
        <v>7669701680</v>
      </c>
      <c r="AJ86" s="16">
        <f>X86-AG86</f>
        <v>13698923727</v>
      </c>
      <c r="AL86" s="362">
        <v>-50000000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+IF(JUNIO!A87=0,"",JUNIO!A87)</f>
        <v>1130202</v>
      </c>
      <c r="B87" s="609" t="str">
        <f>+IF(JUNIO!B87=0,"",JUNIO!B87)</f>
        <v/>
      </c>
      <c r="C87" s="654">
        <f>+ENERO!C87</f>
        <v>0</v>
      </c>
      <c r="D87" s="363">
        <f>JUNIO!D87+JULIO!P87</f>
        <v>0</v>
      </c>
      <c r="E87" s="363">
        <f>JUNIO!E87+JULIO!Q87</f>
        <v>0</v>
      </c>
      <c r="F87" s="363">
        <f t="shared" si="89"/>
        <v>0</v>
      </c>
      <c r="G87" s="363">
        <f>JUNIO!I87</f>
        <v>0</v>
      </c>
      <c r="H87" s="364">
        <v>0</v>
      </c>
      <c r="I87" s="363">
        <f t="shared" si="90"/>
        <v>0</v>
      </c>
      <c r="J87" s="363">
        <f>JUNIO!L87</f>
        <v>0</v>
      </c>
      <c r="K87" s="364">
        <v>0</v>
      </c>
      <c r="L87" s="363">
        <f t="shared" si="91"/>
        <v>0</v>
      </c>
      <c r="M87" s="363">
        <f t="shared" si="92"/>
        <v>0</v>
      </c>
      <c r="N87" s="143">
        <f t="shared" si="93"/>
        <v>0</v>
      </c>
      <c r="P87" s="362">
        <v>0</v>
      </c>
      <c r="Q87" s="365">
        <v>0</v>
      </c>
      <c r="R87" s="9"/>
      <c r="S87" s="688" t="str">
        <f>+IF(JUNIO!S87=0,"",JUNIO!S87)</f>
        <v>1020200-4</v>
      </c>
      <c r="T87" s="664" t="str">
        <f>+IF(JUNIO!T87=0,"",JUNIO!T87)</f>
        <v/>
      </c>
      <c r="U87" s="27">
        <f>+ENERO!U87</f>
        <v>0</v>
      </c>
      <c r="V87" s="15">
        <f>JUNIO!V87+JULIO!AL87</f>
        <v>0</v>
      </c>
      <c r="W87" s="15">
        <f>JUNIO!W87+JULIO!AM87</f>
        <v>0</v>
      </c>
      <c r="X87" s="18">
        <f>SUM(U87:W87)</f>
        <v>0</v>
      </c>
      <c r="Y87" s="19">
        <f>JUNIO!AA87</f>
        <v>0</v>
      </c>
      <c r="Z87" s="364">
        <v>0</v>
      </c>
      <c r="AA87" s="18">
        <f>SUM(Y87:Z87)</f>
        <v>0</v>
      </c>
      <c r="AB87" s="19">
        <f>JUNIO!AD87</f>
        <v>0</v>
      </c>
      <c r="AC87" s="364">
        <v>0</v>
      </c>
      <c r="AD87" s="18">
        <f>SUM(AB87:AC87)</f>
        <v>0</v>
      </c>
      <c r="AE87" s="19">
        <f>JUNIO!AG87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+IF(JUNIO!A88=0,"",JUNIO!A88)</f>
        <v>1130203</v>
      </c>
      <c r="B88" s="610" t="str">
        <f>+IF(JUNIO!B88=0,"",JUNIO!B88)</f>
        <v>CONVENIOS CON LA NACION LIGADOS A LA VENTA DE SERVICIOS</v>
      </c>
      <c r="C88" s="654">
        <f>+ENERO!C88</f>
        <v>0</v>
      </c>
      <c r="D88" s="363">
        <f>JUNIO!D88+JULIO!P88</f>
        <v>0</v>
      </c>
      <c r="E88" s="363">
        <f>JUNIO!E88+JULIO!Q88</f>
        <v>222386275</v>
      </c>
      <c r="F88" s="363">
        <f t="shared" si="89"/>
        <v>222386275</v>
      </c>
      <c r="G88" s="363">
        <f>JUNIO!I88</f>
        <v>131092295</v>
      </c>
      <c r="H88" s="364">
        <v>24699544</v>
      </c>
      <c r="I88" s="363">
        <f t="shared" si="90"/>
        <v>155791839</v>
      </c>
      <c r="J88" s="363">
        <f>JUNIO!L88</f>
        <v>131092295</v>
      </c>
      <c r="K88" s="364">
        <v>24699544</v>
      </c>
      <c r="L88" s="363">
        <f t="shared" si="91"/>
        <v>155791839</v>
      </c>
      <c r="M88" s="363">
        <f t="shared" si="92"/>
        <v>66594436</v>
      </c>
      <c r="N88" s="143">
        <f t="shared" si="93"/>
        <v>66594436</v>
      </c>
      <c r="P88" s="362">
        <v>0</v>
      </c>
      <c r="Q88" s="365">
        <v>0</v>
      </c>
      <c r="R88" s="9"/>
      <c r="S88" s="688">
        <f>+IF(JUNIO!S88=0,"",JUNIO!S88)</f>
        <v>1020299</v>
      </c>
      <c r="T88" s="664" t="str">
        <f>+IF(JUNIO!T88=0,"",JUNIO!T88)</f>
        <v>Vigencias Anteriores</v>
      </c>
      <c r="U88" s="27">
        <f>+ENERO!U88</f>
        <v>2000000000</v>
      </c>
      <c r="V88" s="15">
        <f>JUNIO!V88+JULIO!AL88</f>
        <v>1500000000</v>
      </c>
      <c r="W88" s="15">
        <f>JUNIO!W88+JULIO!AM88</f>
        <v>1500000000</v>
      </c>
      <c r="X88" s="18">
        <f>SUM(U88:W88)</f>
        <v>5000000000</v>
      </c>
      <c r="Y88" s="19">
        <f>JUNIO!AA88</f>
        <v>4522461267</v>
      </c>
      <c r="Z88" s="364">
        <v>24780049</v>
      </c>
      <c r="AA88" s="18">
        <f>SUM(Y88:Z88)</f>
        <v>4547241316</v>
      </c>
      <c r="AB88" s="19">
        <f>JUNIO!AD88</f>
        <v>4522461267</v>
      </c>
      <c r="AC88" s="364">
        <v>24780049</v>
      </c>
      <c r="AD88" s="18">
        <f>SUM(AB88:AC88)</f>
        <v>4547241316</v>
      </c>
      <c r="AE88" s="19">
        <f>JUNIO!AG88</f>
        <v>4522461267</v>
      </c>
      <c r="AF88" s="364">
        <v>24780049</v>
      </c>
      <c r="AG88" s="18">
        <f>SUM(AE88:AF88)</f>
        <v>4547241316</v>
      </c>
      <c r="AH88" s="19">
        <f>X88-AA88</f>
        <v>452758684</v>
      </c>
      <c r="AI88" s="15">
        <f>X88-AD88</f>
        <v>452758684</v>
      </c>
      <c r="AJ88" s="16">
        <f>X88-AG88</f>
        <v>452758684</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+IF(JUNIO!A89=0,"",JUNIO!A89)</f>
        <v>1130204</v>
      </c>
      <c r="B89" s="610" t="str">
        <f>+IF(JUNIO!B89=0,"",JUNIO!B89)</f>
        <v>CONVENIOS CON EL DEPARTAMENTO LIGADOS A LA VENTA SERVICIOS</v>
      </c>
      <c r="C89" s="654">
        <f>+ENERO!C89</f>
        <v>0</v>
      </c>
      <c r="D89" s="363">
        <f>JUNIO!D89+JULIO!P89</f>
        <v>0</v>
      </c>
      <c r="E89" s="363">
        <f>JUNIO!E89+JULIO!Q89</f>
        <v>0</v>
      </c>
      <c r="F89" s="363">
        <f t="shared" si="89"/>
        <v>0</v>
      </c>
      <c r="G89" s="363">
        <f>JUNIO!I89</f>
        <v>0</v>
      </c>
      <c r="H89" s="364">
        <v>0</v>
      </c>
      <c r="I89" s="363">
        <f t="shared" si="90"/>
        <v>0</v>
      </c>
      <c r="J89" s="363">
        <f>JUNIO!L89</f>
        <v>0</v>
      </c>
      <c r="K89" s="364">
        <v>0</v>
      </c>
      <c r="L89" s="363">
        <f t="shared" si="91"/>
        <v>0</v>
      </c>
      <c r="M89" s="363">
        <f t="shared" si="92"/>
        <v>0</v>
      </c>
      <c r="N89" s="143">
        <f t="shared" si="93"/>
        <v>0</v>
      </c>
      <c r="P89" s="362">
        <v>0</v>
      </c>
      <c r="Q89" s="365">
        <v>0</v>
      </c>
      <c r="R89" s="9"/>
      <c r="S89" s="356" t="str">
        <f>+IF(JUNIO!S89=0,"",JUNIO!S89)</f>
        <v/>
      </c>
      <c r="T89" s="678" t="str">
        <f>+IF(JUNIO!T89=0,"",JUNIO!T89)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+IF(JUNIO!A90=0,"",JUNIO!A90)</f>
        <v>1130205</v>
      </c>
      <c r="B90" s="610" t="str">
        <f>+IF(JUNIO!B90=0,"",JUNIO!B90)</f>
        <v>CONVENIOS CON EL MUNICIPIO LIGADOS A LA VENTA DE SERVICIOS</v>
      </c>
      <c r="C90" s="654">
        <f>+ENERO!C90</f>
        <v>0</v>
      </c>
      <c r="D90" s="363">
        <f>JUNIO!D90+JULIO!P90</f>
        <v>0</v>
      </c>
      <c r="E90" s="363">
        <f>JUNIO!E90+JULIO!Q90</f>
        <v>0</v>
      </c>
      <c r="F90" s="363">
        <f t="shared" si="89"/>
        <v>0</v>
      </c>
      <c r="G90" s="363">
        <f>JUNIO!I90</f>
        <v>0</v>
      </c>
      <c r="H90" s="364">
        <v>0</v>
      </c>
      <c r="I90" s="363">
        <f t="shared" si="90"/>
        <v>0</v>
      </c>
      <c r="J90" s="363">
        <f>JUNIO!L90</f>
        <v>0</v>
      </c>
      <c r="K90" s="364">
        <v>0</v>
      </c>
      <c r="L90" s="363">
        <f t="shared" si="91"/>
        <v>0</v>
      </c>
      <c r="M90" s="363">
        <f t="shared" si="92"/>
        <v>0</v>
      </c>
      <c r="N90" s="143">
        <f t="shared" si="93"/>
        <v>0</v>
      </c>
      <c r="O90" s="372"/>
      <c r="P90" s="362">
        <v>0</v>
      </c>
      <c r="Q90" s="365">
        <v>0</v>
      </c>
      <c r="R90" s="30"/>
      <c r="S90" s="687">
        <f>+IF(JUNIO!S90=0,"",JUNIO!S90)</f>
        <v>1020300</v>
      </c>
      <c r="T90" s="663" t="str">
        <f>+IF(JUNIO!T90=0,"",JUNIO!T90)</f>
        <v>Contribuciones Inherentes nómina al Sector Privado</v>
      </c>
      <c r="U90" s="132">
        <f t="shared" ref="U90:AJ90" si="94">U91+U96+U102</f>
        <v>2996072011</v>
      </c>
      <c r="V90" s="122">
        <f t="shared" si="94"/>
        <v>-1776337847</v>
      </c>
      <c r="W90" s="122">
        <f t="shared" si="94"/>
        <v>13182074</v>
      </c>
      <c r="X90" s="129">
        <f t="shared" si="94"/>
        <v>1232916238</v>
      </c>
      <c r="Y90" s="128">
        <f t="shared" si="94"/>
        <v>519061422</v>
      </c>
      <c r="Z90" s="122">
        <f t="shared" si="94"/>
        <v>64377275</v>
      </c>
      <c r="AA90" s="129">
        <f t="shared" si="94"/>
        <v>583438697</v>
      </c>
      <c r="AB90" s="128">
        <f t="shared" si="94"/>
        <v>519061422</v>
      </c>
      <c r="AC90" s="122">
        <f t="shared" si="94"/>
        <v>64377275</v>
      </c>
      <c r="AD90" s="129">
        <f t="shared" si="94"/>
        <v>583438697</v>
      </c>
      <c r="AE90" s="128">
        <f t="shared" si="94"/>
        <v>508319662</v>
      </c>
      <c r="AF90" s="122">
        <f t="shared" si="94"/>
        <v>66983595</v>
      </c>
      <c r="AG90" s="129">
        <f t="shared" si="94"/>
        <v>575303257</v>
      </c>
      <c r="AH90" s="128">
        <f t="shared" si="94"/>
        <v>649477541</v>
      </c>
      <c r="AI90" s="122">
        <f t="shared" si="94"/>
        <v>649477541</v>
      </c>
      <c r="AJ90" s="130">
        <f t="shared" si="94"/>
        <v>657612981</v>
      </c>
      <c r="AK90" s="9"/>
      <c r="AL90" s="128">
        <f>AL91+AL96+AL102</f>
        <v>-1773838915</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+IF(JUNIO!A91=0,"",JUNIO!A91)</f>
        <v>1130206</v>
      </c>
      <c r="B91" s="610" t="str">
        <f>+IF(JUNIO!B91=0,"",JUNIO!B91)</f>
        <v>OTROS CONVENIOS LIGADOS A LA VENTA DE SERVICIOS</v>
      </c>
      <c r="C91" s="654">
        <f>+ENERO!C91</f>
        <v>0</v>
      </c>
      <c r="D91" s="363">
        <f>JUNIO!D91+JULIO!P91</f>
        <v>0</v>
      </c>
      <c r="E91" s="363">
        <f>JUNIO!E91+JULIO!Q91</f>
        <v>11978176000</v>
      </c>
      <c r="F91" s="363">
        <f t="shared" si="89"/>
        <v>11978176000</v>
      </c>
      <c r="G91" s="363">
        <f>JUNIO!I91</f>
        <v>4470480777</v>
      </c>
      <c r="H91" s="364">
        <v>510176000</v>
      </c>
      <c r="I91" s="363">
        <f t="shared" si="90"/>
        <v>4980656777</v>
      </c>
      <c r="J91" s="363">
        <f>JUNIO!L91</f>
        <v>3840887940</v>
      </c>
      <c r="K91" s="364">
        <v>0</v>
      </c>
      <c r="L91" s="363">
        <f t="shared" si="91"/>
        <v>3840887940</v>
      </c>
      <c r="M91" s="363">
        <f t="shared" si="92"/>
        <v>6997519223</v>
      </c>
      <c r="N91" s="143">
        <f t="shared" si="93"/>
        <v>8137288060</v>
      </c>
      <c r="O91" s="372"/>
      <c r="P91" s="362">
        <v>0</v>
      </c>
      <c r="Q91" s="365">
        <v>0</v>
      </c>
      <c r="R91" s="30"/>
      <c r="S91" s="688">
        <f>+IF(JUNIO!S91=0,"",JUNIO!S91)</f>
        <v>1020301</v>
      </c>
      <c r="T91" s="664" t="str">
        <f>+IF(JUNIO!T91=0,"",JUNIO!T91)</f>
        <v>Contribuciones - SGP - Aportes Patronales - Cuenta Maestra</v>
      </c>
      <c r="U91" s="27">
        <f t="shared" ref="U91:AJ91" si="95">SUM(U92:U95)</f>
        <v>1100060774</v>
      </c>
      <c r="V91" s="15">
        <f t="shared" si="95"/>
        <v>-396061561</v>
      </c>
      <c r="W91" s="15">
        <f t="shared" si="95"/>
        <v>0</v>
      </c>
      <c r="X91" s="18">
        <f t="shared" si="95"/>
        <v>703999213</v>
      </c>
      <c r="Y91" s="19">
        <f t="shared" si="95"/>
        <v>281858680</v>
      </c>
      <c r="Z91" s="142">
        <f t="shared" si="95"/>
        <v>56241835</v>
      </c>
      <c r="AA91" s="18">
        <f t="shared" si="95"/>
        <v>338100515</v>
      </c>
      <c r="AB91" s="19">
        <f t="shared" si="95"/>
        <v>281858680</v>
      </c>
      <c r="AC91" s="142">
        <f t="shared" si="95"/>
        <v>56241835</v>
      </c>
      <c r="AD91" s="18">
        <f t="shared" si="95"/>
        <v>338100515</v>
      </c>
      <c r="AE91" s="19">
        <f t="shared" si="95"/>
        <v>281858680</v>
      </c>
      <c r="AF91" s="142">
        <f t="shared" si="95"/>
        <v>56241835</v>
      </c>
      <c r="AG91" s="18">
        <f t="shared" si="95"/>
        <v>338100515</v>
      </c>
      <c r="AH91" s="19">
        <f t="shared" si="95"/>
        <v>365898698</v>
      </c>
      <c r="AI91" s="15">
        <f t="shared" si="95"/>
        <v>365898698</v>
      </c>
      <c r="AJ91" s="16">
        <f t="shared" si="95"/>
        <v>365898698</v>
      </c>
      <c r="AK91" s="9"/>
      <c r="AL91" s="29">
        <f>SUM(AL92:AL95)</f>
        <v>-387061561</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+IF(JUNIO!A92=0,"",JUNIO!A92)</f>
        <v>1130207</v>
      </c>
      <c r="B92" s="611" t="str">
        <f>+IF(JUNIO!B92=0,"",JUNIO!B92)</f>
        <v>Vigencia Anterior</v>
      </c>
      <c r="C92" s="760">
        <f>+ENERO!C92</f>
        <v>0</v>
      </c>
      <c r="D92" s="375">
        <f>JUNIO!D92+JULIO!P92</f>
        <v>0</v>
      </c>
      <c r="E92" s="375">
        <f>JUNIO!E92+JULIO!Q92</f>
        <v>0</v>
      </c>
      <c r="F92" s="375">
        <f t="shared" si="89"/>
        <v>0</v>
      </c>
      <c r="G92" s="375">
        <f>JUNIO!I92</f>
        <v>0</v>
      </c>
      <c r="H92" s="378">
        <v>0</v>
      </c>
      <c r="I92" s="375">
        <f t="shared" si="90"/>
        <v>0</v>
      </c>
      <c r="J92" s="375">
        <f>JUNIO!L92</f>
        <v>0</v>
      </c>
      <c r="K92" s="378">
        <v>0</v>
      </c>
      <c r="L92" s="375">
        <f t="shared" si="91"/>
        <v>0</v>
      </c>
      <c r="M92" s="375">
        <f t="shared" si="92"/>
        <v>0</v>
      </c>
      <c r="N92" s="376">
        <f t="shared" si="93"/>
        <v>0</v>
      </c>
      <c r="O92" s="372"/>
      <c r="P92" s="362">
        <v>0</v>
      </c>
      <c r="Q92" s="365">
        <v>0</v>
      </c>
      <c r="R92" s="30"/>
      <c r="S92" s="689" t="str">
        <f>+IF(JUNIO!S92=0,"",JUNIO!S92)</f>
        <v>1020301-1</v>
      </c>
      <c r="T92" s="665" t="str">
        <f>+IF(JUNIO!T92=0,"",JUNIO!T92)</f>
        <v>E.P.S. - Aportes cuenta maestra</v>
      </c>
      <c r="U92" s="27">
        <f>+ENERO!U92</f>
        <v>273298716</v>
      </c>
      <c r="V92" s="15">
        <f>JUNIO!V92+JULIO!AL92</f>
        <v>0</v>
      </c>
      <c r="W92" s="15">
        <f>JUNIO!W92+JULIO!AM92</f>
        <v>0</v>
      </c>
      <c r="X92" s="18">
        <f>SUM(U92:W92)</f>
        <v>273298716</v>
      </c>
      <c r="Y92" s="19">
        <f>JUNIO!AA92</f>
        <v>119043712</v>
      </c>
      <c r="Z92" s="364">
        <v>24019402</v>
      </c>
      <c r="AA92" s="18">
        <f>SUM(Y92:Z92)</f>
        <v>143063114</v>
      </c>
      <c r="AB92" s="19">
        <f>JUNIO!AD92</f>
        <v>119043712</v>
      </c>
      <c r="AC92" s="364">
        <v>24019402</v>
      </c>
      <c r="AD92" s="18">
        <f>SUM(AB92:AC92)</f>
        <v>143063114</v>
      </c>
      <c r="AE92" s="19">
        <f>JUNIO!AG92</f>
        <v>119043712</v>
      </c>
      <c r="AF92" s="364">
        <v>24019402</v>
      </c>
      <c r="AG92" s="18">
        <f>SUM(AE92:AF92)</f>
        <v>143063114</v>
      </c>
      <c r="AH92" s="19">
        <f>X92-AA92</f>
        <v>130235602</v>
      </c>
      <c r="AI92" s="15">
        <f>X92-AD92</f>
        <v>130235602</v>
      </c>
      <c r="AJ92" s="16">
        <f>X92-AG92</f>
        <v>130235602</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+IF(JUNIO!A93=0,"",JUNIO!A93)</f>
        <v/>
      </c>
      <c r="B93" s="634" t="str">
        <f>+IF(JUNIO!B93=0,"",JUNIO!B93)</f>
        <v/>
      </c>
      <c r="C93" s="284"/>
      <c r="D93" s="284"/>
      <c r="E93" s="284"/>
      <c r="F93" s="284"/>
      <c r="G93" s="284"/>
      <c r="H93" s="284"/>
      <c r="I93" s="284"/>
      <c r="J93" s="284"/>
      <c r="K93" s="284"/>
      <c r="L93" s="284"/>
      <c r="M93" s="284"/>
      <c r="N93" s="453"/>
      <c r="P93" s="457"/>
      <c r="Q93" s="381"/>
      <c r="R93" s="30"/>
      <c r="S93" s="689" t="str">
        <f>+IF(JUNIO!S93=0,"",JUNIO!S93)</f>
        <v>1020301-2</v>
      </c>
      <c r="T93" s="665" t="str">
        <f>+IF(JUNIO!T93=0,"",JUNIO!T93)</f>
        <v>Fondos pensionales - Aportes cuenta maestra</v>
      </c>
      <c r="U93" s="27">
        <f>+ENERO!U93</f>
        <v>372680081</v>
      </c>
      <c r="V93" s="15">
        <f>JUNIO!V93+JULIO!AL93</f>
        <v>0</v>
      </c>
      <c r="W93" s="15">
        <f>JUNIO!W93+JULIO!AM93</f>
        <v>0</v>
      </c>
      <c r="X93" s="18">
        <f>SUM(U93:W93)</f>
        <v>372680081</v>
      </c>
      <c r="Y93" s="19">
        <f>JUNIO!AA93</f>
        <v>145255368</v>
      </c>
      <c r="Z93" s="364">
        <v>28610193</v>
      </c>
      <c r="AA93" s="18">
        <f>SUM(Y93:Z93)</f>
        <v>173865561</v>
      </c>
      <c r="AB93" s="19">
        <f>JUNIO!AD93</f>
        <v>145255368</v>
      </c>
      <c r="AC93" s="364">
        <v>28610193</v>
      </c>
      <c r="AD93" s="18">
        <f>SUM(AB93:AC93)</f>
        <v>173865561</v>
      </c>
      <c r="AE93" s="19">
        <f>JUNIO!AG93</f>
        <v>145255368</v>
      </c>
      <c r="AF93" s="364">
        <v>28610193</v>
      </c>
      <c r="AG93" s="18">
        <f>SUM(AE93:AF93)</f>
        <v>173865561</v>
      </c>
      <c r="AH93" s="19">
        <f>X93-AA93</f>
        <v>198814520</v>
      </c>
      <c r="AI93" s="15">
        <f>X93-AD93</f>
        <v>198814520</v>
      </c>
      <c r="AJ93" s="16">
        <f>X93-AG93</f>
        <v>198814520</v>
      </c>
      <c r="AK93" s="9"/>
      <c r="AL93" s="362">
        <v>0</v>
      </c>
      <c r="AM93" s="365">
        <v>0</v>
      </c>
      <c r="AN93" s="30"/>
      <c r="AO93" s="450"/>
      <c r="AP93" s="450"/>
      <c r="AQ93" s="450"/>
      <c r="AR93" s="450"/>
      <c r="AS93" s="450"/>
      <c r="AT93" s="450"/>
      <c r="AU93" s="450"/>
      <c r="AV93" s="450"/>
      <c r="AW93" s="450"/>
      <c r="AX93" s="450"/>
      <c r="AY93" s="450"/>
      <c r="AZ93" s="450"/>
      <c r="BL93" s="30"/>
    </row>
    <row r="94" spans="1:70" s="451" customFormat="1" ht="29.25" customHeight="1">
      <c r="A94" s="720">
        <f>+IF(JUNIO!A94=0,"",JUNIO!A94)</f>
        <v>11303</v>
      </c>
      <c r="B94" s="601" t="str">
        <f>+IF(JUNIO!B94=0,"",JUNIO!B94)</f>
        <v>Aportes (No ligados a la venta de servicios de salud)</v>
      </c>
      <c r="C94" s="600">
        <f>SUM(C95:C102)</f>
        <v>7982899073</v>
      </c>
      <c r="D94" s="598">
        <f t="shared" ref="D94:N94" si="96">SUM(D95:D102)</f>
        <v>0</v>
      </c>
      <c r="E94" s="598">
        <f t="shared" si="96"/>
        <v>8000000000</v>
      </c>
      <c r="F94" s="598">
        <f t="shared" si="96"/>
        <v>15982899073</v>
      </c>
      <c r="G94" s="598">
        <f t="shared" si="96"/>
        <v>11354444422</v>
      </c>
      <c r="H94" s="598">
        <f t="shared" si="96"/>
        <v>3458043932</v>
      </c>
      <c r="I94" s="598">
        <f t="shared" si="96"/>
        <v>14812488354</v>
      </c>
      <c r="J94" s="598">
        <f t="shared" si="96"/>
        <v>11354444422</v>
      </c>
      <c r="K94" s="598">
        <f t="shared" si="96"/>
        <v>3458043932</v>
      </c>
      <c r="L94" s="598">
        <f t="shared" si="96"/>
        <v>14812488354</v>
      </c>
      <c r="M94" s="598">
        <f t="shared" si="96"/>
        <v>1170410719</v>
      </c>
      <c r="N94" s="599">
        <f t="shared" si="96"/>
        <v>1170410719</v>
      </c>
      <c r="O94" s="372"/>
      <c r="P94" s="43">
        <f>SUM(P95:P102)</f>
        <v>0</v>
      </c>
      <c r="Q94" s="45">
        <f>SUM(Q95:Q102)</f>
        <v>0</v>
      </c>
      <c r="R94" s="30"/>
      <c r="S94" s="689" t="str">
        <f>+IF(JUNIO!S94=0,"",JUNIO!S94)</f>
        <v>1020301-3</v>
      </c>
      <c r="T94" s="665" t="str">
        <f>+IF(JUNIO!T94=0,"",JUNIO!T94)</f>
        <v>Fondos de cesantías - Aportes cuenta maestra</v>
      </c>
      <c r="U94" s="27">
        <f>+ENERO!U94</f>
        <v>387061561</v>
      </c>
      <c r="V94" s="15">
        <f>JUNIO!V94+JULIO!AL94</f>
        <v>-387061561</v>
      </c>
      <c r="W94" s="15">
        <f>JUNIO!W94+JULIO!AM94</f>
        <v>0</v>
      </c>
      <c r="X94" s="18">
        <f>SUM(U94:W94)</f>
        <v>0</v>
      </c>
      <c r="Y94" s="19">
        <f>JUNIO!AA94</f>
        <v>0</v>
      </c>
      <c r="Z94" s="364">
        <v>0</v>
      </c>
      <c r="AA94" s="18">
        <f>SUM(Y94:Z94)</f>
        <v>0</v>
      </c>
      <c r="AB94" s="19">
        <f>JUNIO!AD94</f>
        <v>0</v>
      </c>
      <c r="AC94" s="364">
        <v>0</v>
      </c>
      <c r="AD94" s="18">
        <f>SUM(AB94:AC94)</f>
        <v>0</v>
      </c>
      <c r="AE94" s="19">
        <f>JUNIO!AG94</f>
        <v>0</v>
      </c>
      <c r="AF94" s="364">
        <v>0</v>
      </c>
      <c r="AG94" s="18">
        <f>SUM(AE94:AF94)</f>
        <v>0</v>
      </c>
      <c r="AH94" s="19">
        <f>X94-AA94</f>
        <v>0</v>
      </c>
      <c r="AI94" s="15">
        <f>X94-AD94</f>
        <v>0</v>
      </c>
      <c r="AJ94" s="16">
        <f>X94-AG94</f>
        <v>0</v>
      </c>
      <c r="AK94" s="9"/>
      <c r="AL94" s="362">
        <v>-387061561</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+IF(JUNIO!A95=0,"",JUNIO!A95)</f>
        <v>11303-1</v>
      </c>
      <c r="B95" s="602" t="str">
        <f>+IF(JUNIO!B95=0,"",JUNIO!B95)</f>
        <v>CONVENIOS CON LA NACION NO LIGADOS A LA VENTA DE SERVICIOS</v>
      </c>
      <c r="C95" s="654">
        <f>+ENERO!C95</f>
        <v>0</v>
      </c>
      <c r="D95" s="363">
        <f>JUNIO!D95+JULIO!P95</f>
        <v>0</v>
      </c>
      <c r="E95" s="363">
        <f>JUNIO!E95+JULIO!Q95</f>
        <v>0</v>
      </c>
      <c r="F95" s="363">
        <f t="shared" ref="F95:F102" si="97">SUM(C95:E95)</f>
        <v>0</v>
      </c>
      <c r="G95" s="363">
        <f>JUNIO!I95</f>
        <v>0</v>
      </c>
      <c r="H95" s="364">
        <v>0</v>
      </c>
      <c r="I95" s="363">
        <f t="shared" ref="I95:I102" si="98">SUM(G95:H95)</f>
        <v>0</v>
      </c>
      <c r="J95" s="363">
        <f>JUNIO!L95</f>
        <v>0</v>
      </c>
      <c r="K95" s="364">
        <v>0</v>
      </c>
      <c r="L95" s="363">
        <f t="shared" ref="L95:L102" si="99">SUM(J95:K95)</f>
        <v>0</v>
      </c>
      <c r="M95" s="363">
        <f t="shared" ref="M95:M102" si="100">F95-I95</f>
        <v>0</v>
      </c>
      <c r="N95" s="143">
        <f t="shared" ref="N95:N102" si="101">F95-L95</f>
        <v>0</v>
      </c>
      <c r="O95" s="372"/>
      <c r="P95" s="362">
        <v>0</v>
      </c>
      <c r="Q95" s="365">
        <v>0</v>
      </c>
      <c r="R95" s="30"/>
      <c r="S95" s="689" t="str">
        <f>+IF(JUNIO!S95=0,"",JUNIO!S95)</f>
        <v>1020301-4</v>
      </c>
      <c r="T95" s="665" t="str">
        <f>+IF(JUNIO!T95=0,"",JUNIO!T95)</f>
        <v>Riesgos laborales - Aportes cuenta maestra</v>
      </c>
      <c r="U95" s="27">
        <f>+ENERO!U95</f>
        <v>67020416</v>
      </c>
      <c r="V95" s="15">
        <f>JUNIO!V95+JULIO!AL95</f>
        <v>-9000000</v>
      </c>
      <c r="W95" s="15">
        <f>JUNIO!W95+JULIO!AM95</f>
        <v>0</v>
      </c>
      <c r="X95" s="18">
        <f>SUM(U95:W95)</f>
        <v>58020416</v>
      </c>
      <c r="Y95" s="19">
        <f>JUNIO!AA95</f>
        <v>17559600</v>
      </c>
      <c r="Z95" s="364">
        <v>3612240</v>
      </c>
      <c r="AA95" s="18">
        <f>SUM(Y95:Z95)</f>
        <v>21171840</v>
      </c>
      <c r="AB95" s="19">
        <f>JUNIO!AD95</f>
        <v>17559600</v>
      </c>
      <c r="AC95" s="364">
        <v>3612240</v>
      </c>
      <c r="AD95" s="18">
        <f>SUM(AB95:AC95)</f>
        <v>21171840</v>
      </c>
      <c r="AE95" s="19">
        <f>JUNIO!AG95</f>
        <v>17559600</v>
      </c>
      <c r="AF95" s="364">
        <v>3612240</v>
      </c>
      <c r="AG95" s="18">
        <f>SUM(AE95:AF95)</f>
        <v>21171840</v>
      </c>
      <c r="AH95" s="19">
        <f>X95-AA95</f>
        <v>36848576</v>
      </c>
      <c r="AI95" s="15">
        <f>X95-AD95</f>
        <v>36848576</v>
      </c>
      <c r="AJ95" s="16">
        <f>X95-AG95</f>
        <v>36848576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+IF(JUNIO!A96=0,"",JUNIO!A96)</f>
        <v>11303-2</v>
      </c>
      <c r="B96" s="602" t="str">
        <f>+IF(JUNIO!B96=0,"",JUNIO!B96)</f>
        <v>CONVENIOS CON EL DEPARTAMENTO NO LIGADOS A LA VENTA SERVICIOS</v>
      </c>
      <c r="C96" s="654">
        <f>+ENERO!C96</f>
        <v>7982899073</v>
      </c>
      <c r="D96" s="363">
        <f>JUNIO!D96+JULIO!P96</f>
        <v>0</v>
      </c>
      <c r="E96" s="363">
        <f>JUNIO!E96+JULIO!Q96</f>
        <v>8000000000</v>
      </c>
      <c r="F96" s="363">
        <f t="shared" si="97"/>
        <v>15982899073</v>
      </c>
      <c r="G96" s="363">
        <f>JUNIO!I96</f>
        <v>11354444422</v>
      </c>
      <c r="H96" s="364">
        <v>3458043932</v>
      </c>
      <c r="I96" s="363">
        <f t="shared" si="98"/>
        <v>14812488354</v>
      </c>
      <c r="J96" s="363">
        <f>JUNIO!L96</f>
        <v>11354444422</v>
      </c>
      <c r="K96" s="364">
        <v>3458043932</v>
      </c>
      <c r="L96" s="363">
        <f t="shared" si="99"/>
        <v>14812488354</v>
      </c>
      <c r="M96" s="363">
        <f t="shared" si="100"/>
        <v>1170410719</v>
      </c>
      <c r="N96" s="143">
        <f t="shared" si="101"/>
        <v>1170410719</v>
      </c>
      <c r="O96" s="372"/>
      <c r="P96" s="362">
        <v>0</v>
      </c>
      <c r="Q96" s="365">
        <v>0</v>
      </c>
      <c r="S96" s="688">
        <f>+IF(JUNIO!S96=0,"",JUNIO!S96)</f>
        <v>1020302</v>
      </c>
      <c r="T96" s="664" t="str">
        <f>+IF(JUNIO!T96=0,"",JUNIO!T96)</f>
        <v>Contribuciones - Otros</v>
      </c>
      <c r="U96" s="27">
        <f t="shared" ref="U96:AJ96" si="102">SUM(U97:U101)</f>
        <v>1724011237</v>
      </c>
      <c r="V96" s="15">
        <f t="shared" si="102"/>
        <v>-1386777354</v>
      </c>
      <c r="W96" s="15">
        <f t="shared" si="102"/>
        <v>0</v>
      </c>
      <c r="X96" s="18">
        <f t="shared" si="102"/>
        <v>337233883</v>
      </c>
      <c r="Y96" s="19">
        <f t="shared" si="102"/>
        <v>45519600</v>
      </c>
      <c r="Z96" s="142">
        <f t="shared" si="102"/>
        <v>8135440</v>
      </c>
      <c r="AA96" s="18">
        <f t="shared" si="102"/>
        <v>53655040</v>
      </c>
      <c r="AB96" s="19">
        <f t="shared" si="102"/>
        <v>45519600</v>
      </c>
      <c r="AC96" s="142">
        <f t="shared" si="102"/>
        <v>8135440</v>
      </c>
      <c r="AD96" s="18">
        <f t="shared" si="102"/>
        <v>53655040</v>
      </c>
      <c r="AE96" s="19">
        <f t="shared" si="102"/>
        <v>34777840</v>
      </c>
      <c r="AF96" s="142">
        <f t="shared" si="102"/>
        <v>10741760</v>
      </c>
      <c r="AG96" s="18">
        <f t="shared" si="102"/>
        <v>45519600</v>
      </c>
      <c r="AH96" s="19">
        <f t="shared" si="102"/>
        <v>283578843</v>
      </c>
      <c r="AI96" s="15">
        <f t="shared" si="102"/>
        <v>283578843</v>
      </c>
      <c r="AJ96" s="16">
        <f t="shared" si="102"/>
        <v>291714283</v>
      </c>
      <c r="AL96" s="32">
        <f>SUM(AL97:AL101)</f>
        <v>-1386777354</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+IF(JUNIO!A97=0,"",JUNIO!A97)</f>
        <v>11303-3</v>
      </c>
      <c r="B97" s="602" t="str">
        <f>+IF(JUNIO!B97=0,"",JUNIO!B97)</f>
        <v>CONVENIOS CON EL MUNICIPIO NO LIGADOS A LA VENTA DE SERVICIOS</v>
      </c>
      <c r="C97" s="654">
        <f>+ENERO!C97</f>
        <v>0</v>
      </c>
      <c r="D97" s="363">
        <f>JUNIO!D97+JULIO!P97</f>
        <v>0</v>
      </c>
      <c r="E97" s="363">
        <f>JUNIO!E97+JULIO!Q97</f>
        <v>0</v>
      </c>
      <c r="F97" s="363">
        <f t="shared" si="97"/>
        <v>0</v>
      </c>
      <c r="G97" s="363">
        <f>JUNIO!I97</f>
        <v>0</v>
      </c>
      <c r="H97" s="364">
        <v>0</v>
      </c>
      <c r="I97" s="363">
        <f t="shared" si="98"/>
        <v>0</v>
      </c>
      <c r="J97" s="363">
        <f>JUNIO!L97</f>
        <v>0</v>
      </c>
      <c r="K97" s="364">
        <v>0</v>
      </c>
      <c r="L97" s="363">
        <f t="shared" si="99"/>
        <v>0</v>
      </c>
      <c r="M97" s="363">
        <f t="shared" si="100"/>
        <v>0</v>
      </c>
      <c r="N97" s="143">
        <f t="shared" si="101"/>
        <v>0</v>
      </c>
      <c r="O97" s="372"/>
      <c r="P97" s="362">
        <v>0</v>
      </c>
      <c r="Q97" s="365">
        <v>0</v>
      </c>
      <c r="R97" s="30"/>
      <c r="S97" s="689" t="str">
        <f>+IF(JUNIO!S97=0,"",JUNIO!S97)</f>
        <v>1020302-1</v>
      </c>
      <c r="T97" s="665" t="str">
        <f>+IF(JUNIO!T97=0,"",JUNIO!T97)</f>
        <v>Aportes a E.P.S. - recursos propios</v>
      </c>
      <c r="U97" s="27">
        <f>+ENERO!U97</f>
        <v>383898492</v>
      </c>
      <c r="V97" s="15">
        <f>JUNIO!V97+JULIO!AL97</f>
        <v>-383898492</v>
      </c>
      <c r="W97" s="15">
        <f>JUNIO!W97+JULIO!AM97</f>
        <v>0</v>
      </c>
      <c r="X97" s="18">
        <f t="shared" ref="X97:X102" si="103">SUM(U97:W97)</f>
        <v>0</v>
      </c>
      <c r="Y97" s="19">
        <f>JUNIO!AA97</f>
        <v>0</v>
      </c>
      <c r="Z97" s="364">
        <v>0</v>
      </c>
      <c r="AA97" s="18">
        <f t="shared" ref="AA97:AA102" si="104">SUM(Y97:Z97)</f>
        <v>0</v>
      </c>
      <c r="AB97" s="19">
        <f>JUNIO!AD97</f>
        <v>0</v>
      </c>
      <c r="AC97" s="364">
        <v>0</v>
      </c>
      <c r="AD97" s="18">
        <f t="shared" ref="AD97:AD102" si="105">SUM(AB97:AC97)</f>
        <v>0</v>
      </c>
      <c r="AE97" s="19">
        <f>JUNIO!AG97</f>
        <v>0</v>
      </c>
      <c r="AF97" s="364">
        <v>0</v>
      </c>
      <c r="AG97" s="18">
        <f t="shared" ref="AG97:AG102" si="106">SUM(AE97:AF97)</f>
        <v>0</v>
      </c>
      <c r="AH97" s="19">
        <f t="shared" ref="AH97:AH102" si="107">X97-AA97</f>
        <v>0</v>
      </c>
      <c r="AI97" s="15">
        <f t="shared" ref="AI97:AI102" si="108">X97-AD97</f>
        <v>0</v>
      </c>
      <c r="AJ97" s="16">
        <f t="shared" ref="AJ97:AJ102" si="109">X97-AG97</f>
        <v>0</v>
      </c>
      <c r="AK97" s="30"/>
      <c r="AL97" s="362">
        <v>-383898492</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+IF(JUNIO!A98=0,"",JUNIO!A98)</f>
        <v>11303-4</v>
      </c>
      <c r="B98" s="602" t="str">
        <f>+IF(JUNIO!B98=0,"",JUNIO!B98)</f>
        <v>OTROS CONVENIOS NO LIGADOS A LA VENTA DE SERVICIOS</v>
      </c>
      <c r="C98" s="654">
        <f>+ENERO!C98</f>
        <v>0</v>
      </c>
      <c r="D98" s="363">
        <f>JUNIO!D98+JULIO!P98</f>
        <v>0</v>
      </c>
      <c r="E98" s="363">
        <f>JUNIO!E98+JULIO!Q98</f>
        <v>0</v>
      </c>
      <c r="F98" s="363">
        <f t="shared" si="97"/>
        <v>0</v>
      </c>
      <c r="G98" s="363">
        <f>JUNIO!I98</f>
        <v>0</v>
      </c>
      <c r="H98" s="364">
        <v>0</v>
      </c>
      <c r="I98" s="363">
        <f t="shared" si="98"/>
        <v>0</v>
      </c>
      <c r="J98" s="363">
        <f>JUNIO!L98</f>
        <v>0</v>
      </c>
      <c r="K98" s="364">
        <v>0</v>
      </c>
      <c r="L98" s="363">
        <f t="shared" si="99"/>
        <v>0</v>
      </c>
      <c r="M98" s="363">
        <f t="shared" si="100"/>
        <v>0</v>
      </c>
      <c r="N98" s="143">
        <f t="shared" si="101"/>
        <v>0</v>
      </c>
      <c r="O98" s="372"/>
      <c r="P98" s="362">
        <v>0</v>
      </c>
      <c r="Q98" s="365">
        <v>0</v>
      </c>
      <c r="R98" s="30"/>
      <c r="S98" s="689" t="str">
        <f>+IF(JUNIO!S98=0,"",JUNIO!S98)</f>
        <v>1020302-2</v>
      </c>
      <c r="T98" s="665" t="str">
        <f>+IF(JUNIO!T98=0,"",JUNIO!T98)</f>
        <v>Aportes Fondos Pensionales - recursos propios</v>
      </c>
      <c r="U98" s="27">
        <f>+ENERO!U98</f>
        <v>555127711</v>
      </c>
      <c r="V98" s="15">
        <f>JUNIO!V98+JULIO!AL98</f>
        <v>-555127711</v>
      </c>
      <c r="W98" s="15">
        <f>JUNIO!W98+JULIO!AM98</f>
        <v>0</v>
      </c>
      <c r="X98" s="18">
        <f t="shared" si="103"/>
        <v>0</v>
      </c>
      <c r="Y98" s="19">
        <f>JUNIO!AA98</f>
        <v>0</v>
      </c>
      <c r="Z98" s="364">
        <v>0</v>
      </c>
      <c r="AA98" s="18">
        <f t="shared" si="104"/>
        <v>0</v>
      </c>
      <c r="AB98" s="19">
        <f>JUNIO!AD98</f>
        <v>0</v>
      </c>
      <c r="AC98" s="364">
        <v>0</v>
      </c>
      <c r="AD98" s="18">
        <f t="shared" si="105"/>
        <v>0</v>
      </c>
      <c r="AE98" s="19">
        <f>JUNIO!AG98</f>
        <v>0</v>
      </c>
      <c r="AF98" s="364">
        <v>0</v>
      </c>
      <c r="AG98" s="18">
        <f t="shared" si="106"/>
        <v>0</v>
      </c>
      <c r="AH98" s="19">
        <f t="shared" si="107"/>
        <v>0</v>
      </c>
      <c r="AI98" s="15">
        <f t="shared" si="108"/>
        <v>0</v>
      </c>
      <c r="AJ98" s="16">
        <f t="shared" si="109"/>
        <v>0</v>
      </c>
      <c r="AK98" s="30"/>
      <c r="AL98" s="362">
        <v>-555127711</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+IF(JUNIO!A99=0,"",JUNIO!A99)</f>
        <v>11303-5</v>
      </c>
      <c r="B99" s="602" t="str">
        <f>+IF(JUNIO!B99=0,"",JUNIO!B99)</f>
        <v>RECURSOS PARA PROGRAMA DE SANEAMIENTO FINANCIERO</v>
      </c>
      <c r="C99" s="654">
        <f>+ENERO!C99</f>
        <v>0</v>
      </c>
      <c r="D99" s="363">
        <f>JUNIO!D99+JULIO!P99</f>
        <v>0</v>
      </c>
      <c r="E99" s="363">
        <f>JUNIO!E99+JULIO!Q99</f>
        <v>0</v>
      </c>
      <c r="F99" s="363">
        <f t="shared" si="97"/>
        <v>0</v>
      </c>
      <c r="G99" s="363">
        <f>JUNIO!I99</f>
        <v>0</v>
      </c>
      <c r="H99" s="364">
        <v>0</v>
      </c>
      <c r="I99" s="363">
        <f t="shared" si="98"/>
        <v>0</v>
      </c>
      <c r="J99" s="363">
        <f>JUNIO!L99</f>
        <v>0</v>
      </c>
      <c r="K99" s="364">
        <v>0</v>
      </c>
      <c r="L99" s="363">
        <f t="shared" si="99"/>
        <v>0</v>
      </c>
      <c r="M99" s="363">
        <f t="shared" si="100"/>
        <v>0</v>
      </c>
      <c r="N99" s="143">
        <f t="shared" si="101"/>
        <v>0</v>
      </c>
      <c r="O99" s="372"/>
      <c r="P99" s="362">
        <v>0</v>
      </c>
      <c r="Q99" s="365">
        <v>0</v>
      </c>
      <c r="R99" s="30"/>
      <c r="S99" s="689" t="str">
        <f>+IF(JUNIO!S99=0,"",JUNIO!S99)</f>
        <v>1020302-3</v>
      </c>
      <c r="T99" s="665" t="str">
        <f>+IF(JUNIO!T99=0,"",JUNIO!T99)</f>
        <v>Aportes a Fondos de Cesantia - recursos propios</v>
      </c>
      <c r="U99" s="27">
        <f>+ENERO!U99</f>
        <v>326426572</v>
      </c>
      <c r="V99" s="15">
        <f>JUNIO!V99+JULIO!AL99</f>
        <v>-326426572</v>
      </c>
      <c r="W99" s="15">
        <f>JUNIO!W99+JULIO!AM99</f>
        <v>0</v>
      </c>
      <c r="X99" s="18">
        <f t="shared" si="103"/>
        <v>0</v>
      </c>
      <c r="Y99" s="19">
        <f>JUNIO!AA99</f>
        <v>0</v>
      </c>
      <c r="Z99" s="364">
        <v>0</v>
      </c>
      <c r="AA99" s="18">
        <f t="shared" si="104"/>
        <v>0</v>
      </c>
      <c r="AB99" s="19">
        <f>JUNIO!AD99</f>
        <v>0</v>
      </c>
      <c r="AC99" s="364">
        <v>0</v>
      </c>
      <c r="AD99" s="18">
        <f t="shared" si="105"/>
        <v>0</v>
      </c>
      <c r="AE99" s="19">
        <f>JUNIO!AG99</f>
        <v>0</v>
      </c>
      <c r="AF99" s="364">
        <v>0</v>
      </c>
      <c r="AG99" s="18">
        <f t="shared" si="106"/>
        <v>0</v>
      </c>
      <c r="AH99" s="19">
        <f t="shared" si="107"/>
        <v>0</v>
      </c>
      <c r="AI99" s="15">
        <f t="shared" si="108"/>
        <v>0</v>
      </c>
      <c r="AJ99" s="16">
        <f t="shared" si="109"/>
        <v>0</v>
      </c>
      <c r="AK99" s="30"/>
      <c r="AL99" s="362">
        <v>-326426572</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+IF(JUNIO!A100=0,"",JUNIO!A100)</f>
        <v>11303-6</v>
      </c>
      <c r="B100" s="602" t="str">
        <f>+IF(JUNIO!B100=0,"",JUNIO!B100)</f>
        <v/>
      </c>
      <c r="C100" s="654">
        <f>+ENERO!C100</f>
        <v>0</v>
      </c>
      <c r="D100" s="363">
        <f>JUNIO!D100+JULIO!P100</f>
        <v>0</v>
      </c>
      <c r="E100" s="363">
        <f>JUNIO!E100+JULIO!Q100</f>
        <v>0</v>
      </c>
      <c r="F100" s="363">
        <f t="shared" si="97"/>
        <v>0</v>
      </c>
      <c r="G100" s="363">
        <f>JUNIO!I100</f>
        <v>0</v>
      </c>
      <c r="H100" s="364">
        <v>0</v>
      </c>
      <c r="I100" s="363">
        <f t="shared" si="98"/>
        <v>0</v>
      </c>
      <c r="J100" s="363">
        <f>JUNIO!L100</f>
        <v>0</v>
      </c>
      <c r="K100" s="364">
        <v>0</v>
      </c>
      <c r="L100" s="363">
        <f t="shared" si="99"/>
        <v>0</v>
      </c>
      <c r="M100" s="363">
        <f t="shared" si="100"/>
        <v>0</v>
      </c>
      <c r="N100" s="143">
        <f t="shared" si="101"/>
        <v>0</v>
      </c>
      <c r="P100" s="362">
        <v>0</v>
      </c>
      <c r="Q100" s="365">
        <v>0</v>
      </c>
      <c r="R100" s="9"/>
      <c r="S100" s="689" t="str">
        <f>+IF(JUNIO!S100=0,"",JUNIO!S100)</f>
        <v>1020302-4</v>
      </c>
      <c r="T100" s="665" t="str">
        <f>+IF(JUNIO!T100=0,"",JUNIO!T100)</f>
        <v>Aporte a ARL. - recursos propios</v>
      </c>
      <c r="U100" s="27">
        <f>+ENERO!U100</f>
        <v>121324579</v>
      </c>
      <c r="V100" s="15">
        <f>JUNIO!V100+JULIO!AL100</f>
        <v>-121324579</v>
      </c>
      <c r="W100" s="15">
        <f>JUNIO!W100+JULIO!AM100</f>
        <v>0</v>
      </c>
      <c r="X100" s="18">
        <f t="shared" si="103"/>
        <v>0</v>
      </c>
      <c r="Y100" s="19">
        <f>JUNIO!AA100</f>
        <v>0</v>
      </c>
      <c r="Z100" s="364">
        <v>0</v>
      </c>
      <c r="AA100" s="18">
        <f t="shared" si="104"/>
        <v>0</v>
      </c>
      <c r="AB100" s="19">
        <f>JUNIO!AD100</f>
        <v>0</v>
      </c>
      <c r="AC100" s="364">
        <v>0</v>
      </c>
      <c r="AD100" s="18">
        <f t="shared" si="105"/>
        <v>0</v>
      </c>
      <c r="AE100" s="19">
        <f>JUNIO!AG100</f>
        <v>0</v>
      </c>
      <c r="AF100" s="364">
        <v>0</v>
      </c>
      <c r="AG100" s="18">
        <f t="shared" si="106"/>
        <v>0</v>
      </c>
      <c r="AH100" s="19">
        <f t="shared" si="107"/>
        <v>0</v>
      </c>
      <c r="AI100" s="15">
        <f t="shared" si="108"/>
        <v>0</v>
      </c>
      <c r="AJ100" s="16">
        <f t="shared" si="109"/>
        <v>0</v>
      </c>
      <c r="AK100" s="30"/>
      <c r="AL100" s="362">
        <v>-121324579</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+IF(JUNIO!A101=0,"",JUNIO!A101)</f>
        <v>11303-7</v>
      </c>
      <c r="B101" s="602" t="str">
        <f>+IF(JUNIO!B101=0,"",JUNIO!B101)</f>
        <v/>
      </c>
      <c r="C101" s="654">
        <f>+ENERO!C101</f>
        <v>0</v>
      </c>
      <c r="D101" s="363">
        <f>JUNIO!D101+JULIO!P101</f>
        <v>0</v>
      </c>
      <c r="E101" s="363">
        <f>JUNIO!E101+JULIO!Q101</f>
        <v>0</v>
      </c>
      <c r="F101" s="363">
        <f t="shared" si="97"/>
        <v>0</v>
      </c>
      <c r="G101" s="363">
        <f>JUNIO!I101</f>
        <v>0</v>
      </c>
      <c r="H101" s="364">
        <v>0</v>
      </c>
      <c r="I101" s="363">
        <f t="shared" si="98"/>
        <v>0</v>
      </c>
      <c r="J101" s="363">
        <f>JUNIO!L101</f>
        <v>0</v>
      </c>
      <c r="K101" s="364">
        <v>0</v>
      </c>
      <c r="L101" s="363">
        <f t="shared" si="99"/>
        <v>0</v>
      </c>
      <c r="M101" s="363">
        <f t="shared" si="100"/>
        <v>0</v>
      </c>
      <c r="N101" s="143">
        <f t="shared" si="101"/>
        <v>0</v>
      </c>
      <c r="P101" s="362">
        <v>0</v>
      </c>
      <c r="Q101" s="365">
        <v>0</v>
      </c>
      <c r="R101" s="9"/>
      <c r="S101" s="689" t="str">
        <f>+IF(JUNIO!S101=0,"",JUNIO!S101)</f>
        <v>1020302-5</v>
      </c>
      <c r="T101" s="665" t="str">
        <f>+IF(JUNIO!T101=0,"",JUNIO!T101)</f>
        <v>Aporte a Caja Compensación Familiar</v>
      </c>
      <c r="U101" s="27">
        <f>+ENERO!U101</f>
        <v>337233883</v>
      </c>
      <c r="V101" s="15">
        <f>JUNIO!V101+JULIO!AL101</f>
        <v>0</v>
      </c>
      <c r="W101" s="15">
        <f>JUNIO!W101+JULIO!AM101</f>
        <v>0</v>
      </c>
      <c r="X101" s="18">
        <f t="shared" si="103"/>
        <v>337233883</v>
      </c>
      <c r="Y101" s="19">
        <f>JUNIO!AA101</f>
        <v>45519600</v>
      </c>
      <c r="Z101" s="364">
        <v>8135440</v>
      </c>
      <c r="AA101" s="18">
        <f t="shared" si="104"/>
        <v>53655040</v>
      </c>
      <c r="AB101" s="19">
        <f>JUNIO!AD101</f>
        <v>45519600</v>
      </c>
      <c r="AC101" s="364">
        <v>8135440</v>
      </c>
      <c r="AD101" s="18">
        <f t="shared" si="105"/>
        <v>53655040</v>
      </c>
      <c r="AE101" s="19">
        <f>JUNIO!AG101</f>
        <v>34777840</v>
      </c>
      <c r="AF101" s="364">
        <v>10741760</v>
      </c>
      <c r="AG101" s="18">
        <f t="shared" si="106"/>
        <v>45519600</v>
      </c>
      <c r="AH101" s="19">
        <f t="shared" si="107"/>
        <v>283578843</v>
      </c>
      <c r="AI101" s="15">
        <f t="shared" si="108"/>
        <v>283578843</v>
      </c>
      <c r="AJ101" s="16">
        <f t="shared" si="109"/>
        <v>291714283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+IF(JUNIO!A102=0,"",JUNIO!A102)</f>
        <v>11303-8</v>
      </c>
      <c r="B102" s="611" t="str">
        <f>+IF(JUNIO!B102=0,"",JUNIO!B102)</f>
        <v>Vigencia Anterior</v>
      </c>
      <c r="C102" s="760">
        <f>+ENERO!C102</f>
        <v>0</v>
      </c>
      <c r="D102" s="375">
        <f>JUNIO!D102+JULIO!P102</f>
        <v>0</v>
      </c>
      <c r="E102" s="375">
        <f>JUNIO!E102+JULIO!Q102</f>
        <v>0</v>
      </c>
      <c r="F102" s="375">
        <f t="shared" si="97"/>
        <v>0</v>
      </c>
      <c r="G102" s="375">
        <f>JUNIO!I102</f>
        <v>0</v>
      </c>
      <c r="H102" s="378">
        <v>0</v>
      </c>
      <c r="I102" s="375">
        <f t="shared" si="98"/>
        <v>0</v>
      </c>
      <c r="J102" s="375">
        <f>JUNIO!L102</f>
        <v>0</v>
      </c>
      <c r="K102" s="378">
        <v>0</v>
      </c>
      <c r="L102" s="375">
        <f t="shared" si="99"/>
        <v>0</v>
      </c>
      <c r="M102" s="375">
        <f t="shared" si="100"/>
        <v>0</v>
      </c>
      <c r="N102" s="376">
        <f t="shared" si="101"/>
        <v>0</v>
      </c>
      <c r="P102" s="362">
        <v>0</v>
      </c>
      <c r="Q102" s="365">
        <v>0</v>
      </c>
      <c r="R102" s="9"/>
      <c r="S102" s="688">
        <f>+IF(JUNIO!S102=0,"",JUNIO!S102)</f>
        <v>1020399</v>
      </c>
      <c r="T102" s="664" t="str">
        <f>+IF(JUNIO!T102=0,"",JUNIO!T102)</f>
        <v>Vigencias Anteriores</v>
      </c>
      <c r="U102" s="27">
        <f>+ENERO!U102</f>
        <v>172000000</v>
      </c>
      <c r="V102" s="15">
        <f>JUNIO!V102+JULIO!AL102</f>
        <v>6501068</v>
      </c>
      <c r="W102" s="15">
        <f>JUNIO!W102+JULIO!AM102</f>
        <v>13182074</v>
      </c>
      <c r="X102" s="18">
        <f t="shared" si="103"/>
        <v>191683142</v>
      </c>
      <c r="Y102" s="19">
        <f>JUNIO!AA102</f>
        <v>191683142</v>
      </c>
      <c r="Z102" s="364">
        <v>0</v>
      </c>
      <c r="AA102" s="18">
        <f t="shared" si="104"/>
        <v>191683142</v>
      </c>
      <c r="AB102" s="19">
        <f>JUNIO!AD102</f>
        <v>191683142</v>
      </c>
      <c r="AC102" s="364">
        <v>0</v>
      </c>
      <c r="AD102" s="18">
        <f t="shared" si="105"/>
        <v>191683142</v>
      </c>
      <c r="AE102" s="19">
        <f>JUNIO!AG102</f>
        <v>191683142</v>
      </c>
      <c r="AF102" s="364">
        <v>0</v>
      </c>
      <c r="AG102" s="1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+IF(JUNIO!A103=0,"",JUNIO!A103)</f>
        <v/>
      </c>
      <c r="B103" s="636" t="str">
        <f>+IF(JUNIO!B103=0,"",JUNIO!B103)</f>
        <v/>
      </c>
      <c r="C103" s="470"/>
      <c r="D103" s="470"/>
      <c r="E103" s="470"/>
      <c r="F103" s="470"/>
      <c r="G103" s="470"/>
      <c r="H103" s="470"/>
      <c r="I103" s="470"/>
      <c r="J103" s="470"/>
      <c r="K103" s="470"/>
      <c r="L103" s="470"/>
      <c r="M103" s="470"/>
      <c r="N103" s="471"/>
      <c r="P103" s="472"/>
      <c r="Q103" s="471"/>
      <c r="R103" s="9"/>
      <c r="S103" s="356" t="str">
        <f>+IF(JUNIO!S103=0,"",JUNIO!S103)</f>
        <v/>
      </c>
      <c r="T103" s="678" t="str">
        <f>+IF(JUNIO!T103=0,"",JUNIO!T103)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+IF(JUNIO!A104=0,"",JUNIO!A104)</f>
        <v>11304</v>
      </c>
      <c r="B104" s="601" t="str">
        <f>+IF(JUNIO!B104=0,"",JUNIO!B104)</f>
        <v>Otros ingresos corrientes</v>
      </c>
      <c r="C104" s="600">
        <f>SUM(C105:C111)</f>
        <v>98172123</v>
      </c>
      <c r="D104" s="598">
        <f t="shared" ref="D104:N104" si="110">SUM(D105:D111)</f>
        <v>0</v>
      </c>
      <c r="E104" s="598">
        <f t="shared" si="110"/>
        <v>2205940</v>
      </c>
      <c r="F104" s="598">
        <f t="shared" si="110"/>
        <v>100378063</v>
      </c>
      <c r="G104" s="598">
        <f t="shared" si="110"/>
        <v>62356541</v>
      </c>
      <c r="H104" s="598">
        <f t="shared" si="110"/>
        <v>38892514</v>
      </c>
      <c r="I104" s="598">
        <f t="shared" si="110"/>
        <v>101249055</v>
      </c>
      <c r="J104" s="598">
        <f t="shared" si="110"/>
        <v>17535873</v>
      </c>
      <c r="K104" s="598">
        <f t="shared" si="110"/>
        <v>31524636</v>
      </c>
      <c r="L104" s="598">
        <f t="shared" si="110"/>
        <v>49060509</v>
      </c>
      <c r="M104" s="598">
        <f t="shared" si="110"/>
        <v>-870992</v>
      </c>
      <c r="N104" s="599">
        <f t="shared" si="110"/>
        <v>51317554</v>
      </c>
      <c r="P104" s="43">
        <f>SUM(P105:P111)</f>
        <v>0</v>
      </c>
      <c r="Q104" s="45">
        <f>SUM(Q105:Q111)</f>
        <v>2205940</v>
      </c>
      <c r="R104" s="9"/>
      <c r="S104" s="687">
        <f>+IF(JUNIO!S104=0,"",JUNIO!S104)</f>
        <v>1020400</v>
      </c>
      <c r="T104" s="663" t="str">
        <f>+IF(JUNIO!T104=0,"",JUNIO!T104)</f>
        <v>Contribuciones Inherentes nómina del Sector Publico</v>
      </c>
      <c r="U104" s="132">
        <f t="shared" ref="U104:AJ104" si="111">U105+U108</f>
        <v>421542354</v>
      </c>
      <c r="V104" s="122">
        <f t="shared" si="111"/>
        <v>0</v>
      </c>
      <c r="W104" s="122">
        <f t="shared" si="111"/>
        <v>0</v>
      </c>
      <c r="X104" s="129">
        <f t="shared" si="111"/>
        <v>421542354</v>
      </c>
      <c r="Y104" s="128">
        <f t="shared" si="111"/>
        <v>56899500</v>
      </c>
      <c r="Z104" s="122">
        <f t="shared" si="111"/>
        <v>10169300</v>
      </c>
      <c r="AA104" s="129">
        <f t="shared" si="111"/>
        <v>67068800</v>
      </c>
      <c r="AB104" s="128">
        <f t="shared" si="111"/>
        <v>56899500</v>
      </c>
      <c r="AC104" s="122">
        <f t="shared" si="111"/>
        <v>10169300</v>
      </c>
      <c r="AD104" s="129">
        <f t="shared" si="111"/>
        <v>67068800</v>
      </c>
      <c r="AE104" s="128">
        <f t="shared" si="111"/>
        <v>43472300</v>
      </c>
      <c r="AF104" s="122">
        <f t="shared" si="111"/>
        <v>13427200</v>
      </c>
      <c r="AG104" s="129">
        <f t="shared" si="111"/>
        <v>56899500</v>
      </c>
      <c r="AH104" s="128">
        <f t="shared" si="111"/>
        <v>354473554</v>
      </c>
      <c r="AI104" s="122">
        <f t="shared" si="111"/>
        <v>354473554</v>
      </c>
      <c r="AJ104" s="130">
        <f t="shared" si="111"/>
        <v>364642854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+IF(JUNIO!A105=0,"",JUNIO!A105)</f>
        <v>11304-1</v>
      </c>
      <c r="B105" s="602" t="str">
        <f>+IF(JUNIO!B105=0,"",JUNIO!B105)</f>
        <v>ARRENDAMIENTO Y ALQUILER DE BIENES MUEBLES E INMUEBLES</v>
      </c>
      <c r="C105" s="654">
        <f>+ENERO!C105</f>
        <v>35952047</v>
      </c>
      <c r="D105" s="363">
        <f>JUNIO!D105+JULIO!P105</f>
        <v>0</v>
      </c>
      <c r="E105" s="363">
        <f>JUNIO!E105+JULIO!Q105</f>
        <v>0</v>
      </c>
      <c r="F105" s="363">
        <f t="shared" ref="F105:F111" si="112">SUM(C105:E105)</f>
        <v>35952047</v>
      </c>
      <c r="G105" s="363">
        <f>JUNIO!I105</f>
        <v>53674920</v>
      </c>
      <c r="H105" s="364">
        <v>9082020</v>
      </c>
      <c r="I105" s="363">
        <f t="shared" ref="I105:I111" si="113">SUM(G105:H105)</f>
        <v>62756940</v>
      </c>
      <c r="J105" s="363">
        <f>JUNIO!L105</f>
        <v>8854252</v>
      </c>
      <c r="K105" s="364">
        <v>1714142</v>
      </c>
      <c r="L105" s="363">
        <f t="shared" ref="L105:L111" si="114">SUM(J105:K105)</f>
        <v>10568394</v>
      </c>
      <c r="M105" s="363">
        <f t="shared" ref="M105:M111" si="115">F105-I105</f>
        <v>-26804893</v>
      </c>
      <c r="N105" s="143">
        <f t="shared" ref="N105:N111" si="116">F105-L105</f>
        <v>25383653</v>
      </c>
      <c r="P105" s="362">
        <v>0</v>
      </c>
      <c r="Q105" s="365">
        <v>0</v>
      </c>
      <c r="R105" s="9"/>
      <c r="S105" s="688">
        <f>+IF(JUNIO!S105=0,"",JUNIO!S105)</f>
        <v>1020402</v>
      </c>
      <c r="T105" s="664" t="str">
        <f>+IF(JUNIO!T105=0,"",JUNIO!T105)</f>
        <v>Contribuciones - Otros</v>
      </c>
      <c r="U105" s="27">
        <f t="shared" ref="U105:AJ105" si="117">SUM(U106:U107)</f>
        <v>421542354</v>
      </c>
      <c r="V105" s="15">
        <f t="shared" si="117"/>
        <v>0</v>
      </c>
      <c r="W105" s="15">
        <f t="shared" si="117"/>
        <v>0</v>
      </c>
      <c r="X105" s="18">
        <f t="shared" si="117"/>
        <v>421542354</v>
      </c>
      <c r="Y105" s="19">
        <f t="shared" si="117"/>
        <v>56899500</v>
      </c>
      <c r="Z105" s="142">
        <f t="shared" si="117"/>
        <v>10169300</v>
      </c>
      <c r="AA105" s="18">
        <f t="shared" si="117"/>
        <v>67068800</v>
      </c>
      <c r="AB105" s="19">
        <f t="shared" si="117"/>
        <v>56899500</v>
      </c>
      <c r="AC105" s="142">
        <f t="shared" si="117"/>
        <v>10169300</v>
      </c>
      <c r="AD105" s="18">
        <f t="shared" si="117"/>
        <v>67068800</v>
      </c>
      <c r="AE105" s="19">
        <f t="shared" si="117"/>
        <v>43472300</v>
      </c>
      <c r="AF105" s="142">
        <f t="shared" si="117"/>
        <v>13427200</v>
      </c>
      <c r="AG105" s="18">
        <f t="shared" si="117"/>
        <v>56899500</v>
      </c>
      <c r="AH105" s="19">
        <f t="shared" si="117"/>
        <v>354473554</v>
      </c>
      <c r="AI105" s="15">
        <f t="shared" si="117"/>
        <v>354473554</v>
      </c>
      <c r="AJ105" s="16">
        <f t="shared" si="117"/>
        <v>364642854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+IF(JUNIO!A106=0,"",JUNIO!A106)</f>
        <v>11304-2</v>
      </c>
      <c r="B106" s="603" t="str">
        <f>+IF(JUNIO!B106=0,"",JUNIO!B106)</f>
        <v>COMERCIALIZACIÓN DE MERCANCÍAS</v>
      </c>
      <c r="C106" s="654">
        <f>+ENERO!C106</f>
        <v>0</v>
      </c>
      <c r="D106" s="363">
        <f>JUNIO!D106+JULIO!P106</f>
        <v>0</v>
      </c>
      <c r="E106" s="363">
        <f>JUNIO!E106+JULIO!Q106</f>
        <v>0</v>
      </c>
      <c r="F106" s="363">
        <f t="shared" si="112"/>
        <v>0</v>
      </c>
      <c r="G106" s="363">
        <f>JUNIO!I106</f>
        <v>0</v>
      </c>
      <c r="H106" s="364">
        <v>0</v>
      </c>
      <c r="I106" s="363">
        <f t="shared" si="113"/>
        <v>0</v>
      </c>
      <c r="J106" s="363">
        <f>JUNIO!L106</f>
        <v>0</v>
      </c>
      <c r="K106" s="364">
        <v>0</v>
      </c>
      <c r="L106" s="363">
        <f t="shared" si="114"/>
        <v>0</v>
      </c>
      <c r="M106" s="363">
        <f t="shared" si="115"/>
        <v>0</v>
      </c>
      <c r="N106" s="143">
        <f t="shared" si="116"/>
        <v>0</v>
      </c>
      <c r="P106" s="362">
        <v>0</v>
      </c>
      <c r="Q106" s="365">
        <v>0</v>
      </c>
      <c r="R106" s="9"/>
      <c r="S106" s="689" t="str">
        <f>+IF(JUNIO!S106=0,"",JUNIO!S106)</f>
        <v>1020402-1</v>
      </c>
      <c r="T106" s="664" t="str">
        <f>+IF(JUNIO!T106=0,"",JUNIO!T106)</f>
        <v>S.E.N.A.</v>
      </c>
      <c r="U106" s="27">
        <f>+ENERO!U106</f>
        <v>168616942</v>
      </c>
      <c r="V106" s="15">
        <f>JUNIO!V106+JULIO!AL106</f>
        <v>0</v>
      </c>
      <c r="W106" s="15">
        <f>JUNIO!W106+JULIO!AM106</f>
        <v>0</v>
      </c>
      <c r="X106" s="18">
        <f>SUM(U106:W106)</f>
        <v>168616942</v>
      </c>
      <c r="Y106" s="19">
        <f>JUNIO!AA106</f>
        <v>22759800</v>
      </c>
      <c r="Z106" s="364">
        <v>4067720</v>
      </c>
      <c r="AA106" s="18">
        <f>SUM(Y106:Z106)</f>
        <v>26827520</v>
      </c>
      <c r="AB106" s="19">
        <f>JUNIO!AD106</f>
        <v>22759800</v>
      </c>
      <c r="AC106" s="364">
        <v>4067720</v>
      </c>
      <c r="AD106" s="18">
        <f>SUM(AB106:AC106)</f>
        <v>26827520</v>
      </c>
      <c r="AE106" s="19">
        <f>JUNIO!AG106</f>
        <v>17388920</v>
      </c>
      <c r="AF106" s="364">
        <v>5370880</v>
      </c>
      <c r="AG106" s="18">
        <f>SUM(AE106:AF106)</f>
        <v>22759800</v>
      </c>
      <c r="AH106" s="19">
        <f>X106-AA106</f>
        <v>141789422</v>
      </c>
      <c r="AI106" s="15">
        <f>X106-AD106</f>
        <v>141789422</v>
      </c>
      <c r="AJ106" s="16">
        <f>X106-AG106</f>
        <v>145857142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+IF(JUNIO!A107=0,"",JUNIO!A107)</f>
        <v>11304-3</v>
      </c>
      <c r="B107" s="602" t="str">
        <f>+IF(JUNIO!B107=0,"",JUNIO!B107)</f>
        <v>Bienestar Social</v>
      </c>
      <c r="C107" s="654">
        <f>+ENERO!C107</f>
        <v>0</v>
      </c>
      <c r="D107" s="363">
        <f>JUNIO!D107+JULIO!P107</f>
        <v>0</v>
      </c>
      <c r="E107" s="363">
        <f>JUNIO!E107+JULIO!Q107</f>
        <v>0</v>
      </c>
      <c r="F107" s="363">
        <f t="shared" si="112"/>
        <v>0</v>
      </c>
      <c r="G107" s="363">
        <f>JUNIO!I107</f>
        <v>0</v>
      </c>
      <c r="H107" s="364">
        <v>0</v>
      </c>
      <c r="I107" s="363">
        <f t="shared" si="113"/>
        <v>0</v>
      </c>
      <c r="J107" s="363">
        <f>JUNIO!L107</f>
        <v>0</v>
      </c>
      <c r="K107" s="364">
        <v>0</v>
      </c>
      <c r="L107" s="363">
        <f t="shared" si="114"/>
        <v>0</v>
      </c>
      <c r="M107" s="363">
        <f t="shared" si="115"/>
        <v>0</v>
      </c>
      <c r="N107" s="143">
        <f t="shared" si="116"/>
        <v>0</v>
      </c>
      <c r="P107" s="362">
        <v>0</v>
      </c>
      <c r="Q107" s="365">
        <v>0</v>
      </c>
      <c r="R107" s="9"/>
      <c r="S107" s="689" t="str">
        <f>+IF(JUNIO!S107=0,"",JUNIO!S107)</f>
        <v>1020402-2</v>
      </c>
      <c r="T107" s="664" t="str">
        <f>+IF(JUNIO!T107=0,"",JUNIO!T107)</f>
        <v>I.C.B.F.</v>
      </c>
      <c r="U107" s="27">
        <f>+ENERO!U107</f>
        <v>252925412</v>
      </c>
      <c r="V107" s="15">
        <f>JUNIO!V107+JULIO!AL107</f>
        <v>0</v>
      </c>
      <c r="W107" s="15">
        <f>JUNIO!W107+JULIO!AM107</f>
        <v>0</v>
      </c>
      <c r="X107" s="18">
        <f>SUM(U107:W107)</f>
        <v>252925412</v>
      </c>
      <c r="Y107" s="19">
        <f>JUNIO!AA107</f>
        <v>34139700</v>
      </c>
      <c r="Z107" s="364">
        <v>6101580</v>
      </c>
      <c r="AA107" s="18">
        <f>SUM(Y107:Z107)</f>
        <v>40241280</v>
      </c>
      <c r="AB107" s="19">
        <f>JUNIO!AD107</f>
        <v>34139700</v>
      </c>
      <c r="AC107" s="364">
        <v>6101580</v>
      </c>
      <c r="AD107" s="18">
        <f>SUM(AB107:AC107)</f>
        <v>40241280</v>
      </c>
      <c r="AE107" s="19">
        <f>JUNIO!AG107</f>
        <v>26083380</v>
      </c>
      <c r="AF107" s="364">
        <v>8056320</v>
      </c>
      <c r="AG107" s="18">
        <f>SUM(AE107:AF107)</f>
        <v>34139700</v>
      </c>
      <c r="AH107" s="19">
        <f>X107-AA107</f>
        <v>212684132</v>
      </c>
      <c r="AI107" s="15">
        <f>X107-AD107</f>
        <v>212684132</v>
      </c>
      <c r="AJ107" s="16">
        <f>X107-AG107</f>
        <v>218785712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+IF(JUNIO!A108=0,"",JUNIO!A108)</f>
        <v>11304-4</v>
      </c>
      <c r="B108" s="602" t="str">
        <f>+IF(JUNIO!B108=0,"",JUNIO!B108)</f>
        <v>Fondo de la Vivienda</v>
      </c>
      <c r="C108" s="654">
        <f>+ENERO!C108</f>
        <v>0</v>
      </c>
      <c r="D108" s="363">
        <f>JUNIO!D108+JULIO!P108</f>
        <v>0</v>
      </c>
      <c r="E108" s="363">
        <f>JUNIO!E108+JULIO!Q108</f>
        <v>0</v>
      </c>
      <c r="F108" s="363">
        <f t="shared" si="112"/>
        <v>0</v>
      </c>
      <c r="G108" s="363">
        <f>JUNIO!I108</f>
        <v>0</v>
      </c>
      <c r="H108" s="364">
        <v>0</v>
      </c>
      <c r="I108" s="363">
        <f t="shared" si="113"/>
        <v>0</v>
      </c>
      <c r="J108" s="363">
        <f>JUNIO!L108</f>
        <v>0</v>
      </c>
      <c r="K108" s="364">
        <v>0</v>
      </c>
      <c r="L108" s="363">
        <f t="shared" si="114"/>
        <v>0</v>
      </c>
      <c r="M108" s="363">
        <f t="shared" si="115"/>
        <v>0</v>
      </c>
      <c r="N108" s="143">
        <f t="shared" si="116"/>
        <v>0</v>
      </c>
      <c r="P108" s="362">
        <v>0</v>
      </c>
      <c r="Q108" s="365">
        <v>0</v>
      </c>
      <c r="R108" s="9"/>
      <c r="S108" s="688">
        <f>+IF(JUNIO!S108=0,"",JUNIO!S108)</f>
        <v>1020499</v>
      </c>
      <c r="T108" s="664" t="str">
        <f>+IF(JUNIO!T108=0,"",JUNIO!T108)</f>
        <v>Vigencias Anteriores</v>
      </c>
      <c r="U108" s="27">
        <f>+ENERO!U108</f>
        <v>0</v>
      </c>
      <c r="V108" s="15">
        <f>JUNIO!V108+JULIO!AL108</f>
        <v>0</v>
      </c>
      <c r="W108" s="15">
        <f>JUNIO!W108+JULIO!AM108</f>
        <v>0</v>
      </c>
      <c r="X108" s="18">
        <f>SUM(U108:W108)</f>
        <v>0</v>
      </c>
      <c r="Y108" s="19">
        <f>JUNIO!AA108</f>
        <v>0</v>
      </c>
      <c r="Z108" s="364">
        <v>0</v>
      </c>
      <c r="AA108" s="18">
        <f>SUM(Y108:Z108)</f>
        <v>0</v>
      </c>
      <c r="AB108" s="19">
        <f>JUNIO!AD108</f>
        <v>0</v>
      </c>
      <c r="AC108" s="364">
        <v>0</v>
      </c>
      <c r="AD108" s="18">
        <f>SUM(AB108:AC108)</f>
        <v>0</v>
      </c>
      <c r="AE108" s="19">
        <f>JUNIO!AG108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+IF(JUNIO!A109=0,"",JUNIO!A109)</f>
        <v>11304-5</v>
      </c>
      <c r="B109" s="602" t="str">
        <f>+IF(JUNIO!B109=0,"",JUNIO!B109)</f>
        <v xml:space="preserve">Aprovechamientos </v>
      </c>
      <c r="C109" s="654">
        <f>+ENERO!C109</f>
        <v>62220076</v>
      </c>
      <c r="D109" s="363">
        <f>JUNIO!D109+JULIO!P109</f>
        <v>0</v>
      </c>
      <c r="E109" s="363">
        <f>JUNIO!E109+JULIO!Q109</f>
        <v>0</v>
      </c>
      <c r="F109" s="363">
        <f t="shared" si="112"/>
        <v>62220076</v>
      </c>
      <c r="G109" s="363">
        <f>JUNIO!I109</f>
        <v>6475681</v>
      </c>
      <c r="H109" s="364">
        <v>29810494</v>
      </c>
      <c r="I109" s="363">
        <f t="shared" si="113"/>
        <v>36286175</v>
      </c>
      <c r="J109" s="363">
        <f>JUNIO!L109</f>
        <v>6475681</v>
      </c>
      <c r="K109" s="364">
        <f>24992963+4817531</f>
        <v>29810494</v>
      </c>
      <c r="L109" s="363">
        <f t="shared" si="114"/>
        <v>36286175</v>
      </c>
      <c r="M109" s="363">
        <f t="shared" si="115"/>
        <v>25933901</v>
      </c>
      <c r="N109" s="143">
        <f t="shared" si="116"/>
        <v>25933901</v>
      </c>
      <c r="P109" s="362">
        <v>0</v>
      </c>
      <c r="Q109" s="365">
        <v>0</v>
      </c>
      <c r="R109" s="9"/>
      <c r="S109" s="356" t="str">
        <f>+IF(JUNIO!S109=0,"",JUNIO!S109)</f>
        <v/>
      </c>
      <c r="T109" s="678" t="str">
        <f>+IF(JUNIO!T109=0,"",JUNIO!T109)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+IF(JUNIO!A110=0,"",JUNIO!A110)</f>
        <v>11304-6</v>
      </c>
      <c r="B110" s="602" t="str">
        <f>+IF(JUNIO!B110=0,"",JUNIO!B110)</f>
        <v>Otros</v>
      </c>
      <c r="C110" s="654">
        <f>+ENERO!C110</f>
        <v>0</v>
      </c>
      <c r="D110" s="363">
        <f>JUNIO!D110+JULIO!P110</f>
        <v>0</v>
      </c>
      <c r="E110" s="363">
        <f>JUNIO!E110+JULIO!Q110</f>
        <v>2205940</v>
      </c>
      <c r="F110" s="363">
        <f t="shared" si="112"/>
        <v>2205940</v>
      </c>
      <c r="G110" s="363">
        <f>JUNIO!I110</f>
        <v>2205940</v>
      </c>
      <c r="H110" s="364">
        <v>0</v>
      </c>
      <c r="I110" s="363">
        <f t="shared" si="113"/>
        <v>2205940</v>
      </c>
      <c r="J110" s="363">
        <f>JUNIO!L110</f>
        <v>2205940</v>
      </c>
      <c r="K110" s="364">
        <v>0</v>
      </c>
      <c r="L110" s="363">
        <f t="shared" si="114"/>
        <v>2205940</v>
      </c>
      <c r="M110" s="363">
        <f t="shared" si="115"/>
        <v>0</v>
      </c>
      <c r="N110" s="143">
        <f t="shared" si="116"/>
        <v>0</v>
      </c>
      <c r="P110" s="362">
        <v>0</v>
      </c>
      <c r="Q110" s="365">
        <v>2205940</v>
      </c>
      <c r="R110" s="9"/>
      <c r="S110" s="686">
        <f>+IF(JUNIO!S110=0,"",JUNIO!S110)</f>
        <v>2000000</v>
      </c>
      <c r="T110" s="668" t="str">
        <f>+IF(JUNIO!T110=0,"",JUNIO!T110)</f>
        <v>GASTOS GENERALES</v>
      </c>
      <c r="U110" s="460">
        <f t="shared" ref="U110:AJ110" si="118">U112+U145</f>
        <v>11975719527</v>
      </c>
      <c r="V110" s="461">
        <f t="shared" si="118"/>
        <v>-1263000000</v>
      </c>
      <c r="W110" s="461">
        <f t="shared" si="118"/>
        <v>2044314729</v>
      </c>
      <c r="X110" s="462">
        <f t="shared" si="118"/>
        <v>12757034256</v>
      </c>
      <c r="Y110" s="369">
        <f t="shared" si="118"/>
        <v>9761872214</v>
      </c>
      <c r="Z110" s="461">
        <f t="shared" si="118"/>
        <v>307348527</v>
      </c>
      <c r="AA110" s="462">
        <f t="shared" si="118"/>
        <v>10069220741</v>
      </c>
      <c r="AB110" s="369">
        <f t="shared" si="118"/>
        <v>6851403550</v>
      </c>
      <c r="AC110" s="461">
        <f t="shared" si="118"/>
        <v>870989790</v>
      </c>
      <c r="AD110" s="462">
        <f t="shared" si="118"/>
        <v>7722393340</v>
      </c>
      <c r="AE110" s="369">
        <f t="shared" si="118"/>
        <v>4755716540</v>
      </c>
      <c r="AF110" s="461">
        <f t="shared" si="118"/>
        <v>1609602439</v>
      </c>
      <c r="AG110" s="462">
        <f t="shared" si="118"/>
        <v>6365318979</v>
      </c>
      <c r="AH110" s="369">
        <f t="shared" si="118"/>
        <v>2687813515</v>
      </c>
      <c r="AI110" s="461">
        <f t="shared" si="118"/>
        <v>5034640916</v>
      </c>
      <c r="AJ110" s="370">
        <f t="shared" si="118"/>
        <v>6391715277</v>
      </c>
      <c r="AK110" s="10"/>
      <c r="AL110" s="128">
        <f>AL112+AL145</f>
        <v>60000000</v>
      </c>
      <c r="AM110" s="130">
        <f>AM112+AM145</f>
        <v>94314729</v>
      </c>
      <c r="AN110" s="9"/>
      <c r="AO110" s="284"/>
      <c r="AP110" s="284"/>
      <c r="AQ110" s="284"/>
      <c r="AR110" s="284"/>
      <c r="AS110" s="284"/>
      <c r="AT110" s="284"/>
      <c r="AU110" s="284"/>
      <c r="AV110" s="284"/>
      <c r="AW110" s="284"/>
      <c r="AX110" s="284"/>
      <c r="AY110" s="284"/>
      <c r="AZ110" s="284"/>
    </row>
    <row r="111" spans="1:70" s="372" customFormat="1" ht="24.95" customHeight="1" thickBot="1">
      <c r="A111" s="721" t="str">
        <f>+IF(JUNIO!A111=0,"",JUNIO!A111)</f>
        <v>11304-7</v>
      </c>
      <c r="B111" s="637" t="str">
        <f>+IF(JUNIO!B111=0,"",JUNIO!B111)</f>
        <v>Vigencia Anterior</v>
      </c>
      <c r="C111" s="760">
        <f>+ENERO!C111</f>
        <v>0</v>
      </c>
      <c r="D111" s="375">
        <f>JUNIO!D111+JULIO!P111</f>
        <v>0</v>
      </c>
      <c r="E111" s="375">
        <f>JUNIO!E111+JULIO!Q111</f>
        <v>0</v>
      </c>
      <c r="F111" s="375">
        <f t="shared" si="112"/>
        <v>0</v>
      </c>
      <c r="G111" s="375">
        <f>JUNIO!I111</f>
        <v>0</v>
      </c>
      <c r="H111" s="378">
        <v>0</v>
      </c>
      <c r="I111" s="375">
        <f t="shared" si="113"/>
        <v>0</v>
      </c>
      <c r="J111" s="375">
        <f>JUNIO!L111</f>
        <v>0</v>
      </c>
      <c r="K111" s="378">
        <v>0</v>
      </c>
      <c r="L111" s="375">
        <f t="shared" si="114"/>
        <v>0</v>
      </c>
      <c r="M111" s="375">
        <f t="shared" si="115"/>
        <v>0</v>
      </c>
      <c r="N111" s="376">
        <f t="shared" si="116"/>
        <v>0</v>
      </c>
      <c r="P111" s="362">
        <v>0</v>
      </c>
      <c r="Q111" s="365">
        <v>0</v>
      </c>
      <c r="R111" s="9"/>
      <c r="S111" s="356" t="str">
        <f>+IF(JUNIO!S111=0,"",JUNIO!S111)</f>
        <v/>
      </c>
      <c r="T111" s="678" t="str">
        <f>+IF(JUNIO!T111=0,"",JUNIO!T111)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+IF(JUNIO!A112=0,"",JUNIO!A112)</f>
        <v/>
      </c>
      <c r="B112" s="636" t="str">
        <f>+IF(JUNIO!B112=0,"",JUNIO!B112)</f>
        <v/>
      </c>
      <c r="C112" s="470"/>
      <c r="D112" s="470"/>
      <c r="E112" s="470"/>
      <c r="F112" s="470"/>
      <c r="G112" s="470"/>
      <c r="H112" s="470"/>
      <c r="I112" s="470"/>
      <c r="J112" s="470"/>
      <c r="K112" s="470"/>
      <c r="L112" s="470"/>
      <c r="M112" s="470"/>
      <c r="N112" s="471"/>
      <c r="P112" s="472"/>
      <c r="Q112" s="471"/>
      <c r="R112" s="9"/>
      <c r="S112" s="686">
        <f>+IF(JUNIO!S112=0,"",JUNIO!S112)</f>
        <v>2010000</v>
      </c>
      <c r="T112" s="662" t="str">
        <f>+IF(JUNIO!T112=0,"",JUNIO!T112)</f>
        <v>Gastos de Administración</v>
      </c>
      <c r="U112" s="132">
        <f t="shared" ref="U112:AJ112" si="119">U114+U123+U141</f>
        <v>6052082264</v>
      </c>
      <c r="V112" s="122">
        <f t="shared" si="119"/>
        <v>-1555000000</v>
      </c>
      <c r="W112" s="122">
        <f t="shared" si="119"/>
        <v>744314729</v>
      </c>
      <c r="X112" s="129">
        <f t="shared" si="119"/>
        <v>5241396993</v>
      </c>
      <c r="Y112" s="128">
        <f t="shared" si="119"/>
        <v>3728251108</v>
      </c>
      <c r="Z112" s="122">
        <f t="shared" si="119"/>
        <v>99461224</v>
      </c>
      <c r="AA112" s="129">
        <f t="shared" si="119"/>
        <v>3827712332</v>
      </c>
      <c r="AB112" s="128">
        <f t="shared" si="119"/>
        <v>2857098782</v>
      </c>
      <c r="AC112" s="122">
        <f t="shared" si="119"/>
        <v>290789986</v>
      </c>
      <c r="AD112" s="129">
        <f t="shared" si="119"/>
        <v>3147888768</v>
      </c>
      <c r="AE112" s="128">
        <f t="shared" si="119"/>
        <v>2277376521</v>
      </c>
      <c r="AF112" s="122">
        <f t="shared" si="119"/>
        <v>601983242</v>
      </c>
      <c r="AG112" s="129">
        <f t="shared" si="119"/>
        <v>2879359763</v>
      </c>
      <c r="AH112" s="128">
        <f t="shared" si="119"/>
        <v>1413684661</v>
      </c>
      <c r="AI112" s="122">
        <f t="shared" si="119"/>
        <v>2093508225</v>
      </c>
      <c r="AJ112" s="130">
        <f t="shared" si="119"/>
        <v>2362037230</v>
      </c>
      <c r="AK112" s="9"/>
      <c r="AL112" s="128">
        <f>AL114+AL123+AL141</f>
        <v>60000000</v>
      </c>
      <c r="AM112" s="130">
        <f>AM114+AM123+AM141</f>
        <v>94314729</v>
      </c>
      <c r="AN112" s="9"/>
      <c r="AO112" s="284"/>
      <c r="AP112" s="284"/>
      <c r="AQ112" s="284"/>
      <c r="AR112" s="284"/>
      <c r="AS112" s="284"/>
      <c r="AT112" s="284"/>
      <c r="AU112" s="284"/>
      <c r="AV112" s="284"/>
      <c r="AW112" s="284"/>
      <c r="AX112" s="284"/>
      <c r="AY112" s="284"/>
      <c r="AZ112" s="284"/>
    </row>
    <row r="113" spans="1:52" s="372" customFormat="1" ht="24.95" customHeight="1" thickBot="1">
      <c r="A113" s="711">
        <f>+IF(JUNIO!A113=0,"",JUNIO!A113)</f>
        <v>2000</v>
      </c>
      <c r="B113" s="623" t="str">
        <f>+IF(JUNIO!B113=0,"",JUNIO!B113)</f>
        <v>INGRESOS DE CAPITAL</v>
      </c>
      <c r="C113" s="606">
        <f>SUM(C115:C124)</f>
        <v>200295319</v>
      </c>
      <c r="D113" s="607">
        <f>SUM(D115:D124)</f>
        <v>0</v>
      </c>
      <c r="E113" s="607">
        <f t="shared" ref="E113:N113" si="120">SUM(E115:E124)</f>
        <v>127206085</v>
      </c>
      <c r="F113" s="607">
        <f t="shared" si="120"/>
        <v>327501404</v>
      </c>
      <c r="G113" s="607">
        <f t="shared" si="120"/>
        <v>127213347</v>
      </c>
      <c r="H113" s="607">
        <f t="shared" si="120"/>
        <v>458562713</v>
      </c>
      <c r="I113" s="607">
        <f t="shared" si="120"/>
        <v>585776060</v>
      </c>
      <c r="J113" s="607">
        <f t="shared" si="120"/>
        <v>127213347</v>
      </c>
      <c r="K113" s="607">
        <f t="shared" si="120"/>
        <v>458562713</v>
      </c>
      <c r="L113" s="607">
        <f t="shared" si="120"/>
        <v>585776060</v>
      </c>
      <c r="M113" s="607">
        <f t="shared" si="120"/>
        <v>-258274656</v>
      </c>
      <c r="N113" s="608">
        <f t="shared" si="120"/>
        <v>-258274656</v>
      </c>
      <c r="O113" s="451"/>
      <c r="P113" s="174">
        <f>SUM(P115:P124)</f>
        <v>0</v>
      </c>
      <c r="Q113" s="175">
        <f>SUM(Q115:Q124)</f>
        <v>124208098</v>
      </c>
      <c r="R113" s="9"/>
      <c r="S113" s="356" t="str">
        <f>+IF(JUNIO!S113=0,"",JUNIO!S113)</f>
        <v/>
      </c>
      <c r="T113" s="678" t="str">
        <f>+IF(JUNIO!T113=0,"",JUNIO!T113)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+IF(JUNIO!A114=0,"",JUNIO!A114)</f>
        <v/>
      </c>
      <c r="B114" s="636" t="str">
        <f>+IF(JUNIO!B114=0,"",JUNIO!B114)</f>
        <v/>
      </c>
      <c r="C114" s="470"/>
      <c r="D114" s="470"/>
      <c r="E114" s="470"/>
      <c r="F114" s="470"/>
      <c r="G114" s="470"/>
      <c r="H114" s="470"/>
      <c r="I114" s="470"/>
      <c r="J114" s="470"/>
      <c r="K114" s="470"/>
      <c r="L114" s="470"/>
      <c r="M114" s="470"/>
      <c r="N114" s="471"/>
      <c r="P114" s="472"/>
      <c r="Q114" s="471"/>
      <c r="R114" s="9"/>
      <c r="S114" s="687">
        <f>+IF(JUNIO!S114=0,"",JUNIO!S114)</f>
        <v>2010100</v>
      </c>
      <c r="T114" s="663" t="str">
        <f>+IF(JUNIO!T114=0,"",JUNIO!T114)</f>
        <v>Adquisición de bienes</v>
      </c>
      <c r="U114" s="132">
        <f t="shared" ref="U114:AJ114" si="121">SUM(U115:U121)</f>
        <v>2750000000</v>
      </c>
      <c r="V114" s="122">
        <f t="shared" si="121"/>
        <v>-1600000000</v>
      </c>
      <c r="W114" s="122">
        <f t="shared" si="121"/>
        <v>494314729</v>
      </c>
      <c r="X114" s="129">
        <f t="shared" si="121"/>
        <v>1644314729</v>
      </c>
      <c r="Y114" s="128">
        <f t="shared" si="121"/>
        <v>1077558332</v>
      </c>
      <c r="Z114" s="122">
        <f t="shared" si="121"/>
        <v>67001078</v>
      </c>
      <c r="AA114" s="129">
        <f t="shared" si="121"/>
        <v>1144559410</v>
      </c>
      <c r="AB114" s="128">
        <f t="shared" si="121"/>
        <v>1002341756</v>
      </c>
      <c r="AC114" s="122">
        <f t="shared" si="121"/>
        <v>132734230</v>
      </c>
      <c r="AD114" s="129">
        <f t="shared" si="121"/>
        <v>1135075986</v>
      </c>
      <c r="AE114" s="128">
        <f t="shared" si="121"/>
        <v>880783222</v>
      </c>
      <c r="AF114" s="122">
        <f t="shared" si="121"/>
        <v>183901597</v>
      </c>
      <c r="AG114" s="129">
        <f t="shared" si="121"/>
        <v>1064684819</v>
      </c>
      <c r="AH114" s="128">
        <f t="shared" si="121"/>
        <v>499755319</v>
      </c>
      <c r="AI114" s="122">
        <f t="shared" si="121"/>
        <v>509238743</v>
      </c>
      <c r="AJ114" s="130">
        <f t="shared" si="121"/>
        <v>579629910</v>
      </c>
      <c r="AK114" s="9"/>
      <c r="AL114" s="128">
        <f>SUM(AL115:AL121)</f>
        <v>60000000</v>
      </c>
      <c r="AM114" s="130">
        <f>SUM(AM115:AM121)</f>
        <v>94314729</v>
      </c>
      <c r="AN114" s="9"/>
      <c r="AO114" s="284"/>
      <c r="AP114" s="284"/>
      <c r="AQ114" s="284"/>
      <c r="AR114" s="284"/>
      <c r="AS114" s="284"/>
      <c r="AT114" s="284"/>
      <c r="AU114" s="284"/>
      <c r="AV114" s="284"/>
      <c r="AW114" s="284"/>
      <c r="AX114" s="284"/>
      <c r="AY114" s="284"/>
      <c r="AZ114" s="284"/>
    </row>
    <row r="115" spans="1:52" s="372" customFormat="1" ht="24.95" customHeight="1">
      <c r="A115" s="723">
        <f>+IF(JUNIO!A115=0,"",JUNIO!A115)</f>
        <v>2100</v>
      </c>
      <c r="B115" s="609" t="str">
        <f>+IF(JUNIO!B115=0,"",JUNIO!B115)</f>
        <v>CREDITO INTERNO</v>
      </c>
      <c r="C115" s="655">
        <f>+ENERO!C115</f>
        <v>0</v>
      </c>
      <c r="D115" s="454">
        <f>JUNIO!D115+JULIO!P115</f>
        <v>0</v>
      </c>
      <c r="E115" s="454">
        <f>JUNIO!E115+JULIO!Q115</f>
        <v>0</v>
      </c>
      <c r="F115" s="458">
        <f t="shared" ref="F115:F124" si="122">SUM(C115:E115)</f>
        <v>0</v>
      </c>
      <c r="G115" s="456">
        <f>JUNIO!I115</f>
        <v>0</v>
      </c>
      <c r="H115" s="364">
        <v>0</v>
      </c>
      <c r="I115" s="458">
        <f t="shared" ref="I115:I124" si="123">SUM(G115:H115)</f>
        <v>0</v>
      </c>
      <c r="J115" s="456">
        <f>JUNIO!L115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+IF(JUNIO!S115=0,"",JUNIO!S115)</f>
        <v>2010100-1</v>
      </c>
      <c r="T115" s="664" t="str">
        <f>+IF(JUNIO!T115=0,"",JUNIO!T115)</f>
        <v>Compra de Equipos</v>
      </c>
      <c r="U115" s="27">
        <f>+ENERO!U115</f>
        <v>2350000000</v>
      </c>
      <c r="V115" s="15">
        <f>JUNIO!V115+JULIO!AL115</f>
        <v>-1730000000</v>
      </c>
      <c r="W115" s="15">
        <f>JUNIO!W115+JULIO!AM115</f>
        <v>0</v>
      </c>
      <c r="X115" s="18">
        <f t="shared" ref="X115:X121" si="127">SUM(U115:W115)</f>
        <v>620000000</v>
      </c>
      <c r="Y115" s="19">
        <f>JUNIO!AA115</f>
        <v>297021150</v>
      </c>
      <c r="Z115" s="364">
        <v>4411925</v>
      </c>
      <c r="AA115" s="18">
        <f t="shared" ref="AA115:AA121" si="128">SUM(Y115:Z115)</f>
        <v>301433075</v>
      </c>
      <c r="AB115" s="19">
        <f>JUNIO!AD115</f>
        <v>297021150</v>
      </c>
      <c r="AC115" s="364">
        <v>4411925</v>
      </c>
      <c r="AD115" s="18">
        <f t="shared" ref="AD115:AD121" si="129">SUM(AB115:AC115)</f>
        <v>301433075</v>
      </c>
      <c r="AE115" s="19">
        <f>JUNIO!AG115</f>
        <v>278663461</v>
      </c>
      <c r="AF115" s="364">
        <v>14421169</v>
      </c>
      <c r="AG115" s="18">
        <f t="shared" ref="AG115:AG121" si="130">SUM(AE115:AF115)</f>
        <v>293084630</v>
      </c>
      <c r="AH115" s="19">
        <f t="shared" ref="AH115:AH121" si="131">X115-AA115</f>
        <v>318566925</v>
      </c>
      <c r="AI115" s="15">
        <f t="shared" ref="AI115:AI121" si="132">X115-AD115</f>
        <v>318566925</v>
      </c>
      <c r="AJ115" s="16">
        <f t="shared" ref="AJ115:AJ121" si="133">X115-AG115</f>
        <v>326915370</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+IF(JUNIO!A116=0,"",JUNIO!A116)</f>
        <v>2100-1</v>
      </c>
      <c r="B116" s="610" t="str">
        <f>+IF(JUNIO!B116=0,"",JUNIO!B116)</f>
        <v>Vigencia Anterior</v>
      </c>
      <c r="C116" s="655">
        <f>+ENERO!C116</f>
        <v>0</v>
      </c>
      <c r="D116" s="454">
        <f>JUNIO!D116+JULIO!P116</f>
        <v>0</v>
      </c>
      <c r="E116" s="454">
        <f>JUNIO!E116+JULIO!Q116</f>
        <v>0</v>
      </c>
      <c r="F116" s="458">
        <f t="shared" si="122"/>
        <v>0</v>
      </c>
      <c r="G116" s="456">
        <f>JUNIO!I116</f>
        <v>0</v>
      </c>
      <c r="H116" s="364">
        <v>0</v>
      </c>
      <c r="I116" s="458">
        <f t="shared" si="123"/>
        <v>0</v>
      </c>
      <c r="J116" s="456">
        <f>JUNIO!L116</f>
        <v>0</v>
      </c>
      <c r="K116" s="364">
        <v>0</v>
      </c>
      <c r="L116" s="455">
        <f t="shared" si="124"/>
        <v>0</v>
      </c>
      <c r="M116" s="459">
        <f t="shared" si="125"/>
        <v>0</v>
      </c>
      <c r="N116" s="455">
        <f t="shared" si="126"/>
        <v>0</v>
      </c>
      <c r="O116" s="451"/>
      <c r="P116" s="362">
        <v>0</v>
      </c>
      <c r="Q116" s="365">
        <v>0</v>
      </c>
      <c r="R116" s="9"/>
      <c r="S116" s="688" t="str">
        <f>+IF(JUNIO!S116=0,"",JUNIO!S116)</f>
        <v>2010100-2</v>
      </c>
      <c r="T116" s="664" t="str">
        <f>+IF(JUNIO!T116=0,"",JUNIO!T116)</f>
        <v>Materiales</v>
      </c>
      <c r="U116" s="27">
        <f>+ENERO!U116</f>
        <v>300000000</v>
      </c>
      <c r="V116" s="15">
        <f>JUNIO!V116+JULIO!AL116</f>
        <v>0</v>
      </c>
      <c r="W116" s="15">
        <f>JUNIO!W116+JULIO!AM116</f>
        <v>94314729</v>
      </c>
      <c r="X116" s="18">
        <f t="shared" si="127"/>
        <v>394314729</v>
      </c>
      <c r="Y116" s="19">
        <f>JUNIO!AA116</f>
        <v>218950323</v>
      </c>
      <c r="Z116" s="364">
        <v>43513175</v>
      </c>
      <c r="AA116" s="18">
        <f t="shared" si="128"/>
        <v>262463498</v>
      </c>
      <c r="AB116" s="19">
        <f>JUNIO!AD116</f>
        <v>208733747</v>
      </c>
      <c r="AC116" s="364">
        <v>44246327</v>
      </c>
      <c r="AD116" s="18">
        <f t="shared" si="129"/>
        <v>252980074</v>
      </c>
      <c r="AE116" s="19">
        <f>JUNIO!AG116</f>
        <v>105532902</v>
      </c>
      <c r="AF116" s="364">
        <v>85404450</v>
      </c>
      <c r="AG116" s="18">
        <f t="shared" si="130"/>
        <v>190937352</v>
      </c>
      <c r="AH116" s="19">
        <f t="shared" si="131"/>
        <v>131851231</v>
      </c>
      <c r="AI116" s="15">
        <f t="shared" si="132"/>
        <v>141334655</v>
      </c>
      <c r="AJ116" s="16">
        <f t="shared" si="133"/>
        <v>203377377</v>
      </c>
      <c r="AK116" s="9"/>
      <c r="AL116" s="362">
        <v>0</v>
      </c>
      <c r="AM116" s="365">
        <v>94314729</v>
      </c>
      <c r="AN116" s="9"/>
      <c r="AO116" s="284"/>
      <c r="AP116" s="284"/>
      <c r="AQ116" s="284"/>
      <c r="AR116" s="284"/>
      <c r="AS116" s="284"/>
      <c r="AT116" s="284"/>
      <c r="AU116" s="284"/>
      <c r="AV116" s="284"/>
      <c r="AW116" s="284"/>
      <c r="AX116" s="284"/>
      <c r="AY116" s="284"/>
      <c r="AZ116" s="284"/>
    </row>
    <row r="117" spans="1:52" s="372" customFormat="1" ht="24.95" customHeight="1">
      <c r="A117" s="723">
        <f>+IF(JUNIO!A117=0,"",JUNIO!A117)</f>
        <v>2200</v>
      </c>
      <c r="B117" s="609" t="str">
        <f>+IF(JUNIO!B117=0,"",JUNIO!B117)</f>
        <v>CREDITO EXTERNO</v>
      </c>
      <c r="C117" s="655">
        <f>+ENERO!C117</f>
        <v>0</v>
      </c>
      <c r="D117" s="454">
        <f>JUNIO!D117+JULIO!P117</f>
        <v>0</v>
      </c>
      <c r="E117" s="454">
        <f>JUNIO!E117+JULIO!Q117</f>
        <v>0</v>
      </c>
      <c r="F117" s="458">
        <f t="shared" si="122"/>
        <v>0</v>
      </c>
      <c r="G117" s="456">
        <f>JUNIO!I117</f>
        <v>0</v>
      </c>
      <c r="H117" s="364">
        <v>0</v>
      </c>
      <c r="I117" s="458">
        <f t="shared" si="123"/>
        <v>0</v>
      </c>
      <c r="J117" s="456">
        <f>JUNIO!L117</f>
        <v>0</v>
      </c>
      <c r="K117" s="364">
        <v>0</v>
      </c>
      <c r="L117" s="455">
        <f t="shared" si="124"/>
        <v>0</v>
      </c>
      <c r="M117" s="459">
        <f t="shared" si="125"/>
        <v>0</v>
      </c>
      <c r="N117" s="455">
        <f t="shared" si="126"/>
        <v>0</v>
      </c>
      <c r="O117" s="451"/>
      <c r="P117" s="362">
        <v>0</v>
      </c>
      <c r="Q117" s="365">
        <v>0</v>
      </c>
      <c r="R117" s="9"/>
      <c r="S117" s="688" t="str">
        <f>+IF(JUNIO!S117=0,"",JUNIO!S117)</f>
        <v>2010100-3</v>
      </c>
      <c r="T117" s="664" t="str">
        <f>+IF(JUNIO!T117=0,"",JUNIO!T117)</f>
        <v>Salud Ocupacional</v>
      </c>
      <c r="U117" s="27">
        <f>+ENERO!U117</f>
        <v>0</v>
      </c>
      <c r="V117" s="15">
        <f>JUNIO!V117+JULIO!AL117</f>
        <v>40000000</v>
      </c>
      <c r="W117" s="15">
        <f>JUNIO!W117+JULIO!AM117</f>
        <v>0</v>
      </c>
      <c r="X117" s="18">
        <f t="shared" si="127"/>
        <v>40000000</v>
      </c>
      <c r="Y117" s="19">
        <f>JUNIO!AA117</f>
        <v>0</v>
      </c>
      <c r="Z117" s="364">
        <v>0</v>
      </c>
      <c r="AA117" s="18">
        <f t="shared" si="128"/>
        <v>0</v>
      </c>
      <c r="AB117" s="19">
        <f>JUNIO!AD117</f>
        <v>0</v>
      </c>
      <c r="AC117" s="364">
        <v>0</v>
      </c>
      <c r="AD117" s="18">
        <f t="shared" si="129"/>
        <v>0</v>
      </c>
      <c r="AE117" s="19">
        <f>JUNIO!AG117</f>
        <v>0</v>
      </c>
      <c r="AF117" s="364">
        <v>0</v>
      </c>
      <c r="AG117" s="18">
        <f t="shared" si="130"/>
        <v>0</v>
      </c>
      <c r="AH117" s="19">
        <f t="shared" si="131"/>
        <v>40000000</v>
      </c>
      <c r="AI117" s="15">
        <f t="shared" si="132"/>
        <v>40000000</v>
      </c>
      <c r="AJ117" s="16">
        <f t="shared" si="133"/>
        <v>40000000</v>
      </c>
      <c r="AK117" s="9"/>
      <c r="AL117" s="362">
        <v>40000000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+IF(JUNIO!A118=0,"",JUNIO!A118)</f>
        <v>2200-1</v>
      </c>
      <c r="B118" s="610" t="str">
        <f>+IF(JUNIO!B118=0,"",JUNIO!B118)</f>
        <v>Vigencia Anterior</v>
      </c>
      <c r="C118" s="655">
        <f>+ENERO!C118</f>
        <v>0</v>
      </c>
      <c r="D118" s="454">
        <f>JUNIO!D118+JULIO!P118</f>
        <v>0</v>
      </c>
      <c r="E118" s="454">
        <f>JUNIO!E118+JULIO!Q118</f>
        <v>0</v>
      </c>
      <c r="F118" s="458">
        <f t="shared" si="122"/>
        <v>0</v>
      </c>
      <c r="G118" s="456">
        <f>JUNIO!I118</f>
        <v>0</v>
      </c>
      <c r="H118" s="364">
        <v>0</v>
      </c>
      <c r="I118" s="458">
        <f t="shared" si="123"/>
        <v>0</v>
      </c>
      <c r="J118" s="456">
        <f>JUNIO!L118</f>
        <v>0</v>
      </c>
      <c r="K118" s="364">
        <v>0</v>
      </c>
      <c r="L118" s="455">
        <f t="shared" si="124"/>
        <v>0</v>
      </c>
      <c r="M118" s="459">
        <f t="shared" si="125"/>
        <v>0</v>
      </c>
      <c r="N118" s="455">
        <f t="shared" si="126"/>
        <v>0</v>
      </c>
      <c r="O118" s="451"/>
      <c r="P118" s="362">
        <v>0</v>
      </c>
      <c r="Q118" s="365">
        <v>0</v>
      </c>
      <c r="R118" s="9"/>
      <c r="S118" s="688" t="str">
        <f>+IF(JUNIO!S118=0,"",JUNIO!S118)</f>
        <v>2010100-4</v>
      </c>
      <c r="T118" s="664" t="str">
        <f>+IF(JUNIO!T118=0,"",JUNIO!T118)</f>
        <v/>
      </c>
      <c r="U118" s="27">
        <f>+ENERO!U118</f>
        <v>0</v>
      </c>
      <c r="V118" s="15">
        <f>JUNIO!V118+JULIO!AL118</f>
        <v>70000000</v>
      </c>
      <c r="W118" s="15">
        <f>JUNIO!W118+JULIO!AM118</f>
        <v>0</v>
      </c>
      <c r="X118" s="18">
        <f t="shared" si="127"/>
        <v>70000000</v>
      </c>
      <c r="Y118" s="19">
        <f>JUNIO!AA118</f>
        <v>65000000</v>
      </c>
      <c r="Z118" s="364">
        <v>0</v>
      </c>
      <c r="AA118" s="18">
        <f t="shared" si="128"/>
        <v>65000000</v>
      </c>
      <c r="AB118" s="19">
        <f>JUNIO!AD118</f>
        <v>0</v>
      </c>
      <c r="AC118" s="364">
        <v>65000000</v>
      </c>
      <c r="AD118" s="18">
        <f t="shared" si="129"/>
        <v>65000000</v>
      </c>
      <c r="AE118" s="19">
        <f>JUNIO!AG118</f>
        <v>0</v>
      </c>
      <c r="AF118" s="364">
        <v>65000000</v>
      </c>
      <c r="AG118" s="18">
        <f t="shared" si="130"/>
        <v>65000000</v>
      </c>
      <c r="AH118" s="19">
        <f t="shared" si="131"/>
        <v>5000000</v>
      </c>
      <c r="AI118" s="15">
        <f t="shared" si="132"/>
        <v>5000000</v>
      </c>
      <c r="AJ118" s="16">
        <f t="shared" si="133"/>
        <v>5000000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+IF(JUNIO!A119=0,"",JUNIO!A119)</f>
        <v>2300</v>
      </c>
      <c r="B119" s="609" t="str">
        <f>+IF(JUNIO!B119=0,"",JUNIO!B119)</f>
        <v>RENDIMIENTOS FINANCIEROS</v>
      </c>
      <c r="C119" s="655">
        <f>+ENERO!C119</f>
        <v>200295319</v>
      </c>
      <c r="D119" s="454">
        <f>JUNIO!D119+JULIO!P119</f>
        <v>0</v>
      </c>
      <c r="E119" s="454">
        <f>JUNIO!E119+JULIO!Q119</f>
        <v>0</v>
      </c>
      <c r="F119" s="458">
        <f t="shared" si="122"/>
        <v>200295319</v>
      </c>
      <c r="G119" s="216">
        <f>JUNIO!I119</f>
        <v>7262</v>
      </c>
      <c r="H119" s="364">
        <v>14</v>
      </c>
      <c r="I119" s="463">
        <f t="shared" si="123"/>
        <v>7276</v>
      </c>
      <c r="J119" s="216">
        <f>JUNIO!L119</f>
        <v>7262</v>
      </c>
      <c r="K119" s="364">
        <v>14</v>
      </c>
      <c r="L119" s="143">
        <f t="shared" si="124"/>
        <v>7276</v>
      </c>
      <c r="M119" s="428">
        <f t="shared" si="125"/>
        <v>200288043</v>
      </c>
      <c r="N119" s="143">
        <f t="shared" si="126"/>
        <v>200288043</v>
      </c>
      <c r="O119" s="451"/>
      <c r="P119" s="362">
        <v>0</v>
      </c>
      <c r="Q119" s="365">
        <v>0</v>
      </c>
      <c r="R119" s="9"/>
      <c r="S119" s="688" t="str">
        <f>+IF(JUNIO!S119=0,"",JUNIO!S119)</f>
        <v>2010100-5</v>
      </c>
      <c r="T119" s="664" t="str">
        <f>+IF(JUNIO!T119=0,"",JUNIO!T119)</f>
        <v/>
      </c>
      <c r="U119" s="27">
        <f>+ENERO!U119</f>
        <v>0</v>
      </c>
      <c r="V119" s="15">
        <f>JUNIO!V119+JULIO!AL119</f>
        <v>0</v>
      </c>
      <c r="W119" s="15">
        <f>JUNIO!W119+JULIO!AM119</f>
        <v>0</v>
      </c>
      <c r="X119" s="18">
        <f t="shared" si="127"/>
        <v>0</v>
      </c>
      <c r="Y119" s="19">
        <f>JUNIO!AA119</f>
        <v>0</v>
      </c>
      <c r="Z119" s="364">
        <v>0</v>
      </c>
      <c r="AA119" s="18">
        <f t="shared" si="128"/>
        <v>0</v>
      </c>
      <c r="AB119" s="19">
        <f>JUNIO!AD119</f>
        <v>0</v>
      </c>
      <c r="AC119" s="364">
        <v>0</v>
      </c>
      <c r="AD119" s="18">
        <f t="shared" si="129"/>
        <v>0</v>
      </c>
      <c r="AE119" s="19">
        <f>JUNIO!AG119</f>
        <v>0</v>
      </c>
      <c r="AF119" s="364">
        <v>0</v>
      </c>
      <c r="AG119" s="1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+IF(JUNIO!A120=0,"",JUNIO!A120)</f>
        <v>2400</v>
      </c>
      <c r="B120" s="610" t="str">
        <f>+IF(JUNIO!B120=0,"",JUNIO!B120)</f>
        <v>VENTA DE ACTIVOS</v>
      </c>
      <c r="C120" s="655">
        <f>+ENERO!C120</f>
        <v>0</v>
      </c>
      <c r="D120" s="454">
        <f>JUNIO!D120+JULIO!P120</f>
        <v>0</v>
      </c>
      <c r="E120" s="454">
        <f>JUNIO!E120+JULIO!Q120</f>
        <v>0</v>
      </c>
      <c r="F120" s="458">
        <f t="shared" si="122"/>
        <v>0</v>
      </c>
      <c r="G120" s="216">
        <f>JUNIO!I120</f>
        <v>0</v>
      </c>
      <c r="H120" s="364">
        <v>0</v>
      </c>
      <c r="I120" s="463">
        <f t="shared" si="123"/>
        <v>0</v>
      </c>
      <c r="J120" s="216">
        <f>JUNIO!L120</f>
        <v>0</v>
      </c>
      <c r="K120" s="364">
        <v>0</v>
      </c>
      <c r="L120" s="143">
        <f t="shared" si="124"/>
        <v>0</v>
      </c>
      <c r="M120" s="428">
        <f t="shared" si="125"/>
        <v>0</v>
      </c>
      <c r="N120" s="143">
        <f t="shared" si="126"/>
        <v>0</v>
      </c>
      <c r="P120" s="362">
        <v>0</v>
      </c>
      <c r="Q120" s="365">
        <v>0</v>
      </c>
      <c r="R120" s="9"/>
      <c r="S120" s="688" t="str">
        <f>+IF(JUNIO!S120=0,"",JUNIO!S120)</f>
        <v>2010100-6</v>
      </c>
      <c r="T120" s="664" t="str">
        <f>+IF(JUNIO!T120=0,"",JUNIO!T120)</f>
        <v/>
      </c>
      <c r="U120" s="27">
        <f>+ENERO!U120</f>
        <v>0</v>
      </c>
      <c r="V120" s="15">
        <f>JUNIO!V120+JULIO!AL120</f>
        <v>0</v>
      </c>
      <c r="W120" s="15">
        <f>JUNIO!W120+JULIO!AM120</f>
        <v>0</v>
      </c>
      <c r="X120" s="18">
        <f t="shared" si="127"/>
        <v>0</v>
      </c>
      <c r="Y120" s="19">
        <f>JUNIO!AA120</f>
        <v>0</v>
      </c>
      <c r="Z120" s="364">
        <v>0</v>
      </c>
      <c r="AA120" s="18">
        <f t="shared" si="128"/>
        <v>0</v>
      </c>
      <c r="AB120" s="19">
        <f>JUNIO!AD120</f>
        <v>0</v>
      </c>
      <c r="AC120" s="364">
        <v>0</v>
      </c>
      <c r="AD120" s="18">
        <f t="shared" si="129"/>
        <v>0</v>
      </c>
      <c r="AE120" s="19">
        <f>JUNIO!AG120</f>
        <v>0</v>
      </c>
      <c r="AF120" s="364">
        <v>0</v>
      </c>
      <c r="AG120" s="1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+IF(JUNIO!A121=0,"",JUNIO!A121)</f>
        <v>2500</v>
      </c>
      <c r="B121" s="610" t="str">
        <f>+IF(JUNIO!B121=0,"",JUNIO!B121)</f>
        <v>DONACIONES</v>
      </c>
      <c r="C121" s="655">
        <f>+ENERO!C121</f>
        <v>0</v>
      </c>
      <c r="D121" s="454">
        <f>JUNIO!D121+JULIO!P121</f>
        <v>0</v>
      </c>
      <c r="E121" s="454">
        <f>JUNIO!E121+JULIO!Q121</f>
        <v>1500000</v>
      </c>
      <c r="F121" s="458">
        <f t="shared" si="122"/>
        <v>1500000</v>
      </c>
      <c r="G121" s="216">
        <f>JUNIO!I121</f>
        <v>1500000</v>
      </c>
      <c r="H121" s="364">
        <v>0</v>
      </c>
      <c r="I121" s="463">
        <f t="shared" si="123"/>
        <v>1500000</v>
      </c>
      <c r="J121" s="216">
        <f>JUNIO!L121</f>
        <v>1500000</v>
      </c>
      <c r="K121" s="364">
        <v>0</v>
      </c>
      <c r="L121" s="143">
        <f t="shared" si="124"/>
        <v>1500000</v>
      </c>
      <c r="M121" s="428">
        <f t="shared" si="125"/>
        <v>0</v>
      </c>
      <c r="N121" s="143">
        <f t="shared" si="126"/>
        <v>0</v>
      </c>
      <c r="P121" s="362">
        <v>0</v>
      </c>
      <c r="Q121" s="365">
        <v>1500000</v>
      </c>
      <c r="R121" s="9"/>
      <c r="S121" s="688">
        <f>+IF(JUNIO!S121=0,"",JUNIO!S121)</f>
        <v>2010199</v>
      </c>
      <c r="T121" s="664" t="str">
        <f>+IF(JUNIO!T121=0,"",JUNIO!T121)</f>
        <v>Vigencias Anteriores</v>
      </c>
      <c r="U121" s="27">
        <f>+ENERO!U121</f>
        <v>100000000</v>
      </c>
      <c r="V121" s="15">
        <f>JUNIO!V121+JULIO!AL121</f>
        <v>20000000</v>
      </c>
      <c r="W121" s="15">
        <f>JUNIO!W121+JULIO!AM121</f>
        <v>400000000</v>
      </c>
      <c r="X121" s="18">
        <f t="shared" si="127"/>
        <v>520000000</v>
      </c>
      <c r="Y121" s="19">
        <f>JUNIO!AA121</f>
        <v>496586859</v>
      </c>
      <c r="Z121" s="364">
        <v>19075978</v>
      </c>
      <c r="AA121" s="18">
        <f t="shared" si="128"/>
        <v>515662837</v>
      </c>
      <c r="AB121" s="19">
        <f>JUNIO!AD121</f>
        <v>496586859</v>
      </c>
      <c r="AC121" s="364">
        <v>19075978</v>
      </c>
      <c r="AD121" s="18">
        <f t="shared" si="129"/>
        <v>515662837</v>
      </c>
      <c r="AE121" s="19">
        <f>JUNIO!AG121</f>
        <v>496586859</v>
      </c>
      <c r="AF121" s="364">
        <v>19075978</v>
      </c>
      <c r="AG121" s="18">
        <f t="shared" si="130"/>
        <v>515662837</v>
      </c>
      <c r="AH121" s="19">
        <f t="shared" si="131"/>
        <v>4337163</v>
      </c>
      <c r="AI121" s="15">
        <f t="shared" si="132"/>
        <v>4337163</v>
      </c>
      <c r="AJ121" s="16">
        <f t="shared" si="133"/>
        <v>4337163</v>
      </c>
      <c r="AK121" s="9"/>
      <c r="AL121" s="362">
        <v>20000000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+IF(JUNIO!A122=0,"",JUNIO!A122)</f>
        <v>2600</v>
      </c>
      <c r="B122" s="610" t="str">
        <f>+IF(JUNIO!B122=0,"",JUNIO!B122)</f>
        <v>RECUPERACIÓN DE CARTERA (AÑO 2017 Y ANTERIORES)</v>
      </c>
      <c r="C122" s="655">
        <f>+ENERO!C122</f>
        <v>0</v>
      </c>
      <c r="D122" s="454">
        <f>JUNIO!D122+JULIO!P122</f>
        <v>0</v>
      </c>
      <c r="E122" s="454">
        <f>JUNIO!E122+JULIO!Q122</f>
        <v>0</v>
      </c>
      <c r="F122" s="458">
        <f t="shared" si="122"/>
        <v>0</v>
      </c>
      <c r="G122" s="216">
        <f>JUNIO!I122</f>
        <v>0</v>
      </c>
      <c r="H122" s="364">
        <v>0</v>
      </c>
      <c r="I122" s="463">
        <f t="shared" si="123"/>
        <v>0</v>
      </c>
      <c r="J122" s="216">
        <f>JUNIO!L122</f>
        <v>0</v>
      </c>
      <c r="K122" s="364">
        <v>0</v>
      </c>
      <c r="L122" s="143">
        <f t="shared" si="124"/>
        <v>0</v>
      </c>
      <c r="M122" s="428">
        <f t="shared" si="125"/>
        <v>0</v>
      </c>
      <c r="N122" s="143">
        <f t="shared" si="126"/>
        <v>0</v>
      </c>
      <c r="P122" s="362">
        <v>0</v>
      </c>
      <c r="Q122" s="365">
        <v>0</v>
      </c>
      <c r="R122" s="9"/>
      <c r="S122" s="356" t="str">
        <f>+IF(JUNIO!S122=0,"",JUNIO!S122)</f>
        <v/>
      </c>
      <c r="T122" s="678" t="str">
        <f>+IF(JUNIO!T122=0,"",JUNIO!T122)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+IF(JUNIO!A123=0,"",JUNIO!A123)</f>
        <v>2700</v>
      </c>
      <c r="B123" s="610" t="str">
        <f>+IF(JUNIO!B123=0,"",JUNIO!B123)</f>
        <v>OTROS INGRESOS DE CAPITAL</v>
      </c>
      <c r="C123" s="655">
        <f>+ENERO!C123</f>
        <v>0</v>
      </c>
      <c r="D123" s="454">
        <f>JUNIO!D123+JULIO!P123</f>
        <v>0</v>
      </c>
      <c r="E123" s="454">
        <f>JUNIO!E123+JULIO!Q123</f>
        <v>125706085</v>
      </c>
      <c r="F123" s="458">
        <f t="shared" si="122"/>
        <v>125706085</v>
      </c>
      <c r="G123" s="216">
        <f>JUNIO!I123</f>
        <v>125706085</v>
      </c>
      <c r="H123" s="364">
        <v>27930700</v>
      </c>
      <c r="I123" s="463">
        <f t="shared" si="123"/>
        <v>153636785</v>
      </c>
      <c r="J123" s="216">
        <f>JUNIO!L123</f>
        <v>125706085</v>
      </c>
      <c r="K123" s="364">
        <v>27930700</v>
      </c>
      <c r="L123" s="143">
        <f t="shared" si="124"/>
        <v>153636785</v>
      </c>
      <c r="M123" s="428">
        <f t="shared" si="125"/>
        <v>-27930700</v>
      </c>
      <c r="N123" s="143">
        <f t="shared" si="126"/>
        <v>-27930700</v>
      </c>
      <c r="P123" s="362">
        <v>0</v>
      </c>
      <c r="Q123" s="365">
        <v>122708098</v>
      </c>
      <c r="R123" s="9"/>
      <c r="S123" s="687">
        <f>+IF(JUNIO!S123=0,"",JUNIO!S123)</f>
        <v>2010200</v>
      </c>
      <c r="T123" s="663" t="str">
        <f>+IF(JUNIO!T123=0,"",JUNIO!T123)</f>
        <v>Adquisición de Servicios</v>
      </c>
      <c r="U123" s="132">
        <f t="shared" ref="U123:AJ123" si="134">SUM(U124:U139)</f>
        <v>2775000000</v>
      </c>
      <c r="V123" s="122">
        <f t="shared" si="134"/>
        <v>45000000</v>
      </c>
      <c r="W123" s="122">
        <f t="shared" si="134"/>
        <v>250000000</v>
      </c>
      <c r="X123" s="129">
        <f t="shared" si="134"/>
        <v>3070000000</v>
      </c>
      <c r="Y123" s="128">
        <f t="shared" si="134"/>
        <v>2486423862</v>
      </c>
      <c r="Z123" s="122">
        <f t="shared" si="134"/>
        <v>15510906</v>
      </c>
      <c r="AA123" s="129">
        <f t="shared" si="134"/>
        <v>2501934768</v>
      </c>
      <c r="AB123" s="128">
        <f t="shared" si="134"/>
        <v>1690488112</v>
      </c>
      <c r="AC123" s="122">
        <f t="shared" si="134"/>
        <v>141106516</v>
      </c>
      <c r="AD123" s="129">
        <f t="shared" si="134"/>
        <v>1831594628</v>
      </c>
      <c r="AE123" s="128">
        <f t="shared" si="134"/>
        <v>1232324385</v>
      </c>
      <c r="AF123" s="122">
        <f t="shared" si="134"/>
        <v>401132405</v>
      </c>
      <c r="AG123" s="129">
        <f t="shared" si="134"/>
        <v>1633456790</v>
      </c>
      <c r="AH123" s="128">
        <f t="shared" si="134"/>
        <v>568065232</v>
      </c>
      <c r="AI123" s="122">
        <f t="shared" si="134"/>
        <v>1238405372</v>
      </c>
      <c r="AJ123" s="130">
        <f t="shared" si="134"/>
        <v>1436543210</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+IF(JUNIO!A124=0,"",JUNIO!A124)</f>
        <v>2800</v>
      </c>
      <c r="B124" s="638" t="str">
        <f>+IF(JUNIO!B124=0,"",JUNIO!B124)</f>
        <v/>
      </c>
      <c r="C124" s="759">
        <f>+ENERO!C124</f>
        <v>0</v>
      </c>
      <c r="D124" s="452">
        <f>JUNIO!D124+JULIO!P124</f>
        <v>0</v>
      </c>
      <c r="E124" s="452">
        <f>JUNIO!E124+JULIO!Q124</f>
        <v>0</v>
      </c>
      <c r="F124" s="464">
        <f t="shared" si="122"/>
        <v>0</v>
      </c>
      <c r="G124" s="377">
        <f>JUNIO!I124</f>
        <v>0</v>
      </c>
      <c r="H124" s="378">
        <v>430631999</v>
      </c>
      <c r="I124" s="465">
        <f t="shared" si="123"/>
        <v>430631999</v>
      </c>
      <c r="J124" s="377">
        <f>JUNIO!L124</f>
        <v>0</v>
      </c>
      <c r="K124" s="378">
        <v>430631999</v>
      </c>
      <c r="L124" s="376">
        <f t="shared" si="124"/>
        <v>430631999</v>
      </c>
      <c r="M124" s="466">
        <f t="shared" si="125"/>
        <v>-430631999</v>
      </c>
      <c r="N124" s="376">
        <f t="shared" si="126"/>
        <v>-430631999</v>
      </c>
      <c r="P124" s="374">
        <v>0</v>
      </c>
      <c r="Q124" s="379">
        <v>0</v>
      </c>
      <c r="R124" s="9"/>
      <c r="S124" s="688" t="str">
        <f>+IF(JUNIO!S124=0,"",JUNIO!S124)</f>
        <v>2010200-1</v>
      </c>
      <c r="T124" s="664" t="str">
        <f>+IF(JUNIO!T124=0,"",JUNIO!T124)</f>
        <v>Seguros</v>
      </c>
      <c r="U124" s="27">
        <f>+ENERO!U124</f>
        <v>3000000</v>
      </c>
      <c r="V124" s="15">
        <f>JUNIO!V124+JULIO!AL124</f>
        <v>0</v>
      </c>
      <c r="W124" s="15">
        <f>JUNIO!W124+JULIO!AM124</f>
        <v>0</v>
      </c>
      <c r="X124" s="18">
        <f t="shared" ref="X124:X139" si="135">SUM(U124:W124)</f>
        <v>3000000</v>
      </c>
      <c r="Y124" s="19">
        <f>JUNIO!AA124</f>
        <v>1958919</v>
      </c>
      <c r="Z124" s="364">
        <v>0</v>
      </c>
      <c r="AA124" s="18">
        <f t="shared" ref="AA124:AA139" si="136">SUM(Y124:Z124)</f>
        <v>1958919</v>
      </c>
      <c r="AB124" s="19">
        <f>JUNIO!AD124</f>
        <v>1666765</v>
      </c>
      <c r="AC124" s="364">
        <v>0</v>
      </c>
      <c r="AD124" s="18">
        <f t="shared" ref="AD124:AD139" si="137">SUM(AB124:AC124)</f>
        <v>1666765</v>
      </c>
      <c r="AE124" s="19">
        <f>JUNIO!AG124</f>
        <v>1666765</v>
      </c>
      <c r="AF124" s="364">
        <v>0</v>
      </c>
      <c r="AG124" s="18">
        <f t="shared" ref="AG124:AG139" si="138">SUM(AE124:AF124)</f>
        <v>1666765</v>
      </c>
      <c r="AH124" s="19">
        <f t="shared" ref="AH124:AH139" si="139">X124-AA124</f>
        <v>1041081</v>
      </c>
      <c r="AI124" s="15">
        <f t="shared" ref="AI124:AI139" si="140">X124-AD124</f>
        <v>1333235</v>
      </c>
      <c r="AJ124" s="16">
        <f t="shared" ref="AJ124:AJ139" si="141">X124-AG124</f>
        <v>1333235</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+IF(JUNIO!S125=0,"",JUNIO!S125)</f>
        <v>2010200-2</v>
      </c>
      <c r="T125" s="664" t="str">
        <f>+IF(JUNIO!T125=0,"",JUNIO!T125)</f>
        <v>Impresos y Publicaciones</v>
      </c>
      <c r="U125" s="27">
        <f>+ENERO!U125</f>
        <v>25000000</v>
      </c>
      <c r="V125" s="15">
        <f>JUNIO!V125+JULIO!AL125</f>
        <v>0</v>
      </c>
      <c r="W125" s="15">
        <f>JUNIO!W125+JULIO!AM125</f>
        <v>0</v>
      </c>
      <c r="X125" s="18">
        <f t="shared" si="135"/>
        <v>25000000</v>
      </c>
      <c r="Y125" s="19">
        <f>JUNIO!AA125</f>
        <v>2098900</v>
      </c>
      <c r="Z125" s="364">
        <v>0</v>
      </c>
      <c r="AA125" s="18">
        <f t="shared" si="136"/>
        <v>2098900</v>
      </c>
      <c r="AB125" s="19">
        <f>JUNIO!AD125</f>
        <v>2098900</v>
      </c>
      <c r="AC125" s="364">
        <v>0</v>
      </c>
      <c r="AD125" s="18">
        <f t="shared" si="137"/>
        <v>2098900</v>
      </c>
      <c r="AE125" s="19">
        <f>JUNIO!AG125</f>
        <v>2098900</v>
      </c>
      <c r="AF125" s="364">
        <v>0</v>
      </c>
      <c r="AG125" s="18">
        <f t="shared" si="138"/>
        <v>2098900</v>
      </c>
      <c r="AH125" s="19">
        <f t="shared" si="139"/>
        <v>22901100</v>
      </c>
      <c r="AI125" s="15">
        <f t="shared" si="140"/>
        <v>22901100</v>
      </c>
      <c r="AJ125" s="16">
        <f t="shared" si="141"/>
        <v>22901100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2">C8-C128</f>
        <v>66420360605</v>
      </c>
      <c r="D126" s="467">
        <f t="shared" si="142"/>
        <v>0</v>
      </c>
      <c r="E126" s="467">
        <f t="shared" si="142"/>
        <v>25695461937</v>
      </c>
      <c r="F126" s="467">
        <f t="shared" si="142"/>
        <v>92115822542</v>
      </c>
      <c r="G126" s="467">
        <f t="shared" si="142"/>
        <v>53993193117</v>
      </c>
      <c r="H126" s="467">
        <f t="shared" si="142"/>
        <v>10029753494</v>
      </c>
      <c r="I126" s="467">
        <f t="shared" si="142"/>
        <v>64022946611</v>
      </c>
      <c r="J126" s="467">
        <f t="shared" si="142"/>
        <v>36506379272.069992</v>
      </c>
      <c r="K126" s="467">
        <f t="shared" si="142"/>
        <v>7469897601</v>
      </c>
      <c r="L126" s="467">
        <f t="shared" si="142"/>
        <v>43976276873.069992</v>
      </c>
      <c r="M126" s="467">
        <f t="shared" si="142"/>
        <v>28092875931</v>
      </c>
      <c r="N126" s="596">
        <f t="shared" si="142"/>
        <v>48139545668.93</v>
      </c>
      <c r="P126" s="468">
        <f>P8-P128</f>
        <v>0</v>
      </c>
      <c r="Q126" s="469">
        <f>Q8-Q128</f>
        <v>159780462</v>
      </c>
      <c r="R126" s="9"/>
      <c r="S126" s="688" t="str">
        <f>+IF(JUNIO!S126=0,"",JUNIO!S126)</f>
        <v>2010200-3</v>
      </c>
      <c r="T126" s="664" t="str">
        <f>+IF(JUNIO!T126=0,"",JUNIO!T126)</f>
        <v xml:space="preserve">Servicios Públicos </v>
      </c>
      <c r="U126" s="27">
        <f>+ENERO!U126</f>
        <v>740000000</v>
      </c>
      <c r="V126" s="15">
        <f>JUNIO!V126+JULIO!AL126</f>
        <v>0</v>
      </c>
      <c r="W126" s="15">
        <f>JUNIO!W126+JULIO!AM126</f>
        <v>0</v>
      </c>
      <c r="X126" s="18">
        <f t="shared" si="135"/>
        <v>740000000</v>
      </c>
      <c r="Y126" s="19">
        <f>JUNIO!AA126</f>
        <v>375838609</v>
      </c>
      <c r="Z126" s="364">
        <v>7759876</v>
      </c>
      <c r="AA126" s="18">
        <f t="shared" si="136"/>
        <v>383598485</v>
      </c>
      <c r="AB126" s="19">
        <f>JUNIO!AD126</f>
        <v>375838609</v>
      </c>
      <c r="AC126" s="364">
        <v>7759876</v>
      </c>
      <c r="AD126" s="18">
        <f t="shared" si="137"/>
        <v>383598485</v>
      </c>
      <c r="AE126" s="19">
        <f>JUNIO!AG126</f>
        <v>326975733</v>
      </c>
      <c r="AF126" s="364">
        <v>49911394</v>
      </c>
      <c r="AG126" s="18">
        <f t="shared" si="138"/>
        <v>376887127</v>
      </c>
      <c r="AH126" s="19">
        <f t="shared" si="139"/>
        <v>356401515</v>
      </c>
      <c r="AI126" s="15">
        <f t="shared" si="140"/>
        <v>356401515</v>
      </c>
      <c r="AJ126" s="16">
        <f t="shared" si="141"/>
        <v>363112873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+IF(JUNIO!S127=0,"",JUNIO!S127)</f>
        <v>2010200-4</v>
      </c>
      <c r="T127" s="664" t="str">
        <f>+IF(JUNIO!T127=0,"",JUNIO!T127)</f>
        <v>Comunicaciones y Transportes</v>
      </c>
      <c r="U127" s="27">
        <f>+ENERO!U127</f>
        <v>118000000</v>
      </c>
      <c r="V127" s="15">
        <f>JUNIO!V127+JULIO!AL127</f>
        <v>40000000</v>
      </c>
      <c r="W127" s="15">
        <f>JUNIO!W127+JULIO!AM127</f>
        <v>0</v>
      </c>
      <c r="X127" s="18">
        <f t="shared" si="135"/>
        <v>158000000</v>
      </c>
      <c r="Y127" s="19">
        <f>JUNIO!AA127</f>
        <v>139211112</v>
      </c>
      <c r="Z127" s="364">
        <v>5777632</v>
      </c>
      <c r="AA127" s="18">
        <f t="shared" si="136"/>
        <v>144988744</v>
      </c>
      <c r="AB127" s="19">
        <f>JUNIO!AD127</f>
        <v>50611112</v>
      </c>
      <c r="AC127" s="364">
        <v>18877632</v>
      </c>
      <c r="AD127" s="18">
        <f t="shared" si="137"/>
        <v>69488744</v>
      </c>
      <c r="AE127" s="19">
        <f>JUNIO!AG127</f>
        <v>45011112</v>
      </c>
      <c r="AF127" s="364">
        <v>19849682</v>
      </c>
      <c r="AG127" s="18">
        <f t="shared" si="138"/>
        <v>64860794</v>
      </c>
      <c r="AH127" s="19">
        <f t="shared" si="139"/>
        <v>13011256</v>
      </c>
      <c r="AI127" s="15">
        <f t="shared" si="140"/>
        <v>88511256</v>
      </c>
      <c r="AJ127" s="16">
        <f t="shared" si="141"/>
        <v>93139206</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11980839615</v>
      </c>
      <c r="F128" s="473">
        <f>SUMIF($B8:$B$122,$B$24,F8:F122)+F122</f>
        <v>11980839615</v>
      </c>
      <c r="G128" s="473">
        <f>SUMIF($B8:$B$122,$B$24,G8:G122)+G122</f>
        <v>11980839615</v>
      </c>
      <c r="H128" s="473">
        <f>SUMIF($B8:$B$122,$B$24,H8:H122)+H122</f>
        <v>1477228970</v>
      </c>
      <c r="I128" s="473">
        <f>SUMIF($B8:$B$122,$B$24,I8:I122)+I122</f>
        <v>13458068585</v>
      </c>
      <c r="J128" s="473">
        <f>SUMIF($B8:$B$122,$B$24,J8:J122)+J1212</f>
        <v>11980839614.690001</v>
      </c>
      <c r="K128" s="473">
        <f>SUMIF($B8:$B$122,$B$24,K8:K122)+K122</f>
        <v>1477228970</v>
      </c>
      <c r="L128" s="473">
        <f>SUMIF($B8:$B$122,$B$24,L8:L122)+L122</f>
        <v>13458068584.690001</v>
      </c>
      <c r="M128" s="473">
        <f>SUMIF($B8:$B$122,$B$24,M8:M122)+M12</f>
        <v>-1477228970</v>
      </c>
      <c r="N128" s="597">
        <f>SUMIF($B8:$B$122,$B$24,N8:N122)+N122</f>
        <v>-1477228969.6900001</v>
      </c>
      <c r="O128" s="451"/>
      <c r="P128" s="473">
        <f>SUMIF($B8:$B$122,$B$24,P8:P122)+P122</f>
        <v>0</v>
      </c>
      <c r="Q128" s="474">
        <f>SUMIF($B8:$B$122,$B$24,Q8:Q122)+Q122</f>
        <v>334534267</v>
      </c>
      <c r="R128" s="9"/>
      <c r="S128" s="688" t="str">
        <f>+IF(JUNIO!S128=0,"",JUNIO!S128)</f>
        <v>2010200-5</v>
      </c>
      <c r="T128" s="664" t="str">
        <f>+IF(JUNIO!T128=0,"",JUNIO!T128)</f>
        <v>Viáticos y Gastos de Viaje</v>
      </c>
      <c r="U128" s="27">
        <f>+ENERO!U128</f>
        <v>22000000</v>
      </c>
      <c r="V128" s="15">
        <f>JUNIO!V128+JULIO!AL128</f>
        <v>0</v>
      </c>
      <c r="W128" s="15">
        <f>JUNIO!W128+JULIO!AM128</f>
        <v>0</v>
      </c>
      <c r="X128" s="18">
        <f t="shared" si="135"/>
        <v>22000000</v>
      </c>
      <c r="Y128" s="19">
        <f>JUNIO!AA128</f>
        <v>2938000</v>
      </c>
      <c r="Z128" s="364">
        <v>0</v>
      </c>
      <c r="AA128" s="18">
        <f t="shared" si="136"/>
        <v>2938000</v>
      </c>
      <c r="AB128" s="19">
        <f>JUNIO!AD128</f>
        <v>2788000</v>
      </c>
      <c r="AC128" s="364">
        <v>0</v>
      </c>
      <c r="AD128" s="18">
        <f t="shared" si="137"/>
        <v>2788000</v>
      </c>
      <c r="AE128" s="19">
        <f>JUNIO!AG128</f>
        <v>2615500</v>
      </c>
      <c r="AF128" s="364">
        <v>0</v>
      </c>
      <c r="AG128" s="18">
        <f t="shared" si="138"/>
        <v>2615500</v>
      </c>
      <c r="AH128" s="19">
        <f t="shared" si="139"/>
        <v>19062000</v>
      </c>
      <c r="AI128" s="15">
        <f t="shared" si="140"/>
        <v>19212000</v>
      </c>
      <c r="AJ128" s="16">
        <f t="shared" si="141"/>
        <v>19384500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+IF(JUNIO!S129=0,"",JUNIO!S129)</f>
        <v>2010200-6</v>
      </c>
      <c r="T129" s="664" t="str">
        <f>+IF(JUNIO!T129=0,"",JUNIO!T129)</f>
        <v>Arrendamientos</v>
      </c>
      <c r="U129" s="27">
        <f>+ENERO!U129</f>
        <v>165000000</v>
      </c>
      <c r="V129" s="15">
        <f>JUNIO!V129+JULIO!AL129</f>
        <v>0</v>
      </c>
      <c r="W129" s="15">
        <f>JUNIO!W129+JULIO!AM129</f>
        <v>0</v>
      </c>
      <c r="X129" s="18">
        <f t="shared" si="135"/>
        <v>165000000</v>
      </c>
      <c r="Y129" s="19">
        <f>JUNIO!AA129</f>
        <v>110000000</v>
      </c>
      <c r="Z129" s="364">
        <v>0</v>
      </c>
      <c r="AA129" s="18">
        <f t="shared" si="136"/>
        <v>110000000</v>
      </c>
      <c r="AB129" s="19">
        <f>JUNIO!AD129</f>
        <v>48465715</v>
      </c>
      <c r="AC129" s="364">
        <v>25062437</v>
      </c>
      <c r="AD129" s="18">
        <f t="shared" si="137"/>
        <v>73528152</v>
      </c>
      <c r="AE129" s="19">
        <f>JUNIO!AG129</f>
        <v>31930579</v>
      </c>
      <c r="AF129" s="364">
        <v>31037889</v>
      </c>
      <c r="AG129" s="18">
        <f t="shared" si="138"/>
        <v>62968468</v>
      </c>
      <c r="AH129" s="19">
        <f t="shared" si="139"/>
        <v>55000000</v>
      </c>
      <c r="AI129" s="15">
        <f t="shared" si="140"/>
        <v>91471848</v>
      </c>
      <c r="AJ129" s="16">
        <f t="shared" si="141"/>
        <v>102031532</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3">C128+C126</f>
        <v>66420360605</v>
      </c>
      <c r="D130" s="476">
        <f t="shared" si="143"/>
        <v>0</v>
      </c>
      <c r="E130" s="476">
        <f t="shared" si="143"/>
        <v>37676301552</v>
      </c>
      <c r="F130" s="477">
        <f t="shared" si="143"/>
        <v>104096662157</v>
      </c>
      <c r="G130" s="475">
        <f t="shared" si="143"/>
        <v>65974032732</v>
      </c>
      <c r="H130" s="476">
        <f t="shared" si="143"/>
        <v>11506982464</v>
      </c>
      <c r="I130" s="477">
        <f t="shared" si="143"/>
        <v>77481015196</v>
      </c>
      <c r="J130" s="475">
        <f t="shared" si="143"/>
        <v>48487218886.759995</v>
      </c>
      <c r="K130" s="476">
        <f t="shared" si="143"/>
        <v>8947126571</v>
      </c>
      <c r="L130" s="477">
        <f t="shared" si="143"/>
        <v>57434345457.759995</v>
      </c>
      <c r="M130" s="475">
        <f t="shared" si="143"/>
        <v>26615646961</v>
      </c>
      <c r="N130" s="477">
        <f t="shared" si="143"/>
        <v>46662316699.239998</v>
      </c>
      <c r="P130" s="468">
        <f>P128+P126</f>
        <v>0</v>
      </c>
      <c r="Q130" s="469">
        <f>Q128+Q126</f>
        <v>494314729</v>
      </c>
      <c r="R130" s="9"/>
      <c r="S130" s="688" t="str">
        <f>+IF(JUNIO!S130=0,"",JUNIO!S130)</f>
        <v>2010200-7</v>
      </c>
      <c r="T130" s="664" t="str">
        <f>+IF(JUNIO!T130=0,"",JUNIO!T130)</f>
        <v>Vigilancia y Aseo</v>
      </c>
      <c r="U130" s="27">
        <f>+ENERO!U130</f>
        <v>1086000000</v>
      </c>
      <c r="V130" s="15">
        <f>JUNIO!V130+JULIO!AL130</f>
        <v>-50000000</v>
      </c>
      <c r="W130" s="15">
        <f>JUNIO!W130+JULIO!AM130</f>
        <v>0</v>
      </c>
      <c r="X130" s="18">
        <f t="shared" si="135"/>
        <v>1036000000</v>
      </c>
      <c r="Y130" s="19">
        <f>JUNIO!AA130</f>
        <v>1027184608</v>
      </c>
      <c r="Z130" s="364">
        <v>0</v>
      </c>
      <c r="AA130" s="18">
        <f t="shared" si="136"/>
        <v>1027184608</v>
      </c>
      <c r="AB130" s="19">
        <f>JUNIO!AD130</f>
        <v>513110297</v>
      </c>
      <c r="AC130" s="364">
        <v>87433173</v>
      </c>
      <c r="AD130" s="18">
        <f t="shared" si="137"/>
        <v>600543470</v>
      </c>
      <c r="AE130" s="19">
        <f>JUNIO!AG130</f>
        <v>220900814</v>
      </c>
      <c r="AF130" s="364">
        <v>204776310</v>
      </c>
      <c r="AG130" s="18">
        <f t="shared" si="138"/>
        <v>425677124</v>
      </c>
      <c r="AH130" s="19">
        <f t="shared" si="139"/>
        <v>8815392</v>
      </c>
      <c r="AI130" s="15">
        <f t="shared" si="140"/>
        <v>435456530</v>
      </c>
      <c r="AJ130" s="16">
        <f t="shared" si="141"/>
        <v>610322876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+IF(JUNIO!S131=0,"",JUNIO!S131)</f>
        <v>2010200-8</v>
      </c>
      <c r="T131" s="664" t="str">
        <f>+IF(JUNIO!T131=0,"",JUNIO!T131)</f>
        <v>Bienestar Social</v>
      </c>
      <c r="U131" s="27">
        <f>+ENERO!U131</f>
        <v>100000000</v>
      </c>
      <c r="V131" s="15">
        <f>JUNIO!V131+JULIO!AL131</f>
        <v>0</v>
      </c>
      <c r="W131" s="15">
        <f>JUNIO!W131+JULIO!AM131</f>
        <v>0</v>
      </c>
      <c r="X131" s="18">
        <f t="shared" si="135"/>
        <v>100000000</v>
      </c>
      <c r="Y131" s="19">
        <f>JUNIO!AA131</f>
        <v>76306232</v>
      </c>
      <c r="Z131" s="364">
        <v>0</v>
      </c>
      <c r="AA131" s="18">
        <f t="shared" si="136"/>
        <v>76306232</v>
      </c>
      <c r="AB131" s="19">
        <f>JUNIO!AD131</f>
        <v>6306232</v>
      </c>
      <c r="AC131" s="364">
        <v>0</v>
      </c>
      <c r="AD131" s="18">
        <f t="shared" si="137"/>
        <v>6306232</v>
      </c>
      <c r="AE131" s="19">
        <f>JUNIO!AG131</f>
        <v>3450000</v>
      </c>
      <c r="AF131" s="364">
        <v>1656232</v>
      </c>
      <c r="AG131" s="18">
        <f t="shared" si="138"/>
        <v>5106232</v>
      </c>
      <c r="AH131" s="19">
        <f t="shared" si="139"/>
        <v>23693768</v>
      </c>
      <c r="AI131" s="15">
        <f t="shared" si="140"/>
        <v>93693768</v>
      </c>
      <c r="AJ131" s="16">
        <f t="shared" si="141"/>
        <v>94893768</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+IF(JUNIO!S132=0,"",JUNIO!S132)</f>
        <v>2010200-9</v>
      </c>
      <c r="T132" s="664" t="str">
        <f>+IF(JUNIO!T132=0,"",JUNIO!T132)</f>
        <v>Capacitación, estimulos, incentivos, programa de calidad</v>
      </c>
      <c r="U132" s="27">
        <f>+ENERO!U132</f>
        <v>50000000</v>
      </c>
      <c r="V132" s="15">
        <f>JUNIO!V132+JULIO!AL132</f>
        <v>0</v>
      </c>
      <c r="W132" s="15">
        <f>JUNIO!W132+JULIO!AM132</f>
        <v>0</v>
      </c>
      <c r="X132" s="18">
        <f t="shared" si="135"/>
        <v>50000000</v>
      </c>
      <c r="Y132" s="19">
        <f>JUNIO!AA132</f>
        <v>0</v>
      </c>
      <c r="Z132" s="364">
        <v>0</v>
      </c>
      <c r="AA132" s="18">
        <f t="shared" si="136"/>
        <v>0</v>
      </c>
      <c r="AB132" s="19">
        <f>JUNIO!AD132</f>
        <v>0</v>
      </c>
      <c r="AC132" s="364">
        <v>0</v>
      </c>
      <c r="AD132" s="18">
        <f t="shared" si="137"/>
        <v>0</v>
      </c>
      <c r="AE132" s="19">
        <f>JUNIO!AG132</f>
        <v>0</v>
      </c>
      <c r="AF132" s="364">
        <v>0</v>
      </c>
      <c r="AG132" s="18">
        <f t="shared" si="138"/>
        <v>0</v>
      </c>
      <c r="AH132" s="19">
        <f t="shared" si="139"/>
        <v>50000000</v>
      </c>
      <c r="AI132" s="15">
        <f t="shared" si="140"/>
        <v>50000000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+IF(JUNIO!S133=0,"",JUNIO!S133)</f>
        <v>2010200-10</v>
      </c>
      <c r="T133" s="664" t="str">
        <f>+IF(JUNIO!T133=0,"",JUNIO!T133)</f>
        <v>Pagos otras IPS</v>
      </c>
      <c r="U133" s="27">
        <f>+ENERO!U133</f>
        <v>0</v>
      </c>
      <c r="V133" s="15">
        <f>JUNIO!V133+JULIO!AL133</f>
        <v>0</v>
      </c>
      <c r="W133" s="15">
        <f>JUNIO!W133+JULIO!AM133</f>
        <v>0</v>
      </c>
      <c r="X133" s="18">
        <f t="shared" si="135"/>
        <v>0</v>
      </c>
      <c r="Y133" s="19">
        <f>JUNIO!AA133</f>
        <v>0</v>
      </c>
      <c r="Z133" s="364">
        <v>0</v>
      </c>
      <c r="AA133" s="18">
        <f t="shared" si="136"/>
        <v>0</v>
      </c>
      <c r="AB133" s="19">
        <f>JUNIO!AD133</f>
        <v>0</v>
      </c>
      <c r="AC133" s="364">
        <v>0</v>
      </c>
      <c r="AD133" s="18">
        <f t="shared" si="137"/>
        <v>0</v>
      </c>
      <c r="AE133" s="19">
        <f>JUNIO!AG133</f>
        <v>0</v>
      </c>
      <c r="AF133" s="364">
        <v>0</v>
      </c>
      <c r="AG133" s="1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+IF(JUNIO!S134=0,"",JUNIO!S134)</f>
        <v>2010200-11</v>
      </c>
      <c r="T134" s="664" t="str">
        <f>+IF(JUNIO!T134=0,"",JUNIO!T134)</f>
        <v>Gastos financieros</v>
      </c>
      <c r="U134" s="27">
        <f>+ENERO!U134</f>
        <v>16000000</v>
      </c>
      <c r="V134" s="15">
        <f>JUNIO!V134+JULIO!AL134</f>
        <v>5000000</v>
      </c>
      <c r="W134" s="15">
        <f>JUNIO!W134+JULIO!AM134</f>
        <v>0</v>
      </c>
      <c r="X134" s="18">
        <f t="shared" si="135"/>
        <v>21000000</v>
      </c>
      <c r="Y134" s="19">
        <f>JUNIO!AA134</f>
        <v>13005945</v>
      </c>
      <c r="Z134" s="364">
        <v>1973398</v>
      </c>
      <c r="AA134" s="18">
        <f t="shared" si="136"/>
        <v>14979343</v>
      </c>
      <c r="AB134" s="19">
        <f>JUNIO!AD134</f>
        <v>13005945</v>
      </c>
      <c r="AC134" s="364">
        <v>1973398</v>
      </c>
      <c r="AD134" s="18">
        <f t="shared" si="137"/>
        <v>14979343</v>
      </c>
      <c r="AE134" s="19">
        <f>JUNIO!AG134</f>
        <v>13005945</v>
      </c>
      <c r="AF134" s="364">
        <v>1973398</v>
      </c>
      <c r="AG134" s="18">
        <f t="shared" si="138"/>
        <v>14979343</v>
      </c>
      <c r="AH134" s="19">
        <f t="shared" si="139"/>
        <v>6020657</v>
      </c>
      <c r="AI134" s="15">
        <f t="shared" si="140"/>
        <v>6020657</v>
      </c>
      <c r="AJ134" s="16">
        <f t="shared" si="141"/>
        <v>6020657</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+IF(JUNIO!S135=0,"",JUNIO!S135)</f>
        <v>2010200-12</v>
      </c>
      <c r="T135" s="664" t="str">
        <f>+IF(JUNIO!T135=0,"",JUNIO!T135)</f>
        <v>Mantenimiento de software</v>
      </c>
      <c r="U135" s="27">
        <f>+ENERO!U135</f>
        <v>350000000</v>
      </c>
      <c r="V135" s="15">
        <f>JUNIO!V135+JULIO!AL135</f>
        <v>0</v>
      </c>
      <c r="W135" s="15">
        <f>JUNIO!W135+JULIO!AM135</f>
        <v>0</v>
      </c>
      <c r="X135" s="18">
        <f t="shared" si="135"/>
        <v>350000000</v>
      </c>
      <c r="Y135" s="19">
        <f>JUNIO!AA135</f>
        <v>338498600</v>
      </c>
      <c r="Z135" s="364">
        <v>0</v>
      </c>
      <c r="AA135" s="18">
        <f t="shared" si="136"/>
        <v>338498600</v>
      </c>
      <c r="AB135" s="19">
        <f>JUNIO!AD135</f>
        <v>277213600</v>
      </c>
      <c r="AC135" s="364">
        <v>0</v>
      </c>
      <c r="AD135" s="18">
        <f t="shared" si="137"/>
        <v>277213600</v>
      </c>
      <c r="AE135" s="19">
        <f>JUNIO!AG135</f>
        <v>185286100</v>
      </c>
      <c r="AF135" s="364">
        <v>91927500</v>
      </c>
      <c r="AG135" s="18">
        <f t="shared" si="138"/>
        <v>277213600</v>
      </c>
      <c r="AH135" s="19">
        <f t="shared" si="139"/>
        <v>11501400</v>
      </c>
      <c r="AI135" s="15">
        <f t="shared" si="140"/>
        <v>72786400</v>
      </c>
      <c r="AJ135" s="16">
        <f t="shared" si="141"/>
        <v>72786400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+IF(JUNIO!S136=0,"",JUNIO!S136)</f>
        <v>2010200-13</v>
      </c>
      <c r="T136" s="664" t="str">
        <f>+IF(JUNIO!T136=0,"",JUNIO!T136)</f>
        <v/>
      </c>
      <c r="U136" s="27">
        <f>+ENERO!U136</f>
        <v>0</v>
      </c>
      <c r="V136" s="15">
        <f>JUNIO!V136+JULIO!AL136</f>
        <v>0</v>
      </c>
      <c r="W136" s="15">
        <f>JUNIO!W136+JULIO!AM136</f>
        <v>0</v>
      </c>
      <c r="X136" s="18">
        <f t="shared" si="135"/>
        <v>0</v>
      </c>
      <c r="Y136" s="19">
        <f>JUNIO!AA136</f>
        <v>0</v>
      </c>
      <c r="Z136" s="364">
        <v>0</v>
      </c>
      <c r="AA136" s="18">
        <f t="shared" si="136"/>
        <v>0</v>
      </c>
      <c r="AB136" s="19">
        <f>JUNIO!AD136</f>
        <v>0</v>
      </c>
      <c r="AC136" s="364">
        <v>0</v>
      </c>
      <c r="AD136" s="18">
        <f t="shared" si="137"/>
        <v>0</v>
      </c>
      <c r="AE136" s="19">
        <f>JUNIO!AG136</f>
        <v>0</v>
      </c>
      <c r="AF136" s="364">
        <v>0</v>
      </c>
      <c r="AG136" s="1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+IF(JUNIO!S137=0,"",JUNIO!S137)</f>
        <v>2010020-14</v>
      </c>
      <c r="T137" s="664" t="str">
        <f>+IF(JUNIO!T137=0,"",JUNIO!T137)</f>
        <v/>
      </c>
      <c r="U137" s="27">
        <f>+ENERO!U137</f>
        <v>0</v>
      </c>
      <c r="V137" s="15">
        <f>JUNIO!V137+JULIO!AL137</f>
        <v>0</v>
      </c>
      <c r="W137" s="15">
        <f>JUNIO!W137+JULIO!AM137</f>
        <v>0</v>
      </c>
      <c r="X137" s="18">
        <f t="shared" si="135"/>
        <v>0</v>
      </c>
      <c r="Y137" s="19">
        <f>JUNIO!AA137</f>
        <v>0</v>
      </c>
      <c r="Z137" s="364">
        <v>0</v>
      </c>
      <c r="AA137" s="18">
        <f t="shared" si="136"/>
        <v>0</v>
      </c>
      <c r="AB137" s="19">
        <f>JUNIO!AD137</f>
        <v>0</v>
      </c>
      <c r="AC137" s="364">
        <v>0</v>
      </c>
      <c r="AD137" s="18">
        <f t="shared" si="137"/>
        <v>0</v>
      </c>
      <c r="AE137" s="19">
        <f>JUNIO!AG137</f>
        <v>0</v>
      </c>
      <c r="AF137" s="364">
        <v>0</v>
      </c>
      <c r="AG137" s="1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+IF(JUNIO!S138=0,"",JUNIO!S138)</f>
        <v>2010200-15</v>
      </c>
      <c r="T138" s="664" t="str">
        <f>+IF(JUNIO!T138=0,"",JUNIO!T138)</f>
        <v/>
      </c>
      <c r="U138" s="27">
        <f>+ENERO!U138</f>
        <v>0</v>
      </c>
      <c r="V138" s="15">
        <f>JUNIO!V138+JULIO!AL138</f>
        <v>0</v>
      </c>
      <c r="W138" s="15">
        <f>JUNIO!W138+JULIO!AM138</f>
        <v>0</v>
      </c>
      <c r="X138" s="18">
        <f t="shared" si="135"/>
        <v>0</v>
      </c>
      <c r="Y138" s="19">
        <f>JUNIO!AA138</f>
        <v>0</v>
      </c>
      <c r="Z138" s="364">
        <v>0</v>
      </c>
      <c r="AA138" s="18">
        <f t="shared" si="136"/>
        <v>0</v>
      </c>
      <c r="AB138" s="19">
        <f>JUNIO!AD138</f>
        <v>0</v>
      </c>
      <c r="AC138" s="364">
        <v>0</v>
      </c>
      <c r="AD138" s="18">
        <f t="shared" si="137"/>
        <v>0</v>
      </c>
      <c r="AE138" s="19">
        <f>JUNIO!AG138</f>
        <v>0</v>
      </c>
      <c r="AF138" s="364">
        <v>0</v>
      </c>
      <c r="AG138" s="1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+IF(JUNIO!S139=0,"",JUNIO!S139)</f>
        <v>2010299</v>
      </c>
      <c r="T139" s="664" t="str">
        <f>+IF(JUNIO!T139=0,"",JUNIO!T139)</f>
        <v>Vigencias Anteriores</v>
      </c>
      <c r="U139" s="27">
        <f>+ENERO!U139</f>
        <v>100000000</v>
      </c>
      <c r="V139" s="15">
        <f>JUNIO!V139+JULIO!AL139</f>
        <v>50000000</v>
      </c>
      <c r="W139" s="15">
        <f>JUNIO!W139+JULIO!AM139</f>
        <v>250000000</v>
      </c>
      <c r="X139" s="18">
        <f t="shared" si="135"/>
        <v>400000000</v>
      </c>
      <c r="Y139" s="19">
        <f>JUNIO!AA139</f>
        <v>399382937</v>
      </c>
      <c r="Z139" s="364">
        <v>0</v>
      </c>
      <c r="AA139" s="18">
        <f t="shared" si="136"/>
        <v>399382937</v>
      </c>
      <c r="AB139" s="19">
        <f>JUNIO!AD139</f>
        <v>399382937</v>
      </c>
      <c r="AC139" s="364">
        <v>0</v>
      </c>
      <c r="AD139" s="18">
        <f t="shared" si="137"/>
        <v>399382937</v>
      </c>
      <c r="AE139" s="19">
        <f>JUNIO!AG139</f>
        <v>399382937</v>
      </c>
      <c r="AF139" s="364">
        <v>0</v>
      </c>
      <c r="AG139" s="18">
        <f t="shared" si="138"/>
        <v>399382937</v>
      </c>
      <c r="AH139" s="19">
        <f t="shared" si="139"/>
        <v>617063</v>
      </c>
      <c r="AI139" s="15">
        <f t="shared" si="140"/>
        <v>617063</v>
      </c>
      <c r="AJ139" s="16">
        <f t="shared" si="141"/>
        <v>617063</v>
      </c>
      <c r="AK139" s="9"/>
      <c r="AL139" s="362">
        <v>0</v>
      </c>
      <c r="AM139" s="365">
        <v>0</v>
      </c>
      <c r="AN139" s="9"/>
      <c r="AO139" s="284"/>
      <c r="AP139" s="284"/>
      <c r="AQ139" s="284"/>
    </row>
    <row r="140" spans="1:52" s="372" customFormat="1" ht="24.95" customHeight="1">
      <c r="A140" s="734"/>
      <c r="B140" s="643"/>
      <c r="N140" s="9"/>
      <c r="R140" s="9"/>
      <c r="S140" s="356" t="str">
        <f>+IF(JUNIO!S140=0,"",JUNIO!S140)</f>
        <v/>
      </c>
      <c r="T140" s="678" t="str">
        <f>+IF(JUNIO!T140=0,"",JUNIO!T140)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+IF(JUNIO!S141=0,"",JUNIO!S141)</f>
        <v>2010300</v>
      </c>
      <c r="T141" s="663" t="str">
        <f>+IF(JUNIO!T141=0,"",JUNIO!T141)</f>
        <v>Impuestos y Multas</v>
      </c>
      <c r="U141" s="132">
        <f t="shared" ref="U141:AJ141" si="144">U142+U143</f>
        <v>527082264</v>
      </c>
      <c r="V141" s="122">
        <f t="shared" si="144"/>
        <v>0</v>
      </c>
      <c r="W141" s="122">
        <f t="shared" si="144"/>
        <v>0</v>
      </c>
      <c r="X141" s="129">
        <f t="shared" si="144"/>
        <v>527082264</v>
      </c>
      <c r="Y141" s="128">
        <f t="shared" si="144"/>
        <v>164268914</v>
      </c>
      <c r="Z141" s="122">
        <f t="shared" si="144"/>
        <v>16949240</v>
      </c>
      <c r="AA141" s="129">
        <f t="shared" si="144"/>
        <v>181218154</v>
      </c>
      <c r="AB141" s="128">
        <f t="shared" si="144"/>
        <v>164268914</v>
      </c>
      <c r="AC141" s="122">
        <f t="shared" si="144"/>
        <v>16949240</v>
      </c>
      <c r="AD141" s="129">
        <f t="shared" si="144"/>
        <v>181218154</v>
      </c>
      <c r="AE141" s="128">
        <f t="shared" si="144"/>
        <v>164268914</v>
      </c>
      <c r="AF141" s="122">
        <f t="shared" si="144"/>
        <v>16949240</v>
      </c>
      <c r="AG141" s="129">
        <f t="shared" si="144"/>
        <v>181218154</v>
      </c>
      <c r="AH141" s="128">
        <f t="shared" si="144"/>
        <v>345864110</v>
      </c>
      <c r="AI141" s="122">
        <f t="shared" si="144"/>
        <v>345864110</v>
      </c>
      <c r="AJ141" s="130">
        <f t="shared" si="144"/>
        <v>345864110</v>
      </c>
      <c r="AK141" s="10"/>
      <c r="AL141" s="128">
        <f>AL142+AL143</f>
        <v>0</v>
      </c>
      <c r="AM141" s="130">
        <f>AM142+AM143</f>
        <v>0</v>
      </c>
      <c r="AN141" s="9"/>
    </row>
    <row r="142" spans="1:52" s="372" customFormat="1" ht="24.95" customHeight="1">
      <c r="A142" s="734"/>
      <c r="B142" s="643"/>
      <c r="N142" s="9"/>
      <c r="R142" s="9"/>
      <c r="S142" s="688" t="str">
        <f>+IF(JUNIO!S142=0,"",JUNIO!S142)</f>
        <v>2010300-1</v>
      </c>
      <c r="T142" s="664" t="str">
        <f>+IF(JUNIO!T142=0,"",JUNIO!T142)</f>
        <v>Impuestos (Predial, Vehiculos, Otros)</v>
      </c>
      <c r="U142" s="27">
        <f>+ENERO!U142</f>
        <v>527082264</v>
      </c>
      <c r="V142" s="15">
        <f>JUNIO!V142+JULIO!AL142</f>
        <v>0</v>
      </c>
      <c r="W142" s="15">
        <f>JUNIO!W142+JULIO!AM142</f>
        <v>0</v>
      </c>
      <c r="X142" s="18">
        <f>SUM(U142:W142)</f>
        <v>527082264</v>
      </c>
      <c r="Y142" s="19">
        <f>JUNIO!AA142</f>
        <v>164268914</v>
      </c>
      <c r="Z142" s="364">
        <v>16949240</v>
      </c>
      <c r="AA142" s="18">
        <f>SUM(Y142:Z142)</f>
        <v>181218154</v>
      </c>
      <c r="AB142" s="19">
        <f>JUNIO!AD142</f>
        <v>164268914</v>
      </c>
      <c r="AC142" s="364">
        <v>16949240</v>
      </c>
      <c r="AD142" s="18">
        <f>SUM(AB142:AC142)</f>
        <v>181218154</v>
      </c>
      <c r="AE142" s="19">
        <f>JUNIO!AG142</f>
        <v>164268914</v>
      </c>
      <c r="AF142" s="364">
        <v>16949240</v>
      </c>
      <c r="AG142" s="18">
        <f>SUM(AE142:AF142)</f>
        <v>181218154</v>
      </c>
      <c r="AH142" s="19">
        <f>X142-AA142</f>
        <v>345864110</v>
      </c>
      <c r="AI142" s="15">
        <f>X142-AD142</f>
        <v>345864110</v>
      </c>
      <c r="AJ142" s="16">
        <f>X142-AG142</f>
        <v>345864110</v>
      </c>
      <c r="AK142" s="9"/>
      <c r="AL142" s="362">
        <v>0</v>
      </c>
      <c r="AM142" s="365">
        <v>0</v>
      </c>
      <c r="AN142" s="9"/>
    </row>
    <row r="143" spans="1:52" s="372" customFormat="1" ht="24.95" customHeight="1">
      <c r="A143" s="734"/>
      <c r="B143" s="643"/>
      <c r="N143" s="9"/>
      <c r="R143" s="9"/>
      <c r="S143" s="688">
        <f>+IF(JUNIO!S143=0,"",JUNIO!S143)</f>
        <v>2010399</v>
      </c>
      <c r="T143" s="664" t="str">
        <f>+IF(JUNIO!T143=0,"",JUNIO!T143)</f>
        <v>Vigencias Anteriores</v>
      </c>
      <c r="U143" s="27">
        <f>+ENERO!U143</f>
        <v>0</v>
      </c>
      <c r="V143" s="15">
        <f>JUNIO!V143+JULIO!AL143</f>
        <v>0</v>
      </c>
      <c r="W143" s="15">
        <f>JUNIO!W143+JULIO!AM143</f>
        <v>0</v>
      </c>
      <c r="X143" s="18">
        <f>SUM(U143:W143)</f>
        <v>0</v>
      </c>
      <c r="Y143" s="19">
        <f>JUNIO!AA143</f>
        <v>0</v>
      </c>
      <c r="Z143" s="364">
        <v>0</v>
      </c>
      <c r="AA143" s="18">
        <f>SUM(Y143:Z143)</f>
        <v>0</v>
      </c>
      <c r="AB143" s="19">
        <f>JUNIO!AD143</f>
        <v>0</v>
      </c>
      <c r="AC143" s="364">
        <v>0</v>
      </c>
      <c r="AD143" s="18">
        <f>SUM(AB143:AC143)</f>
        <v>0</v>
      </c>
      <c r="AE143" s="19">
        <f>JUNIO!AG143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+IF(JUNIO!S144=0,"",JUNIO!S144)</f>
        <v/>
      </c>
      <c r="T144" s="678" t="str">
        <f>+IF(JUNIO!T144=0,"",JUNIO!T144)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+IF(JUNIO!S145=0,"",JUNIO!S145)</f>
        <v>2020010</v>
      </c>
      <c r="T145" s="662" t="str">
        <f>+IF(JUNIO!T145=0,"",JUNIO!T145)</f>
        <v>Gastos de Operación</v>
      </c>
      <c r="U145" s="132">
        <f t="shared" ref="U145:AJ145" si="145">U147+U155</f>
        <v>5923637263</v>
      </c>
      <c r="V145" s="122">
        <f t="shared" si="145"/>
        <v>292000000</v>
      </c>
      <c r="W145" s="122">
        <f t="shared" si="145"/>
        <v>1300000000</v>
      </c>
      <c r="X145" s="129">
        <f t="shared" si="145"/>
        <v>7515637263</v>
      </c>
      <c r="Y145" s="128">
        <f t="shared" si="145"/>
        <v>6033621106</v>
      </c>
      <c r="Z145" s="122">
        <f t="shared" si="145"/>
        <v>207887303</v>
      </c>
      <c r="AA145" s="129">
        <f t="shared" si="145"/>
        <v>6241508409</v>
      </c>
      <c r="AB145" s="128">
        <f t="shared" si="145"/>
        <v>3994304768</v>
      </c>
      <c r="AC145" s="122">
        <f t="shared" si="145"/>
        <v>580199804</v>
      </c>
      <c r="AD145" s="129">
        <f t="shared" si="145"/>
        <v>4574504572</v>
      </c>
      <c r="AE145" s="128">
        <f t="shared" si="145"/>
        <v>2478340019</v>
      </c>
      <c r="AF145" s="122">
        <f t="shared" si="145"/>
        <v>1007619197</v>
      </c>
      <c r="AG145" s="129">
        <f t="shared" si="145"/>
        <v>3485959216</v>
      </c>
      <c r="AH145" s="128">
        <f t="shared" si="145"/>
        <v>1274128854</v>
      </c>
      <c r="AI145" s="122">
        <f t="shared" si="145"/>
        <v>2941132691</v>
      </c>
      <c r="AJ145" s="130">
        <f t="shared" si="145"/>
        <v>4029678047</v>
      </c>
      <c r="AK145" s="10"/>
      <c r="AL145" s="128">
        <f>AL147+AL155</f>
        <v>0</v>
      </c>
      <c r="AM145" s="130">
        <f>AM147+AM155</f>
        <v>0</v>
      </c>
      <c r="AN145" s="9"/>
    </row>
    <row r="146" spans="1:40" s="372" customFormat="1" ht="24.95" customHeight="1">
      <c r="A146" s="734"/>
      <c r="B146" s="643"/>
      <c r="N146" s="9"/>
      <c r="R146" s="9"/>
      <c r="S146" s="689" t="str">
        <f>+IF(JUNIO!S146=0,"",JUNIO!S146)</f>
        <v/>
      </c>
      <c r="T146" s="665" t="str">
        <f>+IF(JUNIO!T146=0,"",JUNIO!T146)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+IF(JUNIO!S147=0,"",JUNIO!S147)</f>
        <v>2020100</v>
      </c>
      <c r="T147" s="663" t="str">
        <f>+IF(JUNIO!T147=0,"",JUNIO!T147)</f>
        <v>Adquisición de bienes</v>
      </c>
      <c r="U147" s="132">
        <f t="shared" ref="U147:AJ147" si="146">SUM(U148:U149)+U153</f>
        <v>1211000000</v>
      </c>
      <c r="V147" s="122">
        <f t="shared" si="146"/>
        <v>-308000000</v>
      </c>
      <c r="W147" s="122">
        <f t="shared" si="146"/>
        <v>100000000</v>
      </c>
      <c r="X147" s="129">
        <f t="shared" si="146"/>
        <v>1003000000</v>
      </c>
      <c r="Y147" s="128">
        <f t="shared" si="146"/>
        <v>426481675</v>
      </c>
      <c r="Z147" s="122">
        <f t="shared" si="146"/>
        <v>3155648</v>
      </c>
      <c r="AA147" s="129">
        <f t="shared" si="146"/>
        <v>429637323</v>
      </c>
      <c r="AB147" s="128">
        <f t="shared" si="146"/>
        <v>279377919</v>
      </c>
      <c r="AC147" s="122">
        <f t="shared" si="146"/>
        <v>58357930</v>
      </c>
      <c r="AD147" s="129">
        <f t="shared" si="146"/>
        <v>337735849</v>
      </c>
      <c r="AE147" s="128">
        <f t="shared" si="146"/>
        <v>223486516</v>
      </c>
      <c r="AF147" s="122">
        <f t="shared" si="146"/>
        <v>59272072</v>
      </c>
      <c r="AG147" s="129">
        <f t="shared" si="146"/>
        <v>282758588</v>
      </c>
      <c r="AH147" s="128">
        <f t="shared" si="146"/>
        <v>573362677</v>
      </c>
      <c r="AI147" s="122">
        <f t="shared" si="146"/>
        <v>665264151</v>
      </c>
      <c r="AJ147" s="130">
        <f t="shared" si="146"/>
        <v>720241412</v>
      </c>
      <c r="AK147" s="9"/>
      <c r="AL147" s="128">
        <f>SUM(AL148:AL149)+AL153</f>
        <v>0</v>
      </c>
      <c r="AM147" s="130">
        <f>SUM(AM148:AM149)+AM153</f>
        <v>0</v>
      </c>
      <c r="AN147" s="9"/>
    </row>
    <row r="148" spans="1:40" s="372" customFormat="1" ht="24.95" customHeight="1">
      <c r="A148" s="734"/>
      <c r="B148" s="643"/>
      <c r="N148" s="9"/>
      <c r="R148" s="9"/>
      <c r="S148" s="688">
        <f>+IF(JUNIO!S148=0,"",JUNIO!S148)</f>
        <v>2020101</v>
      </c>
      <c r="T148" s="664" t="str">
        <f>+IF(JUNIO!T148=0,"",JUNIO!T148)</f>
        <v>Mantenimiento Hospitalario</v>
      </c>
      <c r="U148" s="27">
        <f>+ENERO!U148</f>
        <v>1000000000</v>
      </c>
      <c r="V148" s="15">
        <f>JUNIO!V148+JULIO!AL148</f>
        <v>-308000000</v>
      </c>
      <c r="W148" s="15">
        <f>JUNIO!W148+JULIO!AM148</f>
        <v>0</v>
      </c>
      <c r="X148" s="18">
        <f>SUM(U148:W148)</f>
        <v>692000000</v>
      </c>
      <c r="Y148" s="19">
        <f>JUNIO!AA148</f>
        <v>200346148</v>
      </c>
      <c r="Z148" s="364">
        <v>3155648</v>
      </c>
      <c r="AA148" s="18">
        <f>SUM(Y148:Z148)</f>
        <v>203501796</v>
      </c>
      <c r="AB148" s="19">
        <f>JUNIO!AD148</f>
        <v>53242392</v>
      </c>
      <c r="AC148" s="364">
        <v>58357930</v>
      </c>
      <c r="AD148" s="18">
        <f>SUM(AB148:AC148)</f>
        <v>111600322</v>
      </c>
      <c r="AE148" s="19">
        <f>JUNIO!AG148</f>
        <v>35100669</v>
      </c>
      <c r="AF148" s="364">
        <v>59272072</v>
      </c>
      <c r="AG148" s="18">
        <f>SUM(AE148:AF148)</f>
        <v>94372741</v>
      </c>
      <c r="AH148" s="19">
        <f>X148-AA148</f>
        <v>488498204</v>
      </c>
      <c r="AI148" s="15">
        <f>X148-AD148</f>
        <v>580399678</v>
      </c>
      <c r="AJ148" s="16">
        <f>X148-AG148</f>
        <v>597627259</v>
      </c>
      <c r="AK148" s="9"/>
      <c r="AL148" s="362">
        <v>0</v>
      </c>
      <c r="AM148" s="365">
        <v>0</v>
      </c>
      <c r="AN148" s="9"/>
    </row>
    <row r="149" spans="1:40" s="372" customFormat="1" ht="24.95" customHeight="1">
      <c r="A149" s="734"/>
      <c r="B149" s="643"/>
      <c r="N149" s="9"/>
      <c r="R149" s="9"/>
      <c r="S149" s="688">
        <f>+IF(JUNIO!S149=0,"",JUNIO!S149)</f>
        <v>2020102</v>
      </c>
      <c r="T149" s="664" t="str">
        <f>+IF(JUNIO!T149=0,"",JUNIO!T149)</f>
        <v>Otros</v>
      </c>
      <c r="U149" s="27">
        <f t="shared" ref="U149:AJ149" si="147">SUM(U150:U152)</f>
        <v>150000000</v>
      </c>
      <c r="V149" s="15">
        <f t="shared" si="147"/>
        <v>0</v>
      </c>
      <c r="W149" s="15">
        <f t="shared" si="147"/>
        <v>0</v>
      </c>
      <c r="X149" s="18">
        <f t="shared" si="147"/>
        <v>150000000</v>
      </c>
      <c r="Y149" s="19">
        <f t="shared" si="147"/>
        <v>78952121</v>
      </c>
      <c r="Z149" s="142">
        <f t="shared" si="147"/>
        <v>0</v>
      </c>
      <c r="AA149" s="18">
        <f t="shared" si="147"/>
        <v>78952121</v>
      </c>
      <c r="AB149" s="19">
        <f t="shared" si="147"/>
        <v>78952121</v>
      </c>
      <c r="AC149" s="142">
        <f t="shared" si="147"/>
        <v>0</v>
      </c>
      <c r="AD149" s="18">
        <f t="shared" si="147"/>
        <v>78952121</v>
      </c>
      <c r="AE149" s="19">
        <f t="shared" si="147"/>
        <v>41202441</v>
      </c>
      <c r="AF149" s="142">
        <f t="shared" si="147"/>
        <v>0</v>
      </c>
      <c r="AG149" s="18">
        <f t="shared" si="147"/>
        <v>41202441</v>
      </c>
      <c r="AH149" s="19">
        <f t="shared" si="147"/>
        <v>71047879</v>
      </c>
      <c r="AI149" s="15">
        <f t="shared" si="147"/>
        <v>71047879</v>
      </c>
      <c r="AJ149" s="16">
        <f t="shared" si="147"/>
        <v>108797559</v>
      </c>
      <c r="AK149" s="9"/>
      <c r="AL149" s="29">
        <f>SUM(AL150:AL152)</f>
        <v>0</v>
      </c>
      <c r="AM149" s="26">
        <f>SUM(AM150:AM152)</f>
        <v>0</v>
      </c>
      <c r="AN149" s="9"/>
    </row>
    <row r="150" spans="1:40" s="372" customFormat="1" ht="24.95" customHeight="1">
      <c r="A150" s="734"/>
      <c r="B150" s="643"/>
      <c r="N150" s="9"/>
      <c r="R150" s="9"/>
      <c r="S150" s="689" t="str">
        <f>+IF(JUNIO!S150=0,"",JUNIO!S150)</f>
        <v>2020102-1</v>
      </c>
      <c r="T150" s="664" t="str">
        <f>+IF(JUNIO!T150=0,"",JUNIO!T150)</f>
        <v>Compra de Equipo e Instr. Mco. y Laborat.</v>
      </c>
      <c r="U150" s="27">
        <f>+ENERO!U150</f>
        <v>150000000</v>
      </c>
      <c r="V150" s="15">
        <f>JUNIO!V150+JULIO!AL150</f>
        <v>0</v>
      </c>
      <c r="W150" s="15">
        <f>JUNIO!W150+JULIO!AM150</f>
        <v>0</v>
      </c>
      <c r="X150" s="18">
        <f>SUM(U150:W150)</f>
        <v>150000000</v>
      </c>
      <c r="Y150" s="19">
        <f>JUNIO!AA150</f>
        <v>78952121</v>
      </c>
      <c r="Z150" s="364">
        <v>0</v>
      </c>
      <c r="AA150" s="18">
        <f>SUM(Y150:Z150)</f>
        <v>78952121</v>
      </c>
      <c r="AB150" s="19">
        <f>JUNIO!AD150</f>
        <v>78952121</v>
      </c>
      <c r="AC150" s="364">
        <v>0</v>
      </c>
      <c r="AD150" s="18">
        <f>SUM(AB150:AC150)</f>
        <v>78952121</v>
      </c>
      <c r="AE150" s="19">
        <f>JUNIO!AG150</f>
        <v>41202441</v>
      </c>
      <c r="AF150" s="364">
        <v>0</v>
      </c>
      <c r="AG150" s="18">
        <f>SUM(AE150:AF150)</f>
        <v>41202441</v>
      </c>
      <c r="AH150" s="19">
        <f>X150-AA150</f>
        <v>71047879</v>
      </c>
      <c r="AI150" s="15">
        <f>X150-AD150</f>
        <v>71047879</v>
      </c>
      <c r="AJ150" s="16">
        <f>X150-AG150</f>
        <v>108797559</v>
      </c>
      <c r="AK150" s="9"/>
      <c r="AL150" s="362">
        <v>0</v>
      </c>
      <c r="AM150" s="365">
        <v>0</v>
      </c>
      <c r="AN150" s="9"/>
    </row>
    <row r="151" spans="1:40" s="372" customFormat="1" ht="24.95" customHeight="1">
      <c r="A151" s="734"/>
      <c r="B151" s="643"/>
      <c r="N151" s="9"/>
      <c r="R151" s="9"/>
      <c r="S151" s="689" t="str">
        <f>+IF(JUNIO!S151=0,"",JUNIO!S151)</f>
        <v>2020102-2</v>
      </c>
      <c r="T151" s="664" t="str">
        <f>+IF(JUNIO!T151=0,"",JUNIO!T151)</f>
        <v>Materiales</v>
      </c>
      <c r="U151" s="27">
        <f>+ENERO!U151</f>
        <v>0</v>
      </c>
      <c r="V151" s="15">
        <f>JUNIO!V151+JULIO!AL151</f>
        <v>0</v>
      </c>
      <c r="W151" s="15">
        <f>JUNIO!W151+JULIO!AM151</f>
        <v>0</v>
      </c>
      <c r="X151" s="18">
        <f>SUM(U151:W151)</f>
        <v>0</v>
      </c>
      <c r="Y151" s="19">
        <f>JUNIO!AA151</f>
        <v>0</v>
      </c>
      <c r="Z151" s="364">
        <v>0</v>
      </c>
      <c r="AA151" s="18">
        <f>SUM(Y151:Z151)</f>
        <v>0</v>
      </c>
      <c r="AB151" s="19">
        <f>JUNIO!AD151</f>
        <v>0</v>
      </c>
      <c r="AC151" s="364">
        <v>0</v>
      </c>
      <c r="AD151" s="18">
        <f>SUM(AB151:AC151)</f>
        <v>0</v>
      </c>
      <c r="AE151" s="19">
        <f>JUNIO!AG151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+IF(JUNIO!S152=0,"",JUNIO!S152)</f>
        <v>2020102-3</v>
      </c>
      <c r="T152" s="664" t="str">
        <f>+IF(JUNIO!T152=0,"",JUNIO!T152)</f>
        <v/>
      </c>
      <c r="U152" s="27">
        <f>+ENERO!U152</f>
        <v>0</v>
      </c>
      <c r="V152" s="15">
        <f>JUNIO!V152+JULIO!AL152</f>
        <v>0</v>
      </c>
      <c r="W152" s="15">
        <f>JUNIO!W152+JULIO!AM152</f>
        <v>0</v>
      </c>
      <c r="X152" s="18">
        <f>SUM(U152:W152)</f>
        <v>0</v>
      </c>
      <c r="Y152" s="19">
        <f>JUNIO!AA152</f>
        <v>0</v>
      </c>
      <c r="Z152" s="364">
        <v>0</v>
      </c>
      <c r="AA152" s="18">
        <f>SUM(Y152:Z152)</f>
        <v>0</v>
      </c>
      <c r="AB152" s="19">
        <f>JUNIO!AD152</f>
        <v>0</v>
      </c>
      <c r="AC152" s="364">
        <v>0</v>
      </c>
      <c r="AD152" s="18">
        <f>SUM(AB152:AC152)</f>
        <v>0</v>
      </c>
      <c r="AE152" s="19">
        <f>JUNIO!AG152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+IF(JUNIO!S153=0,"",JUNIO!S153)</f>
        <v>2020199</v>
      </c>
      <c r="T153" s="664" t="str">
        <f>+IF(JUNIO!T153=0,"",JUNIO!T153)</f>
        <v>Vigencias Anteriores</v>
      </c>
      <c r="U153" s="27">
        <f>+ENERO!U153</f>
        <v>61000000</v>
      </c>
      <c r="V153" s="15">
        <f>JUNIO!V153+JULIO!AL153</f>
        <v>0</v>
      </c>
      <c r="W153" s="15">
        <f>JUNIO!W153+JULIO!AM153</f>
        <v>100000000</v>
      </c>
      <c r="X153" s="18">
        <f>SUM(U153:W153)</f>
        <v>161000000</v>
      </c>
      <c r="Y153" s="19">
        <f>JUNIO!AA153</f>
        <v>147183406</v>
      </c>
      <c r="Z153" s="364">
        <v>0</v>
      </c>
      <c r="AA153" s="18">
        <f>SUM(Y153:Z153)</f>
        <v>147183406</v>
      </c>
      <c r="AB153" s="19">
        <f>JUNIO!AD153</f>
        <v>147183406</v>
      </c>
      <c r="AC153" s="364">
        <v>0</v>
      </c>
      <c r="AD153" s="18">
        <f>SUM(AB153:AC153)</f>
        <v>147183406</v>
      </c>
      <c r="AE153" s="19">
        <f>JUNIO!AG153</f>
        <v>147183406</v>
      </c>
      <c r="AF153" s="364">
        <v>0</v>
      </c>
      <c r="AG153" s="18">
        <f>SUM(AE153:AF153)</f>
        <v>147183406</v>
      </c>
      <c r="AH153" s="19">
        <f>X153-AA153</f>
        <v>13816594</v>
      </c>
      <c r="AI153" s="15">
        <f>X153-AD153</f>
        <v>13816594</v>
      </c>
      <c r="AJ153" s="16">
        <f>X153-AG153</f>
        <v>13816594</v>
      </c>
      <c r="AK153" s="9"/>
      <c r="AL153" s="362">
        <v>0</v>
      </c>
      <c r="AM153" s="365">
        <v>0</v>
      </c>
      <c r="AN153" s="9"/>
    </row>
    <row r="154" spans="1:40" s="372" customFormat="1" ht="24.95" customHeight="1">
      <c r="A154" s="734"/>
      <c r="B154" s="643"/>
      <c r="N154" s="9"/>
      <c r="R154" s="9"/>
      <c r="S154" s="356" t="str">
        <f>+IF(JUNIO!S154=0,"",JUNIO!S154)</f>
        <v/>
      </c>
      <c r="T154" s="678" t="str">
        <f>+IF(JUNIO!T154=0,"",JUNIO!T154)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+IF(JUNIO!S155=0,"",JUNIO!S155)</f>
        <v>2020200</v>
      </c>
      <c r="T155" s="663" t="str">
        <f>+IF(JUNIO!T155=0,"",JUNIO!T155)</f>
        <v>Adquisición de Servicios</v>
      </c>
      <c r="U155" s="132">
        <f t="shared" ref="U155:AJ155" si="148">SUM(U156:U157)+U168</f>
        <v>4712637263</v>
      </c>
      <c r="V155" s="122">
        <f t="shared" si="148"/>
        <v>600000000</v>
      </c>
      <c r="W155" s="122">
        <f t="shared" si="148"/>
        <v>1200000000</v>
      </c>
      <c r="X155" s="129">
        <f t="shared" si="148"/>
        <v>6512637263</v>
      </c>
      <c r="Y155" s="128">
        <f t="shared" si="148"/>
        <v>5607139431</v>
      </c>
      <c r="Z155" s="122">
        <f t="shared" si="148"/>
        <v>204731655</v>
      </c>
      <c r="AA155" s="129">
        <f t="shared" si="148"/>
        <v>5811871086</v>
      </c>
      <c r="AB155" s="128">
        <f t="shared" si="148"/>
        <v>3714926849</v>
      </c>
      <c r="AC155" s="122">
        <f t="shared" si="148"/>
        <v>521841874</v>
      </c>
      <c r="AD155" s="129">
        <f t="shared" si="148"/>
        <v>4236768723</v>
      </c>
      <c r="AE155" s="128">
        <f t="shared" si="148"/>
        <v>2254853503</v>
      </c>
      <c r="AF155" s="122">
        <f t="shared" si="148"/>
        <v>948347125</v>
      </c>
      <c r="AG155" s="129">
        <f t="shared" si="148"/>
        <v>3203200628</v>
      </c>
      <c r="AH155" s="128">
        <f t="shared" si="148"/>
        <v>700766177</v>
      </c>
      <c r="AI155" s="122">
        <f t="shared" si="148"/>
        <v>2275868540</v>
      </c>
      <c r="AJ155" s="130">
        <f t="shared" si="148"/>
        <v>3309436635</v>
      </c>
      <c r="AK155" s="9"/>
      <c r="AL155" s="128">
        <f>SUM(AL156:AL157)+AL168</f>
        <v>0</v>
      </c>
      <c r="AM155" s="130">
        <f>SUM(AM156:AM157)+AM168</f>
        <v>0</v>
      </c>
      <c r="AN155" s="9"/>
    </row>
    <row r="156" spans="1:40" s="372" customFormat="1" ht="24.95" customHeight="1">
      <c r="A156" s="734"/>
      <c r="B156" s="643"/>
      <c r="N156" s="9"/>
      <c r="P156" s="9"/>
      <c r="Q156" s="9"/>
      <c r="R156" s="9"/>
      <c r="S156" s="688">
        <f>+IF(JUNIO!S156=0,"",JUNIO!S156)</f>
        <v>2020201</v>
      </c>
      <c r="T156" s="664" t="str">
        <f>+IF(JUNIO!T156=0,"",JUNIO!T156)</f>
        <v>Mantenimiento Hospitalario</v>
      </c>
      <c r="U156" s="27">
        <f>+ENERO!U156</f>
        <v>2002025000</v>
      </c>
      <c r="V156" s="15">
        <f>JUNIO!V156+JULIO!AL156</f>
        <v>500000000</v>
      </c>
      <c r="W156" s="15">
        <f>JUNIO!W156+JULIO!AM156</f>
        <v>0</v>
      </c>
      <c r="X156" s="18">
        <f>SUM(U156:W156)</f>
        <v>2502025000</v>
      </c>
      <c r="Y156" s="19">
        <f>JUNIO!AA156</f>
        <v>2298449842</v>
      </c>
      <c r="Z156" s="364">
        <v>87276437</v>
      </c>
      <c r="AA156" s="18">
        <f>SUM(Y156:Z156)</f>
        <v>2385726279</v>
      </c>
      <c r="AB156" s="19">
        <f>JUNIO!AD156</f>
        <v>1380831210</v>
      </c>
      <c r="AC156" s="364">
        <v>261003119</v>
      </c>
      <c r="AD156" s="18">
        <f>SUM(AB156:AC156)</f>
        <v>1641834329</v>
      </c>
      <c r="AE156" s="19">
        <f>JUNIO!AG156</f>
        <v>893367695</v>
      </c>
      <c r="AF156" s="364">
        <v>471827154</v>
      </c>
      <c r="AG156" s="18">
        <f>SUM(AE156:AF156)</f>
        <v>1365194849</v>
      </c>
      <c r="AH156" s="19">
        <f>X156-AA156</f>
        <v>116298721</v>
      </c>
      <c r="AI156" s="15">
        <f>X156-AD156</f>
        <v>860190671</v>
      </c>
      <c r="AJ156" s="16">
        <f>X156-AG156</f>
        <v>1136830151</v>
      </c>
      <c r="AK156" s="9"/>
      <c r="AL156" s="362">
        <v>0</v>
      </c>
      <c r="AM156" s="365">
        <v>0</v>
      </c>
      <c r="AN156" s="9"/>
    </row>
    <row r="157" spans="1:40" s="372" customFormat="1" ht="24.95" customHeight="1">
      <c r="A157" s="734"/>
      <c r="B157" s="643"/>
      <c r="N157" s="9"/>
      <c r="P157" s="9"/>
      <c r="Q157" s="9"/>
      <c r="R157" s="9"/>
      <c r="S157" s="688">
        <f>+IF(JUNIO!S157=0,"",JUNIO!S157)</f>
        <v>2020202</v>
      </c>
      <c r="T157" s="664" t="str">
        <f>+IF(JUNIO!T157=0,"",JUNIO!T157)</f>
        <v>Otros</v>
      </c>
      <c r="U157" s="27">
        <f t="shared" ref="U157:AJ157" si="149">SUM(U158:U167)</f>
        <v>2609712263</v>
      </c>
      <c r="V157" s="15">
        <f t="shared" si="149"/>
        <v>0</v>
      </c>
      <c r="W157" s="15">
        <f t="shared" si="149"/>
        <v>500000000</v>
      </c>
      <c r="X157" s="18">
        <f t="shared" si="149"/>
        <v>3109712263</v>
      </c>
      <c r="Y157" s="19">
        <f t="shared" si="149"/>
        <v>2560803944</v>
      </c>
      <c r="Z157" s="142">
        <f t="shared" si="149"/>
        <v>102081311</v>
      </c>
      <c r="AA157" s="18">
        <f t="shared" si="149"/>
        <v>2662885255</v>
      </c>
      <c r="AB157" s="19">
        <f t="shared" si="149"/>
        <v>1586209994</v>
      </c>
      <c r="AC157" s="142">
        <f t="shared" si="149"/>
        <v>245464848</v>
      </c>
      <c r="AD157" s="18">
        <f t="shared" si="149"/>
        <v>1831674842</v>
      </c>
      <c r="AE157" s="19">
        <f t="shared" si="149"/>
        <v>613600163</v>
      </c>
      <c r="AF157" s="142">
        <f t="shared" si="149"/>
        <v>461146064</v>
      </c>
      <c r="AG157" s="18">
        <f t="shared" si="149"/>
        <v>1074746227</v>
      </c>
      <c r="AH157" s="19">
        <f t="shared" si="149"/>
        <v>446827008</v>
      </c>
      <c r="AI157" s="15">
        <f t="shared" si="149"/>
        <v>1278037421</v>
      </c>
      <c r="AJ157" s="16">
        <f t="shared" si="149"/>
        <v>2034966036</v>
      </c>
      <c r="AK157" s="10"/>
      <c r="AL157" s="29">
        <f>SUM(AL158:AL167)</f>
        <v>0</v>
      </c>
      <c r="AM157" s="26">
        <f>SUM(AM158:AM167)</f>
        <v>0</v>
      </c>
      <c r="AN157" s="9"/>
    </row>
    <row r="158" spans="1:40" s="372" customFormat="1" ht="24.95" customHeight="1">
      <c r="A158" s="734"/>
      <c r="B158" s="643"/>
      <c r="N158" s="9"/>
      <c r="P158" s="9"/>
      <c r="Q158" s="9"/>
      <c r="R158" s="9"/>
      <c r="S158" s="689" t="str">
        <f>+IF(JUNIO!S158=0,"",JUNIO!S158)</f>
        <v>2020202-1</v>
      </c>
      <c r="T158" s="665" t="str">
        <f>+IF(JUNIO!T158=0,"",JUNIO!T158)</f>
        <v>Seguros</v>
      </c>
      <c r="U158" s="27">
        <f>+ENERO!U158</f>
        <v>200000000</v>
      </c>
      <c r="V158" s="15">
        <f>JUNIO!V158+JULIO!AL158</f>
        <v>0</v>
      </c>
      <c r="W158" s="15">
        <f>JUNIO!W158+JULIO!AM158</f>
        <v>0</v>
      </c>
      <c r="X158" s="18">
        <f t="shared" ref="X158:X168" si="150">SUM(U158:W158)</f>
        <v>200000000</v>
      </c>
      <c r="Y158" s="19">
        <f>JUNIO!AA158</f>
        <v>113306686</v>
      </c>
      <c r="Z158" s="364">
        <v>24079696</v>
      </c>
      <c r="AA158" s="18">
        <f t="shared" ref="AA158:AA168" si="151">SUM(Y158:Z158)</f>
        <v>137386382</v>
      </c>
      <c r="AB158" s="19">
        <f>JUNIO!AD158</f>
        <v>51846417</v>
      </c>
      <c r="AC158" s="364">
        <v>32169733</v>
      </c>
      <c r="AD158" s="18">
        <f t="shared" ref="AD158:AD168" si="152">SUM(AB158:AC158)</f>
        <v>84016150</v>
      </c>
      <c r="AE158" s="19">
        <f>JUNIO!AG158</f>
        <v>51846417</v>
      </c>
      <c r="AF158" s="364">
        <v>19653886</v>
      </c>
      <c r="AG158" s="18">
        <f t="shared" ref="AG158:AG168" si="153">SUM(AE158:AF158)</f>
        <v>71500303</v>
      </c>
      <c r="AH158" s="19">
        <f t="shared" ref="AH158:AH168" si="154">X158-AA158</f>
        <v>62613618</v>
      </c>
      <c r="AI158" s="15">
        <f t="shared" ref="AI158:AI168" si="155">X158-AD158</f>
        <v>115983850</v>
      </c>
      <c r="AJ158" s="16">
        <f t="shared" ref="AJ158:AJ168" si="156">X158-AG158</f>
        <v>128499697</v>
      </c>
      <c r="AK158" s="9"/>
      <c r="AL158" s="362">
        <v>0</v>
      </c>
      <c r="AM158" s="365">
        <v>0</v>
      </c>
      <c r="AN158" s="9"/>
    </row>
    <row r="159" spans="1:40" s="372" customFormat="1" ht="24.95" customHeight="1">
      <c r="A159" s="734"/>
      <c r="B159" s="643"/>
      <c r="N159" s="9"/>
      <c r="P159" s="9"/>
      <c r="Q159" s="9"/>
      <c r="R159" s="9"/>
      <c r="S159" s="689" t="str">
        <f>+IF(JUNIO!S159=0,"",JUNIO!S159)</f>
        <v>2020202-2</v>
      </c>
      <c r="T159" s="665" t="str">
        <f>+IF(JUNIO!T159=0,"",JUNIO!T159)</f>
        <v>Impresos y Publicaciones</v>
      </c>
      <c r="U159" s="27">
        <f>+ENERO!U159</f>
        <v>40000000</v>
      </c>
      <c r="V159" s="15">
        <f>JUNIO!V159+JULIO!AL159</f>
        <v>0</v>
      </c>
      <c r="W159" s="15">
        <f>JUNIO!W159+JULIO!AM159</f>
        <v>0</v>
      </c>
      <c r="X159" s="18">
        <f t="shared" si="150"/>
        <v>40000000</v>
      </c>
      <c r="Y159" s="19">
        <f>JUNIO!AA159</f>
        <v>25626697</v>
      </c>
      <c r="Z159" s="364">
        <v>2784600</v>
      </c>
      <c r="AA159" s="18">
        <f t="shared" si="151"/>
        <v>28411297</v>
      </c>
      <c r="AB159" s="19">
        <f>JUNIO!AD159</f>
        <v>25626697</v>
      </c>
      <c r="AC159" s="364">
        <v>2784600</v>
      </c>
      <c r="AD159" s="18">
        <f t="shared" si="152"/>
        <v>28411297</v>
      </c>
      <c r="AE159" s="19">
        <f>JUNIO!AG159</f>
        <v>10699692</v>
      </c>
      <c r="AF159" s="364">
        <v>7420781</v>
      </c>
      <c r="AG159" s="18">
        <f t="shared" si="153"/>
        <v>18120473</v>
      </c>
      <c r="AH159" s="19">
        <f t="shared" si="154"/>
        <v>11588703</v>
      </c>
      <c r="AI159" s="15">
        <f t="shared" si="155"/>
        <v>11588703</v>
      </c>
      <c r="AJ159" s="16">
        <f t="shared" si="156"/>
        <v>21879527</v>
      </c>
      <c r="AK159" s="9"/>
      <c r="AL159" s="362">
        <v>0</v>
      </c>
      <c r="AM159" s="365">
        <v>0</v>
      </c>
      <c r="AN159" s="9"/>
    </row>
    <row r="160" spans="1:40" s="372" customFormat="1" ht="24.95" customHeight="1">
      <c r="A160" s="734"/>
      <c r="B160" s="643"/>
      <c r="N160" s="9"/>
      <c r="P160" s="9"/>
      <c r="Q160" s="9"/>
      <c r="R160" s="9"/>
      <c r="S160" s="689" t="str">
        <f>+IF(JUNIO!S160=0,"",JUNIO!S160)</f>
        <v>2020202-3</v>
      </c>
      <c r="T160" s="665" t="str">
        <f>+IF(JUNIO!T160=0,"",JUNIO!T160)</f>
        <v>Pago a otras IPS</v>
      </c>
      <c r="U160" s="27">
        <f>+ENERO!U160</f>
        <v>0</v>
      </c>
      <c r="V160" s="15">
        <f>JUNIO!V160+JULIO!AL160</f>
        <v>0</v>
      </c>
      <c r="W160" s="15">
        <f>JUNIO!W160+JULIO!AM160</f>
        <v>0</v>
      </c>
      <c r="X160" s="18">
        <f t="shared" si="150"/>
        <v>0</v>
      </c>
      <c r="Y160" s="19">
        <f>JUNIO!AA160</f>
        <v>0</v>
      </c>
      <c r="Z160" s="364">
        <v>0</v>
      </c>
      <c r="AA160" s="18">
        <f t="shared" si="151"/>
        <v>0</v>
      </c>
      <c r="AB160" s="19">
        <f>JUNIO!AD160</f>
        <v>0</v>
      </c>
      <c r="AC160" s="364">
        <v>0</v>
      </c>
      <c r="AD160" s="18">
        <f t="shared" si="152"/>
        <v>0</v>
      </c>
      <c r="AE160" s="19">
        <f>JUNIO!AG160</f>
        <v>0</v>
      </c>
      <c r="AF160" s="364">
        <v>0</v>
      </c>
      <c r="AG160" s="18">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N161" s="9"/>
      <c r="P161" s="9"/>
      <c r="Q161" s="9"/>
      <c r="R161" s="9"/>
      <c r="S161" s="689" t="str">
        <f>+IF(JUNIO!S161=0,"",JUNIO!S161)</f>
        <v>2020202-4</v>
      </c>
      <c r="T161" s="665" t="str">
        <f>+IF(JUNIO!T161=0,"",JUNIO!T161)</f>
        <v>Comunicaciones y Transportes</v>
      </c>
      <c r="U161" s="27">
        <f>+ENERO!U161</f>
        <v>5000000</v>
      </c>
      <c r="V161" s="15">
        <f>JUNIO!V161+JULIO!AL161</f>
        <v>0</v>
      </c>
      <c r="W161" s="15">
        <f>JUNIO!W161+JULIO!AM161</f>
        <v>0</v>
      </c>
      <c r="X161" s="18">
        <f t="shared" si="150"/>
        <v>5000000</v>
      </c>
      <c r="Y161" s="19">
        <f>JUNIO!AA161</f>
        <v>0</v>
      </c>
      <c r="Z161" s="364">
        <v>0</v>
      </c>
      <c r="AA161" s="18">
        <f t="shared" si="151"/>
        <v>0</v>
      </c>
      <c r="AB161" s="19">
        <f>JUNIO!AD161</f>
        <v>0</v>
      </c>
      <c r="AC161" s="364">
        <v>0</v>
      </c>
      <c r="AD161" s="18">
        <f t="shared" si="152"/>
        <v>0</v>
      </c>
      <c r="AE161" s="19">
        <f>JUNIO!AG161</f>
        <v>0</v>
      </c>
      <c r="AF161" s="364">
        <v>0</v>
      </c>
      <c r="AG161" s="18">
        <f t="shared" si="153"/>
        <v>0</v>
      </c>
      <c r="AH161" s="19">
        <f t="shared" si="154"/>
        <v>5000000</v>
      </c>
      <c r="AI161" s="15">
        <f t="shared" si="155"/>
        <v>5000000</v>
      </c>
      <c r="AJ161" s="16">
        <f t="shared" si="156"/>
        <v>5000000</v>
      </c>
      <c r="AK161" s="9"/>
      <c r="AL161" s="362">
        <v>0</v>
      </c>
      <c r="AM161" s="365">
        <v>0</v>
      </c>
      <c r="AN161" s="9"/>
    </row>
    <row r="162" spans="1:40" s="372" customFormat="1" ht="24.95" customHeight="1">
      <c r="A162" s="734"/>
      <c r="B162" s="643"/>
      <c r="N162" s="9"/>
      <c r="P162" s="9"/>
      <c r="Q162" s="9"/>
      <c r="R162" s="9"/>
      <c r="S162" s="689" t="str">
        <f>+IF(JUNIO!S162=0,"",JUNIO!S162)</f>
        <v>2020202-5</v>
      </c>
      <c r="T162" s="665" t="str">
        <f>+IF(JUNIO!T162=0,"",JUNIO!T162)</f>
        <v>Viáticos y Gastos de Viaje</v>
      </c>
      <c r="U162" s="27">
        <f>+ENERO!U162</f>
        <v>5000000</v>
      </c>
      <c r="V162" s="15">
        <f>JUNIO!V162+JULIO!AL162</f>
        <v>0</v>
      </c>
      <c r="W162" s="15">
        <f>JUNIO!W162+JULIO!AM162</f>
        <v>0</v>
      </c>
      <c r="X162" s="18">
        <f t="shared" si="150"/>
        <v>5000000</v>
      </c>
      <c r="Y162" s="19">
        <f>JUNIO!AA162</f>
        <v>712500</v>
      </c>
      <c r="Z162" s="364">
        <v>0</v>
      </c>
      <c r="AA162" s="18">
        <f t="shared" si="151"/>
        <v>712500</v>
      </c>
      <c r="AB162" s="19">
        <f>JUNIO!AD162</f>
        <v>712500</v>
      </c>
      <c r="AC162" s="364">
        <v>0</v>
      </c>
      <c r="AD162" s="18">
        <f t="shared" si="152"/>
        <v>712500</v>
      </c>
      <c r="AE162" s="19">
        <f>JUNIO!AG162</f>
        <v>712500</v>
      </c>
      <c r="AF162" s="364">
        <v>0</v>
      </c>
      <c r="AG162" s="18">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N163" s="9"/>
      <c r="P163" s="9"/>
      <c r="Q163" s="9"/>
      <c r="R163" s="9"/>
      <c r="S163" s="689" t="str">
        <f>+IF(JUNIO!S163=0,"",JUNIO!S163)</f>
        <v>2020202-6</v>
      </c>
      <c r="T163" s="665" t="str">
        <f>+IF(JUNIO!T163=0,"",JUNIO!T163)</f>
        <v>Plan Integral de Manejo de Residuos Sólidos Hospitalarios</v>
      </c>
      <c r="U163" s="27">
        <f>+ENERO!U163</f>
        <v>300000000</v>
      </c>
      <c r="V163" s="15">
        <f>JUNIO!V163+JULIO!AL163</f>
        <v>0</v>
      </c>
      <c r="W163" s="15">
        <f>JUNIO!W163+JULIO!AM163</f>
        <v>0</v>
      </c>
      <c r="X163" s="18">
        <f t="shared" si="150"/>
        <v>300000000</v>
      </c>
      <c r="Y163" s="19">
        <f>JUNIO!AA163</f>
        <v>174077298</v>
      </c>
      <c r="Z163" s="364">
        <v>11668783</v>
      </c>
      <c r="AA163" s="18">
        <f t="shared" si="151"/>
        <v>185746081</v>
      </c>
      <c r="AB163" s="19">
        <f>JUNIO!AD163</f>
        <v>120180838</v>
      </c>
      <c r="AC163" s="364">
        <v>23753939</v>
      </c>
      <c r="AD163" s="18">
        <f t="shared" si="152"/>
        <v>143934777</v>
      </c>
      <c r="AE163" s="19">
        <f>JUNIO!AG163</f>
        <v>77295919</v>
      </c>
      <c r="AF163" s="364">
        <v>37838455</v>
      </c>
      <c r="AG163" s="18">
        <f t="shared" si="153"/>
        <v>115134374</v>
      </c>
      <c r="AH163" s="19">
        <f t="shared" si="154"/>
        <v>114253919</v>
      </c>
      <c r="AI163" s="15">
        <f t="shared" si="155"/>
        <v>156065223</v>
      </c>
      <c r="AJ163" s="16">
        <f t="shared" si="156"/>
        <v>184865626</v>
      </c>
      <c r="AK163" s="9"/>
      <c r="AL163" s="362">
        <v>0</v>
      </c>
      <c r="AM163" s="365">
        <v>0</v>
      </c>
      <c r="AN163" s="9"/>
    </row>
    <row r="164" spans="1:40" s="372" customFormat="1" ht="24.95" customHeight="1">
      <c r="A164" s="734"/>
      <c r="B164" s="643"/>
      <c r="N164" s="9"/>
      <c r="P164" s="9"/>
      <c r="Q164" s="9"/>
      <c r="R164" s="9"/>
      <c r="S164" s="689" t="str">
        <f>+IF(JUNIO!S164=0,"",JUNIO!S164)</f>
        <v>2020202-7</v>
      </c>
      <c r="T164" s="665" t="str">
        <f>+IF(JUNIO!T164=0,"",JUNIO!T164)</f>
        <v>Servicios de Laboratorio contratados con terceros</v>
      </c>
      <c r="U164" s="27">
        <f>+ENERO!U164</f>
        <v>778712263</v>
      </c>
      <c r="V164" s="15">
        <f>JUNIO!V164+JULIO!AL164</f>
        <v>0</v>
      </c>
      <c r="W164" s="15">
        <f>JUNIO!W164+JULIO!AM164</f>
        <v>0</v>
      </c>
      <c r="X164" s="18">
        <f t="shared" si="150"/>
        <v>778712263</v>
      </c>
      <c r="Y164" s="19">
        <f>JUNIO!AA164</f>
        <v>682267263</v>
      </c>
      <c r="Z164" s="364">
        <v>63548232</v>
      </c>
      <c r="AA164" s="18">
        <f t="shared" si="151"/>
        <v>745815495</v>
      </c>
      <c r="AB164" s="19">
        <f>JUNIO!AD164</f>
        <v>585470262</v>
      </c>
      <c r="AC164" s="364">
        <v>34539922</v>
      </c>
      <c r="AD164" s="18">
        <f t="shared" si="152"/>
        <v>620010184</v>
      </c>
      <c r="AE164" s="19">
        <f>JUNIO!AG164</f>
        <v>138872712</v>
      </c>
      <c r="AF164" s="364">
        <v>106049996</v>
      </c>
      <c r="AG164" s="18">
        <f t="shared" si="153"/>
        <v>244922708</v>
      </c>
      <c r="AH164" s="19">
        <f t="shared" si="154"/>
        <v>32896768</v>
      </c>
      <c r="AI164" s="15">
        <f t="shared" si="155"/>
        <v>158702079</v>
      </c>
      <c r="AJ164" s="16">
        <f t="shared" si="156"/>
        <v>533789555</v>
      </c>
      <c r="AK164" s="9"/>
      <c r="AL164" s="362">
        <v>0</v>
      </c>
      <c r="AM164" s="365">
        <v>0</v>
      </c>
      <c r="AN164" s="9"/>
    </row>
    <row r="165" spans="1:40" s="372" customFormat="1" ht="24.95" customHeight="1">
      <c r="A165" s="734"/>
      <c r="B165" s="643"/>
      <c r="N165" s="9"/>
      <c r="P165" s="9"/>
      <c r="Q165" s="9"/>
      <c r="R165" s="9"/>
      <c r="S165" s="689" t="str">
        <f>+IF(JUNIO!S165=0,"",JUNIO!S165)</f>
        <v>2020202-8</v>
      </c>
      <c r="T165" s="665" t="str">
        <f>+IF(JUNIO!T165=0,"",JUNIO!T165)</f>
        <v>Servicios de Rayos X e Imaginología contratado con terceros</v>
      </c>
      <c r="U165" s="27">
        <f>+ENERO!U165</f>
        <v>1116000000</v>
      </c>
      <c r="V165" s="15">
        <f>JUNIO!V165+JULIO!AL165</f>
        <v>0</v>
      </c>
      <c r="W165" s="15">
        <f>JUNIO!W165+JULIO!AM165</f>
        <v>500000000</v>
      </c>
      <c r="X165" s="18">
        <f t="shared" si="150"/>
        <v>1616000000</v>
      </c>
      <c r="Y165" s="19">
        <f>JUNIO!AA165</f>
        <v>1545000000</v>
      </c>
      <c r="Z165" s="364">
        <v>0</v>
      </c>
      <c r="AA165" s="18">
        <f t="shared" si="151"/>
        <v>1545000000</v>
      </c>
      <c r="AB165" s="19">
        <f>JUNIO!AD165</f>
        <v>782559780</v>
      </c>
      <c r="AC165" s="364">
        <v>152216654</v>
      </c>
      <c r="AD165" s="18">
        <f t="shared" si="152"/>
        <v>934776434</v>
      </c>
      <c r="AE165" s="19">
        <f>JUNIO!AG165</f>
        <v>330424423</v>
      </c>
      <c r="AF165" s="364">
        <v>290182946</v>
      </c>
      <c r="AG165" s="18">
        <f t="shared" si="153"/>
        <v>620607369</v>
      </c>
      <c r="AH165" s="19">
        <f t="shared" si="154"/>
        <v>71000000</v>
      </c>
      <c r="AI165" s="15">
        <f t="shared" si="155"/>
        <v>681223566</v>
      </c>
      <c r="AJ165" s="16">
        <f t="shared" si="156"/>
        <v>995392631</v>
      </c>
      <c r="AK165" s="9"/>
      <c r="AL165" s="362">
        <v>0</v>
      </c>
      <c r="AM165" s="365">
        <v>0</v>
      </c>
      <c r="AN165" s="9"/>
    </row>
    <row r="166" spans="1:40" s="372" customFormat="1" ht="24.95" customHeight="1">
      <c r="A166" s="734"/>
      <c r="B166" s="643"/>
      <c r="N166" s="9"/>
      <c r="P166" s="9"/>
      <c r="Q166" s="9"/>
      <c r="R166" s="9"/>
      <c r="S166" s="689" t="str">
        <f>+IF(JUNIO!S166=0,"",JUNIO!S166)</f>
        <v>2020202-9</v>
      </c>
      <c r="T166" s="665" t="str">
        <f>+IF(JUNIO!T166=0,"",JUNIO!T166)</f>
        <v>Arrendamientos</v>
      </c>
      <c r="U166" s="27">
        <f>+ENERO!U166</f>
        <v>165000000</v>
      </c>
      <c r="V166" s="15">
        <f>JUNIO!V166+JULIO!AL166</f>
        <v>0</v>
      </c>
      <c r="W166" s="15">
        <f>JUNIO!W166+JULIO!AM166</f>
        <v>0</v>
      </c>
      <c r="X166" s="18">
        <f t="shared" si="150"/>
        <v>165000000</v>
      </c>
      <c r="Y166" s="19">
        <f>JUNIO!AA166</f>
        <v>19813500</v>
      </c>
      <c r="Z166" s="364">
        <v>0</v>
      </c>
      <c r="AA166" s="18">
        <f t="shared" si="151"/>
        <v>19813500</v>
      </c>
      <c r="AB166" s="19">
        <f>JUNIO!AD166</f>
        <v>19813500</v>
      </c>
      <c r="AC166" s="364">
        <v>0</v>
      </c>
      <c r="AD166" s="18">
        <f t="shared" si="152"/>
        <v>19813500</v>
      </c>
      <c r="AE166" s="19">
        <f>JUNIO!AG166</f>
        <v>3748500</v>
      </c>
      <c r="AF166" s="364">
        <v>0</v>
      </c>
      <c r="AG166" s="18">
        <f t="shared" si="153"/>
        <v>3748500</v>
      </c>
      <c r="AH166" s="19">
        <f t="shared" si="154"/>
        <v>145186500</v>
      </c>
      <c r="AI166" s="15">
        <f t="shared" si="155"/>
        <v>145186500</v>
      </c>
      <c r="AJ166" s="16">
        <f t="shared" si="156"/>
        <v>161251500</v>
      </c>
      <c r="AK166" s="9"/>
      <c r="AL166" s="362">
        <v>0</v>
      </c>
      <c r="AM166" s="365">
        <v>0</v>
      </c>
      <c r="AN166" s="9"/>
    </row>
    <row r="167" spans="1:40" s="372" customFormat="1" ht="24.95" customHeight="1">
      <c r="A167" s="734"/>
      <c r="B167" s="643"/>
      <c r="N167" s="9"/>
      <c r="P167" s="9"/>
      <c r="Q167" s="9"/>
      <c r="R167" s="9"/>
      <c r="S167" s="689" t="str">
        <f>+IF(JUNIO!S167=0,"",JUNIO!S167)</f>
        <v>2020202-10</v>
      </c>
      <c r="T167" s="665" t="str">
        <f>+IF(JUNIO!T167=0,"",JUNIO!T167)</f>
        <v>Servicios Públicos</v>
      </c>
      <c r="U167" s="27">
        <f>+ENERO!U167</f>
        <v>0</v>
      </c>
      <c r="V167" s="15">
        <f>JUNIO!V167+JULIO!AL167</f>
        <v>0</v>
      </c>
      <c r="W167" s="15">
        <f>JUNIO!W167+JULIO!AM167</f>
        <v>0</v>
      </c>
      <c r="X167" s="18">
        <f>SUM(U167:W167)</f>
        <v>0</v>
      </c>
      <c r="Y167" s="19">
        <f>JUNIO!AA167</f>
        <v>0</v>
      </c>
      <c r="Z167" s="364">
        <v>0</v>
      </c>
      <c r="AA167" s="18">
        <f>SUM(Y167:Z167)</f>
        <v>0</v>
      </c>
      <c r="AB167" s="19">
        <f>JUNIO!AD167</f>
        <v>0</v>
      </c>
      <c r="AC167" s="364">
        <v>0</v>
      </c>
      <c r="AD167" s="18">
        <f>SUM(AB167:AC167)</f>
        <v>0</v>
      </c>
      <c r="AE167" s="19">
        <f>JUNIO!AG167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+IF(JUNIO!S168=0,"",JUNIO!S168)</f>
        <v>2020299</v>
      </c>
      <c r="T168" s="664" t="str">
        <f>+IF(JUNIO!T168=0,"",JUNIO!T168)</f>
        <v>Vigencias Anteriores</v>
      </c>
      <c r="U168" s="27">
        <f>+ENERO!U168</f>
        <v>100900000</v>
      </c>
      <c r="V168" s="15">
        <f>JUNIO!V168+JULIO!AL168</f>
        <v>100000000</v>
      </c>
      <c r="W168" s="15">
        <f>JUNIO!W168+JULIO!AM168</f>
        <v>700000000</v>
      </c>
      <c r="X168" s="18">
        <f t="shared" si="150"/>
        <v>900900000</v>
      </c>
      <c r="Y168" s="19">
        <f>JUNIO!AA168</f>
        <v>747885645</v>
      </c>
      <c r="Z168" s="364">
        <v>15373907</v>
      </c>
      <c r="AA168" s="18">
        <f t="shared" si="151"/>
        <v>763259552</v>
      </c>
      <c r="AB168" s="19">
        <f>JUNIO!AD168</f>
        <v>747885645</v>
      </c>
      <c r="AC168" s="364">
        <v>15373907</v>
      </c>
      <c r="AD168" s="18">
        <f t="shared" si="152"/>
        <v>763259552</v>
      </c>
      <c r="AE168" s="19">
        <f>JUNIO!AG168</f>
        <v>747885645</v>
      </c>
      <c r="AF168" s="364">
        <v>15373907</v>
      </c>
      <c r="AG168" s="18">
        <f t="shared" si="153"/>
        <v>763259552</v>
      </c>
      <c r="AH168" s="19">
        <f t="shared" si="154"/>
        <v>137640448</v>
      </c>
      <c r="AI168" s="15">
        <f t="shared" si="155"/>
        <v>137640448</v>
      </c>
      <c r="AJ168" s="16">
        <f t="shared" si="156"/>
        <v>137640448</v>
      </c>
      <c r="AK168" s="9"/>
      <c r="AL168" s="362">
        <v>0</v>
      </c>
      <c r="AM168" s="365">
        <v>0</v>
      </c>
      <c r="AN168" s="9"/>
    </row>
    <row r="169" spans="1:40" s="372" customFormat="1" ht="24.95" customHeight="1">
      <c r="A169" s="734"/>
      <c r="B169" s="643"/>
      <c r="N169" s="9"/>
      <c r="P169" s="9"/>
      <c r="Q169" s="9"/>
      <c r="R169" s="9"/>
      <c r="S169" s="356" t="str">
        <f>+IF(JUNIO!S169=0,"",JUNIO!S169)</f>
        <v/>
      </c>
      <c r="T169" s="678" t="str">
        <f>+IF(JUNIO!T169=0,"",JUNIO!T169)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+IF(JUNIO!S170=0,"",JUNIO!S170)</f>
        <v>3000000</v>
      </c>
      <c r="T170" s="668" t="str">
        <f>+IF(JUNIO!T170=0,"",JUNIO!T170)</f>
        <v>TRANSFERENCIAS CORRIENTES</v>
      </c>
      <c r="U170" s="460">
        <f t="shared" ref="U170:AJ170" si="157">U172+U176+U185</f>
        <v>1240354144</v>
      </c>
      <c r="V170" s="461">
        <f t="shared" si="157"/>
        <v>42000000</v>
      </c>
      <c r="W170" s="461">
        <f t="shared" si="157"/>
        <v>0</v>
      </c>
      <c r="X170" s="462">
        <f t="shared" si="157"/>
        <v>1282354144</v>
      </c>
      <c r="Y170" s="369">
        <f t="shared" si="157"/>
        <v>573547035</v>
      </c>
      <c r="Z170" s="461">
        <f t="shared" si="157"/>
        <v>72403075</v>
      </c>
      <c r="AA170" s="462">
        <f t="shared" si="157"/>
        <v>645950110</v>
      </c>
      <c r="AB170" s="369">
        <f t="shared" si="157"/>
        <v>573547035</v>
      </c>
      <c r="AC170" s="461">
        <f t="shared" si="157"/>
        <v>72403075</v>
      </c>
      <c r="AD170" s="462">
        <f t="shared" si="157"/>
        <v>645950110</v>
      </c>
      <c r="AE170" s="369">
        <f t="shared" si="157"/>
        <v>554398211</v>
      </c>
      <c r="AF170" s="461">
        <f t="shared" si="157"/>
        <v>87453069</v>
      </c>
      <c r="AG170" s="462">
        <f t="shared" si="157"/>
        <v>641851280</v>
      </c>
      <c r="AH170" s="369">
        <f t="shared" si="157"/>
        <v>636404034</v>
      </c>
      <c r="AI170" s="461">
        <f t="shared" si="157"/>
        <v>636404034</v>
      </c>
      <c r="AJ170" s="370">
        <f t="shared" si="157"/>
        <v>640502864</v>
      </c>
      <c r="AK170" s="9"/>
      <c r="AL170" s="128">
        <f>AL172+AL176+AL185</f>
        <v>0</v>
      </c>
      <c r="AM170" s="130">
        <f>AM172+AM176+AM185</f>
        <v>0</v>
      </c>
      <c r="AN170" s="9"/>
    </row>
    <row r="171" spans="1:40" s="372" customFormat="1" ht="24.95" customHeight="1">
      <c r="A171" s="734"/>
      <c r="B171" s="643"/>
      <c r="N171" s="9"/>
      <c r="P171" s="9"/>
      <c r="Q171" s="9"/>
      <c r="R171" s="9"/>
      <c r="S171" s="356" t="str">
        <f>+IF(JUNIO!S171=0,"",JUNIO!S171)</f>
        <v/>
      </c>
      <c r="T171" s="678" t="str">
        <f>+IF(JUNIO!T171=0,"",JUNIO!T171)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+IF(JUNIO!S172=0,"",JUNIO!S172)</f>
        <v>3100000</v>
      </c>
      <c r="T172" s="663" t="str">
        <f>+IF(JUNIO!T172=0,"",JUNIO!T172)</f>
        <v>Transferencias al Sector Público</v>
      </c>
      <c r="U172" s="132">
        <f t="shared" ref="U172:AJ172" si="158">SUM(U173:U174)</f>
        <v>50000000</v>
      </c>
      <c r="V172" s="122">
        <f t="shared" si="158"/>
        <v>34000000</v>
      </c>
      <c r="W172" s="122">
        <f t="shared" si="158"/>
        <v>0</v>
      </c>
      <c r="X172" s="129">
        <f t="shared" si="158"/>
        <v>84000000</v>
      </c>
      <c r="Y172" s="128">
        <f t="shared" si="158"/>
        <v>82496056</v>
      </c>
      <c r="Z172" s="122">
        <f t="shared" si="158"/>
        <v>0</v>
      </c>
      <c r="AA172" s="129">
        <f t="shared" si="158"/>
        <v>82496056</v>
      </c>
      <c r="AB172" s="128">
        <f t="shared" si="158"/>
        <v>82496056</v>
      </c>
      <c r="AC172" s="122">
        <f t="shared" si="158"/>
        <v>0</v>
      </c>
      <c r="AD172" s="129">
        <f t="shared" si="158"/>
        <v>82496056</v>
      </c>
      <c r="AE172" s="128">
        <f t="shared" si="158"/>
        <v>68101230</v>
      </c>
      <c r="AF172" s="122">
        <f t="shared" si="158"/>
        <v>14394826</v>
      </c>
      <c r="AG172" s="129">
        <f t="shared" si="158"/>
        <v>82496056</v>
      </c>
      <c r="AH172" s="128">
        <f t="shared" si="158"/>
        <v>1503944</v>
      </c>
      <c r="AI172" s="122">
        <f t="shared" si="158"/>
        <v>1503944</v>
      </c>
      <c r="AJ172" s="130">
        <f t="shared" si="158"/>
        <v>1503944</v>
      </c>
      <c r="AK172" s="9"/>
      <c r="AL172" s="128">
        <f>SUM(AL173:AL174)</f>
        <v>0</v>
      </c>
      <c r="AM172" s="130">
        <f>SUM(AM173:AM174)</f>
        <v>0</v>
      </c>
      <c r="AN172" s="9"/>
    </row>
    <row r="173" spans="1:40" s="372" customFormat="1" ht="24.95" customHeight="1">
      <c r="A173" s="734"/>
      <c r="B173" s="643"/>
      <c r="N173" s="9"/>
      <c r="P173" s="9"/>
      <c r="Q173" s="9"/>
      <c r="R173" s="9"/>
      <c r="S173" s="688">
        <f>+IF(JUNIO!S173=0,"",JUNIO!S173)</f>
        <v>3100003</v>
      </c>
      <c r="T173" s="664" t="str">
        <f>+IF(JUNIO!T173=0,"",JUNIO!T173)</f>
        <v>Entidades Públicas (Contraloria, Supersalud,…)</v>
      </c>
      <c r="U173" s="27">
        <f>+ENERO!U173</f>
        <v>50000000</v>
      </c>
      <c r="V173" s="15">
        <f>JUNIO!V173+JULIO!AL173</f>
        <v>34000000</v>
      </c>
      <c r="W173" s="15">
        <f>JUNIO!W173+JULIO!AM173</f>
        <v>0</v>
      </c>
      <c r="X173" s="18">
        <f>SUM(U173:W173)</f>
        <v>84000000</v>
      </c>
      <c r="Y173" s="19">
        <f>JUNIO!AA173</f>
        <v>82496056</v>
      </c>
      <c r="Z173" s="364">
        <v>0</v>
      </c>
      <c r="AA173" s="18">
        <f>SUM(Y173:Z173)</f>
        <v>82496056</v>
      </c>
      <c r="AB173" s="19">
        <f>JUNIO!AD173</f>
        <v>82496056</v>
      </c>
      <c r="AC173" s="364">
        <v>0</v>
      </c>
      <c r="AD173" s="18">
        <f>SUM(AB173:AC173)</f>
        <v>82496056</v>
      </c>
      <c r="AE173" s="19">
        <f>JUNIO!AG173</f>
        <v>68101230</v>
      </c>
      <c r="AF173" s="364">
        <v>14394826</v>
      </c>
      <c r="AG173" s="18">
        <f>SUM(AE173:AF173)</f>
        <v>82496056</v>
      </c>
      <c r="AH173" s="19">
        <f>X173-AA173</f>
        <v>1503944</v>
      </c>
      <c r="AI173" s="15">
        <f>X173-AD173</f>
        <v>1503944</v>
      </c>
      <c r="AJ173" s="16">
        <f>X173-AG173</f>
        <v>1503944</v>
      </c>
      <c r="AK173" s="9"/>
      <c r="AL173" s="362">
        <v>0</v>
      </c>
      <c r="AM173" s="365">
        <v>0</v>
      </c>
      <c r="AN173" s="9"/>
    </row>
    <row r="174" spans="1:40" s="372" customFormat="1" ht="24.95" customHeight="1">
      <c r="A174" s="734"/>
      <c r="B174" s="643"/>
      <c r="N174" s="9"/>
      <c r="P174" s="9"/>
      <c r="Q174" s="9"/>
      <c r="R174" s="9"/>
      <c r="S174" s="688">
        <f>+IF(JUNIO!S174=0,"",JUNIO!S174)</f>
        <v>3199999</v>
      </c>
      <c r="T174" s="664" t="str">
        <f>+IF(JUNIO!T174=0,"",JUNIO!T174)</f>
        <v>Vigencias Anteriores</v>
      </c>
      <c r="U174" s="27">
        <f>+ENERO!U174</f>
        <v>0</v>
      </c>
      <c r="V174" s="15">
        <f>JUNIO!V174+JULIO!AL174</f>
        <v>0</v>
      </c>
      <c r="W174" s="15">
        <f>JUNIO!W174+JULIO!AM174</f>
        <v>0</v>
      </c>
      <c r="X174" s="18">
        <f>SUM(U174:W174)</f>
        <v>0</v>
      </c>
      <c r="Y174" s="19">
        <f>JUNIO!AA174</f>
        <v>0</v>
      </c>
      <c r="Z174" s="364">
        <v>0</v>
      </c>
      <c r="AA174" s="18">
        <f>SUM(Y174:Z174)</f>
        <v>0</v>
      </c>
      <c r="AB174" s="19">
        <f>JUNIO!AD174</f>
        <v>0</v>
      </c>
      <c r="AC174" s="364">
        <v>0</v>
      </c>
      <c r="AD174" s="18">
        <f>SUM(AB174:AC174)</f>
        <v>0</v>
      </c>
      <c r="AE174" s="19">
        <f>JUNIO!AG174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+IF(JUNIO!S175=0,"",JUNIO!S175)</f>
        <v/>
      </c>
      <c r="T175" s="678" t="str">
        <f>+IF(JUNIO!T175=0,"",JUNIO!T175)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+IF(JUNIO!S176=0,"",JUNIO!S176)</f>
        <v>320000</v>
      </c>
      <c r="T176" s="663" t="str">
        <f>+IF(JUNIO!T176=0,"",JUNIO!T176)</f>
        <v>Transf. Previsión y Seguridad Social</v>
      </c>
      <c r="U176" s="132">
        <f t="shared" ref="U176:AJ176" si="159">SUM(U177:U183)</f>
        <v>1110354144</v>
      </c>
      <c r="V176" s="122">
        <f t="shared" si="159"/>
        <v>0</v>
      </c>
      <c r="W176" s="122">
        <f t="shared" si="159"/>
        <v>0</v>
      </c>
      <c r="X176" s="129">
        <f t="shared" si="159"/>
        <v>1110354144</v>
      </c>
      <c r="Y176" s="128">
        <f t="shared" si="159"/>
        <v>471909463</v>
      </c>
      <c r="Z176" s="122">
        <f t="shared" si="159"/>
        <v>69090611</v>
      </c>
      <c r="AA176" s="129">
        <f t="shared" si="159"/>
        <v>541000074</v>
      </c>
      <c r="AB176" s="128">
        <f t="shared" si="159"/>
        <v>471909463</v>
      </c>
      <c r="AC176" s="122">
        <f t="shared" si="159"/>
        <v>69090611</v>
      </c>
      <c r="AD176" s="129">
        <f t="shared" si="159"/>
        <v>541000074</v>
      </c>
      <c r="AE176" s="128">
        <f t="shared" si="159"/>
        <v>467155465</v>
      </c>
      <c r="AF176" s="122">
        <f t="shared" si="159"/>
        <v>69745779</v>
      </c>
      <c r="AG176" s="129">
        <f t="shared" si="159"/>
        <v>536901244</v>
      </c>
      <c r="AH176" s="128">
        <f t="shared" si="159"/>
        <v>569354070</v>
      </c>
      <c r="AI176" s="122">
        <f t="shared" si="159"/>
        <v>569354070</v>
      </c>
      <c r="AJ176" s="130">
        <f t="shared" si="159"/>
        <v>573452900</v>
      </c>
      <c r="AK176" s="9"/>
      <c r="AL176" s="128">
        <f>SUM(AL177:AL183)</f>
        <v>0</v>
      </c>
      <c r="AM176" s="130">
        <f>SUM(AM177:AM183)</f>
        <v>0</v>
      </c>
      <c r="AN176" s="9"/>
    </row>
    <row r="177" spans="1:40" s="372" customFormat="1" ht="24.95" customHeight="1">
      <c r="A177" s="734"/>
      <c r="B177" s="643"/>
      <c r="N177" s="9"/>
      <c r="P177" s="9"/>
      <c r="Q177" s="9"/>
      <c r="R177" s="9"/>
      <c r="S177" s="688">
        <f>+IF(JUNIO!S177=0,"",JUNIO!S177)</f>
        <v>3200100</v>
      </c>
      <c r="T177" s="664" t="str">
        <f>+IF(JUNIO!T177=0,"",JUNIO!T177)</f>
        <v>Pensiones y Jubilaciones (Pago Directo)</v>
      </c>
      <c r="U177" s="27">
        <f>+ENERO!U177</f>
        <v>965336472</v>
      </c>
      <c r="V177" s="15">
        <f>JUNIO!V177+JULIO!AL177</f>
        <v>0</v>
      </c>
      <c r="W177" s="15">
        <f>JUNIO!W177+JULIO!AM177</f>
        <v>0</v>
      </c>
      <c r="X177" s="18">
        <f t="shared" ref="X177:X183" si="160">SUM(U177:W177)</f>
        <v>965336472</v>
      </c>
      <c r="Y177" s="19">
        <f>JUNIO!AA177</f>
        <v>428001514</v>
      </c>
      <c r="Z177" s="364">
        <v>59753470</v>
      </c>
      <c r="AA177" s="18">
        <f t="shared" ref="AA177:AA183" si="161">SUM(Y177:Z177)</f>
        <v>487754984</v>
      </c>
      <c r="AB177" s="19">
        <f>JUNIO!AD177</f>
        <v>428001514</v>
      </c>
      <c r="AC177" s="364">
        <v>59753470</v>
      </c>
      <c r="AD177" s="18">
        <f t="shared" ref="AD177:AD183" si="162">SUM(AB177:AC177)</f>
        <v>487754984</v>
      </c>
      <c r="AE177" s="19">
        <f>JUNIO!AG177</f>
        <v>424323414</v>
      </c>
      <c r="AF177" s="364">
        <v>59753470</v>
      </c>
      <c r="AG177" s="18">
        <f t="shared" ref="AG177:AG183" si="163">SUM(AE177:AF177)</f>
        <v>484076884</v>
      </c>
      <c r="AH177" s="19">
        <f t="shared" ref="AH177:AH183" si="164">X177-AA177</f>
        <v>477581488</v>
      </c>
      <c r="AI177" s="15">
        <f t="shared" ref="AI177:AI183" si="165">X177-AD177</f>
        <v>477581488</v>
      </c>
      <c r="AJ177" s="16">
        <f t="shared" ref="AJ177:AJ183" si="166">X177-AG177</f>
        <v>481259588</v>
      </c>
      <c r="AK177" s="9"/>
      <c r="AL177" s="362">
        <v>0</v>
      </c>
      <c r="AM177" s="365">
        <v>0</v>
      </c>
      <c r="AN177" s="9"/>
    </row>
    <row r="178" spans="1:40" s="372" customFormat="1" ht="24.95" customHeight="1">
      <c r="A178" s="734"/>
      <c r="B178" s="643"/>
      <c r="N178" s="9"/>
      <c r="P178" s="9"/>
      <c r="Q178" s="9"/>
      <c r="R178" s="9"/>
      <c r="S178" s="688">
        <f>+IF(JUNIO!S178=0,"",JUNIO!S178)</f>
        <v>3200200</v>
      </c>
      <c r="T178" s="664" t="str">
        <f>+IF(JUNIO!T178=0,"",JUNIO!T178)</f>
        <v>Cesantías Pago Directo (Pago Directo)</v>
      </c>
      <c r="U178" s="27">
        <f>+ENERO!U178</f>
        <v>20000000</v>
      </c>
      <c r="V178" s="15">
        <f>JUNIO!V178+JULIO!AL178</f>
        <v>20000000</v>
      </c>
      <c r="W178" s="15">
        <f>JUNIO!W178+JULIO!AM178</f>
        <v>0</v>
      </c>
      <c r="X178" s="18">
        <f t="shared" si="160"/>
        <v>40000000</v>
      </c>
      <c r="Y178" s="19">
        <f>JUNIO!AA178</f>
        <v>8238914</v>
      </c>
      <c r="Z178" s="364">
        <v>8867817</v>
      </c>
      <c r="AA178" s="18">
        <f t="shared" si="161"/>
        <v>17106731</v>
      </c>
      <c r="AB178" s="19">
        <f>JUNIO!AD178</f>
        <v>8238914</v>
      </c>
      <c r="AC178" s="364">
        <v>8867817</v>
      </c>
      <c r="AD178" s="18">
        <f t="shared" si="162"/>
        <v>17106731</v>
      </c>
      <c r="AE178" s="19">
        <f>JUNIO!AG178</f>
        <v>7193936</v>
      </c>
      <c r="AF178" s="364">
        <v>9500337</v>
      </c>
      <c r="AG178" s="18">
        <f t="shared" si="163"/>
        <v>16694273</v>
      </c>
      <c r="AH178" s="19">
        <f t="shared" si="164"/>
        <v>22893269</v>
      </c>
      <c r="AI178" s="15">
        <f t="shared" si="165"/>
        <v>22893269</v>
      </c>
      <c r="AJ178" s="16">
        <f t="shared" si="166"/>
        <v>23305727</v>
      </c>
      <c r="AK178" s="9"/>
      <c r="AL178" s="362">
        <v>20000000</v>
      </c>
      <c r="AM178" s="365">
        <v>0</v>
      </c>
      <c r="AN178" s="9"/>
    </row>
    <row r="179" spans="1:40" s="372" customFormat="1" ht="24.95" customHeight="1">
      <c r="A179" s="734"/>
      <c r="B179" s="643"/>
      <c r="N179" s="9"/>
      <c r="P179" s="9"/>
      <c r="Q179" s="9"/>
      <c r="R179" s="9"/>
      <c r="S179" s="688">
        <f>+IF(JUNIO!S179=0,"",JUNIO!S179)</f>
        <v>3200300</v>
      </c>
      <c r="T179" s="664" t="str">
        <f>+IF(JUNIO!T179=0,"",JUNIO!T179)</f>
        <v>Bonos, Cuotas de Bonos y cuotas partes jubilatorias</v>
      </c>
      <c r="U179" s="27">
        <f>+ENERO!U179</f>
        <v>20000000</v>
      </c>
      <c r="V179" s="15">
        <f>JUNIO!V179+JULIO!AL179</f>
        <v>0</v>
      </c>
      <c r="W179" s="15">
        <f>JUNIO!W179+JULIO!AM179</f>
        <v>0</v>
      </c>
      <c r="X179" s="18">
        <f t="shared" si="160"/>
        <v>20000000</v>
      </c>
      <c r="Y179" s="19">
        <f>JUNIO!AA179</f>
        <v>0</v>
      </c>
      <c r="Z179" s="364">
        <v>0</v>
      </c>
      <c r="AA179" s="18">
        <f t="shared" si="161"/>
        <v>0</v>
      </c>
      <c r="AB179" s="19">
        <f>JUNIO!AD179</f>
        <v>0</v>
      </c>
      <c r="AC179" s="364">
        <v>0</v>
      </c>
      <c r="AD179" s="18">
        <f t="shared" si="162"/>
        <v>0</v>
      </c>
      <c r="AE179" s="19">
        <f>JUNIO!AG179</f>
        <v>0</v>
      </c>
      <c r="AF179" s="364">
        <v>0</v>
      </c>
      <c r="AG179" s="18">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N180" s="9"/>
      <c r="P180" s="9"/>
      <c r="Q180" s="9"/>
      <c r="R180" s="9"/>
      <c r="S180" s="688">
        <f>+IF(JUNIO!S180=0,"",JUNIO!S180)</f>
        <v>3200400</v>
      </c>
      <c r="T180" s="664" t="str">
        <f>+IF(JUNIO!T180=0,"",JUNIO!T180)</f>
        <v>Intereses a las cesantias</v>
      </c>
      <c r="U180" s="27">
        <f>+ENERO!U180</f>
        <v>105017672</v>
      </c>
      <c r="V180" s="15">
        <f>JUNIO!V180+JULIO!AL180</f>
        <v>-20000000</v>
      </c>
      <c r="W180" s="15">
        <f>JUNIO!W180+JULIO!AM180</f>
        <v>0</v>
      </c>
      <c r="X180" s="18">
        <f t="shared" si="160"/>
        <v>85017672</v>
      </c>
      <c r="Y180" s="19">
        <f>JUNIO!AA180</f>
        <v>35669035</v>
      </c>
      <c r="Z180" s="364">
        <v>469324</v>
      </c>
      <c r="AA180" s="18">
        <f t="shared" si="161"/>
        <v>36138359</v>
      </c>
      <c r="AB180" s="19">
        <f>JUNIO!AD180</f>
        <v>35669035</v>
      </c>
      <c r="AC180" s="364">
        <v>469324</v>
      </c>
      <c r="AD180" s="18">
        <f t="shared" si="162"/>
        <v>36138359</v>
      </c>
      <c r="AE180" s="19">
        <f>JUNIO!AG180</f>
        <v>35638115</v>
      </c>
      <c r="AF180" s="364">
        <v>491972</v>
      </c>
      <c r="AG180" s="18">
        <f t="shared" si="163"/>
        <v>36130087</v>
      </c>
      <c r="AH180" s="19">
        <f t="shared" si="164"/>
        <v>48879313</v>
      </c>
      <c r="AI180" s="15">
        <f t="shared" si="165"/>
        <v>48879313</v>
      </c>
      <c r="AJ180" s="16">
        <f t="shared" si="166"/>
        <v>48887585</v>
      </c>
      <c r="AK180" s="9"/>
      <c r="AL180" s="362">
        <v>-20000000</v>
      </c>
      <c r="AM180" s="365">
        <v>0</v>
      </c>
      <c r="AN180" s="9"/>
    </row>
    <row r="181" spans="1:40" s="372" customFormat="1" ht="24.95" customHeight="1">
      <c r="A181" s="734"/>
      <c r="B181" s="643"/>
      <c r="N181" s="9"/>
      <c r="P181" s="9"/>
      <c r="Q181" s="9"/>
      <c r="R181" s="9"/>
      <c r="S181" s="688">
        <f>+IF(JUNIO!S181=0,"",JUNIO!S181)</f>
        <v>3200500</v>
      </c>
      <c r="T181" s="664" t="str">
        <f>+IF(JUNIO!T181=0,"",JUNIO!T181)</f>
        <v/>
      </c>
      <c r="U181" s="27">
        <f>+ENERO!U181</f>
        <v>0</v>
      </c>
      <c r="V181" s="15">
        <f>JUNIO!V181+JULIO!AL181</f>
        <v>0</v>
      </c>
      <c r="W181" s="15">
        <f>JUNIO!W181+JULIO!AM181</f>
        <v>0</v>
      </c>
      <c r="X181" s="18">
        <f t="shared" si="160"/>
        <v>0</v>
      </c>
      <c r="Y181" s="19">
        <f>JUNIO!AA181</f>
        <v>0</v>
      </c>
      <c r="Z181" s="364">
        <v>0</v>
      </c>
      <c r="AA181" s="18">
        <f t="shared" si="161"/>
        <v>0</v>
      </c>
      <c r="AB181" s="19">
        <f>JUNIO!AD181</f>
        <v>0</v>
      </c>
      <c r="AC181" s="364">
        <v>0</v>
      </c>
      <c r="AD181" s="18">
        <f t="shared" si="162"/>
        <v>0</v>
      </c>
      <c r="AE181" s="19">
        <f>JUNIO!AG181</f>
        <v>0</v>
      </c>
      <c r="AF181" s="364">
        <v>0</v>
      </c>
      <c r="AG181" s="18">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N182" s="9"/>
      <c r="P182" s="9"/>
      <c r="Q182" s="9"/>
      <c r="R182" s="9"/>
      <c r="S182" s="688">
        <f>+IF(JUNIO!S182=0,"",JUNIO!S182)</f>
        <v>3200600</v>
      </c>
      <c r="T182" s="664" t="str">
        <f>+IF(JUNIO!T182=0,"",JUNIO!T182)</f>
        <v/>
      </c>
      <c r="U182" s="27">
        <f>+ENERO!U182</f>
        <v>0</v>
      </c>
      <c r="V182" s="15">
        <f>JUNIO!V182+JULIO!AL182</f>
        <v>0</v>
      </c>
      <c r="W182" s="15">
        <f>JUNIO!W182+JULIO!AM182</f>
        <v>0</v>
      </c>
      <c r="X182" s="18">
        <f t="shared" si="160"/>
        <v>0</v>
      </c>
      <c r="Y182" s="19">
        <f>JUNIO!AA182</f>
        <v>0</v>
      </c>
      <c r="Z182" s="364">
        <v>0</v>
      </c>
      <c r="AA182" s="18">
        <f t="shared" si="161"/>
        <v>0</v>
      </c>
      <c r="AB182" s="19">
        <f>JUNIO!AD182</f>
        <v>0</v>
      </c>
      <c r="AC182" s="364">
        <v>0</v>
      </c>
      <c r="AD182" s="18">
        <f t="shared" si="162"/>
        <v>0</v>
      </c>
      <c r="AE182" s="19">
        <f>JUNIO!AG182</f>
        <v>0</v>
      </c>
      <c r="AF182" s="364">
        <v>0</v>
      </c>
      <c r="AG182" s="18">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N183" s="9"/>
      <c r="P183" s="9"/>
      <c r="Q183" s="9"/>
      <c r="R183" s="9"/>
      <c r="S183" s="688">
        <f>+IF(JUNIO!S183=0,"",JUNIO!S183)</f>
        <v>3299999</v>
      </c>
      <c r="T183" s="664" t="str">
        <f>+IF(JUNIO!T183=0,"",JUNIO!T183)</f>
        <v>Vigencias Anteriores</v>
      </c>
      <c r="U183" s="27">
        <f>+ENERO!U183</f>
        <v>0</v>
      </c>
      <c r="V183" s="15">
        <f>JUNIO!V183+JULIO!AL183</f>
        <v>0</v>
      </c>
      <c r="W183" s="15">
        <f>JUNIO!W183+JULIO!AM183</f>
        <v>0</v>
      </c>
      <c r="X183" s="18">
        <f t="shared" si="160"/>
        <v>0</v>
      </c>
      <c r="Y183" s="19">
        <f>JUNIO!AA183</f>
        <v>0</v>
      </c>
      <c r="Z183" s="364">
        <v>0</v>
      </c>
      <c r="AA183" s="18">
        <f t="shared" si="161"/>
        <v>0</v>
      </c>
      <c r="AB183" s="19">
        <f>JUNIO!AD183</f>
        <v>0</v>
      </c>
      <c r="AC183" s="364">
        <v>0</v>
      </c>
      <c r="AD183" s="18">
        <f t="shared" si="162"/>
        <v>0</v>
      </c>
      <c r="AE183" s="19">
        <f>JUNIO!AG183</f>
        <v>0</v>
      </c>
      <c r="AF183" s="364">
        <v>0</v>
      </c>
      <c r="AG183" s="18">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N184" s="9"/>
      <c r="P184" s="9"/>
      <c r="Q184" s="9"/>
      <c r="R184" s="9"/>
      <c r="S184" s="356" t="str">
        <f>+IF(JUNIO!S184=0,"",JUNIO!S184)</f>
        <v/>
      </c>
      <c r="T184" s="678" t="str">
        <f>+IF(JUNIO!T184=0,"",JUNIO!T184)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+IF(JUNIO!S185=0,"",JUNIO!S185)</f>
        <v>3300000</v>
      </c>
      <c r="T185" s="663" t="str">
        <f>+IF(JUNIO!T185=0,"",JUNIO!T185)</f>
        <v>Otras Transferencias</v>
      </c>
      <c r="U185" s="132">
        <f t="shared" ref="U185:AJ185" si="167">U186+U187+U191</f>
        <v>80000000</v>
      </c>
      <c r="V185" s="122">
        <f t="shared" si="167"/>
        <v>8000000</v>
      </c>
      <c r="W185" s="122">
        <f t="shared" si="167"/>
        <v>0</v>
      </c>
      <c r="X185" s="129">
        <f t="shared" si="167"/>
        <v>88000000</v>
      </c>
      <c r="Y185" s="128">
        <f t="shared" si="167"/>
        <v>19141516</v>
      </c>
      <c r="Z185" s="122">
        <f t="shared" si="167"/>
        <v>3312464</v>
      </c>
      <c r="AA185" s="129">
        <f t="shared" si="167"/>
        <v>22453980</v>
      </c>
      <c r="AB185" s="128">
        <f t="shared" si="167"/>
        <v>19141516</v>
      </c>
      <c r="AC185" s="122">
        <f t="shared" si="167"/>
        <v>3312464</v>
      </c>
      <c r="AD185" s="129">
        <f t="shared" si="167"/>
        <v>22453980</v>
      </c>
      <c r="AE185" s="128">
        <f t="shared" si="167"/>
        <v>19141516</v>
      </c>
      <c r="AF185" s="122">
        <f t="shared" si="167"/>
        <v>3312464</v>
      </c>
      <c r="AG185" s="129">
        <f t="shared" si="167"/>
        <v>22453980</v>
      </c>
      <c r="AH185" s="128">
        <f t="shared" si="167"/>
        <v>65546020</v>
      </c>
      <c r="AI185" s="122">
        <f t="shared" si="167"/>
        <v>65546020</v>
      </c>
      <c r="AJ185" s="130">
        <f t="shared" si="167"/>
        <v>65546020</v>
      </c>
      <c r="AK185" s="9"/>
      <c r="AL185" s="128">
        <f>AL186+AL187+AL191</f>
        <v>0</v>
      </c>
      <c r="AM185" s="130">
        <f>AM186+AM187+AM191</f>
        <v>0</v>
      </c>
      <c r="AN185" s="9"/>
    </row>
    <row r="186" spans="1:40" s="372" customFormat="1" ht="24.95" customHeight="1">
      <c r="A186" s="734"/>
      <c r="B186" s="643"/>
      <c r="N186" s="9"/>
      <c r="P186" s="9"/>
      <c r="Q186" s="9"/>
      <c r="R186" s="9"/>
      <c r="S186" s="688">
        <f>+IF(JUNIO!S186=0,"",JUNIO!S186)</f>
        <v>3300100</v>
      </c>
      <c r="T186" s="664" t="str">
        <f>+IF(JUNIO!T186=0,"",JUNIO!T186)</f>
        <v>Sentencias y Conciliaciones</v>
      </c>
      <c r="U186" s="27">
        <f>+ENERO!U186</f>
        <v>60000000</v>
      </c>
      <c r="V186" s="15">
        <f>JUNIO!V186+JULIO!AL186</f>
        <v>0</v>
      </c>
      <c r="W186" s="15">
        <f>JUNIO!W186+JULIO!AM186</f>
        <v>0</v>
      </c>
      <c r="X186" s="18">
        <f>SUM(U186:W186)</f>
        <v>60000000</v>
      </c>
      <c r="Y186" s="19">
        <f>JUNIO!AA186</f>
        <v>0</v>
      </c>
      <c r="Z186" s="364">
        <v>0</v>
      </c>
      <c r="AA186" s="18">
        <f>SUM(Y186:Z186)</f>
        <v>0</v>
      </c>
      <c r="AB186" s="19">
        <f>JUNIO!AD186</f>
        <v>0</v>
      </c>
      <c r="AC186" s="364">
        <v>0</v>
      </c>
      <c r="AD186" s="18">
        <f>SUM(AB186:AC186)</f>
        <v>0</v>
      </c>
      <c r="AE186" s="19">
        <f>JUNIO!AG186</f>
        <v>0</v>
      </c>
      <c r="AF186" s="364">
        <v>0</v>
      </c>
      <c r="AG186" s="18">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N187" s="9"/>
      <c r="P187" s="9"/>
      <c r="Q187" s="9"/>
      <c r="R187" s="9"/>
      <c r="S187" s="688">
        <f>+IF(JUNIO!S187=0,"",JUNIO!S187)</f>
        <v>3300200</v>
      </c>
      <c r="T187" s="664" t="str">
        <f>+IF(JUNIO!T187=0,"",JUNIO!T187)</f>
        <v>Destinatarios de otras transferencias</v>
      </c>
      <c r="U187" s="27">
        <f t="shared" ref="U187:AM187" si="168">SUM(U188:U190)</f>
        <v>20000000</v>
      </c>
      <c r="V187" s="15">
        <f t="shared" si="168"/>
        <v>8000000</v>
      </c>
      <c r="W187" s="15">
        <f t="shared" si="168"/>
        <v>0</v>
      </c>
      <c r="X187" s="18">
        <f t="shared" si="168"/>
        <v>28000000</v>
      </c>
      <c r="Y187" s="19">
        <f t="shared" si="168"/>
        <v>19141516</v>
      </c>
      <c r="Z187" s="142">
        <f t="shared" si="168"/>
        <v>3312464</v>
      </c>
      <c r="AA187" s="18">
        <f t="shared" si="168"/>
        <v>22453980</v>
      </c>
      <c r="AB187" s="19">
        <f t="shared" si="168"/>
        <v>19141516</v>
      </c>
      <c r="AC187" s="142">
        <f t="shared" si="168"/>
        <v>3312464</v>
      </c>
      <c r="AD187" s="18">
        <f t="shared" si="168"/>
        <v>22453980</v>
      </c>
      <c r="AE187" s="19">
        <f t="shared" si="168"/>
        <v>19141516</v>
      </c>
      <c r="AF187" s="142">
        <f t="shared" si="168"/>
        <v>3312464</v>
      </c>
      <c r="AG187" s="18">
        <f t="shared" si="168"/>
        <v>22453980</v>
      </c>
      <c r="AH187" s="19">
        <f t="shared" si="168"/>
        <v>5546020</v>
      </c>
      <c r="AI187" s="15">
        <f t="shared" si="168"/>
        <v>5546020</v>
      </c>
      <c r="AJ187" s="16">
        <f t="shared" si="168"/>
        <v>5546020</v>
      </c>
      <c r="AK187" s="9"/>
      <c r="AL187" s="29">
        <f t="shared" si="168"/>
        <v>0</v>
      </c>
      <c r="AM187" s="26">
        <f t="shared" si="168"/>
        <v>0</v>
      </c>
      <c r="AN187" s="9"/>
    </row>
    <row r="188" spans="1:40" s="372" customFormat="1" ht="24.95" customHeight="1">
      <c r="A188" s="734"/>
      <c r="B188" s="644"/>
      <c r="N188" s="9"/>
      <c r="P188" s="9"/>
      <c r="Q188" s="9"/>
      <c r="R188" s="9"/>
      <c r="S188" s="689" t="str">
        <f>+IF(JUNIO!S188=0,"",JUNIO!S188)</f>
        <v>3300200-1</v>
      </c>
      <c r="T188" s="664" t="str">
        <f>+IF(JUNIO!T188=0,"",JUNIO!T188)</f>
        <v>COHAN</v>
      </c>
      <c r="U188" s="27">
        <f>+ENERO!U188</f>
        <v>10000000</v>
      </c>
      <c r="V188" s="15">
        <f>JUNIO!V188+JULIO!AL188</f>
        <v>8000000</v>
      </c>
      <c r="W188" s="15">
        <f>JUNIO!W188+JULIO!AM188</f>
        <v>0</v>
      </c>
      <c r="X188" s="18">
        <f>SUM(U188:W188)</f>
        <v>18000000</v>
      </c>
      <c r="Y188" s="19">
        <f>JUNIO!AA188</f>
        <v>17803516</v>
      </c>
      <c r="Z188" s="364">
        <v>0</v>
      </c>
      <c r="AA188" s="18">
        <f>SUM(Y188:Z188)</f>
        <v>17803516</v>
      </c>
      <c r="AB188" s="19">
        <f>JUNIO!AD188</f>
        <v>17803516</v>
      </c>
      <c r="AC188" s="364">
        <v>0</v>
      </c>
      <c r="AD188" s="18">
        <f>SUM(AB188:AC188)</f>
        <v>17803516</v>
      </c>
      <c r="AE188" s="19">
        <f>JUNIO!AG188</f>
        <v>17803516</v>
      </c>
      <c r="AF188" s="364">
        <v>0</v>
      </c>
      <c r="AG188" s="18">
        <f>SUM(AE188:AF188)</f>
        <v>17803516</v>
      </c>
      <c r="AH188" s="19">
        <f>X188-AA188</f>
        <v>196484</v>
      </c>
      <c r="AI188" s="15">
        <f>X188-AD188</f>
        <v>196484</v>
      </c>
      <c r="AJ188" s="16">
        <f>X188-AG188</f>
        <v>196484</v>
      </c>
      <c r="AK188" s="9"/>
      <c r="AL188" s="362">
        <v>0</v>
      </c>
      <c r="AM188" s="365">
        <v>0</v>
      </c>
      <c r="AN188" s="9"/>
    </row>
    <row r="189" spans="1:40" s="372" customFormat="1" ht="24.95" customHeight="1">
      <c r="A189" s="734"/>
      <c r="B189" s="644"/>
      <c r="N189" s="9"/>
      <c r="P189" s="9"/>
      <c r="Q189" s="9"/>
      <c r="R189" s="9"/>
      <c r="S189" s="689" t="str">
        <f>+IF(JUNIO!S189=0,"",JUNIO!S189)</f>
        <v>3300200-2</v>
      </c>
      <c r="T189" s="664" t="str">
        <f>+IF(JUNIO!T189=0,"",JUNIO!T189)</f>
        <v>AESA</v>
      </c>
      <c r="U189" s="27">
        <f>+ENERO!U189</f>
        <v>5000000</v>
      </c>
      <c r="V189" s="15">
        <f>JUNIO!V189+JULIO!AL189</f>
        <v>0</v>
      </c>
      <c r="W189" s="15">
        <f>JUNIO!W189+JULIO!AM189</f>
        <v>0</v>
      </c>
      <c r="X189" s="18">
        <f>SUM(U189:W189)</f>
        <v>5000000</v>
      </c>
      <c r="Y189" s="19">
        <f>JUNIO!AA189</f>
        <v>0</v>
      </c>
      <c r="Z189" s="364">
        <v>3312464</v>
      </c>
      <c r="AA189" s="18">
        <f>SUM(Y189:Z189)</f>
        <v>3312464</v>
      </c>
      <c r="AB189" s="19">
        <f>JUNIO!AD189</f>
        <v>0</v>
      </c>
      <c r="AC189" s="364">
        <v>3312464</v>
      </c>
      <c r="AD189" s="18">
        <f>SUM(AB189:AC189)</f>
        <v>3312464</v>
      </c>
      <c r="AE189" s="19">
        <f>JUNIO!AG189</f>
        <v>0</v>
      </c>
      <c r="AF189" s="364">
        <v>3312464</v>
      </c>
      <c r="AG189" s="18">
        <f>SUM(AE189:AF189)</f>
        <v>3312464</v>
      </c>
      <c r="AH189" s="19">
        <f>X189-AA189</f>
        <v>1687536</v>
      </c>
      <c r="AI189" s="15">
        <f>X189-AD189</f>
        <v>1687536</v>
      </c>
      <c r="AJ189" s="16">
        <f>X189-AG189</f>
        <v>1687536</v>
      </c>
      <c r="AK189" s="9"/>
      <c r="AL189" s="362">
        <v>0</v>
      </c>
      <c r="AM189" s="365">
        <v>0</v>
      </c>
      <c r="AN189" s="9"/>
    </row>
    <row r="190" spans="1:40" s="372" customFormat="1" ht="24.95" customHeight="1">
      <c r="A190" s="734"/>
      <c r="B190" s="644"/>
      <c r="N190" s="9"/>
      <c r="P190" s="9"/>
      <c r="Q190" s="9"/>
      <c r="R190" s="9"/>
      <c r="S190" s="689" t="str">
        <f>+IF(JUNIO!S190=0,"",JUNIO!S190)</f>
        <v>3300200-3</v>
      </c>
      <c r="T190" s="664" t="str">
        <f>+IF(JUNIO!T190=0,"",JUNIO!T190)</f>
        <v xml:space="preserve">OTRAS </v>
      </c>
      <c r="U190" s="27">
        <f>+ENERO!U190</f>
        <v>5000000</v>
      </c>
      <c r="V190" s="15">
        <f>JUNIO!V190+JULIO!AL190</f>
        <v>0</v>
      </c>
      <c r="W190" s="15">
        <f>JUNIO!W190+JULIO!AM190</f>
        <v>0</v>
      </c>
      <c r="X190" s="18">
        <f>SUM(U190:W190)</f>
        <v>5000000</v>
      </c>
      <c r="Y190" s="19">
        <f>JUNIO!AA190</f>
        <v>1338000</v>
      </c>
      <c r="Z190" s="364">
        <v>0</v>
      </c>
      <c r="AA190" s="18">
        <f>SUM(Y190:Z190)</f>
        <v>1338000</v>
      </c>
      <c r="AB190" s="19">
        <f>JUNIO!AD190</f>
        <v>1338000</v>
      </c>
      <c r="AC190" s="364">
        <v>0</v>
      </c>
      <c r="AD190" s="18">
        <f>SUM(AB190:AC190)</f>
        <v>1338000</v>
      </c>
      <c r="AE190" s="19">
        <f>JUNIO!AG190</f>
        <v>1338000</v>
      </c>
      <c r="AF190" s="364">
        <v>0</v>
      </c>
      <c r="AG190" s="18">
        <f>SUM(AE190:AF190)</f>
        <v>1338000</v>
      </c>
      <c r="AH190" s="19">
        <f>X190-AA190</f>
        <v>3662000</v>
      </c>
      <c r="AI190" s="15">
        <f>X190-AD190</f>
        <v>3662000</v>
      </c>
      <c r="AJ190" s="16">
        <f>X190-AG190</f>
        <v>3662000</v>
      </c>
      <c r="AK190" s="9"/>
      <c r="AL190" s="362">
        <v>0</v>
      </c>
      <c r="AM190" s="365">
        <v>0</v>
      </c>
      <c r="AN190" s="9"/>
    </row>
    <row r="191" spans="1:40" s="372" customFormat="1" ht="24.95" customHeight="1">
      <c r="A191" s="734"/>
      <c r="B191" s="644"/>
      <c r="N191" s="9"/>
      <c r="P191" s="9"/>
      <c r="Q191" s="9"/>
      <c r="R191" s="9"/>
      <c r="S191" s="688">
        <f>+IF(JUNIO!S191=0,"",JUNIO!S191)</f>
        <v>3399999</v>
      </c>
      <c r="T191" s="664" t="str">
        <f>+IF(JUNIO!T191=0,"",JUNIO!T191)</f>
        <v>Vigencias Anteriores</v>
      </c>
      <c r="U191" s="27">
        <f>+ENERO!U191</f>
        <v>0</v>
      </c>
      <c r="V191" s="15">
        <f>JUNIO!V191+JULIO!AL191</f>
        <v>0</v>
      </c>
      <c r="W191" s="15">
        <f>JUNIO!W191+JULIO!AM191</f>
        <v>0</v>
      </c>
      <c r="X191" s="18">
        <f>SUM(U191:W191)</f>
        <v>0</v>
      </c>
      <c r="Y191" s="19">
        <f>JUNIO!AA191</f>
        <v>0</v>
      </c>
      <c r="Z191" s="364">
        <v>0</v>
      </c>
      <c r="AA191" s="18">
        <f>SUM(Y191:Z191)</f>
        <v>0</v>
      </c>
      <c r="AB191" s="19">
        <f>JUNIO!AD191</f>
        <v>0</v>
      </c>
      <c r="AC191" s="364">
        <v>0</v>
      </c>
      <c r="AD191" s="18">
        <f>SUM(AB191:AC191)</f>
        <v>0</v>
      </c>
      <c r="AE191" s="19">
        <f>JUNIO!AG191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9.5" customHeight="1">
      <c r="A193" s="734"/>
      <c r="B193" s="644"/>
      <c r="N193" s="9"/>
      <c r="P193" s="9"/>
      <c r="Q193" s="9"/>
      <c r="R193" s="9"/>
      <c r="S193" s="483" t="s">
        <v>318</v>
      </c>
      <c r="T193" s="672" t="s">
        <v>561</v>
      </c>
      <c r="U193" s="460">
        <f>U195+U209</f>
        <v>10282942055</v>
      </c>
      <c r="V193" s="461">
        <f t="shared" ref="V193:AJ193" si="169">V195+V209</f>
        <v>4725317789</v>
      </c>
      <c r="W193" s="461">
        <f t="shared" si="169"/>
        <v>7159281439</v>
      </c>
      <c r="X193" s="370">
        <f t="shared" si="169"/>
        <v>22167541283</v>
      </c>
      <c r="Y193" s="369">
        <f t="shared" si="169"/>
        <v>17766826204</v>
      </c>
      <c r="Z193" s="484">
        <f t="shared" si="169"/>
        <v>3025038383</v>
      </c>
      <c r="AA193" s="370">
        <f t="shared" si="169"/>
        <v>20791864587</v>
      </c>
      <c r="AB193" s="460">
        <f t="shared" si="169"/>
        <v>14960065519</v>
      </c>
      <c r="AC193" s="484">
        <f t="shared" si="169"/>
        <v>3099309211</v>
      </c>
      <c r="AD193" s="462">
        <f t="shared" si="169"/>
        <v>18059374730</v>
      </c>
      <c r="AE193" s="369">
        <f t="shared" si="169"/>
        <v>8726764715</v>
      </c>
      <c r="AF193" s="484">
        <f t="shared" si="169"/>
        <v>3763293006</v>
      </c>
      <c r="AG193" s="370">
        <f t="shared" si="169"/>
        <v>12490057721</v>
      </c>
      <c r="AH193" s="369">
        <f t="shared" si="169"/>
        <v>1375676696</v>
      </c>
      <c r="AI193" s="461">
        <f t="shared" si="169"/>
        <v>4108166553</v>
      </c>
      <c r="AJ193" s="370">
        <f t="shared" si="169"/>
        <v>9677483562</v>
      </c>
      <c r="AK193" s="9"/>
      <c r="AL193" s="369">
        <f>AL195+AL209</f>
        <v>2930317789</v>
      </c>
      <c r="AM193" s="370">
        <f>AM195+AM209</f>
        <v>400000000</v>
      </c>
      <c r="AN193" s="9"/>
    </row>
    <row r="194" spans="1:40" s="372" customFormat="1" ht="24.95" customHeight="1">
      <c r="A194" s="734"/>
      <c r="B194" s="644"/>
      <c r="N194" s="9"/>
      <c r="P194" s="9"/>
      <c r="Q194" s="9"/>
      <c r="R194" s="9"/>
      <c r="S194" s="356" t="str">
        <f>+IF(JUNIO!S194=0,"",JUNIO!S194)</f>
        <v/>
      </c>
      <c r="T194" s="678" t="str">
        <f>+IF(JUNIO!T194=0,"",JUNIO!T194)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+IF(JUNIO!S195=0,"",JUNIO!S195)</f>
        <v>4000000</v>
      </c>
      <c r="T195" s="668" t="str">
        <f>+IF(JUNIO!T195=0,"",JUNIO!T195)</f>
        <v>GASTOS  DE PRESTACION DE SERVICIOS</v>
      </c>
      <c r="U195" s="460">
        <f t="shared" ref="U195:AJ195" si="170">U196</f>
        <v>10282942055</v>
      </c>
      <c r="V195" s="461">
        <f t="shared" si="170"/>
        <v>4725317789</v>
      </c>
      <c r="W195" s="461">
        <f t="shared" si="170"/>
        <v>7159281439</v>
      </c>
      <c r="X195" s="462">
        <f t="shared" si="170"/>
        <v>22167541283</v>
      </c>
      <c r="Y195" s="369">
        <f t="shared" si="170"/>
        <v>17766826204</v>
      </c>
      <c r="Z195" s="461">
        <f t="shared" si="170"/>
        <v>3025038383</v>
      </c>
      <c r="AA195" s="462">
        <f t="shared" si="170"/>
        <v>20791864587</v>
      </c>
      <c r="AB195" s="369">
        <f t="shared" si="170"/>
        <v>14960065519</v>
      </c>
      <c r="AC195" s="461">
        <f t="shared" si="170"/>
        <v>3099309211</v>
      </c>
      <c r="AD195" s="462">
        <f t="shared" si="170"/>
        <v>18059374730</v>
      </c>
      <c r="AE195" s="369">
        <f t="shared" si="170"/>
        <v>8726764715</v>
      </c>
      <c r="AF195" s="461">
        <f t="shared" si="170"/>
        <v>3763293006</v>
      </c>
      <c r="AG195" s="462">
        <f t="shared" si="170"/>
        <v>12490057721</v>
      </c>
      <c r="AH195" s="369">
        <f t="shared" si="170"/>
        <v>1375676696</v>
      </c>
      <c r="AI195" s="461">
        <f t="shared" si="170"/>
        <v>4108166553</v>
      </c>
      <c r="AJ195" s="370">
        <f t="shared" si="170"/>
        <v>9677483562</v>
      </c>
      <c r="AK195" s="9"/>
      <c r="AL195" s="128">
        <f>AL196</f>
        <v>2930317789</v>
      </c>
      <c r="AM195" s="130">
        <f>AM196</f>
        <v>400000000</v>
      </c>
      <c r="AN195" s="9"/>
    </row>
    <row r="196" spans="1:40" s="372" customFormat="1" ht="24.95" customHeight="1">
      <c r="A196" s="734"/>
      <c r="B196" s="644"/>
      <c r="N196" s="9"/>
      <c r="P196" s="9"/>
      <c r="Q196" s="9"/>
      <c r="R196" s="9"/>
      <c r="S196" s="687">
        <f>+IF(JUNIO!S196=0,"",JUNIO!S196)</f>
        <v>4100000</v>
      </c>
      <c r="T196" s="663" t="str">
        <f>+IF(JUNIO!T196=0,"",JUNIO!T196)</f>
        <v>Insumos y Suministros Hospitalarios</v>
      </c>
      <c r="U196" s="132">
        <f t="shared" ref="U196:AJ196" si="171">U197+U205+U207</f>
        <v>10282942055</v>
      </c>
      <c r="V196" s="122">
        <f t="shared" si="171"/>
        <v>4725317789</v>
      </c>
      <c r="W196" s="122">
        <f t="shared" si="171"/>
        <v>7159281439</v>
      </c>
      <c r="X196" s="129">
        <f t="shared" si="171"/>
        <v>22167541283</v>
      </c>
      <c r="Y196" s="128">
        <f t="shared" si="171"/>
        <v>17766826204</v>
      </c>
      <c r="Z196" s="122">
        <f t="shared" si="171"/>
        <v>3025038383</v>
      </c>
      <c r="AA196" s="129">
        <f t="shared" si="171"/>
        <v>20791864587</v>
      </c>
      <c r="AB196" s="128">
        <f t="shared" si="171"/>
        <v>14960065519</v>
      </c>
      <c r="AC196" s="122">
        <f t="shared" si="171"/>
        <v>3099309211</v>
      </c>
      <c r="AD196" s="129">
        <f t="shared" si="171"/>
        <v>18059374730</v>
      </c>
      <c r="AE196" s="128">
        <f t="shared" si="171"/>
        <v>8726764715</v>
      </c>
      <c r="AF196" s="122">
        <f t="shared" si="171"/>
        <v>3763293006</v>
      </c>
      <c r="AG196" s="129">
        <f t="shared" si="171"/>
        <v>12490057721</v>
      </c>
      <c r="AH196" s="128">
        <f t="shared" si="171"/>
        <v>1375676696</v>
      </c>
      <c r="AI196" s="122">
        <f t="shared" si="171"/>
        <v>4108166553</v>
      </c>
      <c r="AJ196" s="130">
        <f t="shared" si="171"/>
        <v>9677483562</v>
      </c>
      <c r="AK196" s="10"/>
      <c r="AL196" s="128">
        <f>AL197+AL205+AL207</f>
        <v>2930317789</v>
      </c>
      <c r="AM196" s="130">
        <f>AM197+AM205+AM207</f>
        <v>400000000</v>
      </c>
      <c r="AN196" s="9"/>
    </row>
    <row r="197" spans="1:40" s="372" customFormat="1" ht="24.95" customHeight="1">
      <c r="A197" s="734"/>
      <c r="B197" s="644"/>
      <c r="N197" s="9"/>
      <c r="P197" s="9"/>
      <c r="Q197" s="9"/>
      <c r="R197" s="9"/>
      <c r="S197" s="688">
        <f>+IF(JUNIO!S197=0,"",JUNIO!S197)</f>
        <v>4100100</v>
      </c>
      <c r="T197" s="664" t="str">
        <f>+IF(JUNIO!T197=0,"",JUNIO!T197)</f>
        <v>Compra de Bienes para la Prestacion de servicios</v>
      </c>
      <c r="U197" s="27">
        <f t="shared" ref="U197:AJ197" si="172">SUM(U198:U204)</f>
        <v>8084311192</v>
      </c>
      <c r="V197" s="15">
        <f t="shared" si="172"/>
        <v>3360190078</v>
      </c>
      <c r="W197" s="15">
        <f t="shared" si="172"/>
        <v>2821407445</v>
      </c>
      <c r="X197" s="18">
        <f t="shared" si="172"/>
        <v>14265908715</v>
      </c>
      <c r="Y197" s="19">
        <f t="shared" si="172"/>
        <v>11344308355</v>
      </c>
      <c r="Z197" s="142">
        <f t="shared" si="172"/>
        <v>1639501574</v>
      </c>
      <c r="AA197" s="18">
        <f t="shared" si="172"/>
        <v>12983809929</v>
      </c>
      <c r="AB197" s="19">
        <f t="shared" si="172"/>
        <v>9126853344</v>
      </c>
      <c r="AC197" s="142">
        <f t="shared" si="172"/>
        <v>1611535592</v>
      </c>
      <c r="AD197" s="18">
        <f t="shared" si="172"/>
        <v>10738388936</v>
      </c>
      <c r="AE197" s="19">
        <f t="shared" si="172"/>
        <v>3079539275</v>
      </c>
      <c r="AF197" s="142">
        <f t="shared" si="172"/>
        <v>2191769462</v>
      </c>
      <c r="AG197" s="18">
        <f t="shared" si="172"/>
        <v>5271308737</v>
      </c>
      <c r="AH197" s="19">
        <f t="shared" si="172"/>
        <v>1282098786</v>
      </c>
      <c r="AI197" s="15">
        <f t="shared" si="172"/>
        <v>3527519779</v>
      </c>
      <c r="AJ197" s="16">
        <f t="shared" si="172"/>
        <v>8994599978</v>
      </c>
      <c r="AK197" s="9"/>
      <c r="AL197" s="29">
        <f>SUM(AL198:AL204)</f>
        <v>1575190078</v>
      </c>
      <c r="AM197" s="26">
        <f>SUM(AM198:AM204)</f>
        <v>400000000</v>
      </c>
      <c r="AN197" s="9"/>
    </row>
    <row r="198" spans="1:40" s="372" customFormat="1" ht="24.95" customHeight="1">
      <c r="A198" s="734"/>
      <c r="B198" s="644"/>
      <c r="N198" s="9"/>
      <c r="P198" s="9"/>
      <c r="Q198" s="9"/>
      <c r="R198" s="9"/>
      <c r="S198" s="689" t="str">
        <f>+IF(JUNIO!S198=0,"",JUNIO!S198)</f>
        <v>4100100-1</v>
      </c>
      <c r="T198" s="665" t="str">
        <f>+IF(JUNIO!T198=0,"",JUNIO!T198)</f>
        <v>Productos Farmaceuticos</v>
      </c>
      <c r="U198" s="27">
        <f>+ENERO!U198</f>
        <v>4000000000</v>
      </c>
      <c r="V198" s="15">
        <f>JUNIO!V198+JULIO!AL198</f>
        <v>1355190078</v>
      </c>
      <c r="W198" s="15">
        <f>JUNIO!W198+JULIO!AM198</f>
        <v>1043274278</v>
      </c>
      <c r="X198" s="18">
        <f t="shared" ref="X198:X204" si="173">SUM(U198:W198)</f>
        <v>6398464356</v>
      </c>
      <c r="Y198" s="19">
        <f>JUNIO!AA198</f>
        <v>5238418399</v>
      </c>
      <c r="Z198" s="364">
        <v>670705091</v>
      </c>
      <c r="AA198" s="18">
        <f t="shared" ref="AA198:AA204" si="174">SUM(Y198:Z198)</f>
        <v>5909123490</v>
      </c>
      <c r="AB198" s="19">
        <f>JUNIO!AD198</f>
        <v>4220963784</v>
      </c>
      <c r="AC198" s="364">
        <v>754382354</v>
      </c>
      <c r="AD198" s="18">
        <f t="shared" ref="AD198:AD204" si="175">SUM(AB198:AC198)</f>
        <v>4975346138</v>
      </c>
      <c r="AE198" s="19">
        <f>JUNIO!AG198</f>
        <v>1213106921</v>
      </c>
      <c r="AF198" s="364">
        <v>727746244</v>
      </c>
      <c r="AG198" s="18">
        <f t="shared" ref="AG198:AG204" si="176">SUM(AE198:AF198)</f>
        <v>1940853165</v>
      </c>
      <c r="AH198" s="19">
        <f t="shared" ref="AH198:AH204" si="177">X198-AA198</f>
        <v>489340866</v>
      </c>
      <c r="AI198" s="15">
        <f t="shared" ref="AI198:AI204" si="178">X198-AD198</f>
        <v>1423118218</v>
      </c>
      <c r="AJ198" s="16">
        <f t="shared" ref="AJ198:AJ204" si="179">X198-AG198</f>
        <v>4457611191</v>
      </c>
      <c r="AK198" s="9"/>
      <c r="AL198" s="362">
        <f>775190078-210000000</f>
        <v>565190078</v>
      </c>
      <c r="AM198" s="365">
        <v>400000000</v>
      </c>
      <c r="AN198" s="9"/>
    </row>
    <row r="199" spans="1:40" s="372" customFormat="1" ht="24.95" customHeight="1">
      <c r="A199" s="734"/>
      <c r="B199" s="644"/>
      <c r="N199" s="9"/>
      <c r="P199" s="9"/>
      <c r="Q199" s="9"/>
      <c r="R199" s="9"/>
      <c r="S199" s="689" t="str">
        <f>+IF(JUNIO!S199=0,"",JUNIO!S199)</f>
        <v>4100100-2</v>
      </c>
      <c r="T199" s="665" t="str">
        <f>+IF(JUNIO!T199=0,"",JUNIO!T199)</f>
        <v>Material Médico Quirúrgico</v>
      </c>
      <c r="U199" s="27">
        <f>+ENERO!U199</f>
        <v>3244311192</v>
      </c>
      <c r="V199" s="15">
        <f>JUNIO!V199+JULIO!AL199</f>
        <v>2005000000</v>
      </c>
      <c r="W199" s="15">
        <f>JUNIO!W199+JULIO!AM199</f>
        <v>1778133167</v>
      </c>
      <c r="X199" s="18">
        <f t="shared" si="173"/>
        <v>7027444359</v>
      </c>
      <c r="Y199" s="19">
        <f>JUNIO!AA199</f>
        <v>5707151692</v>
      </c>
      <c r="Z199" s="364">
        <v>909395120</v>
      </c>
      <c r="AA199" s="18">
        <f t="shared" si="174"/>
        <v>6616546812</v>
      </c>
      <c r="AB199" s="19">
        <f>JUNIO!AD199</f>
        <v>4507151692</v>
      </c>
      <c r="AC199" s="364">
        <v>798417875</v>
      </c>
      <c r="AD199" s="18">
        <f t="shared" si="175"/>
        <v>5305569567</v>
      </c>
      <c r="AE199" s="19">
        <f>JUNIO!AG199</f>
        <v>1762366451</v>
      </c>
      <c r="AF199" s="364">
        <v>1286939519</v>
      </c>
      <c r="AG199" s="18">
        <f t="shared" si="176"/>
        <v>3049305970</v>
      </c>
      <c r="AH199" s="19">
        <f t="shared" si="177"/>
        <v>410897547</v>
      </c>
      <c r="AI199" s="15">
        <f t="shared" si="178"/>
        <v>1721874792</v>
      </c>
      <c r="AJ199" s="16">
        <f t="shared" si="179"/>
        <v>3978138389</v>
      </c>
      <c r="AK199" s="9"/>
      <c r="AL199" s="362">
        <f>800000000+210000000</f>
        <v>1010000000</v>
      </c>
      <c r="AM199" s="365">
        <v>0</v>
      </c>
      <c r="AN199" s="9"/>
    </row>
    <row r="200" spans="1:40" s="372" customFormat="1" ht="24.95" customHeight="1">
      <c r="A200" s="734"/>
      <c r="B200" s="644"/>
      <c r="N200" s="9"/>
      <c r="P200" s="9"/>
      <c r="Q200" s="9"/>
      <c r="R200" s="9"/>
      <c r="S200" s="689" t="str">
        <f>+IF(JUNIO!S200=0,"",JUNIO!S200)</f>
        <v>4100100-3</v>
      </c>
      <c r="T200" s="665" t="str">
        <f>+IF(JUNIO!T200=0,"",JUNIO!T200)</f>
        <v>Material de Laboratorio</v>
      </c>
      <c r="U200" s="27">
        <f>+ENERO!U200</f>
        <v>840000000</v>
      </c>
      <c r="V200" s="15">
        <f>JUNIO!V200+JULIO!AL200</f>
        <v>0</v>
      </c>
      <c r="W200" s="15">
        <f>JUNIO!W200+JULIO!AM200</f>
        <v>0</v>
      </c>
      <c r="X200" s="18">
        <f t="shared" si="173"/>
        <v>840000000</v>
      </c>
      <c r="Y200" s="19">
        <f>JUNIO!AA200</f>
        <v>398738264</v>
      </c>
      <c r="Z200" s="364">
        <v>59401363</v>
      </c>
      <c r="AA200" s="18">
        <f t="shared" si="174"/>
        <v>458139627</v>
      </c>
      <c r="AB200" s="19">
        <f>JUNIO!AD200</f>
        <v>398737868</v>
      </c>
      <c r="AC200" s="364">
        <v>58735363</v>
      </c>
      <c r="AD200" s="18">
        <f t="shared" si="175"/>
        <v>457473231</v>
      </c>
      <c r="AE200" s="19">
        <f>JUNIO!AG200</f>
        <v>104065903</v>
      </c>
      <c r="AF200" s="364">
        <v>177083699</v>
      </c>
      <c r="AG200" s="18">
        <f t="shared" si="176"/>
        <v>281149602</v>
      </c>
      <c r="AH200" s="19">
        <f t="shared" si="177"/>
        <v>381860373</v>
      </c>
      <c r="AI200" s="15">
        <f t="shared" si="178"/>
        <v>382526769</v>
      </c>
      <c r="AJ200" s="16">
        <f t="shared" si="179"/>
        <v>558850398</v>
      </c>
      <c r="AK200" s="9"/>
      <c r="AL200" s="362">
        <v>0</v>
      </c>
      <c r="AM200" s="365">
        <v>0</v>
      </c>
      <c r="AN200" s="9"/>
    </row>
    <row r="201" spans="1:40" s="372" customFormat="1" ht="24.95" customHeight="1">
      <c r="A201" s="734"/>
      <c r="B201" s="644"/>
      <c r="N201" s="9"/>
      <c r="P201" s="9"/>
      <c r="Q201" s="9"/>
      <c r="R201" s="9"/>
      <c r="S201" s="689" t="str">
        <f>+IF(JUNIO!S201=0,"",JUNIO!S201)</f>
        <v>4100100-4</v>
      </c>
      <c r="T201" s="665" t="str">
        <f>+IF(JUNIO!T201=0,"",JUNIO!T201)</f>
        <v>Material para Odontologia</v>
      </c>
      <c r="U201" s="27">
        <f>+ENERO!U201</f>
        <v>0</v>
      </c>
      <c r="V201" s="15">
        <f>JUNIO!V201+JULIO!AL201</f>
        <v>0</v>
      </c>
      <c r="W201" s="15">
        <f>JUNIO!W201+JULIO!AM201</f>
        <v>0</v>
      </c>
      <c r="X201" s="18">
        <f t="shared" si="173"/>
        <v>0</v>
      </c>
      <c r="Y201" s="19">
        <f>JUNIO!AA201</f>
        <v>0</v>
      </c>
      <c r="Z201" s="364">
        <v>0</v>
      </c>
      <c r="AA201" s="18">
        <f t="shared" si="174"/>
        <v>0</v>
      </c>
      <c r="AB201" s="19">
        <f>JUNIO!AD201</f>
        <v>0</v>
      </c>
      <c r="AC201" s="364">
        <v>0</v>
      </c>
      <c r="AD201" s="18">
        <f t="shared" si="175"/>
        <v>0</v>
      </c>
      <c r="AE201" s="19">
        <f>JUNIO!AG201</f>
        <v>0</v>
      </c>
      <c r="AF201" s="364">
        <v>0</v>
      </c>
      <c r="AG201" s="18">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N202" s="9"/>
      <c r="P202" s="9"/>
      <c r="Q202" s="9"/>
      <c r="R202" s="9"/>
      <c r="S202" s="689" t="str">
        <f>+IF(JUNIO!S202=0,"",JUNIO!S202)</f>
        <v>4100100-5</v>
      </c>
      <c r="T202" s="665" t="str">
        <f>+IF(JUNIO!T202=0,"",JUNIO!T202)</f>
        <v>Material para Rayos X</v>
      </c>
      <c r="U202" s="27">
        <f>+ENERO!U202</f>
        <v>0</v>
      </c>
      <c r="V202" s="15">
        <f>JUNIO!V202+JULIO!AL202</f>
        <v>0</v>
      </c>
      <c r="W202" s="15">
        <f>JUNIO!W202+JULIO!AM202</f>
        <v>0</v>
      </c>
      <c r="X202" s="18">
        <f t="shared" si="173"/>
        <v>0</v>
      </c>
      <c r="Y202" s="19">
        <f>JUNIO!AA202</f>
        <v>0</v>
      </c>
      <c r="Z202" s="364">
        <v>0</v>
      </c>
      <c r="AA202" s="18">
        <f t="shared" si="174"/>
        <v>0</v>
      </c>
      <c r="AB202" s="19">
        <f>JUNIO!AD202</f>
        <v>0</v>
      </c>
      <c r="AC202" s="364">
        <v>0</v>
      </c>
      <c r="AD202" s="18">
        <f t="shared" si="175"/>
        <v>0</v>
      </c>
      <c r="AE202" s="19">
        <f>JUNIO!AG202</f>
        <v>0</v>
      </c>
      <c r="AF202" s="364">
        <v>0</v>
      </c>
      <c r="AG202" s="18">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N203" s="9"/>
      <c r="P203" s="9"/>
      <c r="Q203" s="9"/>
      <c r="R203" s="9"/>
      <c r="S203" s="689" t="str">
        <f>+IF(JUNIO!S203=0,"",JUNIO!S203)</f>
        <v>4100100-6</v>
      </c>
      <c r="T203" s="665" t="str">
        <f>+IF(JUNIO!T203=0,"",JUNIO!T203)</f>
        <v/>
      </c>
      <c r="U203" s="27">
        <f>+ENERO!U203</f>
        <v>0</v>
      </c>
      <c r="V203" s="15">
        <f>JUNIO!V203+JULIO!AL203</f>
        <v>0</v>
      </c>
      <c r="W203" s="15">
        <f>JUNIO!W203+JULIO!AM203</f>
        <v>0</v>
      </c>
      <c r="X203" s="18">
        <f t="shared" si="173"/>
        <v>0</v>
      </c>
      <c r="Y203" s="19">
        <f>JUNIO!AA203</f>
        <v>0</v>
      </c>
      <c r="Z203" s="364">
        <v>0</v>
      </c>
      <c r="AA203" s="18">
        <f t="shared" si="174"/>
        <v>0</v>
      </c>
      <c r="AB203" s="19">
        <f>JUNIO!AD203</f>
        <v>0</v>
      </c>
      <c r="AC203" s="364">
        <v>0</v>
      </c>
      <c r="AD203" s="18">
        <f t="shared" si="175"/>
        <v>0</v>
      </c>
      <c r="AE203" s="19">
        <f>JUNIO!AG203</f>
        <v>0</v>
      </c>
      <c r="AF203" s="364">
        <v>0</v>
      </c>
      <c r="AG203" s="18">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N204" s="9"/>
      <c r="P204" s="9"/>
      <c r="Q204" s="9"/>
      <c r="R204" s="9"/>
      <c r="S204" s="689" t="str">
        <f>+IF(JUNIO!S204=0,"",JUNIO!S204)</f>
        <v>4100100-7</v>
      </c>
      <c r="T204" s="665" t="str">
        <f>+IF(JUNIO!T204=0,"",JUNIO!T204)</f>
        <v/>
      </c>
      <c r="U204" s="27">
        <f>+ENERO!U204</f>
        <v>0</v>
      </c>
      <c r="V204" s="15">
        <f>JUNIO!V204+JULIO!AL204</f>
        <v>0</v>
      </c>
      <c r="W204" s="15">
        <f>JUNIO!W204+JULIO!AM204</f>
        <v>0</v>
      </c>
      <c r="X204" s="18">
        <f t="shared" si="173"/>
        <v>0</v>
      </c>
      <c r="Y204" s="19">
        <f>JUNIO!AA204</f>
        <v>0</v>
      </c>
      <c r="Z204" s="364">
        <v>0</v>
      </c>
      <c r="AA204" s="18">
        <f t="shared" si="174"/>
        <v>0</v>
      </c>
      <c r="AB204" s="19">
        <f>JUNIO!AD204</f>
        <v>0</v>
      </c>
      <c r="AC204" s="364">
        <v>0</v>
      </c>
      <c r="AD204" s="18">
        <f t="shared" si="175"/>
        <v>0</v>
      </c>
      <c r="AE204" s="19">
        <f>JUNIO!AG204</f>
        <v>0</v>
      </c>
      <c r="AF204" s="364">
        <v>0</v>
      </c>
      <c r="AG204" s="18">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N205" s="9"/>
      <c r="P205" s="9"/>
      <c r="Q205" s="9"/>
      <c r="R205" s="9"/>
      <c r="S205" s="688">
        <f>+IF(JUNIO!S205=0,"",JUNIO!S205)</f>
        <v>4100200</v>
      </c>
      <c r="T205" s="664" t="str">
        <f>+IF(JUNIO!T205=0,"",JUNIO!T205)</f>
        <v>Gastos Complementarios e Intermedios</v>
      </c>
      <c r="U205" s="27">
        <f t="shared" ref="U205:AJ205" si="180">U206</f>
        <v>1200000000</v>
      </c>
      <c r="V205" s="15">
        <f t="shared" si="180"/>
        <v>0</v>
      </c>
      <c r="W205" s="15">
        <f t="shared" si="180"/>
        <v>0</v>
      </c>
      <c r="X205" s="18">
        <f t="shared" si="180"/>
        <v>1200000000</v>
      </c>
      <c r="Y205" s="19">
        <f t="shared" si="180"/>
        <v>1151703890</v>
      </c>
      <c r="Z205" s="142">
        <f t="shared" si="180"/>
        <v>761850</v>
      </c>
      <c r="AA205" s="18">
        <f t="shared" si="180"/>
        <v>1152465740</v>
      </c>
      <c r="AB205" s="19">
        <f t="shared" si="180"/>
        <v>562398216</v>
      </c>
      <c r="AC205" s="142">
        <f t="shared" si="180"/>
        <v>102998660</v>
      </c>
      <c r="AD205" s="18">
        <f t="shared" si="180"/>
        <v>665396876</v>
      </c>
      <c r="AE205" s="19">
        <f t="shared" si="180"/>
        <v>376411481</v>
      </c>
      <c r="AF205" s="142">
        <f t="shared" si="180"/>
        <v>186748585</v>
      </c>
      <c r="AG205" s="18">
        <f t="shared" si="180"/>
        <v>563160066</v>
      </c>
      <c r="AH205" s="19">
        <f t="shared" si="180"/>
        <v>47534260</v>
      </c>
      <c r="AI205" s="15">
        <f t="shared" si="180"/>
        <v>534603124</v>
      </c>
      <c r="AJ205" s="16">
        <f t="shared" si="180"/>
        <v>636839934</v>
      </c>
      <c r="AK205" s="9"/>
      <c r="AL205" s="29">
        <f>AL206</f>
        <v>0</v>
      </c>
      <c r="AM205" s="26">
        <f>AM206</f>
        <v>0</v>
      </c>
      <c r="AN205" s="9"/>
    </row>
    <row r="206" spans="1:40" s="372" customFormat="1" ht="24.95" customHeight="1">
      <c r="A206" s="734"/>
      <c r="B206" s="644"/>
      <c r="N206" s="9"/>
      <c r="P206" s="9"/>
      <c r="Q206" s="9"/>
      <c r="R206" s="9"/>
      <c r="S206" s="689" t="str">
        <f>+IF(JUNIO!S206=0,"",JUNIO!S206)</f>
        <v>4100200-1</v>
      </c>
      <c r="T206" s="665" t="str">
        <f>+IF(JUNIO!T206=0,"",JUNIO!T206)</f>
        <v>Alimentación</v>
      </c>
      <c r="U206" s="27">
        <f>+ENERO!U206</f>
        <v>1200000000</v>
      </c>
      <c r="V206" s="15">
        <f>JUNIO!V206+JULIO!AL206</f>
        <v>0</v>
      </c>
      <c r="W206" s="15">
        <f>JUNIO!W206+JULIO!AM206</f>
        <v>0</v>
      </c>
      <c r="X206" s="18">
        <f>SUM(U206:W206)</f>
        <v>1200000000</v>
      </c>
      <c r="Y206" s="19">
        <f>JUNIO!AA206</f>
        <v>1151703890</v>
      </c>
      <c r="Z206" s="364">
        <v>761850</v>
      </c>
      <c r="AA206" s="18">
        <f>SUM(Y206:Z206)</f>
        <v>1152465740</v>
      </c>
      <c r="AB206" s="19">
        <f>JUNIO!AD206</f>
        <v>562398216</v>
      </c>
      <c r="AC206" s="364">
        <v>102998660</v>
      </c>
      <c r="AD206" s="18">
        <f>SUM(AB206:AC206)</f>
        <v>665396876</v>
      </c>
      <c r="AE206" s="19">
        <f>JUNIO!AG206</f>
        <v>376411481</v>
      </c>
      <c r="AF206" s="364">
        <v>186748585</v>
      </c>
      <c r="AG206" s="18">
        <f>SUM(AE206:AF206)</f>
        <v>563160066</v>
      </c>
      <c r="AH206" s="19">
        <f>X206-AA206</f>
        <v>47534260</v>
      </c>
      <c r="AI206" s="15">
        <f>X206-AD206</f>
        <v>534603124</v>
      </c>
      <c r="AJ206" s="16">
        <f>X206-AG206</f>
        <v>636839934</v>
      </c>
      <c r="AK206" s="9"/>
      <c r="AL206" s="362">
        <v>0</v>
      </c>
      <c r="AM206" s="365">
        <v>0</v>
      </c>
      <c r="AN206" s="9"/>
    </row>
    <row r="207" spans="1:40" s="372" customFormat="1" ht="24.95" customHeight="1" thickBot="1">
      <c r="A207" s="734"/>
      <c r="B207" s="644"/>
      <c r="N207" s="9"/>
      <c r="P207" s="9"/>
      <c r="Q207" s="9"/>
      <c r="R207" s="9"/>
      <c r="S207" s="691">
        <f>+IF(JUNIO!S207=0,"",JUNIO!S207)</f>
        <v>4199999</v>
      </c>
      <c r="T207" s="670" t="str">
        <f>+IF(JUNIO!T207=0,"",JUNIO!T207)</f>
        <v>Vigencias Anteriores</v>
      </c>
      <c r="U207" s="133">
        <f>+ENERO!U207</f>
        <v>998630863</v>
      </c>
      <c r="V207" s="121">
        <f>JUNIO!V207+JULIO!AL207</f>
        <v>1365127711</v>
      </c>
      <c r="W207" s="121">
        <f>JUNIO!W207+JULIO!AM207</f>
        <v>4337873994</v>
      </c>
      <c r="X207" s="126">
        <f>SUM(U207:W207)</f>
        <v>6701632568</v>
      </c>
      <c r="Y207" s="124">
        <f>JUNIO!AA207</f>
        <v>5270813959</v>
      </c>
      <c r="Z207" s="378">
        <v>1384774959</v>
      </c>
      <c r="AA207" s="126">
        <f>SUM(Y207:Z207)</f>
        <v>6655588918</v>
      </c>
      <c r="AB207" s="124">
        <f>JUNIO!AD207</f>
        <v>5270813959</v>
      </c>
      <c r="AC207" s="378">
        <v>1384774959</v>
      </c>
      <c r="AD207" s="126">
        <f>SUM(AB207:AC207)</f>
        <v>6655588918</v>
      </c>
      <c r="AE207" s="124">
        <f>JUNIO!AG207</f>
        <v>5270813959</v>
      </c>
      <c r="AF207" s="378">
        <v>1384774959</v>
      </c>
      <c r="AG207" s="126">
        <f>SUM(AE207:AF207)</f>
        <v>6655588918</v>
      </c>
      <c r="AH207" s="124">
        <f>X207-AA207</f>
        <v>46043650</v>
      </c>
      <c r="AI207" s="121">
        <f>X207-AD207</f>
        <v>46043650</v>
      </c>
      <c r="AJ207" s="125">
        <f>X207-AG207</f>
        <v>46043650</v>
      </c>
      <c r="AK207" s="9"/>
      <c r="AL207" s="374">
        <f>1055127711+300000000</f>
        <v>1355127711</v>
      </c>
      <c r="AM207" s="379">
        <v>0</v>
      </c>
      <c r="AN207" s="9"/>
    </row>
    <row r="208" spans="1:40" s="372" customFormat="1" ht="24.95" customHeight="1">
      <c r="A208" s="734"/>
      <c r="B208" s="644"/>
      <c r="N208" s="9"/>
      <c r="P208" s="9"/>
      <c r="Q208" s="9"/>
      <c r="R208" s="9"/>
      <c r="S208" s="479" t="str">
        <f>+IF(JUNIO!S208=0,"",JUNIO!S208)</f>
        <v/>
      </c>
      <c r="T208" s="671" t="str">
        <f>+IF(JUNIO!T208=0,"",JUNIO!T208)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+IF(JUNIO!S209=0,"",JUNIO!S209)</f>
        <v>5000000</v>
      </c>
      <c r="T209" s="708" t="str">
        <f>+IF(JUNIO!T209=0,"",JUNIO!T209)</f>
        <v>GASTOS DE COMERCIALIZACION</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462">
        <f t="shared" si="181"/>
        <v>0</v>
      </c>
      <c r="AE209" s="369">
        <f t="shared" si="181"/>
        <v>0</v>
      </c>
      <c r="AF209" s="461">
        <f t="shared" si="181"/>
        <v>0</v>
      </c>
      <c r="AG209" s="462">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N210" s="9"/>
      <c r="P210" s="9"/>
      <c r="Q210" s="9"/>
      <c r="R210" s="9"/>
      <c r="S210" s="687">
        <f>+IF(JUNIO!S210=0,"",JUNIO!S210)</f>
        <v>5100000</v>
      </c>
      <c r="T210" s="663" t="str">
        <f>+IF(JUNIO!T210=0,"",JUNIO!T210)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29">
        <f t="shared" si="182"/>
        <v>0</v>
      </c>
      <c r="AE210" s="128">
        <f t="shared" si="182"/>
        <v>0</v>
      </c>
      <c r="AF210" s="122">
        <f t="shared" si="182"/>
        <v>0</v>
      </c>
      <c r="AG210" s="129">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N211" s="9"/>
      <c r="P211" s="9"/>
      <c r="Q211" s="9"/>
      <c r="R211" s="9"/>
      <c r="S211" s="688">
        <f>+IF(JUNIO!S211=0,"",JUNIO!S211)</f>
        <v>5100100</v>
      </c>
      <c r="T211" s="664" t="str">
        <f>+IF(JUNIO!T211=0,"",JUNIO!T211)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8">
        <f t="shared" si="183"/>
        <v>0</v>
      </c>
      <c r="AE211" s="19">
        <f t="shared" si="183"/>
        <v>0</v>
      </c>
      <c r="AF211" s="142">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N212" s="9"/>
      <c r="P212" s="9"/>
      <c r="Q212" s="9"/>
      <c r="R212" s="9"/>
      <c r="S212" s="689" t="str">
        <f>+IF(JUNIO!S212=0,"",JUNIO!S212)</f>
        <v>5100100-1</v>
      </c>
      <c r="T212" s="665" t="str">
        <f>+IF(JUNIO!T212=0,"",JUNIO!T212)</f>
        <v>Productos Farmaceuticos</v>
      </c>
      <c r="U212" s="27">
        <f>+ENERO!U212</f>
        <v>0</v>
      </c>
      <c r="V212" s="15">
        <f>JUNIO!V212+JULIO!AL212</f>
        <v>0</v>
      </c>
      <c r="W212" s="15">
        <f>JUNIO!W212+JULIO!AM212</f>
        <v>0</v>
      </c>
      <c r="X212" s="18">
        <f t="shared" ref="X212:X218" si="184">SUM(U212:W212)</f>
        <v>0</v>
      </c>
      <c r="Y212" s="19">
        <f>JUNIO!AA212</f>
        <v>0</v>
      </c>
      <c r="Z212" s="364">
        <v>0</v>
      </c>
      <c r="AA212" s="18">
        <f t="shared" ref="AA212:AA218" si="185">SUM(Y212:Z212)</f>
        <v>0</v>
      </c>
      <c r="AB212" s="19">
        <f>JUNIO!AD212</f>
        <v>0</v>
      </c>
      <c r="AC212" s="364">
        <v>0</v>
      </c>
      <c r="AD212" s="18">
        <f t="shared" ref="AD212:AD218" si="186">SUM(AB212:AC212)</f>
        <v>0</v>
      </c>
      <c r="AE212" s="19">
        <f>JUNIO!AG212</f>
        <v>0</v>
      </c>
      <c r="AF212" s="364">
        <v>0</v>
      </c>
      <c r="AG212" s="1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N213" s="9"/>
      <c r="P213" s="9"/>
      <c r="Q213" s="9"/>
      <c r="R213" s="9"/>
      <c r="S213" s="689" t="str">
        <f>+IF(JUNIO!S213=0,"",JUNIO!S213)</f>
        <v>5100100-2</v>
      </c>
      <c r="T213" s="665" t="str">
        <f>+IF(JUNIO!T213=0,"",JUNIO!T213)</f>
        <v>Material Médico Quirúrgico</v>
      </c>
      <c r="U213" s="27">
        <f>+ENERO!U213</f>
        <v>0</v>
      </c>
      <c r="V213" s="15">
        <f>JUNIO!V213+JULIO!AL213</f>
        <v>0</v>
      </c>
      <c r="W213" s="15">
        <f>JUNIO!W213+JULIO!AM213</f>
        <v>0</v>
      </c>
      <c r="X213" s="18">
        <f t="shared" si="184"/>
        <v>0</v>
      </c>
      <c r="Y213" s="19">
        <f>JUNIO!AA213</f>
        <v>0</v>
      </c>
      <c r="Z213" s="364">
        <v>0</v>
      </c>
      <c r="AA213" s="18">
        <f t="shared" si="185"/>
        <v>0</v>
      </c>
      <c r="AB213" s="19">
        <f>JUNIO!AD213</f>
        <v>0</v>
      </c>
      <c r="AC213" s="364">
        <v>0</v>
      </c>
      <c r="AD213" s="18">
        <f t="shared" si="186"/>
        <v>0</v>
      </c>
      <c r="AE213" s="19">
        <f>JUNIO!AG213</f>
        <v>0</v>
      </c>
      <c r="AF213" s="364">
        <v>0</v>
      </c>
      <c r="AG213" s="18">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N214" s="9"/>
      <c r="P214" s="9"/>
      <c r="Q214" s="9"/>
      <c r="R214" s="9"/>
      <c r="S214" s="689" t="str">
        <f>+IF(JUNIO!S214=0,"",JUNIO!S214)</f>
        <v>5100100-3</v>
      </c>
      <c r="T214" s="665" t="str">
        <f>+IF(JUNIO!T214=0,"",JUNIO!T214)</f>
        <v>Material de Laboratorio</v>
      </c>
      <c r="U214" s="27">
        <f>+ENERO!U214</f>
        <v>0</v>
      </c>
      <c r="V214" s="15">
        <f>JUNIO!V214+JULIO!AL214</f>
        <v>0</v>
      </c>
      <c r="W214" s="15">
        <f>JUNIO!W214+JULIO!AM214</f>
        <v>0</v>
      </c>
      <c r="X214" s="18">
        <f t="shared" si="184"/>
        <v>0</v>
      </c>
      <c r="Y214" s="19">
        <f>JUNIO!AA214</f>
        <v>0</v>
      </c>
      <c r="Z214" s="364">
        <v>0</v>
      </c>
      <c r="AA214" s="18">
        <f t="shared" si="185"/>
        <v>0</v>
      </c>
      <c r="AB214" s="19">
        <f>JUNIO!AD214</f>
        <v>0</v>
      </c>
      <c r="AC214" s="364">
        <v>0</v>
      </c>
      <c r="AD214" s="18">
        <f t="shared" si="186"/>
        <v>0</v>
      </c>
      <c r="AE214" s="19">
        <f>JUNIO!AG214</f>
        <v>0</v>
      </c>
      <c r="AF214" s="364">
        <v>0</v>
      </c>
      <c r="AG214" s="18">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N215" s="9"/>
      <c r="P215" s="9"/>
      <c r="Q215" s="9"/>
      <c r="R215" s="9"/>
      <c r="S215" s="689" t="str">
        <f>+IF(JUNIO!S215=0,"",JUNIO!S215)</f>
        <v>5100100-4</v>
      </c>
      <c r="T215" s="665" t="str">
        <f>+IF(JUNIO!T215=0,"",JUNIO!T215)</f>
        <v>Material para Odontologia</v>
      </c>
      <c r="U215" s="27">
        <f>+ENERO!U215</f>
        <v>0</v>
      </c>
      <c r="V215" s="15">
        <f>JUNIO!V215+JULIO!AL215</f>
        <v>0</v>
      </c>
      <c r="W215" s="15">
        <f>JUNIO!W215+JULIO!AM215</f>
        <v>0</v>
      </c>
      <c r="X215" s="18">
        <f t="shared" si="184"/>
        <v>0</v>
      </c>
      <c r="Y215" s="19">
        <f>JUNIO!AA215</f>
        <v>0</v>
      </c>
      <c r="Z215" s="364">
        <v>0</v>
      </c>
      <c r="AA215" s="18">
        <f t="shared" si="185"/>
        <v>0</v>
      </c>
      <c r="AB215" s="19">
        <f>JUNIO!AD215</f>
        <v>0</v>
      </c>
      <c r="AC215" s="364">
        <v>0</v>
      </c>
      <c r="AD215" s="18">
        <f t="shared" si="186"/>
        <v>0</v>
      </c>
      <c r="AE215" s="19">
        <f>JUNIO!AG215</f>
        <v>0</v>
      </c>
      <c r="AF215" s="364">
        <v>0</v>
      </c>
      <c r="AG215" s="18">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N216" s="9"/>
      <c r="P216" s="9"/>
      <c r="Q216" s="9"/>
      <c r="R216" s="9"/>
      <c r="S216" s="689" t="str">
        <f>+IF(JUNIO!S216=0,"",JUNIO!S216)</f>
        <v>5100100-5</v>
      </c>
      <c r="T216" s="665" t="str">
        <f>+IF(JUNIO!T216=0,"",JUNIO!T216)</f>
        <v>Material para Rayos X</v>
      </c>
      <c r="U216" s="27">
        <f>+ENERO!U216</f>
        <v>0</v>
      </c>
      <c r="V216" s="15">
        <f>JUNIO!V216+JULIO!AL216</f>
        <v>0</v>
      </c>
      <c r="W216" s="15">
        <f>JUNIO!W216+JULIO!AM216</f>
        <v>0</v>
      </c>
      <c r="X216" s="18">
        <f t="shared" si="184"/>
        <v>0</v>
      </c>
      <c r="Y216" s="19">
        <f>JUNIO!AA216</f>
        <v>0</v>
      </c>
      <c r="Z216" s="364">
        <v>0</v>
      </c>
      <c r="AA216" s="18">
        <f t="shared" si="185"/>
        <v>0</v>
      </c>
      <c r="AB216" s="19">
        <f>JUNIO!AD216</f>
        <v>0</v>
      </c>
      <c r="AC216" s="364">
        <v>0</v>
      </c>
      <c r="AD216" s="18">
        <f t="shared" si="186"/>
        <v>0</v>
      </c>
      <c r="AE216" s="19">
        <f>JUNIO!AG216</f>
        <v>0</v>
      </c>
      <c r="AF216" s="364">
        <v>0</v>
      </c>
      <c r="AG216" s="18">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N217" s="9"/>
      <c r="P217" s="9"/>
      <c r="Q217" s="9"/>
      <c r="R217" s="9"/>
      <c r="S217" s="689" t="str">
        <f>+IF(JUNIO!S217=0,"",JUNIO!S217)</f>
        <v>5100100-6</v>
      </c>
      <c r="T217" s="665" t="str">
        <f>+IF(JUNIO!T217=0,"",JUNIO!T217)</f>
        <v>Material aseo personal, etc.</v>
      </c>
      <c r="U217" s="27">
        <f>+ENERO!U217</f>
        <v>0</v>
      </c>
      <c r="V217" s="15">
        <f>JUNIO!V217+JULIO!AL217</f>
        <v>0</v>
      </c>
      <c r="W217" s="15">
        <f>JUNIO!W217+JULIO!AM217</f>
        <v>0</v>
      </c>
      <c r="X217" s="18">
        <f t="shared" si="184"/>
        <v>0</v>
      </c>
      <c r="Y217" s="19">
        <f>JUNIO!AA217</f>
        <v>0</v>
      </c>
      <c r="Z217" s="364">
        <v>0</v>
      </c>
      <c r="AA217" s="18">
        <f t="shared" si="185"/>
        <v>0</v>
      </c>
      <c r="AB217" s="19">
        <f>JUNIO!AD217</f>
        <v>0</v>
      </c>
      <c r="AC217" s="364">
        <v>0</v>
      </c>
      <c r="AD217" s="18">
        <f t="shared" si="186"/>
        <v>0</v>
      </c>
      <c r="AE217" s="19">
        <f>JUNIO!AG217</f>
        <v>0</v>
      </c>
      <c r="AF217" s="364">
        <v>0</v>
      </c>
      <c r="AG217" s="18">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N218" s="9"/>
      <c r="P218" s="9"/>
      <c r="Q218" s="9"/>
      <c r="R218" s="9"/>
      <c r="S218" s="698">
        <f>+IF(JUNIO!S218=0,"",JUNIO!S218)</f>
        <v>5199999</v>
      </c>
      <c r="T218" s="680" t="str">
        <f>+IF(JUNIO!T218=0,"",JUNIO!T218)</f>
        <v>Vigencias Anteriores</v>
      </c>
      <c r="U218" s="133">
        <f>+ENERO!U218</f>
        <v>0</v>
      </c>
      <c r="V218" s="121">
        <f>JUNIO!V218+JULIO!AL218</f>
        <v>0</v>
      </c>
      <c r="W218" s="121">
        <f>JUNIO!W218+JULIO!AM218</f>
        <v>0</v>
      </c>
      <c r="X218" s="126">
        <f t="shared" si="184"/>
        <v>0</v>
      </c>
      <c r="Y218" s="124">
        <f>JUNIO!AA218</f>
        <v>0</v>
      </c>
      <c r="Z218" s="378">
        <v>0</v>
      </c>
      <c r="AA218" s="126">
        <f t="shared" si="185"/>
        <v>0</v>
      </c>
      <c r="AB218" s="124">
        <f>JUNIO!AD218</f>
        <v>0</v>
      </c>
      <c r="AC218" s="378">
        <v>0</v>
      </c>
      <c r="AD218" s="126">
        <f t="shared" si="186"/>
        <v>0</v>
      </c>
      <c r="AE218" s="124">
        <f>JUNIO!AG218</f>
        <v>0</v>
      </c>
      <c r="AF218" s="378">
        <v>0</v>
      </c>
      <c r="AG218" s="126">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N219" s="9"/>
      <c r="P219" s="9"/>
      <c r="Q219" s="9"/>
      <c r="R219" s="9"/>
      <c r="S219" s="485" t="str">
        <f>+IF(JUNIO!S219=0,"",JUNIO!S219)</f>
        <v/>
      </c>
      <c r="T219" s="677" t="str">
        <f>+IF(JUNIO!T219=0,"",JUNIO!T219)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+IF(JUNIO!S220=0,"",JUNIO!S220)</f>
        <v>C</v>
      </c>
      <c r="T220" s="659" t="str">
        <f>+IF(JUNIO!T220=0,"",JUNIO!T220)</f>
        <v xml:space="preserve">SERVICIO DE LA DEUDA </v>
      </c>
      <c r="U220" s="348">
        <f t="shared" ref="U220:AJ220" si="191">U222+U227</f>
        <v>262344980</v>
      </c>
      <c r="V220" s="349">
        <f t="shared" si="191"/>
        <v>0</v>
      </c>
      <c r="W220" s="349">
        <f t="shared" si="191"/>
        <v>27000000</v>
      </c>
      <c r="X220" s="352">
        <f t="shared" si="191"/>
        <v>289344980</v>
      </c>
      <c r="Y220" s="351">
        <f t="shared" si="191"/>
        <v>181175131</v>
      </c>
      <c r="Z220" s="349">
        <f t="shared" si="191"/>
        <v>25403879</v>
      </c>
      <c r="AA220" s="352">
        <f t="shared" si="191"/>
        <v>206579010</v>
      </c>
      <c r="AB220" s="351">
        <f t="shared" si="191"/>
        <v>181175131</v>
      </c>
      <c r="AC220" s="349">
        <f t="shared" si="191"/>
        <v>25403879</v>
      </c>
      <c r="AD220" s="352">
        <f t="shared" si="191"/>
        <v>206579010</v>
      </c>
      <c r="AE220" s="351">
        <f t="shared" si="191"/>
        <v>155649569</v>
      </c>
      <c r="AF220" s="349">
        <f t="shared" si="191"/>
        <v>25525562</v>
      </c>
      <c r="AG220" s="352">
        <f t="shared" si="191"/>
        <v>181175131</v>
      </c>
      <c r="AH220" s="351">
        <f t="shared" si="191"/>
        <v>82765970</v>
      </c>
      <c r="AI220" s="349">
        <f t="shared" si="191"/>
        <v>82765970</v>
      </c>
      <c r="AJ220" s="350">
        <f t="shared" si="191"/>
        <v>108169849</v>
      </c>
      <c r="AK220" s="490"/>
      <c r="AL220" s="351">
        <f>AL222+AL227</f>
        <v>0</v>
      </c>
      <c r="AM220" s="350">
        <f>AM222+AM227</f>
        <v>0</v>
      </c>
      <c r="AN220" s="9"/>
    </row>
    <row r="221" spans="1:40" s="372" customFormat="1" ht="24.95" customHeight="1">
      <c r="A221" s="734"/>
      <c r="B221" s="644"/>
      <c r="N221" s="9"/>
      <c r="P221" s="9"/>
      <c r="Q221" s="9"/>
      <c r="R221" s="9"/>
      <c r="S221" s="356" t="str">
        <f>+IF(JUNIO!S221=0,"",JUNIO!S221)</f>
        <v/>
      </c>
      <c r="T221" s="678" t="str">
        <f>+IF(JUNIO!T221=0,"",JUNIO!T221)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+IF(JUNIO!S222=0,"",JUNIO!S222)</f>
        <v>7001000</v>
      </c>
      <c r="T222" s="663" t="str">
        <f>+IF(JUNIO!T222=0,"",JUNIO!T222)</f>
        <v>SERVICIO DE LA DEUDA INTERNA</v>
      </c>
      <c r="U222" s="132">
        <f t="shared" ref="U222:AJ222" si="192">SUM(U223:U225)</f>
        <v>262344980</v>
      </c>
      <c r="V222" s="122">
        <f t="shared" si="192"/>
        <v>0</v>
      </c>
      <c r="W222" s="122">
        <f t="shared" si="192"/>
        <v>27000000</v>
      </c>
      <c r="X222" s="129">
        <f t="shared" si="192"/>
        <v>289344980</v>
      </c>
      <c r="Y222" s="128">
        <f t="shared" si="192"/>
        <v>181175131</v>
      </c>
      <c r="Z222" s="122">
        <f t="shared" si="192"/>
        <v>25403879</v>
      </c>
      <c r="AA222" s="129">
        <f t="shared" si="192"/>
        <v>206579010</v>
      </c>
      <c r="AB222" s="128">
        <f t="shared" si="192"/>
        <v>181175131</v>
      </c>
      <c r="AC222" s="122">
        <f t="shared" si="192"/>
        <v>25403879</v>
      </c>
      <c r="AD222" s="129">
        <f t="shared" si="192"/>
        <v>206579010</v>
      </c>
      <c r="AE222" s="128">
        <f t="shared" si="192"/>
        <v>155649569</v>
      </c>
      <c r="AF222" s="122">
        <f t="shared" si="192"/>
        <v>25525562</v>
      </c>
      <c r="AG222" s="129">
        <f t="shared" si="192"/>
        <v>181175131</v>
      </c>
      <c r="AH222" s="128">
        <f t="shared" si="192"/>
        <v>82765970</v>
      </c>
      <c r="AI222" s="122">
        <f t="shared" si="192"/>
        <v>82765970</v>
      </c>
      <c r="AJ222" s="130">
        <f t="shared" si="192"/>
        <v>108169849</v>
      </c>
      <c r="AK222" s="9"/>
      <c r="AL222" s="128">
        <f>SUM(AL223:AL225)</f>
        <v>0</v>
      </c>
      <c r="AM222" s="130">
        <f>SUM(AM223:AM225)</f>
        <v>0</v>
      </c>
      <c r="AN222" s="9"/>
    </row>
    <row r="223" spans="1:40" s="372" customFormat="1" ht="24.95" customHeight="1">
      <c r="A223" s="734"/>
      <c r="B223" s="644"/>
      <c r="N223" s="9"/>
      <c r="P223" s="9"/>
      <c r="Q223" s="9"/>
      <c r="R223" s="9"/>
      <c r="S223" s="688">
        <f>+IF(JUNIO!S223=0,"",JUNIO!S223)</f>
        <v>7001100</v>
      </c>
      <c r="T223" s="664" t="str">
        <f>+IF(JUNIO!T223=0,"",JUNIO!T223)</f>
        <v>Amortización deuda Pública Interna</v>
      </c>
      <c r="U223" s="27">
        <f>+ENERO!U223</f>
        <v>250000000</v>
      </c>
      <c r="V223" s="15">
        <f>JUNIO!V223+JULIO!AL223</f>
        <v>0</v>
      </c>
      <c r="W223" s="15">
        <f>JUNIO!W223+JULIO!AM223</f>
        <v>0</v>
      </c>
      <c r="X223" s="18">
        <f>SUM(U223:W223)</f>
        <v>250000000</v>
      </c>
      <c r="Y223" s="19">
        <f>JUNIO!AA223</f>
        <v>150000000</v>
      </c>
      <c r="Z223" s="364">
        <v>25000000</v>
      </c>
      <c r="AA223" s="18">
        <f>SUM(Y223:Z223)</f>
        <v>175000000</v>
      </c>
      <c r="AB223" s="19">
        <f>JUNIO!AD223</f>
        <v>150000000</v>
      </c>
      <c r="AC223" s="364">
        <v>25000000</v>
      </c>
      <c r="AD223" s="18">
        <f>SUM(AB223:AC223)</f>
        <v>175000000</v>
      </c>
      <c r="AE223" s="19">
        <f>JUNIO!AG223</f>
        <v>125000000</v>
      </c>
      <c r="AF223" s="364">
        <v>25000000</v>
      </c>
      <c r="AG223" s="18">
        <f>SUM(AE223:AF223)</f>
        <v>150000000</v>
      </c>
      <c r="AH223" s="19">
        <f>X223-AA223</f>
        <v>75000000</v>
      </c>
      <c r="AI223" s="15">
        <f>X223-AD223</f>
        <v>75000000</v>
      </c>
      <c r="AJ223" s="16">
        <f>X223-AG223</f>
        <v>100000000</v>
      </c>
      <c r="AK223" s="9"/>
      <c r="AL223" s="362">
        <v>0</v>
      </c>
      <c r="AM223" s="365">
        <v>0</v>
      </c>
      <c r="AN223" s="9"/>
    </row>
    <row r="224" spans="1:40" s="372" customFormat="1" ht="24.95" customHeight="1">
      <c r="A224" s="734"/>
      <c r="B224" s="644"/>
      <c r="N224" s="9"/>
      <c r="P224" s="9"/>
      <c r="Q224" s="9"/>
      <c r="R224" s="9"/>
      <c r="S224" s="688">
        <f>+IF(JUNIO!S224=0,"",JUNIO!S224)</f>
        <v>7001200</v>
      </c>
      <c r="T224" s="664" t="str">
        <f>+IF(JUNIO!T224=0,"",JUNIO!T224)</f>
        <v>Intereses Comisiones y gastos de la Deuda Pública</v>
      </c>
      <c r="U224" s="27">
        <f>+ENERO!U224</f>
        <v>12344980</v>
      </c>
      <c r="V224" s="15">
        <f>JUNIO!V224+JULIO!AL224</f>
        <v>0</v>
      </c>
      <c r="W224" s="15">
        <f>JUNIO!W224+JULIO!AM224</f>
        <v>0</v>
      </c>
      <c r="X224" s="18">
        <f>SUM(U224:W224)</f>
        <v>12344980</v>
      </c>
      <c r="Y224" s="19">
        <f>JUNIO!AA224</f>
        <v>4902477</v>
      </c>
      <c r="Z224" s="364">
        <v>403879</v>
      </c>
      <c r="AA224" s="18">
        <f>SUM(Y224:Z224)</f>
        <v>5306356</v>
      </c>
      <c r="AB224" s="19">
        <f>JUNIO!AD224</f>
        <v>4902477</v>
      </c>
      <c r="AC224" s="364">
        <v>403879</v>
      </c>
      <c r="AD224" s="18">
        <f>SUM(AB224:AC224)</f>
        <v>5306356</v>
      </c>
      <c r="AE224" s="19">
        <f>JUNIO!AG224</f>
        <v>4376915</v>
      </c>
      <c r="AF224" s="364">
        <v>525562</v>
      </c>
      <c r="AG224" s="18">
        <f>SUM(AE224:AF224)</f>
        <v>4902477</v>
      </c>
      <c r="AH224" s="19">
        <f>X224-AA224</f>
        <v>7038624</v>
      </c>
      <c r="AI224" s="15">
        <f>X224-AD224</f>
        <v>7038624</v>
      </c>
      <c r="AJ224" s="16">
        <f>X224-AG224</f>
        <v>7442503</v>
      </c>
      <c r="AK224" s="9"/>
      <c r="AL224" s="362">
        <v>0</v>
      </c>
      <c r="AM224" s="365">
        <v>0</v>
      </c>
      <c r="AN224" s="9"/>
    </row>
    <row r="225" spans="1:64" s="372" customFormat="1" ht="24.95" customHeight="1">
      <c r="A225" s="734"/>
      <c r="B225" s="644"/>
      <c r="N225" s="9"/>
      <c r="P225" s="9"/>
      <c r="Q225" s="9"/>
      <c r="R225" s="9"/>
      <c r="S225" s="688">
        <f>+IF(JUNIO!S225=0,"",JUNIO!S225)</f>
        <v>7001999</v>
      </c>
      <c r="T225" s="664" t="str">
        <f>+IF(JUNIO!T225=0,"",JUNIO!T225)</f>
        <v>Vigencias Anteriores</v>
      </c>
      <c r="U225" s="27">
        <f>+ENERO!U225</f>
        <v>0</v>
      </c>
      <c r="V225" s="15">
        <f>JUNIO!V225+JULIO!AL225</f>
        <v>0</v>
      </c>
      <c r="W225" s="15">
        <f>JUNIO!W225+JULIO!AM225</f>
        <v>27000000</v>
      </c>
      <c r="X225" s="18">
        <f>SUM(U225:W225)</f>
        <v>27000000</v>
      </c>
      <c r="Y225" s="19">
        <f>JUNIO!AA225</f>
        <v>26272654</v>
      </c>
      <c r="Z225" s="364">
        <v>0</v>
      </c>
      <c r="AA225" s="18">
        <f>SUM(Y225:Z225)</f>
        <v>26272654</v>
      </c>
      <c r="AB225" s="19">
        <f>JUNIO!AD225</f>
        <v>26272654</v>
      </c>
      <c r="AC225" s="364">
        <v>0</v>
      </c>
      <c r="AD225" s="18">
        <f>SUM(AB225:AC225)</f>
        <v>26272654</v>
      </c>
      <c r="AE225" s="19">
        <f>JUNIO!AG225</f>
        <v>26272654</v>
      </c>
      <c r="AF225" s="364">
        <v>0</v>
      </c>
      <c r="AG225" s="18">
        <f>SUM(AE225:AF225)</f>
        <v>26272654</v>
      </c>
      <c r="AH225" s="19">
        <f>X225-AA225</f>
        <v>727346</v>
      </c>
      <c r="AI225" s="15">
        <f>X225-AD225</f>
        <v>727346</v>
      </c>
      <c r="AJ225" s="16">
        <f>X225-AG225</f>
        <v>727346</v>
      </c>
      <c r="AK225" s="9"/>
      <c r="AL225" s="362">
        <v>0</v>
      </c>
      <c r="AM225" s="365">
        <v>0</v>
      </c>
      <c r="AN225" s="9"/>
    </row>
    <row r="226" spans="1:64" s="372" customFormat="1" ht="24.95" customHeight="1">
      <c r="A226" s="734"/>
      <c r="B226" s="644"/>
      <c r="N226" s="9"/>
      <c r="P226" s="9"/>
      <c r="Q226" s="9"/>
      <c r="R226" s="9"/>
      <c r="S226" s="356" t="str">
        <f>+IF(JUNIO!S226=0,"",JUNIO!S226)</f>
        <v/>
      </c>
      <c r="T226" s="678" t="str">
        <f>+IF(JUNIO!T226=0,"",JUNIO!T226)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+IF(JUNIO!S227=0,"",JUNIO!S227)</f>
        <v>7002001</v>
      </c>
      <c r="T227" s="663" t="str">
        <f>+IF(JUNIO!T227=0,"",JUNIO!T227)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row>
    <row r="228" spans="1:64" s="372" customFormat="1" ht="24.95" customHeight="1">
      <c r="A228" s="734"/>
      <c r="B228" s="644"/>
      <c r="N228" s="9"/>
      <c r="P228" s="9"/>
      <c r="Q228" s="9"/>
      <c r="R228" s="9"/>
      <c r="S228" s="688">
        <f>+IF(JUNIO!S228=0,"",JUNIO!S228)</f>
        <v>7002100</v>
      </c>
      <c r="T228" s="664" t="str">
        <f>+IF(JUNIO!T228=0,"",JUNIO!T228)</f>
        <v>Amortización deuda Pública Externa</v>
      </c>
      <c r="U228" s="27">
        <f>+ENERO!U228</f>
        <v>0</v>
      </c>
      <c r="V228" s="15">
        <f>JUNIO!V228+JULIO!AL228</f>
        <v>0</v>
      </c>
      <c r="W228" s="15">
        <f>JUNIO!W228+JULIO!AM228</f>
        <v>0</v>
      </c>
      <c r="X228" s="18">
        <f>SUM(U228:W228)</f>
        <v>0</v>
      </c>
      <c r="Y228" s="19">
        <f>JUNIO!AA228</f>
        <v>0</v>
      </c>
      <c r="Z228" s="364">
        <v>0</v>
      </c>
      <c r="AA228" s="18">
        <f>SUM(Y228:Z228)</f>
        <v>0</v>
      </c>
      <c r="AB228" s="19">
        <f>JUNIO!AD228</f>
        <v>0</v>
      </c>
      <c r="AC228" s="364">
        <v>0</v>
      </c>
      <c r="AD228" s="18">
        <f>SUM(AB228:AC228)</f>
        <v>0</v>
      </c>
      <c r="AE228" s="19">
        <f>JUNIO!AG228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+IF(JUNIO!S229=0,"",JUNIO!S229)</f>
        <v>7002200</v>
      </c>
      <c r="T229" s="664" t="str">
        <f>+IF(JUNIO!T229=0,"",JUNIO!T229)</f>
        <v>Intereses Comisiones y gastos de la Deuda Pública</v>
      </c>
      <c r="U229" s="27">
        <f>+ENERO!U229</f>
        <v>0</v>
      </c>
      <c r="V229" s="15">
        <f>JUNIO!V229+JULIO!AL229</f>
        <v>0</v>
      </c>
      <c r="W229" s="15">
        <f>JUNIO!W229+JULIO!AM229</f>
        <v>0</v>
      </c>
      <c r="X229" s="18">
        <f>SUM(U229:W229)</f>
        <v>0</v>
      </c>
      <c r="Y229" s="19">
        <f>JUNIO!AA229</f>
        <v>0</v>
      </c>
      <c r="Z229" s="364">
        <v>0</v>
      </c>
      <c r="AA229" s="18">
        <f>SUM(Y229:Z229)</f>
        <v>0</v>
      </c>
      <c r="AB229" s="19">
        <f>JUNIO!AD229</f>
        <v>0</v>
      </c>
      <c r="AC229" s="364">
        <v>0</v>
      </c>
      <c r="AD229" s="18">
        <f>SUM(AB229:AC229)</f>
        <v>0</v>
      </c>
      <c r="AE229" s="19">
        <f>JUNIO!AG229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+IF(JUNIO!S230=0,"",JUNIO!S230)</f>
        <v>7002999</v>
      </c>
      <c r="T230" s="670" t="str">
        <f>+IF(JUNIO!T230=0,"",JUNIO!T230)</f>
        <v>Vigencias Anteriores</v>
      </c>
      <c r="U230" s="133">
        <f>+ENERO!U230</f>
        <v>0</v>
      </c>
      <c r="V230" s="121">
        <f>JUNIO!V230+JULIO!AL230</f>
        <v>0</v>
      </c>
      <c r="W230" s="121">
        <f>JUNIO!W230+JULIO!AM230</f>
        <v>0</v>
      </c>
      <c r="X230" s="126">
        <f>SUM(U230:W230)</f>
        <v>0</v>
      </c>
      <c r="Y230" s="124">
        <f>JUNIO!AA230</f>
        <v>0</v>
      </c>
      <c r="Z230" s="378">
        <v>0</v>
      </c>
      <c r="AA230" s="126">
        <f>SUM(Y230:Z230)</f>
        <v>0</v>
      </c>
      <c r="AB230" s="124">
        <f>JUNIO!AD230</f>
        <v>0</v>
      </c>
      <c r="AC230" s="378">
        <v>0</v>
      </c>
      <c r="AD230" s="126">
        <f>SUM(AB230:AC230)</f>
        <v>0</v>
      </c>
      <c r="AE230" s="124">
        <f>JUNIO!AG230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+IF(JUNIO!S231=0,"",JUNIO!S231)</f>
        <v/>
      </c>
      <c r="T231" s="671" t="str">
        <f>+IF(JUNIO!T231=0,"",JUNIO!T231)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+IF(JUNIO!S232=0,"",JUNIO!S232)</f>
        <v>D</v>
      </c>
      <c r="T232" s="679" t="str">
        <f>+IF(JUNIO!T232=0,"",JUNIO!T232)</f>
        <v>INVERSION</v>
      </c>
      <c r="U232" s="460">
        <f>U234+U243</f>
        <v>5765730053</v>
      </c>
      <c r="V232" s="461">
        <f t="shared" ref="V232:AJ232" si="194">V234+V243</f>
        <v>0</v>
      </c>
      <c r="W232" s="461">
        <f t="shared" si="194"/>
        <v>26572523310</v>
      </c>
      <c r="X232" s="462">
        <f t="shared" si="194"/>
        <v>32338253363</v>
      </c>
      <c r="Y232" s="369">
        <f t="shared" si="194"/>
        <v>19675613175</v>
      </c>
      <c r="Z232" s="461">
        <f t="shared" si="194"/>
        <v>300471969</v>
      </c>
      <c r="AA232" s="462">
        <f t="shared" si="194"/>
        <v>19976085144</v>
      </c>
      <c r="AB232" s="369">
        <f t="shared" si="194"/>
        <v>8755737235</v>
      </c>
      <c r="AC232" s="461">
        <f t="shared" si="194"/>
        <v>3442705325</v>
      </c>
      <c r="AD232" s="462">
        <f t="shared" si="194"/>
        <v>12198442560</v>
      </c>
      <c r="AE232" s="369">
        <f t="shared" si="194"/>
        <v>7257668994</v>
      </c>
      <c r="AF232" s="461">
        <f t="shared" si="194"/>
        <v>3951440398</v>
      </c>
      <c r="AG232" s="462">
        <f t="shared" si="194"/>
        <v>11209109392</v>
      </c>
      <c r="AH232" s="369">
        <f t="shared" si="194"/>
        <v>12362168219</v>
      </c>
      <c r="AI232" s="461">
        <f t="shared" si="194"/>
        <v>20139810803</v>
      </c>
      <c r="AJ232" s="370">
        <f t="shared" si="194"/>
        <v>21129143971</v>
      </c>
      <c r="AK232" s="490"/>
      <c r="AL232" s="369">
        <f>AL234+AL243</f>
        <v>0</v>
      </c>
      <c r="AM232" s="370">
        <f>AM234+AM243</f>
        <v>0</v>
      </c>
      <c r="AN232" s="9"/>
    </row>
    <row r="233" spans="1:64" s="372" customFormat="1" ht="24.95" customHeight="1">
      <c r="A233" s="734"/>
      <c r="B233" s="644"/>
      <c r="N233" s="9"/>
      <c r="P233" s="9"/>
      <c r="Q233" s="9"/>
      <c r="R233" s="9"/>
      <c r="S233" s="356" t="str">
        <f>+IF(JUNIO!S233=0,"",JUNIO!S233)</f>
        <v/>
      </c>
      <c r="T233" s="678" t="str">
        <f>+IF(JUNIO!T233=0,"",JUNIO!T233)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+IF(JUNIO!S234=0,"",JUNIO!S234)</f>
        <v>8000000</v>
      </c>
      <c r="T234" s="663" t="str">
        <f>+IF(JUNIO!T234=0,"",JUNIO!T234)</f>
        <v>Programas de Inversión</v>
      </c>
      <c r="U234" s="132">
        <f>U235</f>
        <v>5265730053</v>
      </c>
      <c r="V234" s="122">
        <f t="shared" ref="V234:AJ234" si="195">V235</f>
        <v>0</v>
      </c>
      <c r="W234" s="122">
        <f t="shared" si="195"/>
        <v>13752626782</v>
      </c>
      <c r="X234" s="129">
        <f t="shared" si="195"/>
        <v>19018356835</v>
      </c>
      <c r="Y234" s="128">
        <f t="shared" si="195"/>
        <v>14082110938</v>
      </c>
      <c r="Z234" s="122">
        <f t="shared" si="195"/>
        <v>82017747</v>
      </c>
      <c r="AA234" s="129">
        <f t="shared" si="195"/>
        <v>14164128685</v>
      </c>
      <c r="AB234" s="128">
        <f t="shared" si="195"/>
        <v>4735207381</v>
      </c>
      <c r="AC234" s="122">
        <f t="shared" si="195"/>
        <v>3056640238</v>
      </c>
      <c r="AD234" s="129">
        <f t="shared" si="195"/>
        <v>7791847619</v>
      </c>
      <c r="AE234" s="128">
        <f t="shared" si="195"/>
        <v>4296069586</v>
      </c>
      <c r="AF234" s="122">
        <f t="shared" si="195"/>
        <v>3137424197</v>
      </c>
      <c r="AG234" s="129">
        <f t="shared" si="195"/>
        <v>7433493783</v>
      </c>
      <c r="AH234" s="128">
        <f t="shared" si="195"/>
        <v>4854228150</v>
      </c>
      <c r="AI234" s="122">
        <f t="shared" si="195"/>
        <v>11226509216</v>
      </c>
      <c r="AJ234" s="130">
        <f t="shared" si="195"/>
        <v>11584863052</v>
      </c>
      <c r="AK234" s="9"/>
      <c r="AL234" s="128">
        <f>AL235</f>
        <v>0</v>
      </c>
      <c r="AM234" s="130">
        <f>AM235</f>
        <v>0</v>
      </c>
      <c r="AN234" s="9"/>
    </row>
    <row r="235" spans="1:64" s="372" customFormat="1" ht="24.95" customHeight="1">
      <c r="A235" s="734"/>
      <c r="B235" s="644"/>
      <c r="N235" s="9"/>
      <c r="P235" s="9"/>
      <c r="Q235" s="9"/>
      <c r="R235" s="9"/>
      <c r="S235" s="688">
        <f>+IF(JUNIO!S235=0,"",JUNIO!S235)</f>
        <v>8001000</v>
      </c>
      <c r="T235" s="664" t="str">
        <f>+IF(JUNIO!T235=0,"",JUNIO!T235)</f>
        <v>Formación Bruta del Capital</v>
      </c>
      <c r="U235" s="27">
        <f t="shared" ref="U235:AJ235" si="196">SUM(U236:U241)</f>
        <v>5265730053</v>
      </c>
      <c r="V235" s="15">
        <f t="shared" si="196"/>
        <v>0</v>
      </c>
      <c r="W235" s="15">
        <f t="shared" si="196"/>
        <v>13752626782</v>
      </c>
      <c r="X235" s="18">
        <f t="shared" si="196"/>
        <v>19018356835</v>
      </c>
      <c r="Y235" s="19">
        <f t="shared" si="196"/>
        <v>14082110938</v>
      </c>
      <c r="Z235" s="142">
        <f t="shared" si="196"/>
        <v>82017747</v>
      </c>
      <c r="AA235" s="18">
        <f t="shared" si="196"/>
        <v>14164128685</v>
      </c>
      <c r="AB235" s="19">
        <f t="shared" si="196"/>
        <v>4735207381</v>
      </c>
      <c r="AC235" s="142">
        <f t="shared" si="196"/>
        <v>3056640238</v>
      </c>
      <c r="AD235" s="18">
        <f t="shared" si="196"/>
        <v>7791847619</v>
      </c>
      <c r="AE235" s="19">
        <f t="shared" si="196"/>
        <v>4296069586</v>
      </c>
      <c r="AF235" s="142">
        <f t="shared" si="196"/>
        <v>3137424197</v>
      </c>
      <c r="AG235" s="18">
        <f t="shared" si="196"/>
        <v>7433493783</v>
      </c>
      <c r="AH235" s="19">
        <f t="shared" si="196"/>
        <v>4854228150</v>
      </c>
      <c r="AI235" s="15">
        <f t="shared" si="196"/>
        <v>11226509216</v>
      </c>
      <c r="AJ235" s="16">
        <f t="shared" si="196"/>
        <v>11584863052</v>
      </c>
      <c r="AK235" s="9"/>
      <c r="AL235" s="29">
        <f>SUM(AL236:AL241)</f>
        <v>0</v>
      </c>
      <c r="AM235" s="26">
        <f>SUM(AM236:AM241)</f>
        <v>0</v>
      </c>
      <c r="AN235" s="9"/>
    </row>
    <row r="236" spans="1:64" s="372" customFormat="1" ht="24.95" customHeight="1">
      <c r="A236" s="734"/>
      <c r="B236" s="644"/>
      <c r="N236" s="9"/>
      <c r="P236" s="9"/>
      <c r="Q236" s="9"/>
      <c r="R236" s="9"/>
      <c r="S236" s="689" t="str">
        <f>+IF(JUNIO!S236=0,"",JUNIO!S236)</f>
        <v>8001000-1</v>
      </c>
      <c r="T236" s="665" t="str">
        <f>+IF(JUNIO!T236=0,"",JUNIO!T236)</f>
        <v>Subprogr.Construc. Remodelac. Adecuación y Apliac.1</v>
      </c>
      <c r="U236" s="27">
        <f>+ENERO!U236</f>
        <v>4765730053</v>
      </c>
      <c r="V236" s="15">
        <f>JUNIO!V236+JULIO!AL236</f>
        <v>0</v>
      </c>
      <c r="W236" s="15">
        <f>JUNIO!W236+JULIO!AM236</f>
        <v>8000000000</v>
      </c>
      <c r="X236" s="18">
        <f t="shared" ref="X236:X241" si="197">SUM(U236:W236)</f>
        <v>12765730053</v>
      </c>
      <c r="Y236" s="19">
        <f>JUNIO!AA236</f>
        <v>12714787638</v>
      </c>
      <c r="Z236" s="364">
        <v>986000</v>
      </c>
      <c r="AA236" s="18">
        <f t="shared" ref="AA236:AA241" si="198">SUM(Y236:Z236)</f>
        <v>12715773638</v>
      </c>
      <c r="AB236" s="19">
        <f>JUNIO!AD236</f>
        <v>4279784974</v>
      </c>
      <c r="AC236" s="364">
        <v>2975608491</v>
      </c>
      <c r="AD236" s="18">
        <f t="shared" ref="AD236:AD241" si="199">SUM(AB236:AC236)</f>
        <v>7255393465</v>
      </c>
      <c r="AE236" s="19">
        <f>JUNIO!AG236</f>
        <v>4148029503</v>
      </c>
      <c r="AF236" s="364">
        <v>3056392450</v>
      </c>
      <c r="AG236" s="18">
        <f t="shared" ref="AG236:AG241" si="200">SUM(AE236:AF236)</f>
        <v>7204421953</v>
      </c>
      <c r="AH236" s="19">
        <f t="shared" ref="AH236:AH241" si="201">X236-AA236</f>
        <v>49956415</v>
      </c>
      <c r="AI236" s="15">
        <f t="shared" ref="AI236:AI241" si="202">X236-AD236</f>
        <v>5510336588</v>
      </c>
      <c r="AJ236" s="16">
        <f t="shared" ref="AJ236:AJ241" si="203">X236-AG236</f>
        <v>5561308100</v>
      </c>
      <c r="AK236" s="9"/>
      <c r="AL236" s="362">
        <v>0</v>
      </c>
      <c r="AM236" s="365">
        <v>0</v>
      </c>
      <c r="AN236" s="9"/>
    </row>
    <row r="237" spans="1:64" s="372" customFormat="1" ht="24.95" customHeight="1">
      <c r="A237" s="734"/>
      <c r="B237" s="644"/>
      <c r="N237" s="9"/>
      <c r="P237" s="9"/>
      <c r="Q237" s="9"/>
      <c r="R237" s="9"/>
      <c r="S237" s="689" t="str">
        <f>+IF(JUNIO!S237=0,"",JUNIO!S237)</f>
        <v>8001000-2</v>
      </c>
      <c r="T237" s="665" t="str">
        <f>+IF(JUNIO!T237=0,"",JUNIO!T237)</f>
        <v>Subprogr.Construc. Remodelac. Adecuación y Apliac.2</v>
      </c>
      <c r="U237" s="27">
        <f>+ENERO!U237</f>
        <v>500000000</v>
      </c>
      <c r="V237" s="15">
        <f>JUNIO!V237+JULIO!AL237</f>
        <v>0</v>
      </c>
      <c r="W237" s="15">
        <f>JUNIO!W237+JULIO!AM237</f>
        <v>719283217</v>
      </c>
      <c r="X237" s="18">
        <f t="shared" si="197"/>
        <v>1219283217</v>
      </c>
      <c r="Y237" s="19">
        <f>JUNIO!AA237</f>
        <v>1219283217</v>
      </c>
      <c r="Z237" s="364">
        <v>0</v>
      </c>
      <c r="AA237" s="18">
        <f t="shared" si="198"/>
        <v>1219283217</v>
      </c>
      <c r="AB237" s="19">
        <f>JUNIO!AD237</f>
        <v>307382324</v>
      </c>
      <c r="AC237" s="364">
        <v>0</v>
      </c>
      <c r="AD237" s="18">
        <f t="shared" si="199"/>
        <v>307382324</v>
      </c>
      <c r="AE237" s="19">
        <f>JUNIO!AG237</f>
        <v>0</v>
      </c>
      <c r="AF237" s="364">
        <v>0</v>
      </c>
      <c r="AG237" s="18">
        <f t="shared" si="200"/>
        <v>0</v>
      </c>
      <c r="AH237" s="19">
        <f t="shared" si="201"/>
        <v>0</v>
      </c>
      <c r="AI237" s="15">
        <f t="shared" si="202"/>
        <v>911900893</v>
      </c>
      <c r="AJ237" s="16">
        <f t="shared" si="203"/>
        <v>1219283217</v>
      </c>
      <c r="AK237" s="9"/>
      <c r="AL237" s="362">
        <v>0</v>
      </c>
      <c r="AM237" s="365">
        <v>0</v>
      </c>
      <c r="AN237" s="9"/>
    </row>
    <row r="238" spans="1:64" s="372" customFormat="1" ht="24.95" customHeight="1">
      <c r="A238" s="734"/>
      <c r="B238" s="644"/>
      <c r="N238" s="9"/>
      <c r="P238" s="9"/>
      <c r="Q238" s="9"/>
      <c r="R238" s="9"/>
      <c r="S238" s="689" t="str">
        <f>+IF(JUNIO!S238=0,"",JUNIO!S238)</f>
        <v>8001000-3</v>
      </c>
      <c r="T238" s="665" t="str">
        <f>+IF(JUNIO!T238=0,"",JUNIO!T238)</f>
        <v>Subprogr.Construc. Remodelac. Adecuación y Apliac.3</v>
      </c>
      <c r="U238" s="27">
        <f>+ENERO!U238</f>
        <v>0</v>
      </c>
      <c r="V238" s="15">
        <f>JUNIO!V238+JULIO!AL238</f>
        <v>0</v>
      </c>
      <c r="W238" s="15">
        <f>JUNIO!W238+JULIO!AM238</f>
        <v>0</v>
      </c>
      <c r="X238" s="18">
        <f t="shared" si="197"/>
        <v>0</v>
      </c>
      <c r="Y238" s="19">
        <f>JUNIO!AA238</f>
        <v>0</v>
      </c>
      <c r="Z238" s="364">
        <v>0</v>
      </c>
      <c r="AA238" s="18">
        <f t="shared" si="198"/>
        <v>0</v>
      </c>
      <c r="AB238" s="19">
        <f>JUNIO!AD238</f>
        <v>0</v>
      </c>
      <c r="AC238" s="364">
        <v>0</v>
      </c>
      <c r="AD238" s="18">
        <f t="shared" si="199"/>
        <v>0</v>
      </c>
      <c r="AE238" s="19">
        <f>JUNIO!AG238</f>
        <v>0</v>
      </c>
      <c r="AF238" s="364">
        <v>0</v>
      </c>
      <c r="AG238" s="18">
        <f t="shared" si="200"/>
        <v>0</v>
      </c>
      <c r="AH238" s="19">
        <f t="shared" si="201"/>
        <v>0</v>
      </c>
      <c r="AI238" s="15">
        <f t="shared" si="202"/>
        <v>0</v>
      </c>
      <c r="AJ238" s="16">
        <f t="shared" si="203"/>
        <v>0</v>
      </c>
      <c r="AK238" s="9"/>
      <c r="AL238" s="362">
        <v>0</v>
      </c>
      <c r="AM238" s="365">
        <v>0</v>
      </c>
      <c r="AN238" s="9"/>
    </row>
    <row r="239" spans="1:64" s="372" customFormat="1" ht="24.95" customHeight="1">
      <c r="A239" s="734"/>
      <c r="B239" s="644"/>
      <c r="N239" s="9"/>
      <c r="P239" s="9"/>
      <c r="Q239" s="9"/>
      <c r="S239" s="689" t="str">
        <f>+IF(JUNIO!S239=0,"",JUNIO!S239)</f>
        <v>8001000-4</v>
      </c>
      <c r="T239" s="665" t="str">
        <f>+IF(JUNIO!T239=0,"",JUNIO!T239)</f>
        <v>Subprogr.Construc. Remodelac. Adecuación y Apliac.4</v>
      </c>
      <c r="U239" s="27">
        <f>+ENERO!U239</f>
        <v>0</v>
      </c>
      <c r="V239" s="15">
        <f>JUNIO!V239+JULIO!AL239</f>
        <v>0</v>
      </c>
      <c r="W239" s="15">
        <f>JUNIO!W239+JULIO!AM239</f>
        <v>0</v>
      </c>
      <c r="X239" s="18">
        <f t="shared" si="197"/>
        <v>0</v>
      </c>
      <c r="Y239" s="19">
        <f>JUNIO!AA239</f>
        <v>0</v>
      </c>
      <c r="Z239" s="364">
        <v>0</v>
      </c>
      <c r="AA239" s="18">
        <f t="shared" si="198"/>
        <v>0</v>
      </c>
      <c r="AB239" s="19">
        <f>JUNIO!AD239</f>
        <v>0</v>
      </c>
      <c r="AC239" s="364">
        <v>0</v>
      </c>
      <c r="AD239" s="18">
        <f t="shared" si="199"/>
        <v>0</v>
      </c>
      <c r="AE239" s="19">
        <f>JUNIO!AG239</f>
        <v>0</v>
      </c>
      <c r="AF239" s="364">
        <v>0</v>
      </c>
      <c r="AG239" s="18">
        <f t="shared" si="200"/>
        <v>0</v>
      </c>
      <c r="AH239" s="19">
        <f t="shared" si="201"/>
        <v>0</v>
      </c>
      <c r="AI239" s="15">
        <f t="shared" si="202"/>
        <v>0</v>
      </c>
      <c r="AJ239" s="16">
        <f t="shared" si="203"/>
        <v>0</v>
      </c>
      <c r="AK239" s="9"/>
      <c r="AL239" s="362">
        <v>0</v>
      </c>
      <c r="AM239" s="365">
        <v>0</v>
      </c>
      <c r="AN239" s="9"/>
    </row>
    <row r="240" spans="1:64" s="372" customFormat="1" ht="24.95" customHeight="1">
      <c r="A240" s="734"/>
      <c r="B240" s="644"/>
      <c r="N240" s="9"/>
      <c r="P240" s="9"/>
      <c r="Q240" s="9"/>
      <c r="S240" s="689" t="str">
        <f>+IF(JUNIO!S240=0,"",JUNIO!S240)</f>
        <v>8001000-5</v>
      </c>
      <c r="T240" s="665" t="str">
        <f>+IF(JUNIO!T240=0,"",JUNIO!T240)</f>
        <v>Subprogr.Construc. Remodelac. Adecuación y Apliac.5</v>
      </c>
      <c r="U240" s="27">
        <f>+ENERO!U240</f>
        <v>0</v>
      </c>
      <c r="V240" s="15">
        <f>JUNIO!V240+JULIO!AL240</f>
        <v>0</v>
      </c>
      <c r="W240" s="15">
        <f>JUNIO!W240+JULIO!AM240</f>
        <v>0</v>
      </c>
      <c r="X240" s="18">
        <f t="shared" si="197"/>
        <v>0</v>
      </c>
      <c r="Y240" s="19">
        <f>JUNIO!AA240</f>
        <v>0</v>
      </c>
      <c r="Z240" s="364">
        <v>0</v>
      </c>
      <c r="AA240" s="18">
        <f t="shared" si="198"/>
        <v>0</v>
      </c>
      <c r="AB240" s="19">
        <f>JUNIO!AD240</f>
        <v>0</v>
      </c>
      <c r="AC240" s="364">
        <v>0</v>
      </c>
      <c r="AD240" s="18">
        <f t="shared" si="199"/>
        <v>0</v>
      </c>
      <c r="AE240" s="19">
        <f>JUNIO!AG240</f>
        <v>0</v>
      </c>
      <c r="AF240" s="364">
        <v>0</v>
      </c>
      <c r="AG240" s="18">
        <f t="shared" si="200"/>
        <v>0</v>
      </c>
      <c r="AH240" s="19">
        <f t="shared" si="201"/>
        <v>0</v>
      </c>
      <c r="AI240" s="15">
        <f t="shared" si="202"/>
        <v>0</v>
      </c>
      <c r="AJ240" s="16">
        <f t="shared" si="203"/>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+IF(JUNIO!S241=0,"",JUNIO!S241)</f>
        <v>8001999</v>
      </c>
      <c r="T241" s="665" t="str">
        <f>+IF(JUNIO!T241=0,"",JUNIO!T241)</f>
        <v>Vigencias Anteriores</v>
      </c>
      <c r="U241" s="27">
        <f>+ENERO!U241</f>
        <v>0</v>
      </c>
      <c r="V241" s="15">
        <f>JUNIO!V241+JULIO!AL241</f>
        <v>0</v>
      </c>
      <c r="W241" s="15">
        <f>JUNIO!W241+JULIO!AM241</f>
        <v>5033343565</v>
      </c>
      <c r="X241" s="18">
        <f t="shared" si="197"/>
        <v>5033343565</v>
      </c>
      <c r="Y241" s="19">
        <f>JUNIO!AA241</f>
        <v>148040083</v>
      </c>
      <c r="Z241" s="364">
        <v>81031747</v>
      </c>
      <c r="AA241" s="18">
        <f t="shared" si="198"/>
        <v>229071830</v>
      </c>
      <c r="AB241" s="19">
        <f>JUNIO!AD241</f>
        <v>148040083</v>
      </c>
      <c r="AC241" s="364">
        <v>81031747</v>
      </c>
      <c r="AD241" s="18">
        <f t="shared" si="199"/>
        <v>229071830</v>
      </c>
      <c r="AE241" s="19">
        <f>JUNIO!AG241</f>
        <v>148040083</v>
      </c>
      <c r="AF241" s="364">
        <v>81031747</v>
      </c>
      <c r="AG241" s="18">
        <f t="shared" si="200"/>
        <v>229071830</v>
      </c>
      <c r="AH241" s="19">
        <f t="shared" si="201"/>
        <v>4804271735</v>
      </c>
      <c r="AI241" s="15">
        <f t="shared" si="202"/>
        <v>4804271735</v>
      </c>
      <c r="AJ241" s="16">
        <f t="shared" si="203"/>
        <v>4804271735</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+IF(JUNIO!S242=0,"",JUNIO!S242)</f>
        <v/>
      </c>
      <c r="T242" s="678" t="str">
        <f>+IF(JUNIO!T242=0,"",JUNIO!T242)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+IF(JUNIO!S243=0,"",JUNIO!S243)</f>
        <v>8002001</v>
      </c>
      <c r="T243" s="663" t="str">
        <f>+IF(JUNIO!T243=0,"",JUNIO!T243)</f>
        <v>Gastos Operativos de Inversion   (Programas Especiales)</v>
      </c>
      <c r="U243" s="132">
        <f t="shared" ref="U243:AJ243" si="204">SUM(U244:U256)</f>
        <v>500000000</v>
      </c>
      <c r="V243" s="122">
        <f t="shared" si="204"/>
        <v>0</v>
      </c>
      <c r="W243" s="122">
        <f t="shared" si="204"/>
        <v>12819896528</v>
      </c>
      <c r="X243" s="129">
        <f t="shared" si="204"/>
        <v>13319896528</v>
      </c>
      <c r="Y243" s="128">
        <f t="shared" si="204"/>
        <v>5593502237</v>
      </c>
      <c r="Z243" s="122">
        <f t="shared" si="204"/>
        <v>218454222</v>
      </c>
      <c r="AA243" s="129">
        <f t="shared" si="204"/>
        <v>5811956459</v>
      </c>
      <c r="AB243" s="128">
        <f t="shared" si="204"/>
        <v>4020529854</v>
      </c>
      <c r="AC243" s="122">
        <f t="shared" si="204"/>
        <v>386065087</v>
      </c>
      <c r="AD243" s="129">
        <f t="shared" si="204"/>
        <v>4406594941</v>
      </c>
      <c r="AE243" s="128">
        <f t="shared" si="204"/>
        <v>2961599408</v>
      </c>
      <c r="AF243" s="122">
        <f t="shared" si="204"/>
        <v>814016201</v>
      </c>
      <c r="AG243" s="129">
        <f t="shared" si="204"/>
        <v>3775615609</v>
      </c>
      <c r="AH243" s="128">
        <f t="shared" si="204"/>
        <v>7507940069</v>
      </c>
      <c r="AI243" s="122">
        <f t="shared" si="204"/>
        <v>8913301587</v>
      </c>
      <c r="AJ243" s="130">
        <f t="shared" si="204"/>
        <v>9544280919</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+IF(JUNIO!S244=0,"",JUNIO!S244)</f>
        <v>8002100-1</v>
      </c>
      <c r="T244" s="665" t="str">
        <f>+IF(JUNIO!T244=0,"",JUNIO!T244)</f>
        <v>Fondo de la Vivienda</v>
      </c>
      <c r="U244" s="27">
        <f>+ENERO!U244</f>
        <v>0</v>
      </c>
      <c r="V244" s="15">
        <f>JUNIO!V244+JULIO!AL244</f>
        <v>0</v>
      </c>
      <c r="W244" s="15">
        <f>JUNIO!W244+JULIO!AM244</f>
        <v>0</v>
      </c>
      <c r="X244" s="18">
        <f t="shared" ref="X244:X256" si="205">SUM(U244:W244)</f>
        <v>0</v>
      </c>
      <c r="Y244" s="19">
        <f>JUNIO!AA244</f>
        <v>0</v>
      </c>
      <c r="Z244" s="364">
        <v>0</v>
      </c>
      <c r="AA244" s="18">
        <f t="shared" ref="AA244:AA256" si="206">SUM(Y244:Z244)</f>
        <v>0</v>
      </c>
      <c r="AB244" s="19">
        <f>JUNIO!AD244</f>
        <v>0</v>
      </c>
      <c r="AC244" s="364">
        <v>0</v>
      </c>
      <c r="AD244" s="18">
        <f t="shared" ref="AD244:AD256" si="207">SUM(AB244:AC244)</f>
        <v>0</v>
      </c>
      <c r="AE244" s="19">
        <f>JUNIO!AG244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+IF(JUNIO!S245=0,"",JUNIO!S245)</f>
        <v>8002100-2</v>
      </c>
      <c r="T245" s="665" t="str">
        <f>+IF(JUNIO!T245=0,"",JUNIO!T245)</f>
        <v>Programas Especial 01</v>
      </c>
      <c r="U245" s="27">
        <f>+ENERO!U245</f>
        <v>0</v>
      </c>
      <c r="V245" s="15">
        <f>JUNIO!V245+JULIO!AL245</f>
        <v>0</v>
      </c>
      <c r="W245" s="15">
        <f>JUNIO!W245+JULIO!AM245</f>
        <v>152517826</v>
      </c>
      <c r="X245" s="18">
        <f t="shared" si="205"/>
        <v>152517826</v>
      </c>
      <c r="Y245" s="19">
        <f>JUNIO!AA245</f>
        <v>0</v>
      </c>
      <c r="Z245" s="364">
        <v>0</v>
      </c>
      <c r="AA245" s="18">
        <f t="shared" si="206"/>
        <v>0</v>
      </c>
      <c r="AB245" s="19">
        <f>JUNIO!AD245</f>
        <v>0</v>
      </c>
      <c r="AC245" s="364">
        <v>0</v>
      </c>
      <c r="AD245" s="18">
        <f t="shared" si="207"/>
        <v>0</v>
      </c>
      <c r="AE245" s="19">
        <f>JUNIO!AG245</f>
        <v>0</v>
      </c>
      <c r="AF245" s="364">
        <v>0</v>
      </c>
      <c r="AG245" s="18">
        <f t="shared" si="208"/>
        <v>0</v>
      </c>
      <c r="AH245" s="19">
        <f t="shared" si="209"/>
        <v>152517826</v>
      </c>
      <c r="AI245" s="15">
        <f t="shared" si="210"/>
        <v>152517826</v>
      </c>
      <c r="AJ245" s="16">
        <f t="shared" si="211"/>
        <v>152517826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+IF(JUNIO!S246=0,"",JUNIO!S246)</f>
        <v>8002100-3</v>
      </c>
      <c r="T246" s="665" t="str">
        <f>+IF(JUNIO!T246=0,"",JUNIO!T246)</f>
        <v>Programas Especial 02</v>
      </c>
      <c r="U246" s="27">
        <f>+ENERO!U246</f>
        <v>0</v>
      </c>
      <c r="V246" s="15">
        <f>JUNIO!V246+JULIO!AL246</f>
        <v>0</v>
      </c>
      <c r="W246" s="15">
        <f>JUNIO!W246+JULIO!AM246</f>
        <v>0</v>
      </c>
      <c r="X246" s="18">
        <f t="shared" si="205"/>
        <v>0</v>
      </c>
      <c r="Y246" s="19">
        <f>JUNIO!AA246</f>
        <v>0</v>
      </c>
      <c r="Z246" s="364">
        <v>0</v>
      </c>
      <c r="AA246" s="18">
        <f t="shared" si="206"/>
        <v>0</v>
      </c>
      <c r="AB246" s="19">
        <f>JUNIO!AD246</f>
        <v>0</v>
      </c>
      <c r="AC246" s="364">
        <v>0</v>
      </c>
      <c r="AD246" s="18">
        <f t="shared" si="207"/>
        <v>0</v>
      </c>
      <c r="AE246" s="19">
        <f>JUNIO!AG246</f>
        <v>0</v>
      </c>
      <c r="AF246" s="364">
        <v>0</v>
      </c>
      <c r="AG246" s="18">
        <f t="shared" si="208"/>
        <v>0</v>
      </c>
      <c r="AH246" s="19">
        <f t="shared" si="209"/>
        <v>0</v>
      </c>
      <c r="AI246" s="15">
        <f t="shared" si="210"/>
        <v>0</v>
      </c>
      <c r="AJ246" s="16">
        <f t="shared" si="211"/>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+IF(JUNIO!S247=0,"",JUNIO!S247)</f>
        <v>8002100-4</v>
      </c>
      <c r="T247" s="665" t="str">
        <f>+IF(JUNIO!T247=0,"",JUNIO!T247)</f>
        <v>Programas Especial 03</v>
      </c>
      <c r="U247" s="27">
        <f>+ENERO!U247</f>
        <v>0</v>
      </c>
      <c r="V247" s="15">
        <f>JUNIO!V247+JULIO!AL247</f>
        <v>0</v>
      </c>
      <c r="W247" s="15">
        <f>JUNIO!W247+JULIO!AM247</f>
        <v>193911300</v>
      </c>
      <c r="X247" s="18">
        <f t="shared" si="205"/>
        <v>193911300</v>
      </c>
      <c r="Y247" s="19">
        <f>JUNIO!AA247</f>
        <v>133179600</v>
      </c>
      <c r="Z247" s="364">
        <v>0</v>
      </c>
      <c r="AA247" s="18">
        <f t="shared" si="206"/>
        <v>133179600</v>
      </c>
      <c r="AB247" s="19">
        <f>JUNIO!AD247</f>
        <v>76735600</v>
      </c>
      <c r="AC247" s="364">
        <v>14111000</v>
      </c>
      <c r="AD247" s="18">
        <f t="shared" si="207"/>
        <v>90846600</v>
      </c>
      <c r="AE247" s="19">
        <f>JUNIO!AG247</f>
        <v>63133100</v>
      </c>
      <c r="AF247" s="364">
        <v>27713500</v>
      </c>
      <c r="AG247" s="18">
        <f t="shared" si="208"/>
        <v>90846600</v>
      </c>
      <c r="AH247" s="19">
        <f t="shared" si="209"/>
        <v>60731700</v>
      </c>
      <c r="AI247" s="15">
        <f t="shared" si="210"/>
        <v>103064700</v>
      </c>
      <c r="AJ247" s="16">
        <f t="shared" si="211"/>
        <v>103064700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+IF(JUNIO!S248=0,"",JUNIO!S248)</f>
        <v>8002100-5</v>
      </c>
      <c r="T248" s="665" t="str">
        <f>+IF(JUNIO!T248=0,"",JUNIO!T248)</f>
        <v>Programas Especial 04</v>
      </c>
      <c r="U248" s="27">
        <f>+ENERO!U248</f>
        <v>500000000</v>
      </c>
      <c r="V248" s="15">
        <f>JUNIO!V248+JULIO!AL248</f>
        <v>0</v>
      </c>
      <c r="W248" s="15">
        <f>JUNIO!W248+JULIO!AM248</f>
        <v>2619976000</v>
      </c>
      <c r="X248" s="18">
        <f t="shared" si="205"/>
        <v>3119976000</v>
      </c>
      <c r="Y248" s="19">
        <f>JUNIO!AA248</f>
        <v>2167407913</v>
      </c>
      <c r="Z248" s="364">
        <v>16281690</v>
      </c>
      <c r="AA248" s="18">
        <f t="shared" si="206"/>
        <v>2183689603</v>
      </c>
      <c r="AB248" s="19">
        <f>JUNIO!AD248</f>
        <v>2166814308</v>
      </c>
      <c r="AC248" s="364">
        <v>16281690</v>
      </c>
      <c r="AD248" s="18">
        <f t="shared" si="207"/>
        <v>2183095998</v>
      </c>
      <c r="AE248" s="19">
        <f>JUNIO!AG248</f>
        <v>2112790277</v>
      </c>
      <c r="AF248" s="364">
        <v>69029726</v>
      </c>
      <c r="AG248" s="18">
        <f t="shared" si="208"/>
        <v>2181820003</v>
      </c>
      <c r="AH248" s="19">
        <f t="shared" si="209"/>
        <v>936286397</v>
      </c>
      <c r="AI248" s="15">
        <f t="shared" si="210"/>
        <v>936880002</v>
      </c>
      <c r="AJ248" s="16">
        <f t="shared" si="211"/>
        <v>938155997</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+IF(JUNIO!S249=0,"",JUNIO!S249)</f>
        <v>8002100-6</v>
      </c>
      <c r="T249" s="665" t="str">
        <f>+IF(JUNIO!T249=0,"",JUNIO!T249)</f>
        <v>Programas Especial 05</v>
      </c>
      <c r="U249" s="27">
        <f>+ENERO!U249</f>
        <v>0</v>
      </c>
      <c r="V249" s="15">
        <f>JUNIO!V249+JULIO!AL249</f>
        <v>0</v>
      </c>
      <c r="W249" s="15">
        <f>JUNIO!W249+JULIO!AM249</f>
        <v>20000000</v>
      </c>
      <c r="X249" s="18">
        <f t="shared" si="205"/>
        <v>20000000</v>
      </c>
      <c r="Y249" s="19">
        <f>JUNIO!AA249</f>
        <v>0</v>
      </c>
      <c r="Z249" s="364">
        <v>0</v>
      </c>
      <c r="AA249" s="18">
        <f t="shared" si="206"/>
        <v>0</v>
      </c>
      <c r="AB249" s="19">
        <f>JUNIO!AD249</f>
        <v>0</v>
      </c>
      <c r="AC249" s="364">
        <v>0</v>
      </c>
      <c r="AD249" s="18">
        <f t="shared" si="207"/>
        <v>0</v>
      </c>
      <c r="AE249" s="19">
        <f>JUNIO!AG249</f>
        <v>0</v>
      </c>
      <c r="AF249" s="364">
        <v>0</v>
      </c>
      <c r="AG249" s="1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+IF(JUNIO!S250=0,"",JUNIO!S250)</f>
        <v>8002100-7</v>
      </c>
      <c r="T250" s="665" t="str">
        <f>+IF(JUNIO!T250=0,"",JUNIO!T250)</f>
        <v>Programas Especial 06</v>
      </c>
      <c r="U250" s="27">
        <f>+ENERO!U250</f>
        <v>0</v>
      </c>
      <c r="V250" s="15">
        <f>JUNIO!V250+JULIO!AL250</f>
        <v>0</v>
      </c>
      <c r="W250" s="15">
        <f>JUNIO!W250+JULIO!AM250</f>
        <v>9358200000</v>
      </c>
      <c r="X250" s="18">
        <f>SUM(U250:W250)</f>
        <v>9358200000</v>
      </c>
      <c r="Y250" s="19">
        <f>JUNIO!AA250</f>
        <v>2828267490</v>
      </c>
      <c r="Z250" s="364">
        <v>200280282</v>
      </c>
      <c r="AA250" s="18">
        <f>SUM(Y250:Z250)</f>
        <v>3028547772</v>
      </c>
      <c r="AB250" s="19">
        <f>JUNIO!AD250</f>
        <v>1312332712</v>
      </c>
      <c r="AC250" s="364">
        <v>353780147</v>
      </c>
      <c r="AD250" s="18">
        <f>SUM(AB250:AC250)</f>
        <v>1666112859</v>
      </c>
      <c r="AE250" s="19">
        <f>JUNIO!AG250</f>
        <v>321028797</v>
      </c>
      <c r="AF250" s="364">
        <v>715380725</v>
      </c>
      <c r="AG250" s="18">
        <f>SUM(AE250:AF250)</f>
        <v>1036409522</v>
      </c>
      <c r="AH250" s="19">
        <f>X250-AA250</f>
        <v>6329652228</v>
      </c>
      <c r="AI250" s="15">
        <f>X250-AD250</f>
        <v>7692087141</v>
      </c>
      <c r="AJ250" s="16">
        <f>X250-AG250</f>
        <v>8321790478</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+IF(JUNIO!S251=0,"",JUNIO!S251)</f>
        <v>8002100-8</v>
      </c>
      <c r="T251" s="665" t="str">
        <f>+IF(JUNIO!T251=0,"",JUNIO!T251)</f>
        <v>Programas Especial 07</v>
      </c>
      <c r="U251" s="27">
        <f>+ENERO!U251</f>
        <v>0</v>
      </c>
      <c r="V251" s="15">
        <f>JUNIO!V251+JULIO!AL251</f>
        <v>0</v>
      </c>
      <c r="W251" s="15">
        <f>JUNIO!W251+JULIO!AM251</f>
        <v>0</v>
      </c>
      <c r="X251" s="18">
        <f>SUM(U251:W251)</f>
        <v>0</v>
      </c>
      <c r="Y251" s="19">
        <f>JUNIO!AA251</f>
        <v>0</v>
      </c>
      <c r="Z251" s="364">
        <v>0</v>
      </c>
      <c r="AA251" s="18">
        <f>SUM(Y251:Z251)</f>
        <v>0</v>
      </c>
      <c r="AB251" s="19">
        <f>JUNIO!AD251</f>
        <v>0</v>
      </c>
      <c r="AC251" s="364">
        <v>0</v>
      </c>
      <c r="AD251" s="18">
        <f>SUM(AB251:AC251)</f>
        <v>0</v>
      </c>
      <c r="AE251" s="19">
        <f>JUNIO!AG251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+IF(JUNIO!S252=0,"",JUNIO!S252)</f>
        <v>8002100-9</v>
      </c>
      <c r="T252" s="665" t="str">
        <f>+IF(JUNIO!T252=0,"",JUNIO!T252)</f>
        <v>Programas Especial 08</v>
      </c>
      <c r="U252" s="27">
        <f>+ENERO!U252</f>
        <v>0</v>
      </c>
      <c r="V252" s="15">
        <f>JUNIO!V252+JULIO!AL252</f>
        <v>0</v>
      </c>
      <c r="W252" s="15">
        <f>JUNIO!W252+JULIO!AM252</f>
        <v>0</v>
      </c>
      <c r="X252" s="18">
        <f>SUM(U252:W252)</f>
        <v>0</v>
      </c>
      <c r="Y252" s="19">
        <f>JUNIO!AA252</f>
        <v>0</v>
      </c>
      <c r="Z252" s="364">
        <v>0</v>
      </c>
      <c r="AA252" s="18">
        <f>SUM(Y252:Z252)</f>
        <v>0</v>
      </c>
      <c r="AB252" s="19">
        <f>JUNIO!AD252</f>
        <v>0</v>
      </c>
      <c r="AC252" s="364">
        <v>0</v>
      </c>
      <c r="AD252" s="18">
        <f>SUM(AB252:AC252)</f>
        <v>0</v>
      </c>
      <c r="AE252" s="19">
        <f>JUNIO!AG252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+IF(JUNIO!S253=0,"",JUNIO!S253)</f>
        <v>8002100-10</v>
      </c>
      <c r="T253" s="665" t="str">
        <f>+IF(JUNIO!T253=0,"",JUNIO!T253)</f>
        <v>Programas Especial 09</v>
      </c>
      <c r="U253" s="27">
        <f>+ENERO!U253</f>
        <v>0</v>
      </c>
      <c r="V253" s="15">
        <f>JUNIO!V253+JULIO!AL253</f>
        <v>0</v>
      </c>
      <c r="W253" s="15">
        <f>JUNIO!W253+JULIO!AM253</f>
        <v>0</v>
      </c>
      <c r="X253" s="18">
        <f>SUM(U253:W253)</f>
        <v>0</v>
      </c>
      <c r="Y253" s="19">
        <f>JUNIO!AA253</f>
        <v>0</v>
      </c>
      <c r="Z253" s="364">
        <v>0</v>
      </c>
      <c r="AA253" s="18">
        <f>SUM(Y253:Z253)</f>
        <v>0</v>
      </c>
      <c r="AB253" s="19">
        <f>JUNIO!AD253</f>
        <v>0</v>
      </c>
      <c r="AC253" s="364">
        <v>0</v>
      </c>
      <c r="AD253" s="18">
        <f>SUM(AB253:AC253)</f>
        <v>0</v>
      </c>
      <c r="AE253" s="19">
        <f>JUNIO!AG253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+IF(JUNIO!S254=0,"",JUNIO!S254)</f>
        <v>8002100-11</v>
      </c>
      <c r="T254" s="665" t="str">
        <f>+IF(JUNIO!T254=0,"",JUNIO!T254)</f>
        <v>Programas Especial 10</v>
      </c>
      <c r="U254" s="27">
        <f>+ENERO!U254</f>
        <v>0</v>
      </c>
      <c r="V254" s="15">
        <f>JUNIO!V254+JULIO!AL254</f>
        <v>0</v>
      </c>
      <c r="W254" s="15">
        <f>JUNIO!W254+JULIO!AM254</f>
        <v>0</v>
      </c>
      <c r="X254" s="18">
        <f>SUM(U254:W254)</f>
        <v>0</v>
      </c>
      <c r="Y254" s="19">
        <f>JUNIO!AA254</f>
        <v>0</v>
      </c>
      <c r="Z254" s="364">
        <v>0</v>
      </c>
      <c r="AA254" s="18">
        <f>SUM(Y254:Z254)</f>
        <v>0</v>
      </c>
      <c r="AB254" s="19">
        <f>JUNIO!AD254</f>
        <v>0</v>
      </c>
      <c r="AC254" s="364">
        <v>0</v>
      </c>
      <c r="AD254" s="18">
        <f>SUM(AB254:AC254)</f>
        <v>0</v>
      </c>
      <c r="AE254" s="19">
        <f>JUNIO!AG254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+IF(JUNIO!S255=0,"",JUNIO!S255)</f>
        <v>8002100-12</v>
      </c>
      <c r="T255" s="665" t="str">
        <f>+IF(JUNIO!T255=0,"",JUNIO!T255)</f>
        <v>Programas Especial 11</v>
      </c>
      <c r="U255" s="27">
        <f>+ENERO!U255</f>
        <v>0</v>
      </c>
      <c r="V255" s="15">
        <f>JUNIO!V255+JULIO!AL255</f>
        <v>0</v>
      </c>
      <c r="W255" s="15">
        <f>JUNIO!W255+JULIO!AM255</f>
        <v>0</v>
      </c>
      <c r="X255" s="18">
        <f t="shared" si="205"/>
        <v>0</v>
      </c>
      <c r="Y255" s="19">
        <f>JUNIO!AA255</f>
        <v>0</v>
      </c>
      <c r="Z255" s="364">
        <v>0</v>
      </c>
      <c r="AA255" s="18">
        <f t="shared" si="206"/>
        <v>0</v>
      </c>
      <c r="AB255" s="19">
        <f>JUNIO!AD255</f>
        <v>0</v>
      </c>
      <c r="AC255" s="364">
        <v>0</v>
      </c>
      <c r="AD255" s="18">
        <f t="shared" si="207"/>
        <v>0</v>
      </c>
      <c r="AE255" s="19">
        <f>JUNIO!AG255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+IF(JUNIO!S256=0,"",JUNIO!S256)</f>
        <v>8002999</v>
      </c>
      <c r="T256" s="680" t="str">
        <f>+IF(JUNIO!T256=0,"",JUNIO!T256)</f>
        <v>Vigencias Anteriores</v>
      </c>
      <c r="U256" s="133">
        <f>+ENERO!U256</f>
        <v>0</v>
      </c>
      <c r="V256" s="121">
        <f>JUNIO!V256+JULIO!AL256</f>
        <v>0</v>
      </c>
      <c r="W256" s="121">
        <f>JUNIO!W256+JULIO!AM256</f>
        <v>475291402</v>
      </c>
      <c r="X256" s="126">
        <f t="shared" si="205"/>
        <v>475291402</v>
      </c>
      <c r="Y256" s="124">
        <f>JUNIO!AA256</f>
        <v>464647234</v>
      </c>
      <c r="Z256" s="378">
        <v>1892250</v>
      </c>
      <c r="AA256" s="126">
        <f t="shared" si="206"/>
        <v>466539484</v>
      </c>
      <c r="AB256" s="124">
        <f>JUNIO!AD256</f>
        <v>464647234</v>
      </c>
      <c r="AC256" s="378">
        <v>1892250</v>
      </c>
      <c r="AD256" s="126">
        <f t="shared" si="207"/>
        <v>466539484</v>
      </c>
      <c r="AE256" s="124">
        <f>JUNIO!AG256</f>
        <v>464647234</v>
      </c>
      <c r="AF256" s="378">
        <v>1892250</v>
      </c>
      <c r="AG256" s="126">
        <f t="shared" si="208"/>
        <v>466539484</v>
      </c>
      <c r="AH256" s="124">
        <f t="shared" si="209"/>
        <v>8751918</v>
      </c>
      <c r="AI256" s="121">
        <f t="shared" si="210"/>
        <v>8751918</v>
      </c>
      <c r="AJ256" s="125">
        <f t="shared" si="211"/>
        <v>8751918</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+IF(JUNIO!S257=0,"",JUNIO!S257)</f>
        <v/>
      </c>
      <c r="T257" s="677" t="str">
        <f>+IF(JUNIO!T257=0,"",JUNIO!T257)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2">+(D10+D17+D113)-(V10+V193+V220+V232)</f>
        <v>0</v>
      </c>
      <c r="W258" s="330">
        <f t="shared" si="212"/>
        <v>0</v>
      </c>
      <c r="X258" s="330">
        <f t="shared" si="212"/>
        <v>0</v>
      </c>
      <c r="Y258" s="330">
        <f t="shared" si="212"/>
        <v>-11796017915</v>
      </c>
      <c r="Z258" s="330">
        <f t="shared" si="212"/>
        <v>7286255947</v>
      </c>
      <c r="AA258" s="330">
        <f t="shared" si="212"/>
        <v>-4509761968</v>
      </c>
      <c r="AB258" s="330">
        <f t="shared" si="212"/>
        <v>-1584364758.2400055</v>
      </c>
      <c r="AC258" s="330">
        <f t="shared" si="212"/>
        <v>-963259825</v>
      </c>
      <c r="AD258" s="330">
        <f t="shared" si="212"/>
        <v>-2547624583.2400055</v>
      </c>
      <c r="AE258" s="330">
        <f t="shared" si="212"/>
        <v>-6637358119</v>
      </c>
      <c r="AF258" s="330">
        <f t="shared" si="212"/>
        <v>34476625397.239998</v>
      </c>
      <c r="AG258" s="330">
        <f t="shared" si="212"/>
        <v>-45438696382</v>
      </c>
      <c r="AH258" s="330">
        <f t="shared" si="212"/>
        <v>-22105884993</v>
      </c>
      <c r="AI258" s="330">
        <f t="shared" si="212"/>
        <v>-43620377387</v>
      </c>
      <c r="AJ258" s="768">
        <f t="shared" si="212"/>
        <v>-58657965775</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588629458</v>
      </c>
    </row>
    <row r="260" spans="1:39" ht="24.95" customHeight="1" thickBot="1">
      <c r="S260" s="785" t="s">
        <v>562</v>
      </c>
      <c r="T260" s="786"/>
      <c r="U260" s="761">
        <f>+U8-U262</f>
        <v>62391028787</v>
      </c>
      <c r="V260" s="761">
        <f t="shared" ref="V260:AJ260" si="213">+V8-V262</f>
        <v>-3035127711</v>
      </c>
      <c r="W260" s="761">
        <f t="shared" si="213"/>
        <v>24719610517</v>
      </c>
      <c r="X260" s="761">
        <f t="shared" si="213"/>
        <v>84075511593</v>
      </c>
      <c r="Y260" s="761">
        <f t="shared" si="213"/>
        <v>64779117328</v>
      </c>
      <c r="Z260" s="761">
        <f t="shared" si="213"/>
        <v>2693797627</v>
      </c>
      <c r="AA260" s="761">
        <f t="shared" si="213"/>
        <v>67472914955</v>
      </c>
      <c r="AB260" s="761">
        <f t="shared" si="213"/>
        <v>37080650326</v>
      </c>
      <c r="AC260" s="761">
        <f t="shared" si="213"/>
        <v>8383457506</v>
      </c>
      <c r="AD260" s="761">
        <f t="shared" si="213"/>
        <v>45464107832</v>
      </c>
      <c r="AE260" s="761">
        <f t="shared" si="213"/>
        <v>20262071761</v>
      </c>
      <c r="AF260" s="761">
        <f t="shared" si="213"/>
        <v>10658762412</v>
      </c>
      <c r="AG260" s="761">
        <f t="shared" si="213"/>
        <v>30920834173</v>
      </c>
      <c r="AH260" s="761">
        <f t="shared" si="213"/>
        <v>16602596638</v>
      </c>
      <c r="AI260" s="761">
        <f t="shared" si="213"/>
        <v>38611403761</v>
      </c>
      <c r="AJ260" s="762">
        <f t="shared" si="213"/>
        <v>53154677420</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563</v>
      </c>
      <c r="T262" s="788"/>
      <c r="U262" s="765">
        <f>+SUMIF($T$8:$T$256,$T$33,U8:U256)</f>
        <v>4029331818</v>
      </c>
      <c r="V262" s="765">
        <f t="shared" ref="V262:AJ262" si="214">+SUMIF($T$8:$T$256,$T$33,V8:V256)</f>
        <v>3035127711</v>
      </c>
      <c r="W262" s="765">
        <f t="shared" si="214"/>
        <v>12956691035</v>
      </c>
      <c r="X262" s="765">
        <f t="shared" si="214"/>
        <v>20021150564</v>
      </c>
      <c r="Y262" s="765">
        <f t="shared" si="214"/>
        <v>12990933319</v>
      </c>
      <c r="Z262" s="765">
        <f t="shared" si="214"/>
        <v>1526928890</v>
      </c>
      <c r="AA262" s="765">
        <f t="shared" si="214"/>
        <v>14517862209</v>
      </c>
      <c r="AB262" s="765">
        <f t="shared" si="214"/>
        <v>12990933319</v>
      </c>
      <c r="AC262" s="765">
        <f t="shared" si="214"/>
        <v>1526928890</v>
      </c>
      <c r="AD262" s="765">
        <f t="shared" si="214"/>
        <v>14517862209</v>
      </c>
      <c r="AE262" s="765">
        <f t="shared" si="214"/>
        <v>12990933319</v>
      </c>
      <c r="AF262" s="765">
        <f t="shared" si="214"/>
        <v>1526928890</v>
      </c>
      <c r="AG262" s="765">
        <f t="shared" si="214"/>
        <v>14517862209</v>
      </c>
      <c r="AH262" s="765">
        <f t="shared" si="214"/>
        <v>5503288355</v>
      </c>
      <c r="AI262" s="765">
        <f t="shared" si="214"/>
        <v>5503288355</v>
      </c>
      <c r="AJ262" s="789">
        <f t="shared" si="214"/>
        <v>5503288355</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37676301552</v>
      </c>
      <c r="X264" s="783">
        <f t="shared" si="215"/>
        <v>104096662157</v>
      </c>
      <c r="Y264" s="783">
        <f t="shared" si="215"/>
        <v>77770050647</v>
      </c>
      <c r="Z264" s="783">
        <f t="shared" si="215"/>
        <v>4220726517</v>
      </c>
      <c r="AA264" s="783">
        <f t="shared" si="215"/>
        <v>81990777164</v>
      </c>
      <c r="AB264" s="783">
        <f t="shared" si="215"/>
        <v>50071583645</v>
      </c>
      <c r="AC264" s="783">
        <f t="shared" si="215"/>
        <v>9910386396</v>
      </c>
      <c r="AD264" s="783">
        <f t="shared" si="215"/>
        <v>59981970041</v>
      </c>
      <c r="AE264" s="783">
        <f t="shared" si="215"/>
        <v>33253005080</v>
      </c>
      <c r="AF264" s="783">
        <f t="shared" si="215"/>
        <v>12185691302</v>
      </c>
      <c r="AG264" s="783">
        <f t="shared" si="215"/>
        <v>45438696382</v>
      </c>
      <c r="AH264" s="783">
        <f t="shared" si="215"/>
        <v>22105884993</v>
      </c>
      <c r="AI264" s="783">
        <f t="shared" si="215"/>
        <v>44114692116</v>
      </c>
      <c r="AJ264" s="784">
        <f t="shared" si="215"/>
        <v>58657965775</v>
      </c>
    </row>
  </sheetData>
  <sheetProtection password="E07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5"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S264"/>
  <sheetViews>
    <sheetView showGridLines="0" topLeftCell="A52" zoomScale="82" zoomScaleNormal="82" workbookViewId="0">
      <selection activeCell="AA1" sqref="AA1"/>
    </sheetView>
  </sheetViews>
  <sheetFormatPr baseColWidth="10" defaultColWidth="0" defaultRowHeight="24.95" customHeight="1"/>
  <cols>
    <col min="1" max="1" width="15.7109375" style="735" customWidth="1"/>
    <col min="2" max="2" width="50.5703125" style="645" customWidth="1"/>
    <col min="3" max="3" width="16.7109375" style="262" bestFit="1" customWidth="1"/>
    <col min="4" max="4" width="16.140625" style="262" customWidth="1"/>
    <col min="5" max="7" width="14.42578125" style="262" customWidth="1"/>
    <col min="8" max="8" width="16.7109375" style="262" customWidth="1"/>
    <col min="9" max="10" width="14.42578125" style="262" customWidth="1"/>
    <col min="11" max="11" width="15.85546875"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5703125" style="681" customWidth="1"/>
    <col min="20" max="20" width="47.28515625" style="657" customWidth="1"/>
    <col min="21" max="21" width="17.28515625" style="262" customWidth="1"/>
    <col min="22" max="25" width="14.7109375" style="262" customWidth="1"/>
    <col min="26" max="26" width="17" style="262" customWidth="1"/>
    <col min="27" max="28" width="14.7109375" style="262" customWidth="1"/>
    <col min="29" max="29" width="16.28515625" style="262" customWidth="1"/>
    <col min="30" max="31" width="14.7109375" style="262" customWidth="1"/>
    <col min="32" max="32" width="16" style="262" customWidth="1"/>
    <col min="33"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6"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8</v>
      </c>
      <c r="AP2" s="270" t="s">
        <v>7</v>
      </c>
      <c r="AQ2" s="271"/>
      <c r="AR2" s="3"/>
      <c r="AS2" s="3"/>
      <c r="AT2" s="3"/>
      <c r="AU2" s="3"/>
      <c r="AV2" s="3"/>
      <c r="AW2" s="3"/>
      <c r="AX2" s="3"/>
      <c r="AY2" s="3"/>
      <c r="AZ2" s="4"/>
      <c r="BB2" s="941" t="s">
        <v>588</v>
      </c>
      <c r="BC2" s="958"/>
      <c r="BD2" s="51" t="s">
        <v>380</v>
      </c>
      <c r="BE2" s="268" t="str">
        <f>+L3</f>
        <v>AGOSTO</v>
      </c>
      <c r="BF2" s="263"/>
      <c r="BG2" s="941" t="s">
        <v>589</v>
      </c>
      <c r="BH2" s="958"/>
      <c r="BI2" s="958"/>
      <c r="BJ2" s="51" t="s">
        <v>380</v>
      </c>
      <c r="BK2" s="268" t="str">
        <f>+BE2</f>
        <v>AGOSTO</v>
      </c>
      <c r="BM2" s="941" t="s">
        <v>589</v>
      </c>
      <c r="BN2" s="958"/>
      <c r="BO2" s="958"/>
      <c r="BP2" s="51" t="s">
        <v>380</v>
      </c>
      <c r="BQ2" s="268" t="str">
        <f>+BK2</f>
        <v>AGOSTO</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364</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AGOSTO</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2" customHeight="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1004"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66" t="str">
        <f>+CONCATENATE("ACUMULADO ",N3)</f>
        <v>ACUMULADO 2019</v>
      </c>
      <c r="BI5" s="967"/>
      <c r="BJ5" s="967"/>
      <c r="BK5" s="968"/>
      <c r="BM5" s="964" t="s">
        <v>32</v>
      </c>
      <c r="BN5" s="298" t="str">
        <f>+CONCATENATE("ACUMULADO ",BQ3)</f>
        <v>ACUMULADO 2019</v>
      </c>
      <c r="BO5" s="299"/>
      <c r="BP5" s="300"/>
      <c r="BQ5" s="301"/>
    </row>
    <row r="6" spans="1:69" ht="24.9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1005"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AGOSTO</v>
      </c>
      <c r="AS6" s="306" t="str">
        <f>AR6</f>
        <v>AGOSTO</v>
      </c>
      <c r="AT6" s="306" t="str">
        <f>AR6</f>
        <v>AGOSTO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65"/>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3813382589</v>
      </c>
      <c r="AR7" s="317">
        <f>I22</f>
        <v>2852959583</v>
      </c>
      <c r="AS7" s="317">
        <f>L22</f>
        <v>1479155226</v>
      </c>
      <c r="AT7" s="13"/>
      <c r="AU7" s="318">
        <f t="shared" ref="AU7:AU17" si="0">IF(AQ7=0," ",AR7/AQ7)</f>
        <v>0.7481440732512874</v>
      </c>
      <c r="AV7" s="318">
        <f t="shared" ref="AV7:AV17" si="1">IF(AQ7=0," ",AS7/AQ7)</f>
        <v>0.38788534627150678</v>
      </c>
      <c r="AW7" s="317">
        <f>I23/AO$2*12+I24</f>
        <v>3907496724.5</v>
      </c>
      <c r="AX7" s="317">
        <f>L23/AO$2*12+L24</f>
        <v>1846790189</v>
      </c>
      <c r="AY7" s="317">
        <f t="shared" ref="AY7:AY16" si="2">AW7-AQ7</f>
        <v>94114135.5</v>
      </c>
      <c r="AZ7" s="319">
        <f t="shared" ref="AZ7:AZ16" si="3">AX7-AQ7</f>
        <v>-1966592400</v>
      </c>
      <c r="BB7" s="320" t="s">
        <v>53</v>
      </c>
      <c r="BC7" s="54">
        <f>F10</f>
        <v>10176865038</v>
      </c>
      <c r="BD7" s="55">
        <f>I10</f>
        <v>10176865038</v>
      </c>
      <c r="BE7" s="56">
        <f>K10</f>
        <v>0</v>
      </c>
      <c r="BF7" s="57"/>
      <c r="BG7" s="91" t="s">
        <v>54</v>
      </c>
      <c r="BH7" s="116">
        <f>+SUM(BH8:BH11)</f>
        <v>41034242505</v>
      </c>
      <c r="BI7" s="116">
        <f>+SUM(BI8:BI11)</f>
        <v>35211152125</v>
      </c>
      <c r="BJ7" s="116">
        <f>+SUM(BJ8:BJ11)</f>
        <v>25640803730</v>
      </c>
      <c r="BK7" s="116">
        <f>+SUM(BK8:BK11)</f>
        <v>2256889683</v>
      </c>
      <c r="BM7" s="61" t="s">
        <v>54</v>
      </c>
      <c r="BN7" s="62">
        <f>BN8+BN15+BN22</f>
        <v>41034242505</v>
      </c>
      <c r="BO7" s="63">
        <f>BO8+BO15+BO22</f>
        <v>35211152125</v>
      </c>
      <c r="BP7" s="63">
        <f>BP8+BP15+BP22</f>
        <v>25640803730</v>
      </c>
      <c r="BQ7" s="64">
        <f>BQ8+BQ15+BQ22</f>
        <v>2256889683</v>
      </c>
    </row>
    <row r="8" spans="1:69" s="9" customFormat="1" ht="24.95" customHeight="1" thickBot="1">
      <c r="A8" s="711">
        <f>+IF(JULIO!A8=0,"",JULIO!A8)</f>
        <v>1</v>
      </c>
      <c r="B8" s="618" t="str">
        <f>+IF(JULIO!B8=0,"",JULIO!B8)</f>
        <v>INGRESOS</v>
      </c>
      <c r="C8" s="321">
        <f>C10+C17+C113</f>
        <v>66420360605</v>
      </c>
      <c r="D8" s="321">
        <f t="shared" ref="D8:Q8" si="4">D10+D17+D113</f>
        <v>0</v>
      </c>
      <c r="E8" s="321">
        <f t="shared" si="4"/>
        <v>39742904555</v>
      </c>
      <c r="F8" s="321">
        <f t="shared" si="4"/>
        <v>106163265160</v>
      </c>
      <c r="G8" s="321">
        <f t="shared" si="4"/>
        <v>77481015196</v>
      </c>
      <c r="H8" s="321">
        <f t="shared" si="4"/>
        <v>6509740550</v>
      </c>
      <c r="I8" s="321">
        <f t="shared" si="4"/>
        <v>83990755746</v>
      </c>
      <c r="J8" s="321">
        <f t="shared" si="4"/>
        <v>57434345457.759995</v>
      </c>
      <c r="K8" s="321">
        <f t="shared" si="4"/>
        <v>4064042917</v>
      </c>
      <c r="L8" s="321">
        <f t="shared" si="4"/>
        <v>61498388374.759995</v>
      </c>
      <c r="M8" s="321">
        <f t="shared" si="4"/>
        <v>22172509414</v>
      </c>
      <c r="N8" s="321">
        <f t="shared" si="4"/>
        <v>44664876785.239998</v>
      </c>
      <c r="O8" s="323"/>
      <c r="P8" s="324">
        <f t="shared" si="4"/>
        <v>0</v>
      </c>
      <c r="Q8" s="322">
        <f t="shared" si="4"/>
        <v>2066603003</v>
      </c>
      <c r="S8" s="684" t="str">
        <f>+IF(JULIO!S8=0,"",JULIO!S8)</f>
        <v/>
      </c>
      <c r="T8" s="658" t="str">
        <f>+IF(JULIO!T8=0,"",JULIO!T8)</f>
        <v>GASTOS</v>
      </c>
      <c r="U8" s="325">
        <f>U10+U193+U220+U232</f>
        <v>66420360605</v>
      </c>
      <c r="V8" s="326">
        <f t="shared" ref="V8:AJ8" si="5">V10+V193+V220+V232</f>
        <v>0</v>
      </c>
      <c r="W8" s="326">
        <f t="shared" si="5"/>
        <v>39742904555</v>
      </c>
      <c r="X8" s="327">
        <f t="shared" si="5"/>
        <v>106163265160</v>
      </c>
      <c r="Y8" s="328">
        <f t="shared" si="5"/>
        <v>81990777164</v>
      </c>
      <c r="Z8" s="326">
        <f t="shared" si="5"/>
        <v>8370597428</v>
      </c>
      <c r="AA8" s="327">
        <f t="shared" si="5"/>
        <v>90361374592</v>
      </c>
      <c r="AB8" s="328">
        <f t="shared" si="5"/>
        <v>59981970041</v>
      </c>
      <c r="AC8" s="326">
        <f t="shared" si="5"/>
        <v>6981312452</v>
      </c>
      <c r="AD8" s="327">
        <f t="shared" si="5"/>
        <v>66963282493</v>
      </c>
      <c r="AE8" s="328">
        <f t="shared" si="5"/>
        <v>45438696382</v>
      </c>
      <c r="AF8" s="326">
        <f t="shared" si="5"/>
        <v>4047765520</v>
      </c>
      <c r="AG8" s="327">
        <f t="shared" si="5"/>
        <v>49486461902</v>
      </c>
      <c r="AH8" s="328">
        <f t="shared" si="5"/>
        <v>15801890568</v>
      </c>
      <c r="AI8" s="326">
        <f t="shared" si="5"/>
        <v>39199982667</v>
      </c>
      <c r="AJ8" s="329">
        <f t="shared" si="5"/>
        <v>56676803258</v>
      </c>
      <c r="AL8" s="330">
        <f>AL10+AL193+AL220+AL232</f>
        <v>0</v>
      </c>
      <c r="AM8" s="331">
        <f>AM10+AM193+AM220+AM232</f>
        <v>2066603003</v>
      </c>
      <c r="AO8" s="21"/>
      <c r="AP8" s="11" t="s">
        <v>56</v>
      </c>
      <c r="AQ8" s="12">
        <f>F25</f>
        <v>40107663996</v>
      </c>
      <c r="AR8" s="12">
        <f>I25</f>
        <v>30968383975</v>
      </c>
      <c r="AS8" s="12">
        <f>L25</f>
        <v>21345300964</v>
      </c>
      <c r="AT8" s="13"/>
      <c r="AU8" s="332">
        <f t="shared" si="0"/>
        <v>0.7721313307623332</v>
      </c>
      <c r="AV8" s="332">
        <f t="shared" si="1"/>
        <v>0.53220005448656393</v>
      </c>
      <c r="AW8" s="12">
        <f>I26/AO$2*12+I27</f>
        <v>42481622738.5</v>
      </c>
      <c r="AX8" s="12">
        <f>L26/AO$2*12+L27</f>
        <v>28046998222</v>
      </c>
      <c r="AY8" s="12">
        <f t="shared" si="2"/>
        <v>2373958742.5</v>
      </c>
      <c r="AZ8" s="333">
        <f t="shared" si="3"/>
        <v>-12060665774</v>
      </c>
      <c r="BB8" s="140" t="s">
        <v>57</v>
      </c>
      <c r="BC8" s="65">
        <f>BC9+BC19</f>
        <v>81682102558</v>
      </c>
      <c r="BD8" s="66">
        <f>BD9+BD19</f>
        <v>59118574257</v>
      </c>
      <c r="BE8" s="67">
        <f>BE9+BE19</f>
        <v>3412571111</v>
      </c>
      <c r="BF8" s="57"/>
      <c r="BG8" s="68" t="s">
        <v>58</v>
      </c>
      <c r="BH8" s="69">
        <f>BN9+BN13</f>
        <v>6202597719</v>
      </c>
      <c r="BI8" s="69">
        <f>BO9+BO13</f>
        <v>3472526754</v>
      </c>
      <c r="BJ8" s="69">
        <f>BP9+BP13</f>
        <v>3472526754</v>
      </c>
      <c r="BK8" s="69">
        <f>BQ9+BQ13</f>
        <v>451849150</v>
      </c>
      <c r="BM8" s="71" t="s">
        <v>59</v>
      </c>
      <c r="BN8" s="72">
        <f>BN9+BN14+BN13</f>
        <v>28776754105</v>
      </c>
      <c r="BO8" s="69">
        <f>BO9+BO14+BO13</f>
        <v>25617164036</v>
      </c>
      <c r="BP8" s="69">
        <f>BP9+BP14+BP13</f>
        <v>18244697576</v>
      </c>
      <c r="BQ8" s="70">
        <f>BQ9+BQ14+BQ13</f>
        <v>1682426983</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12106629837</v>
      </c>
      <c r="AR9" s="12">
        <f>I28+I75</f>
        <v>12092512280</v>
      </c>
      <c r="AS9" s="12">
        <f>L28+L75</f>
        <v>4699921370</v>
      </c>
      <c r="AT9" s="13"/>
      <c r="AU9" s="340">
        <f t="shared" si="0"/>
        <v>0.99883389868278172</v>
      </c>
      <c r="AV9" s="340">
        <f t="shared" si="1"/>
        <v>0.38821054523664461</v>
      </c>
      <c r="AW9" s="341">
        <f>(I30+I33+I36+I76)/AO$2*12+I31+I34+I37+I38+I39+I40+I77</f>
        <v>16070709688.5</v>
      </c>
      <c r="AX9" s="341">
        <f>(L30+L33+L36+L76)/AO$2*12+L31+L34+L37+L38+L39+L40+L77</f>
        <v>4981823323.5</v>
      </c>
      <c r="AY9" s="341">
        <f t="shared" si="2"/>
        <v>3964079851.5</v>
      </c>
      <c r="AZ9" s="342">
        <f t="shared" si="3"/>
        <v>-7124806513.5</v>
      </c>
      <c r="BB9" s="343" t="s">
        <v>412</v>
      </c>
      <c r="BC9" s="73">
        <f>BC10+BC18</f>
        <v>81581724495</v>
      </c>
      <c r="BD9" s="74">
        <f>BD10+BD18</f>
        <v>59011679974</v>
      </c>
      <c r="BE9" s="75">
        <f>BE10+BE18</f>
        <v>3410702619</v>
      </c>
      <c r="BF9" s="76"/>
      <c r="BG9" s="77" t="s">
        <v>62</v>
      </c>
      <c r="BH9" s="78">
        <f t="shared" ref="BH9:BK10" si="6">BN14</f>
        <v>22574156386</v>
      </c>
      <c r="BI9" s="78">
        <f t="shared" si="6"/>
        <v>22144637282</v>
      </c>
      <c r="BJ9" s="78">
        <f t="shared" si="6"/>
        <v>14772170822</v>
      </c>
      <c r="BK9" s="78">
        <f t="shared" si="6"/>
        <v>1230577833</v>
      </c>
      <c r="BM9" s="137" t="s">
        <v>63</v>
      </c>
      <c r="BN9" s="80">
        <f>SUM(BN10:BN12)</f>
        <v>4548685503</v>
      </c>
      <c r="BO9" s="78">
        <f>SUM(BO10:BO12)</f>
        <v>2669019180</v>
      </c>
      <c r="BP9" s="78">
        <f>SUM(BP10:BP12)</f>
        <v>2669019180</v>
      </c>
      <c r="BQ9" s="79">
        <f>SUM(BQ10:BQ12)</f>
        <v>351567299</v>
      </c>
    </row>
    <row r="10" spans="1:69" s="9" customFormat="1" ht="24.95" customHeight="1">
      <c r="A10" s="712">
        <f>+IF(JULIO!A10=0,"",JULIO!A10)</f>
        <v>10</v>
      </c>
      <c r="B10" s="620" t="str">
        <f>+IF(JULIO!B10=0,"",JULIO!B10)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346">
        <f t="shared" si="7"/>
        <v>10176865038</v>
      </c>
      <c r="J10" s="174">
        <f t="shared" si="7"/>
        <v>10176865038</v>
      </c>
      <c r="K10" s="344">
        <f t="shared" si="7"/>
        <v>0</v>
      </c>
      <c r="L10" s="175">
        <f t="shared" si="7"/>
        <v>10176865038</v>
      </c>
      <c r="M10" s="174">
        <f t="shared" si="7"/>
        <v>0</v>
      </c>
      <c r="N10" s="175">
        <f t="shared" si="7"/>
        <v>0</v>
      </c>
      <c r="O10" s="13"/>
      <c r="P10" s="174">
        <f>SUM(P12:P15)</f>
        <v>0</v>
      </c>
      <c r="Q10" s="175">
        <f>SUM(Q12:Q15)</f>
        <v>0</v>
      </c>
      <c r="S10" s="347" t="str">
        <f>+IF(JULIO!S10=0,"",JULIO!S10)</f>
        <v>A</v>
      </c>
      <c r="T10" s="659" t="str">
        <f>+IF(JULIO!T10=0,"",JULIO!T10)</f>
        <v>GASTOS DE FUNCIONAMIENTO</v>
      </c>
      <c r="U10" s="348">
        <f>U12+U110+U170</f>
        <v>50109343517</v>
      </c>
      <c r="V10" s="349">
        <f t="shared" ref="V10:AJ10" si="8">V12+V110+V170</f>
        <v>-5385317789</v>
      </c>
      <c r="W10" s="349">
        <f t="shared" si="8"/>
        <v>4384099806</v>
      </c>
      <c r="X10" s="352">
        <f t="shared" si="8"/>
        <v>49108125534</v>
      </c>
      <c r="Y10" s="351">
        <f t="shared" si="8"/>
        <v>41016248423</v>
      </c>
      <c r="Z10" s="349">
        <f t="shared" si="8"/>
        <v>2010083762</v>
      </c>
      <c r="AA10" s="352">
        <f t="shared" si="8"/>
        <v>43026332185</v>
      </c>
      <c r="AB10" s="351">
        <f t="shared" si="8"/>
        <v>29517573741</v>
      </c>
      <c r="AC10" s="349">
        <f t="shared" si="8"/>
        <v>3938410049</v>
      </c>
      <c r="AD10" s="352">
        <f t="shared" si="8"/>
        <v>33455983790</v>
      </c>
      <c r="AE10" s="351">
        <f t="shared" si="8"/>
        <v>21558354138</v>
      </c>
      <c r="AF10" s="349">
        <f t="shared" si="8"/>
        <v>2931680420</v>
      </c>
      <c r="AG10" s="352">
        <f t="shared" si="8"/>
        <v>24490034558</v>
      </c>
      <c r="AH10" s="351">
        <f t="shared" si="8"/>
        <v>6081793349</v>
      </c>
      <c r="AI10" s="349">
        <f t="shared" si="8"/>
        <v>15652141744</v>
      </c>
      <c r="AJ10" s="350">
        <f t="shared" si="8"/>
        <v>24618090976</v>
      </c>
      <c r="AL10" s="353">
        <f>AL12+AL110+AL170</f>
        <v>-660000000</v>
      </c>
      <c r="AM10" s="354">
        <f>AM12+AM110+AM170</f>
        <v>466603003</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65598825422</v>
      </c>
      <c r="BD10" s="74">
        <f>BD11+BD12+BD13+BD14+BD16+BD17+BD15</f>
        <v>44199191620</v>
      </c>
      <c r="BE10" s="75">
        <f>BE11+BE12+BE13+BE14+BE16+BE17+BE15</f>
        <v>3410702619</v>
      </c>
      <c r="BF10" s="76"/>
      <c r="BG10" s="68" t="s">
        <v>66</v>
      </c>
      <c r="BH10" s="81">
        <f t="shared" si="6"/>
        <v>10965134256</v>
      </c>
      <c r="BI10" s="81">
        <f t="shared" si="6"/>
        <v>8869807225</v>
      </c>
      <c r="BJ10" s="81">
        <f t="shared" si="6"/>
        <v>6671925290</v>
      </c>
      <c r="BK10" s="81">
        <f t="shared" si="6"/>
        <v>496231946</v>
      </c>
      <c r="BM10" s="134" t="s">
        <v>425</v>
      </c>
      <c r="BN10" s="83">
        <f>X17+X66</f>
        <v>3049004812</v>
      </c>
      <c r="BO10" s="81">
        <f>AA17+AA66</f>
        <v>2243234968</v>
      </c>
      <c r="BP10" s="81">
        <f>AD17+AD66</f>
        <v>2243234968</v>
      </c>
      <c r="BQ10" s="82">
        <f>AF17+AF66</f>
        <v>307053130</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222386275</v>
      </c>
      <c r="AR11" s="12">
        <f>I88</f>
        <v>155791839</v>
      </c>
      <c r="AS11" s="12">
        <f>L88</f>
        <v>155791839</v>
      </c>
      <c r="AT11" s="361">
        <f>AO2/12</f>
        <v>0.66666666666666663</v>
      </c>
      <c r="AU11" s="340">
        <f t="shared" si="0"/>
        <v>0.70054610609400247</v>
      </c>
      <c r="AV11" s="340">
        <f t="shared" si="1"/>
        <v>0.70054610609400247</v>
      </c>
      <c r="AW11" s="341">
        <f>I88</f>
        <v>155791839</v>
      </c>
      <c r="AX11" s="341">
        <f>L88</f>
        <v>155791839</v>
      </c>
      <c r="AY11" s="341">
        <f t="shared" si="2"/>
        <v>-66594436</v>
      </c>
      <c r="AZ11" s="342">
        <f t="shared" si="3"/>
        <v>-66594436</v>
      </c>
      <c r="BB11" s="355" t="s">
        <v>414</v>
      </c>
      <c r="BC11" s="73">
        <f>F26</f>
        <v>32167564656</v>
      </c>
      <c r="BD11" s="74">
        <f>I26</f>
        <v>23026477527</v>
      </c>
      <c r="BE11" s="75">
        <f>K26</f>
        <v>2638725639</v>
      </c>
      <c r="BF11" s="76"/>
      <c r="BG11" s="68" t="s">
        <v>67</v>
      </c>
      <c r="BH11" s="84">
        <f>BN22</f>
        <v>1292354144</v>
      </c>
      <c r="BI11" s="84">
        <f>BO22</f>
        <v>724180864</v>
      </c>
      <c r="BJ11" s="84">
        <f>BP22</f>
        <v>724180864</v>
      </c>
      <c r="BK11" s="84">
        <f>BQ22</f>
        <v>78230754</v>
      </c>
      <c r="BM11" s="135" t="s">
        <v>426</v>
      </c>
      <c r="BN11" s="86">
        <f>X18+X67</f>
        <v>276902465</v>
      </c>
      <c r="BO11" s="84">
        <f>AA18+AA67</f>
        <v>87972848</v>
      </c>
      <c r="BP11" s="84">
        <f>AD18+AD67</f>
        <v>87972848</v>
      </c>
      <c r="BQ11" s="85">
        <f>AF18+AF67</f>
        <v>16406182</v>
      </c>
    </row>
    <row r="12" spans="1:69" s="9" customFormat="1" ht="24.95" customHeight="1">
      <c r="A12" s="593">
        <f>+IF(JULIO!A12=0,"",JULIO!A12)</f>
        <v>1001</v>
      </c>
      <c r="B12" s="621" t="str">
        <f>+IF(JULIO!B12=0,"",JULIO!B12)</f>
        <v>Bienestar Social (Caja, Bancos, Inversiones Tempor.) a Dic-31-2018</v>
      </c>
      <c r="C12" s="655">
        <f>+ENERO!C12</f>
        <v>0</v>
      </c>
      <c r="D12" s="363">
        <f>JULIO!D12+AGOSTO!P12</f>
        <v>0</v>
      </c>
      <c r="E12" s="363">
        <f>JULIO!E12+AGOSTO!Q12</f>
        <v>0</v>
      </c>
      <c r="F12" s="143">
        <f>SUM(C12:E12)</f>
        <v>0</v>
      </c>
      <c r="G12" s="216">
        <f>JULIO!I12</f>
        <v>0</v>
      </c>
      <c r="H12" s="364">
        <v>0</v>
      </c>
      <c r="I12" s="143">
        <f>SUM(G12:H12)</f>
        <v>0</v>
      </c>
      <c r="J12" s="216">
        <f>JULIO!L12</f>
        <v>0</v>
      </c>
      <c r="K12" s="131">
        <v>0</v>
      </c>
      <c r="L12" s="143">
        <f>SUM(J12:K12)</f>
        <v>0</v>
      </c>
      <c r="M12" s="216">
        <f>F12-I12</f>
        <v>0</v>
      </c>
      <c r="N12" s="143">
        <f>F12-L12</f>
        <v>0</v>
      </c>
      <c r="O12" s="284"/>
      <c r="P12" s="362">
        <v>0</v>
      </c>
      <c r="Q12" s="365">
        <v>0</v>
      </c>
      <c r="S12" s="685">
        <f>+IF(JULIO!S12=0,"",JULIO!S12)</f>
        <v>1000000</v>
      </c>
      <c r="T12" s="661" t="str">
        <f>+IF(JULIO!T12=0,"",JULIO!T12)</f>
        <v>GASTOS DE PERSONAL</v>
      </c>
      <c r="U12" s="366">
        <f t="shared" ref="U12:AJ12" si="9">U14+U63</f>
        <v>36893269846</v>
      </c>
      <c r="V12" s="367">
        <f t="shared" si="9"/>
        <v>-4294317789</v>
      </c>
      <c r="W12" s="367">
        <f t="shared" si="9"/>
        <v>1979785077</v>
      </c>
      <c r="X12" s="368">
        <f t="shared" si="9"/>
        <v>34578737134</v>
      </c>
      <c r="Y12" s="353">
        <f t="shared" si="9"/>
        <v>30301077572</v>
      </c>
      <c r="Z12" s="367">
        <f t="shared" si="9"/>
        <v>1082405910</v>
      </c>
      <c r="AA12" s="368">
        <f t="shared" si="9"/>
        <v>31383483482</v>
      </c>
      <c r="AB12" s="353">
        <f t="shared" si="9"/>
        <v>21149230291</v>
      </c>
      <c r="AC12" s="367">
        <f t="shared" si="9"/>
        <v>2861786731</v>
      </c>
      <c r="AD12" s="368">
        <f t="shared" si="9"/>
        <v>24011017022</v>
      </c>
      <c r="AE12" s="353">
        <f t="shared" si="9"/>
        <v>14551183879</v>
      </c>
      <c r="AF12" s="367">
        <f t="shared" si="9"/>
        <v>2133845838</v>
      </c>
      <c r="AG12" s="368">
        <f t="shared" si="9"/>
        <v>16685029717</v>
      </c>
      <c r="AH12" s="353">
        <f t="shared" si="9"/>
        <v>3195253652</v>
      </c>
      <c r="AI12" s="367">
        <f t="shared" si="9"/>
        <v>10567720112</v>
      </c>
      <c r="AJ12" s="354">
        <f t="shared" si="9"/>
        <v>17893707417</v>
      </c>
      <c r="AK12" s="10"/>
      <c r="AL12" s="369">
        <f>AL14+AL63</f>
        <v>-790000000</v>
      </c>
      <c r="AM12" s="370">
        <f>AM14+AM63</f>
        <v>106603003</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3087894380</v>
      </c>
      <c r="BD12" s="74">
        <f>I23</f>
        <v>2109074283</v>
      </c>
      <c r="BE12" s="75">
        <f>K23</f>
        <v>168832926</v>
      </c>
      <c r="BF12" s="76"/>
      <c r="BG12" s="371" t="s">
        <v>383</v>
      </c>
      <c r="BH12" s="84">
        <f>BN25</f>
        <v>17625908715</v>
      </c>
      <c r="BI12" s="15">
        <f>BO25</f>
        <v>15569571878</v>
      </c>
      <c r="BJ12" s="84">
        <f>BP25</f>
        <v>13113191404</v>
      </c>
      <c r="BK12" s="84">
        <f>BQ25</f>
        <v>781043394</v>
      </c>
      <c r="BM12" s="136" t="s">
        <v>427</v>
      </c>
      <c r="BN12" s="86">
        <f>X16+X65-X81-X33-BN10-BN11</f>
        <v>1222778226</v>
      </c>
      <c r="BO12" s="84">
        <f>AA16+AA65-AA81-AA33-BO10-BO11</f>
        <v>337811364</v>
      </c>
      <c r="BP12" s="84">
        <f>AD16+AD65-AD81-AD33-BP10-BP11</f>
        <v>337811364</v>
      </c>
      <c r="BQ12" s="85">
        <f>AF16+AF65-AF81-AF33-BQ10-BQ11</f>
        <v>28107987</v>
      </c>
    </row>
    <row r="13" spans="1:69" s="9" customFormat="1" ht="24.95" customHeight="1">
      <c r="A13" s="593">
        <f>+IF(JULIO!A13=0,"",JULIO!A13)</f>
        <v>1002</v>
      </c>
      <c r="B13" s="621" t="str">
        <f>+IF(JULIO!B13=0,"",JULIO!B13)</f>
        <v>Fondo Vivienda (Caja, Bancos, Inversiones Tempor.) a Dic-31-2018</v>
      </c>
      <c r="C13" s="655">
        <f>+ENERO!C13</f>
        <v>0</v>
      </c>
      <c r="D13" s="363">
        <f>JULIO!D13+AGOSTO!P13</f>
        <v>0</v>
      </c>
      <c r="E13" s="363">
        <f>JULIO!E13+AGOSTO!Q13</f>
        <v>0</v>
      </c>
      <c r="F13" s="143">
        <f>SUM(C13:E13)</f>
        <v>0</v>
      </c>
      <c r="G13" s="216">
        <f>JULIO!I13</f>
        <v>0</v>
      </c>
      <c r="H13" s="364">
        <v>0</v>
      </c>
      <c r="I13" s="143">
        <f>SUM(G13:H13)</f>
        <v>0</v>
      </c>
      <c r="J13" s="216">
        <f>JULIO!L13</f>
        <v>0</v>
      </c>
      <c r="K13" s="131">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8462676450</v>
      </c>
      <c r="BE13" s="89">
        <f>+K30+K33+K36+K38+K39+K40</f>
        <v>110781598</v>
      </c>
      <c r="BF13" s="90"/>
      <c r="BG13" s="91" t="s">
        <v>70</v>
      </c>
      <c r="BH13" s="84">
        <f t="shared" ref="BH13:BK15" si="10">BN29</f>
        <v>26829618396</v>
      </c>
      <c r="BI13" s="84">
        <f t="shared" si="10"/>
        <v>19488829887</v>
      </c>
      <c r="BJ13" s="84">
        <f t="shared" si="10"/>
        <v>12110879233</v>
      </c>
      <c r="BK13" s="84">
        <f t="shared" si="10"/>
        <v>305817927</v>
      </c>
      <c r="BM13" s="139" t="s">
        <v>428</v>
      </c>
      <c r="BN13" s="83">
        <f>X43-X55+X57-X61+X90-X102+X104-X108</f>
        <v>1653912216</v>
      </c>
      <c r="BO13" s="81">
        <f>AA43-AA55+AA57-AA61+AA90-AA102+AA104-AA108</f>
        <v>803507574</v>
      </c>
      <c r="BP13" s="81">
        <f>AD43-AD55+AD57-AD61+AD90-AD102+AD104-AD108</f>
        <v>803507574</v>
      </c>
      <c r="BQ13" s="82">
        <f>AF43-AF55+AF57-AF61+AF90-AF102+AF104-AF108</f>
        <v>100281851</v>
      </c>
    </row>
    <row r="14" spans="1:69" s="9" customFormat="1" ht="24.95" customHeight="1">
      <c r="A14" s="593">
        <f>+IF(JULIO!A14=0,"",JULIO!A14)</f>
        <v>1003</v>
      </c>
      <c r="B14" s="621" t="str">
        <f>+IF(JULIO!B14=0,"",JULIO!B14)</f>
        <v>Fondos Comunes y Especiales (Caja, Bancos, Invers. Tempor.) a Dic-31-2018</v>
      </c>
      <c r="C14" s="655">
        <f>+ENERO!C14</f>
        <v>4565434734</v>
      </c>
      <c r="D14" s="363">
        <f>JULIO!D14+AGOSTO!P14</f>
        <v>0</v>
      </c>
      <c r="E14" s="363">
        <f>JULIO!E14+AGOSTO!Q14</f>
        <v>5318248230</v>
      </c>
      <c r="F14" s="143">
        <f>SUM(C14:E14)</f>
        <v>9883682964</v>
      </c>
      <c r="G14" s="216">
        <f>JULIO!I14</f>
        <v>9883682964</v>
      </c>
      <c r="H14" s="364">
        <v>0</v>
      </c>
      <c r="I14" s="143">
        <f>SUM(G14:H14)</f>
        <v>9883682964</v>
      </c>
      <c r="J14" s="216">
        <f>JULIO!L14</f>
        <v>9883682964</v>
      </c>
      <c r="K14" s="131">
        <v>0</v>
      </c>
      <c r="L14" s="143">
        <f>SUM(J14:K14)</f>
        <v>9883682964</v>
      </c>
      <c r="M14" s="216">
        <f>F14-I14</f>
        <v>0</v>
      </c>
      <c r="N14" s="143">
        <f>F14-L14</f>
        <v>0</v>
      </c>
      <c r="O14" s="372"/>
      <c r="P14" s="362">
        <v>0</v>
      </c>
      <c r="Q14" s="365">
        <v>0</v>
      </c>
      <c r="S14" s="686">
        <f>+IF(JULIO!S14=0,"",JULIO!S14)</f>
        <v>1010000</v>
      </c>
      <c r="T14" s="662" t="str">
        <f>+IF(JULIO!T14=0,"",JULIO!T14)</f>
        <v>Gastos de Administración</v>
      </c>
      <c r="U14" s="132">
        <f t="shared" ref="U14:AJ14" si="11">U16+U35+U43+U57</f>
        <v>6899222078</v>
      </c>
      <c r="V14" s="122">
        <f t="shared" si="11"/>
        <v>-478979942</v>
      </c>
      <c r="W14" s="122">
        <f t="shared" si="11"/>
        <v>270000000</v>
      </c>
      <c r="X14" s="129">
        <f t="shared" si="11"/>
        <v>6690242136</v>
      </c>
      <c r="Y14" s="128">
        <f t="shared" si="11"/>
        <v>5563828772</v>
      </c>
      <c r="Z14" s="122">
        <f t="shared" si="11"/>
        <v>185726163</v>
      </c>
      <c r="AA14" s="129">
        <f t="shared" si="11"/>
        <v>5749554935</v>
      </c>
      <c r="AB14" s="128">
        <f t="shared" si="11"/>
        <v>4061050270</v>
      </c>
      <c r="AC14" s="122">
        <f t="shared" si="11"/>
        <v>531571011</v>
      </c>
      <c r="AD14" s="129">
        <f t="shared" si="11"/>
        <v>4592621281</v>
      </c>
      <c r="AE14" s="128">
        <f t="shared" si="11"/>
        <v>3566379329</v>
      </c>
      <c r="AF14" s="122">
        <f t="shared" si="11"/>
        <v>440645742</v>
      </c>
      <c r="AG14" s="129">
        <f t="shared" si="11"/>
        <v>4007025071</v>
      </c>
      <c r="AH14" s="128">
        <f t="shared" si="11"/>
        <v>940687201</v>
      </c>
      <c r="AI14" s="122">
        <f t="shared" si="11"/>
        <v>2097620855</v>
      </c>
      <c r="AJ14" s="130">
        <f t="shared" si="11"/>
        <v>2683217065</v>
      </c>
      <c r="AK14" s="10"/>
      <c r="AL14" s="128">
        <f>AL16+AL35+AL43+AL57</f>
        <v>5000000</v>
      </c>
      <c r="AM14" s="130">
        <f>AM16+AM35+AM43+AM57</f>
        <v>50000000</v>
      </c>
      <c r="AO14" s="21"/>
      <c r="AP14" s="11" t="s">
        <v>73</v>
      </c>
      <c r="AQ14" s="12">
        <f>F19-AQ7-AQ8-AQ9-AQ10-AQ11-AQ12-AQ13</f>
        <v>22866996186</v>
      </c>
      <c r="AR14" s="12">
        <f>I19-AR7-AR8-AR9-AR10-AR11-AR12-AR13</f>
        <v>12230615721</v>
      </c>
      <c r="AS14" s="12">
        <f>L19-AS7-AS8-AS9-AS10-AS11-AS12-AS13</f>
        <v>8183691909.7599945</v>
      </c>
      <c r="AT14" s="372"/>
      <c r="AU14" s="340">
        <f t="shared" si="0"/>
        <v>0.53485886915431524</v>
      </c>
      <c r="AV14" s="340">
        <f t="shared" si="1"/>
        <v>0.35788224405137853</v>
      </c>
      <c r="AW14" s="341">
        <f>(I41+I46+I49+I52+I55+I58+I61+I64+I67+I70+I73+I78+I81+I82+I83+I85+I94+I104)/AO$2*12+I47+I50+I53+I56+I59+I62+I65+I68+I71+I74</f>
        <v>39942460354</v>
      </c>
      <c r="AX14" s="341">
        <f>(L41+L46+L49+L52+L55+L58+L61+L64+L67+L70+L73+L78+L81+L82+L83+L85+L94+L104)/AO$2*12+L47+L50+L53+L56+L59+L62+L65+L68+L71+L74</f>
        <v>33788126714.294998</v>
      </c>
      <c r="AY14" s="341">
        <f t="shared" si="2"/>
        <v>17075464168</v>
      </c>
      <c r="AZ14" s="342">
        <f t="shared" si="3"/>
        <v>10921130528.294998</v>
      </c>
      <c r="BB14" s="373" t="s">
        <v>417</v>
      </c>
      <c r="BC14" s="92">
        <f>+F64</f>
        <v>8371510292</v>
      </c>
      <c r="BD14" s="93">
        <f>+I64</f>
        <v>3743215135</v>
      </c>
      <c r="BE14" s="94">
        <f>K64</f>
        <v>430057082</v>
      </c>
      <c r="BF14" s="95"/>
      <c r="BG14" s="91" t="s">
        <v>74</v>
      </c>
      <c r="BH14" s="81">
        <f t="shared" si="10"/>
        <v>262344980</v>
      </c>
      <c r="BI14" s="81">
        <f t="shared" si="10"/>
        <v>205567607</v>
      </c>
      <c r="BJ14" s="81">
        <f t="shared" si="10"/>
        <v>205567607</v>
      </c>
      <c r="BK14" s="81">
        <f t="shared" si="10"/>
        <v>25403879</v>
      </c>
      <c r="BM14" s="138" t="s">
        <v>424</v>
      </c>
      <c r="BN14" s="86">
        <f>X35-X41+X83-X88</f>
        <v>22574156386</v>
      </c>
      <c r="BO14" s="84">
        <f>AA35-AA41+AA83-AA88</f>
        <v>22144637282</v>
      </c>
      <c r="BP14" s="84">
        <f>AD35-AD41+AD83-AD88</f>
        <v>14772170822</v>
      </c>
      <c r="BQ14" s="85">
        <f>AF35-AF41+AF83-AF88</f>
        <v>1230577833</v>
      </c>
    </row>
    <row r="15" spans="1:69" s="9" customFormat="1" ht="24.95" customHeight="1" thickBot="1">
      <c r="A15" s="594">
        <f>+IF(JULIO!A15=0,"",JULIO!A15)</f>
        <v>1004</v>
      </c>
      <c r="B15" s="621" t="str">
        <f>+IF(JULIO!B15=0,"",JULIO!B15)</f>
        <v>Cesantias Ley 50/1990 a Dic-31-2018</v>
      </c>
      <c r="C15" s="759">
        <f>+ENERO!C15</f>
        <v>280000000</v>
      </c>
      <c r="D15" s="375">
        <f>JULIO!D15+AGOSTO!P15</f>
        <v>0</v>
      </c>
      <c r="E15" s="375">
        <f>JULIO!E15+AGOSTO!Q15</f>
        <v>13182074</v>
      </c>
      <c r="F15" s="376">
        <f>SUM(C15:E15)</f>
        <v>293182074</v>
      </c>
      <c r="G15" s="377">
        <f>JULIO!I15</f>
        <v>293182074</v>
      </c>
      <c r="H15" s="378">
        <v>0</v>
      </c>
      <c r="I15" s="376">
        <f>SUM(G15:H15)</f>
        <v>293182074</v>
      </c>
      <c r="J15" s="377">
        <f>JULIO!L15</f>
        <v>293182074</v>
      </c>
      <c r="K15" s="165">
        <v>0</v>
      </c>
      <c r="L15" s="376">
        <f>SUM(J15:K15)</f>
        <v>293182074</v>
      </c>
      <c r="M15" s="377">
        <f>F15-I15</f>
        <v>0</v>
      </c>
      <c r="N15" s="376">
        <f>F15-L15</f>
        <v>0</v>
      </c>
      <c r="O15" s="372"/>
      <c r="P15" s="374">
        <v>0</v>
      </c>
      <c r="Q15" s="379">
        <v>0</v>
      </c>
      <c r="S15" s="356" t="str">
        <f>+IF(JULIO!S15=0,"",JULIO!S15)</f>
        <v/>
      </c>
      <c r="T15" s="678" t="str">
        <f>+IF(JULIO!T15=0,"",JULIO!T15)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786064103</v>
      </c>
      <c r="AR15" s="12">
        <f>I113</f>
        <v>594244673</v>
      </c>
      <c r="AS15" s="12">
        <f>L113</f>
        <v>594244673</v>
      </c>
      <c r="AT15" s="13"/>
      <c r="AU15" s="340">
        <f t="shared" si="0"/>
        <v>0.75597482537629634</v>
      </c>
      <c r="AV15" s="332">
        <f t="shared" si="1"/>
        <v>0.75597482537629634</v>
      </c>
      <c r="AW15" s="12">
        <f>+AR15</f>
        <v>594244673</v>
      </c>
      <c r="AX15" s="12">
        <f>+AS15</f>
        <v>594244673</v>
      </c>
      <c r="AY15" s="12">
        <f t="shared" si="2"/>
        <v>-191819430</v>
      </c>
      <c r="AZ15" s="333">
        <f t="shared" si="3"/>
        <v>-191819430</v>
      </c>
      <c r="BA15" s="372"/>
      <c r="BB15" s="373" t="s">
        <v>77</v>
      </c>
      <c r="BC15" s="92">
        <f>F46+F49</f>
        <v>130489617</v>
      </c>
      <c r="BD15" s="93">
        <f>I46+I49</f>
        <v>700928131</v>
      </c>
      <c r="BE15" s="94">
        <f>K46+K49</f>
        <v>0</v>
      </c>
      <c r="BF15" s="95"/>
      <c r="BG15" s="91" t="s">
        <v>78</v>
      </c>
      <c r="BH15" s="81">
        <f t="shared" si="10"/>
        <v>20411150564</v>
      </c>
      <c r="BI15" s="81">
        <f t="shared" si="10"/>
        <v>19886253095</v>
      </c>
      <c r="BJ15" s="81">
        <f t="shared" si="10"/>
        <v>15892840519</v>
      </c>
      <c r="BK15" s="81">
        <f t="shared" si="10"/>
        <v>678610637</v>
      </c>
      <c r="BM15" s="71" t="s">
        <v>66</v>
      </c>
      <c r="BN15" s="83">
        <f>SUM(BN16:BN21)</f>
        <v>10965134256</v>
      </c>
      <c r="BO15" s="81">
        <f>SUM(BO16:BO21)</f>
        <v>8869807225</v>
      </c>
      <c r="BP15" s="81">
        <f>SUM(BP16:BP21)</f>
        <v>6671925290</v>
      </c>
      <c r="BQ15" s="82">
        <f>SUM(BQ16:BQ21)</f>
        <v>496231946</v>
      </c>
    </row>
    <row r="16" spans="1:69" s="9" customFormat="1" ht="24.95" customHeight="1" thickBot="1">
      <c r="A16" s="713" t="str">
        <f>+IF(JULIO!A16=0,"",JULIO!A16)</f>
        <v/>
      </c>
      <c r="B16" s="622" t="str">
        <f>+IF(JULIO!B16=0,"",JULIO!B16)</f>
        <v/>
      </c>
      <c r="C16" s="380"/>
      <c r="D16" s="380"/>
      <c r="E16" s="380"/>
      <c r="F16" s="380"/>
      <c r="G16" s="380"/>
      <c r="H16" s="380"/>
      <c r="I16" s="380"/>
      <c r="J16" s="380"/>
      <c r="K16" s="380"/>
      <c r="L16" s="380"/>
      <c r="M16" s="380"/>
      <c r="N16" s="381"/>
      <c r="O16" s="372"/>
      <c r="P16" s="382"/>
      <c r="Q16" s="383"/>
      <c r="S16" s="687">
        <f>+IF(JULIO!S16=0,"",JULIO!S16)</f>
        <v>1010100</v>
      </c>
      <c r="T16" s="663" t="str">
        <f>+IF(JULIO!T16=0,"",JULIO!T16)</f>
        <v>Servicios Personales Asociados a Nómina</v>
      </c>
      <c r="U16" s="132">
        <f t="shared" ref="U16:AJ16" si="12">SUM(U17:U20)+U33</f>
        <v>1868719642</v>
      </c>
      <c r="V16" s="122">
        <f t="shared" si="12"/>
        <v>-315000000</v>
      </c>
      <c r="W16" s="122">
        <f t="shared" si="12"/>
        <v>120000000</v>
      </c>
      <c r="X16" s="129">
        <f t="shared" si="12"/>
        <v>1673719642</v>
      </c>
      <c r="Y16" s="128">
        <f t="shared" si="12"/>
        <v>852794422</v>
      </c>
      <c r="Z16" s="122">
        <f t="shared" si="12"/>
        <v>126298559</v>
      </c>
      <c r="AA16" s="129">
        <f t="shared" si="12"/>
        <v>979092981</v>
      </c>
      <c r="AB16" s="128">
        <f t="shared" si="12"/>
        <v>852794422</v>
      </c>
      <c r="AC16" s="122">
        <f t="shared" si="12"/>
        <v>126298559</v>
      </c>
      <c r="AD16" s="129">
        <f t="shared" si="12"/>
        <v>979092981</v>
      </c>
      <c r="AE16" s="128">
        <f t="shared" si="12"/>
        <v>852794422</v>
      </c>
      <c r="AF16" s="122">
        <f t="shared" si="12"/>
        <v>126298559</v>
      </c>
      <c r="AG16" s="129">
        <f t="shared" si="12"/>
        <v>979092981</v>
      </c>
      <c r="AH16" s="128">
        <f t="shared" si="12"/>
        <v>694626661</v>
      </c>
      <c r="AI16" s="122">
        <f t="shared" si="12"/>
        <v>694626661</v>
      </c>
      <c r="AJ16" s="130">
        <f t="shared" si="12"/>
        <v>694626661</v>
      </c>
      <c r="AK16" s="10"/>
      <c r="AL16" s="128">
        <f>SUM(AL17:AL20)+AL33</f>
        <v>5000000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76"/>
      <c r="BG16" s="91" t="s">
        <v>82</v>
      </c>
      <c r="BH16" s="96">
        <f>BH7+BH12+BH13+BH14+BH15</f>
        <v>106163265160</v>
      </c>
      <c r="BI16" s="96">
        <f>BI7+BI12+BI13+BI14+BI15</f>
        <v>90361374592</v>
      </c>
      <c r="BJ16" s="96">
        <f>BJ7+BJ12+BJ13+BJ14+BJ15</f>
        <v>66963282493</v>
      </c>
      <c r="BK16" s="96">
        <f>BK7+BK12+BK13+BK14+BK15</f>
        <v>4047765520</v>
      </c>
      <c r="BM16" s="137" t="s">
        <v>83</v>
      </c>
      <c r="BN16" s="83">
        <f>X114-X121+X147-X148-X153</f>
        <v>1474314729</v>
      </c>
      <c r="BO16" s="81">
        <f>AA114-AA121+AA147-AA148-AA153</f>
        <v>912160397</v>
      </c>
      <c r="BP16" s="81">
        <f>AD114-AD121+AD147-AD148-AD153</f>
        <v>756422857</v>
      </c>
      <c r="BQ16" s="82">
        <f>AF114-AF121+AF147-AF148-AF153</f>
        <v>44332159</v>
      </c>
    </row>
    <row r="17" spans="1:70" s="372" customFormat="1" ht="24.95" customHeight="1" thickBot="1">
      <c r="A17" s="712">
        <f>+IF(JULIO!A17=0,"",JULIO!A17)</f>
        <v>11</v>
      </c>
      <c r="B17" s="623" t="str">
        <f>+IF(JULIO!B17=0,"",JULIO!B17)</f>
        <v>INGRESOS  CORRIENTES</v>
      </c>
      <c r="C17" s="324">
        <f>C19+C94+C104</f>
        <v>61374630552</v>
      </c>
      <c r="D17" s="321">
        <f t="shared" ref="D17:Q17" si="13">D19+D94+D104</f>
        <v>0</v>
      </c>
      <c r="E17" s="321">
        <f t="shared" si="13"/>
        <v>33825705467</v>
      </c>
      <c r="F17" s="321">
        <f t="shared" si="13"/>
        <v>95200336019</v>
      </c>
      <c r="G17" s="321">
        <f t="shared" si="13"/>
        <v>66718374098</v>
      </c>
      <c r="H17" s="321">
        <f t="shared" si="13"/>
        <v>6501271937</v>
      </c>
      <c r="I17" s="321">
        <f t="shared" si="13"/>
        <v>73219646035</v>
      </c>
      <c r="J17" s="321">
        <f t="shared" si="13"/>
        <v>46671704359.759995</v>
      </c>
      <c r="K17" s="321">
        <f t="shared" si="13"/>
        <v>4055574304</v>
      </c>
      <c r="L17" s="321">
        <f t="shared" si="13"/>
        <v>50727278663.759995</v>
      </c>
      <c r="M17" s="321">
        <f t="shared" si="13"/>
        <v>21980689984</v>
      </c>
      <c r="N17" s="322">
        <f t="shared" si="13"/>
        <v>44473057355.239998</v>
      </c>
      <c r="P17" s="174">
        <f t="shared" si="13"/>
        <v>0</v>
      </c>
      <c r="Q17" s="175">
        <f t="shared" si="13"/>
        <v>1608040304</v>
      </c>
      <c r="R17" s="9"/>
      <c r="S17" s="688">
        <f>+IF(JULIO!S17=0,"",JULIO!S17)</f>
        <v>1010101</v>
      </c>
      <c r="T17" s="664" t="str">
        <f>+IF(JULIO!T17=0,"",JULIO!T17)</f>
        <v>Sueldos del Personal de nómina</v>
      </c>
      <c r="U17" s="27">
        <f>+ENERO!U17</f>
        <v>1519896974</v>
      </c>
      <c r="V17" s="15">
        <f>JULIO!V17+AGOSTO!AL17</f>
        <v>-200000000</v>
      </c>
      <c r="W17" s="15">
        <f>JULIO!W17+AGOSTO!AM17</f>
        <v>0</v>
      </c>
      <c r="X17" s="18">
        <f>SUM(U17:W17)</f>
        <v>1319896974</v>
      </c>
      <c r="Y17" s="19">
        <f>JULIO!AA17</f>
        <v>741181676</v>
      </c>
      <c r="Z17" s="364">
        <v>120610479</v>
      </c>
      <c r="AA17" s="18">
        <f>SUM(Y17:Z17)</f>
        <v>861792155</v>
      </c>
      <c r="AB17" s="19">
        <f>JULIO!AD17</f>
        <v>741181676</v>
      </c>
      <c r="AC17" s="364">
        <v>120610479</v>
      </c>
      <c r="AD17" s="18">
        <f>SUM(AB17:AC17)</f>
        <v>861792155</v>
      </c>
      <c r="AE17" s="19">
        <f>JULIO!AG17</f>
        <v>741181676</v>
      </c>
      <c r="AF17" s="364">
        <v>120610479</v>
      </c>
      <c r="AG17" s="18">
        <f>SUM(AE17:AF17)</f>
        <v>861792155</v>
      </c>
      <c r="AH17" s="19">
        <f>X17-AA17</f>
        <v>458104819</v>
      </c>
      <c r="AI17" s="15">
        <f>X17-AD17</f>
        <v>458104819</v>
      </c>
      <c r="AJ17" s="16">
        <f>X17-AG17</f>
        <v>458104819</v>
      </c>
      <c r="AK17" s="9"/>
      <c r="AL17" s="362">
        <v>0</v>
      </c>
      <c r="AM17" s="365">
        <v>0</v>
      </c>
      <c r="AN17" s="9"/>
      <c r="AO17" s="339"/>
      <c r="AP17" s="389" t="s">
        <v>85</v>
      </c>
      <c r="AQ17" s="390">
        <f>SUM(AQ7:AQ16)</f>
        <v>90079988024</v>
      </c>
      <c r="AR17" s="391">
        <f>SUM(AR7:AR16)</f>
        <v>69071373109</v>
      </c>
      <c r="AS17" s="392">
        <f>SUM(AS7:AS16)</f>
        <v>46634971019.759995</v>
      </c>
      <c r="AT17" s="393"/>
      <c r="AU17" s="391">
        <f t="shared" si="0"/>
        <v>0.76677822260142092</v>
      </c>
      <c r="AV17" s="391">
        <f t="shared" si="1"/>
        <v>0.51770623023767548</v>
      </c>
      <c r="AW17" s="394">
        <f>SUM(AX7:AX16)</f>
        <v>79590639998.794998</v>
      </c>
      <c r="AX17" s="394">
        <f>SUM(AX7:AX16)</f>
        <v>79590639998.794998</v>
      </c>
      <c r="AY17" s="394">
        <f>SUM(AY7:AY16)</f>
        <v>23249203031.5</v>
      </c>
      <c r="AZ17" s="395">
        <f>SUM(AZ7:AZ16)</f>
        <v>-10489348025.205002</v>
      </c>
      <c r="BA17" s="9"/>
      <c r="BB17" s="355" t="s">
        <v>419</v>
      </c>
      <c r="BC17" s="73">
        <f>F41+F52+F55+F58+F61+F67+F70+F73+F76+F79+F82+F86+F87+F88+F89+F90+F91</f>
        <v>12889005337</v>
      </c>
      <c r="BD17" s="74">
        <f>I41+I52+I55+I58+I61+I67+I70+I73+I76+I79+I82+I86+I87+I88+I89+I90+I91</f>
        <v>6156820094</v>
      </c>
      <c r="BE17" s="75">
        <f>K41+K52+K55+K58+K61+K67+K70+K73+K76+K79+K82+K86+K87+K88+K89+K90+K91</f>
        <v>62305374</v>
      </c>
      <c r="BF17" s="76"/>
      <c r="BG17" s="98" t="s">
        <v>86</v>
      </c>
      <c r="BH17" s="99">
        <f>BC23-BH16</f>
        <v>-106163265160</v>
      </c>
      <c r="BI17" s="99"/>
      <c r="BJ17" s="99"/>
      <c r="BK17" s="99"/>
      <c r="BM17" s="137" t="s">
        <v>434</v>
      </c>
      <c r="BN17" s="83">
        <f>X123-X126-X139+X155-X156-X167-X168</f>
        <v>5029712263</v>
      </c>
      <c r="BO17" s="81">
        <f>AA123-AA126-AA139+AA155-AA156-AA167-AA168</f>
        <v>4518825691</v>
      </c>
      <c r="BP17" s="81">
        <f>AD123-AD126-AD139+AD155-AD156-AD167-AD168</f>
        <v>3285195436</v>
      </c>
      <c r="BQ17" s="82">
        <f>AF123-AF126-AF139+AF155-AF156-AF167-AF168</f>
        <v>241066552</v>
      </c>
      <c r="BR17" s="9"/>
    </row>
    <row r="18" spans="1:70" s="9" customFormat="1" ht="24.95" customHeight="1" thickBot="1">
      <c r="A18" s="593" t="str">
        <f>+IF(JULIO!A18=0,"",JULIO!A18)</f>
        <v/>
      </c>
      <c r="B18" s="624" t="str">
        <f>+IF(JULIO!B18=0,"",JULIO!B18)</f>
        <v/>
      </c>
      <c r="C18" s="284"/>
      <c r="D18" s="284"/>
      <c r="E18" s="284"/>
      <c r="F18" s="284"/>
      <c r="G18" s="284"/>
      <c r="H18" s="284"/>
      <c r="I18" s="284"/>
      <c r="J18" s="284"/>
      <c r="K18" s="284"/>
      <c r="L18" s="284"/>
      <c r="M18" s="284"/>
      <c r="N18" s="453"/>
      <c r="P18" s="397"/>
      <c r="Q18" s="396"/>
      <c r="S18" s="688">
        <f>+IF(JULIO!S18=0,"",JULIO!S18)</f>
        <v>1010102</v>
      </c>
      <c r="T18" s="664" t="str">
        <f>+IF(JULIO!T18=0,"",JULIO!T18)</f>
        <v>Horas Extras,Dominic.,Festivos y Rec. Nocturnos</v>
      </c>
      <c r="U18" s="27">
        <f>+ENERO!U18</f>
        <v>7017105</v>
      </c>
      <c r="V18" s="15">
        <f>JULIO!V18+AGOSTO!AL18</f>
        <v>5000000</v>
      </c>
      <c r="W18" s="15">
        <f>JULIO!W18+AGOSTO!AM18</f>
        <v>0</v>
      </c>
      <c r="X18" s="18">
        <f>SUM(U18:W18)</f>
        <v>12017105</v>
      </c>
      <c r="Y18" s="19">
        <f>JULIO!AA18</f>
        <v>5351175</v>
      </c>
      <c r="Z18" s="364">
        <v>849498</v>
      </c>
      <c r="AA18" s="18">
        <f>SUM(Y18:Z18)</f>
        <v>6200673</v>
      </c>
      <c r="AB18" s="19">
        <f>JULIO!AD18</f>
        <v>5351175</v>
      </c>
      <c r="AC18" s="364">
        <v>849498</v>
      </c>
      <c r="AD18" s="18">
        <f>SUM(AB18:AC18)</f>
        <v>6200673</v>
      </c>
      <c r="AE18" s="19">
        <f>JULIO!AG18</f>
        <v>5351175</v>
      </c>
      <c r="AF18" s="364">
        <v>849498</v>
      </c>
      <c r="AG18" s="18">
        <f>SUM(AE18:AF18)</f>
        <v>6200673</v>
      </c>
      <c r="AH18" s="19">
        <f>X18-AA18</f>
        <v>5816432</v>
      </c>
      <c r="AI18" s="15">
        <f>X18-AD18</f>
        <v>5816432</v>
      </c>
      <c r="AJ18" s="16">
        <f>X18-AG18</f>
        <v>5816432</v>
      </c>
      <c r="AL18" s="362">
        <v>5000000</v>
      </c>
      <c r="AM18" s="365">
        <v>0</v>
      </c>
      <c r="AO18" s="21"/>
      <c r="AP18" s="284" t="s">
        <v>51</v>
      </c>
      <c r="AQ18" s="284"/>
      <c r="AR18" s="284"/>
      <c r="AS18" s="284"/>
      <c r="AT18" s="284"/>
      <c r="AU18" s="284"/>
      <c r="AV18" s="284"/>
      <c r="AW18" s="284"/>
      <c r="AX18" s="284"/>
      <c r="AY18" s="284"/>
      <c r="AZ18" s="284"/>
      <c r="BA18" s="372"/>
      <c r="BB18" s="373" t="s">
        <v>420</v>
      </c>
      <c r="BC18" s="73">
        <f>+F95+F96+F97+F99</f>
        <v>15982899073</v>
      </c>
      <c r="BD18" s="74">
        <f>+I95+I96+I97+I99</f>
        <v>14812488354</v>
      </c>
      <c r="BE18" s="75">
        <f>+K95+K96+K97+K99</f>
        <v>0</v>
      </c>
      <c r="BF18" s="95"/>
      <c r="BM18" s="137" t="s">
        <v>87</v>
      </c>
      <c r="BN18" s="83">
        <f>X148+X156</f>
        <v>3194025000</v>
      </c>
      <c r="BO18" s="81">
        <f>AA148+AA156</f>
        <v>2787789763</v>
      </c>
      <c r="BP18" s="81">
        <f>AD148+AD156</f>
        <v>1979275623</v>
      </c>
      <c r="BQ18" s="82">
        <f>AF148+AF156</f>
        <v>174325545</v>
      </c>
      <c r="BR18" s="372"/>
    </row>
    <row r="19" spans="1:70" s="9" customFormat="1" ht="24.95" customHeight="1" thickBot="1">
      <c r="A19" s="714">
        <f>+IF(JULIO!A19=0,"",JULIO!A19)</f>
        <v>113</v>
      </c>
      <c r="B19" s="625" t="str">
        <f>+IF(JULIO!B19=0,"",JULIO!B19)</f>
        <v>VENTA DE SERVICIOS</v>
      </c>
      <c r="C19" s="324">
        <f t="shared" ref="C19:N19" si="14">C21+C85</f>
        <v>53293559356</v>
      </c>
      <c r="D19" s="321">
        <f t="shared" si="14"/>
        <v>0</v>
      </c>
      <c r="E19" s="321">
        <f t="shared" si="14"/>
        <v>25823499527</v>
      </c>
      <c r="F19" s="322">
        <f t="shared" si="14"/>
        <v>79117058883</v>
      </c>
      <c r="G19" s="324">
        <f t="shared" si="14"/>
        <v>51804636689</v>
      </c>
      <c r="H19" s="321">
        <f t="shared" si="14"/>
        <v>6495626709</v>
      </c>
      <c r="I19" s="322">
        <f t="shared" si="14"/>
        <v>58300263398</v>
      </c>
      <c r="J19" s="324">
        <f t="shared" si="14"/>
        <v>31810155496.759998</v>
      </c>
      <c r="K19" s="321">
        <f t="shared" si="14"/>
        <v>4053705812</v>
      </c>
      <c r="L19" s="322">
        <f t="shared" si="14"/>
        <v>35863861308.759995</v>
      </c>
      <c r="M19" s="324">
        <f t="shared" si="14"/>
        <v>20816795485</v>
      </c>
      <c r="N19" s="322">
        <f t="shared" si="14"/>
        <v>43253197574.239998</v>
      </c>
      <c r="O19" s="372"/>
      <c r="P19" s="43">
        <f>P21+P85</f>
        <v>0</v>
      </c>
      <c r="Q19" s="45">
        <f>Q21+Q85</f>
        <v>1608040304</v>
      </c>
      <c r="S19" s="688">
        <f>+IF(JULIO!S19=0,"",JULIO!S19)</f>
        <v>1010103</v>
      </c>
      <c r="T19" s="664" t="str">
        <f>+IF(JULIO!T19=0,"",JULIO!T19)</f>
        <v>Prima Técnica</v>
      </c>
      <c r="U19" s="27">
        <f>+ENERO!U19</f>
        <v>0</v>
      </c>
      <c r="V19" s="15">
        <f>JULIO!V19+AGOSTO!AL19</f>
        <v>0</v>
      </c>
      <c r="W19" s="15">
        <f>JULIO!W19+AGOSTO!AM19</f>
        <v>0</v>
      </c>
      <c r="X19" s="18">
        <f>SUM(U19:W19)</f>
        <v>0</v>
      </c>
      <c r="Y19" s="19">
        <f>JULIO!AA19</f>
        <v>0</v>
      </c>
      <c r="Z19" s="364">
        <v>0</v>
      </c>
      <c r="AA19" s="18">
        <f>SUM(Y19:Z19)</f>
        <v>0</v>
      </c>
      <c r="AB19" s="19">
        <f>JULIO!AD19</f>
        <v>0</v>
      </c>
      <c r="AC19" s="364">
        <v>0</v>
      </c>
      <c r="AD19" s="18">
        <f>SUM(AB19:AC19)</f>
        <v>0</v>
      </c>
      <c r="AE19" s="19">
        <f>JULIO!AG19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100378063</v>
      </c>
      <c r="BD19" s="93">
        <f>+I105+I106+I107+I108+I109+I110+I98+I100+I101</f>
        <v>106894283</v>
      </c>
      <c r="BE19" s="94">
        <f>+K105+K106+K107+K108+K109+K110+K98+K100+K101</f>
        <v>1868492</v>
      </c>
      <c r="BF19" s="57"/>
      <c r="BG19" s="372"/>
      <c r="BH19" s="372">
        <f>BN33</f>
        <v>0</v>
      </c>
      <c r="BI19" s="372"/>
      <c r="BJ19" s="372"/>
      <c r="BK19" s="372"/>
      <c r="BM19" s="137" t="s">
        <v>94</v>
      </c>
      <c r="BN19" s="83">
        <f>X126+X167</f>
        <v>740000000</v>
      </c>
      <c r="BO19" s="81">
        <f>AA126+AA167</f>
        <v>453133722</v>
      </c>
      <c r="BP19" s="81">
        <f>AD126+AD167</f>
        <v>453133722</v>
      </c>
      <c r="BQ19" s="82">
        <f>AF126+AF167</f>
        <v>19828192</v>
      </c>
    </row>
    <row r="20" spans="1:70" s="412" customFormat="1" ht="24.95" customHeight="1" thickBot="1">
      <c r="A20" s="593" t="str">
        <f>+IF(JULIO!A20=0,"",JULIO!A20)</f>
        <v/>
      </c>
      <c r="B20" s="626" t="str">
        <f>+IF(JULIO!B20=0,"",JULIO!B20)</f>
        <v/>
      </c>
      <c r="C20" s="284"/>
      <c r="D20" s="284"/>
      <c r="E20" s="284"/>
      <c r="F20" s="284"/>
      <c r="G20" s="284"/>
      <c r="H20" s="284"/>
      <c r="I20" s="284"/>
      <c r="J20" s="284"/>
      <c r="K20" s="284"/>
      <c r="L20" s="284"/>
      <c r="M20" s="284"/>
      <c r="N20" s="453"/>
      <c r="O20" s="9"/>
      <c r="P20" s="397"/>
      <c r="Q20" s="396"/>
      <c r="R20" s="9"/>
      <c r="S20" s="688">
        <f>+IF(JULIO!S20=0,"",JULIO!S20)</f>
        <v>1010104</v>
      </c>
      <c r="T20" s="664" t="str">
        <f>+IF(JULIO!T20=0,"",JULIO!T20)</f>
        <v>Otros</v>
      </c>
      <c r="U20" s="27">
        <f t="shared" ref="U20:AJ20" si="15">SUM(U21:U32)</f>
        <v>341805563</v>
      </c>
      <c r="V20" s="15">
        <f t="shared" si="15"/>
        <v>0</v>
      </c>
      <c r="W20" s="15">
        <f t="shared" si="15"/>
        <v>0</v>
      </c>
      <c r="X20" s="18">
        <f t="shared" si="15"/>
        <v>341805563</v>
      </c>
      <c r="Y20" s="19">
        <f t="shared" si="15"/>
        <v>106261571</v>
      </c>
      <c r="Z20" s="142">
        <f t="shared" si="15"/>
        <v>4838582</v>
      </c>
      <c r="AA20" s="18">
        <f t="shared" si="15"/>
        <v>111100153</v>
      </c>
      <c r="AB20" s="19">
        <f t="shared" si="15"/>
        <v>106261571</v>
      </c>
      <c r="AC20" s="142">
        <f t="shared" si="15"/>
        <v>4838582</v>
      </c>
      <c r="AD20" s="18">
        <f t="shared" si="15"/>
        <v>111100153</v>
      </c>
      <c r="AE20" s="19">
        <f t="shared" si="15"/>
        <v>106261571</v>
      </c>
      <c r="AF20" s="142">
        <f t="shared" si="15"/>
        <v>4838582</v>
      </c>
      <c r="AG20" s="18">
        <f t="shared" si="15"/>
        <v>111100153</v>
      </c>
      <c r="AH20" s="19">
        <f t="shared" si="15"/>
        <v>230705410</v>
      </c>
      <c r="AI20" s="15">
        <f t="shared" si="15"/>
        <v>230705410</v>
      </c>
      <c r="AJ20" s="16">
        <f t="shared" si="15"/>
        <v>230705410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786064103</v>
      </c>
      <c r="BD20" s="66">
        <f>+I115+I117+I119+I120+I121+I123+I124</f>
        <v>594244673</v>
      </c>
      <c r="BE20" s="67">
        <f>+K115+K117+K119+K120+K121+K123+K124</f>
        <v>8468613</v>
      </c>
      <c r="BF20" s="57"/>
      <c r="BG20" s="372"/>
      <c r="BH20" s="372">
        <f>BH19-BH16</f>
        <v>-106163265160</v>
      </c>
      <c r="BI20" s="372"/>
      <c r="BJ20" s="372"/>
      <c r="BK20" s="372"/>
      <c r="BL20" s="372"/>
      <c r="BM20" s="139" t="s">
        <v>429</v>
      </c>
      <c r="BN20" s="83">
        <f>+X141-X143</f>
        <v>527082264</v>
      </c>
      <c r="BO20" s="81">
        <f>+AA141-AA143</f>
        <v>197897652</v>
      </c>
      <c r="BP20" s="81">
        <f>+AD141-AD143</f>
        <v>197897652</v>
      </c>
      <c r="BQ20" s="82">
        <f>+AF141-AF143</f>
        <v>16679498</v>
      </c>
      <c r="BR20" s="9"/>
    </row>
    <row r="21" spans="1:70" s="412" customFormat="1" ht="24.95" customHeight="1" thickBot="1">
      <c r="A21" s="715">
        <f>+IF(JULIO!A21=0,"",JULIO!A21)</f>
        <v>11301</v>
      </c>
      <c r="B21" s="627" t="str">
        <f>+IF(JULIO!B21=0,"",JULIO!B21)</f>
        <v>Venta de Servicios de Salud</v>
      </c>
      <c r="C21" s="174">
        <f t="shared" ref="C21:N21" si="16">C22+C25+C28+C41+C42+C45+C48+C51+C54+C57+C60+C63+C66+C69+C72+C75+C78+C81</f>
        <v>53293559356</v>
      </c>
      <c r="D21" s="344">
        <f t="shared" si="16"/>
        <v>0</v>
      </c>
      <c r="E21" s="344">
        <f t="shared" si="16"/>
        <v>13622937252</v>
      </c>
      <c r="F21" s="344">
        <f t="shared" si="16"/>
        <v>66916496608</v>
      </c>
      <c r="G21" s="344">
        <f t="shared" si="16"/>
        <v>46668188073</v>
      </c>
      <c r="H21" s="344">
        <f t="shared" si="16"/>
        <v>6173199709</v>
      </c>
      <c r="I21" s="344">
        <f t="shared" si="16"/>
        <v>52841387782</v>
      </c>
      <c r="J21" s="344">
        <f t="shared" si="16"/>
        <v>27813475717.759998</v>
      </c>
      <c r="K21" s="344">
        <f t="shared" si="16"/>
        <v>4053705812</v>
      </c>
      <c r="L21" s="344">
        <f t="shared" si="16"/>
        <v>31867181529.759998</v>
      </c>
      <c r="M21" s="344">
        <f t="shared" si="16"/>
        <v>14075108826</v>
      </c>
      <c r="N21" s="175">
        <f t="shared" si="16"/>
        <v>35049315078.239998</v>
      </c>
      <c r="O21" s="372"/>
      <c r="P21" s="43">
        <f>P22+P25+P28+P41+P42+P45+P48+P51+P54+P57+P60+P63+P66+P69+P72+P75+P78+P81</f>
        <v>0</v>
      </c>
      <c r="Q21" s="45">
        <f>Q22+Q25+Q28+Q41+Q42+Q45+Q48+Q51+Q54+Q57+Q60+Q63+Q66+Q69+Q72+Q75+Q78+Q81</f>
        <v>1608040304</v>
      </c>
      <c r="R21" s="9"/>
      <c r="S21" s="689" t="str">
        <f>+IF(JULIO!S21=0,"",JULIO!S21)</f>
        <v>1010104-1</v>
      </c>
      <c r="T21" s="665" t="str">
        <f>+IF(JULIO!T21=0,"",JULIO!T21)</f>
        <v xml:space="preserve">Prima de Navidad </v>
      </c>
      <c r="U21" s="27">
        <f>+ENERO!U21</f>
        <v>142096948</v>
      </c>
      <c r="V21" s="15">
        <f>JULIO!V21+AGOSTO!AL21</f>
        <v>0</v>
      </c>
      <c r="W21" s="15">
        <f>JULIO!W21+AGOSTO!AM21</f>
        <v>0</v>
      </c>
      <c r="X21" s="18">
        <f t="shared" ref="X21:X33" si="17">SUM(U21:W21)</f>
        <v>142096948</v>
      </c>
      <c r="Y21" s="19">
        <f>JULIO!AA21</f>
        <v>4527411</v>
      </c>
      <c r="Z21" s="364">
        <v>53126</v>
      </c>
      <c r="AA21" s="18">
        <f t="shared" ref="AA21:AA33" si="18">SUM(Y21:Z21)</f>
        <v>4580537</v>
      </c>
      <c r="AB21" s="19">
        <f>JULIO!AD21</f>
        <v>4527411</v>
      </c>
      <c r="AC21" s="364">
        <v>53126</v>
      </c>
      <c r="AD21" s="18">
        <f t="shared" ref="AD21:AD33" si="19">SUM(AB21:AC21)</f>
        <v>4580537</v>
      </c>
      <c r="AE21" s="19">
        <f>JULIO!AG21</f>
        <v>4527411</v>
      </c>
      <c r="AF21" s="364">
        <v>53126</v>
      </c>
      <c r="AG21" s="18">
        <f t="shared" ref="AG21:AG33" si="20">SUM(AE21:AF21)</f>
        <v>4580537</v>
      </c>
      <c r="AH21" s="19">
        <f t="shared" ref="AH21:AH33" si="21">X21-AA21</f>
        <v>137516411</v>
      </c>
      <c r="AI21" s="15">
        <f t="shared" ref="AI21:AI33" si="22">X21-AD21</f>
        <v>137516411</v>
      </c>
      <c r="AJ21" s="16">
        <f t="shared" ref="AJ21:AJ33" si="23">X21-AG21</f>
        <v>137516411</v>
      </c>
      <c r="AK21" s="9"/>
      <c r="AL21" s="362">
        <v>0</v>
      </c>
      <c r="AM21" s="365">
        <v>0</v>
      </c>
      <c r="AN21" s="9"/>
      <c r="AO21" s="339"/>
      <c r="AP21" s="413"/>
      <c r="AQ21" s="414"/>
      <c r="AR21" s="415" t="str">
        <f>AR6</f>
        <v>AGOSTO</v>
      </c>
      <c r="AS21" s="416" t="str">
        <f>AR6</f>
        <v>AGOSTO</v>
      </c>
      <c r="AT21" s="415" t="str">
        <f>AR6</f>
        <v>AGOSTO</v>
      </c>
      <c r="AU21" s="415" t="s">
        <v>44</v>
      </c>
      <c r="AV21" s="415" t="s">
        <v>22</v>
      </c>
      <c r="AW21" s="417"/>
      <c r="AX21" s="417"/>
      <c r="AY21" s="415" t="s">
        <v>44</v>
      </c>
      <c r="AZ21" s="418" t="s">
        <v>22</v>
      </c>
      <c r="BA21" s="9"/>
      <c r="BB21" s="101" t="s">
        <v>422</v>
      </c>
      <c r="BC21" s="65">
        <f>SUMIF($B8:B122,$B24,F8:F122)+F122</f>
        <v>13518233461</v>
      </c>
      <c r="BD21" s="66">
        <f>SUMIF($B8:B122,$B24,I8:I122)+I122</f>
        <v>14101071778</v>
      </c>
      <c r="BE21" s="67">
        <f>SUMIF($B8:B122,$B24,K8:K122)+K122</f>
        <v>643003193</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+IF(JULIO!A22=0,"",JULIO!A22)</f>
        <v>1130101</v>
      </c>
      <c r="B22" s="628" t="str">
        <f>+IF(JULIO!B22=0,"",JULIO!B22)</f>
        <v>EPS - REGIMEN CONTRIBUTIVO</v>
      </c>
      <c r="C22" s="43">
        <f t="shared" ref="C22:N22" si="24">SUM(C23:C24)</f>
        <v>3087894380</v>
      </c>
      <c r="D22" s="44">
        <f t="shared" si="24"/>
        <v>0</v>
      </c>
      <c r="E22" s="44">
        <f t="shared" si="24"/>
        <v>725488209</v>
      </c>
      <c r="F22" s="44">
        <f t="shared" si="24"/>
        <v>3813382589</v>
      </c>
      <c r="G22" s="44">
        <f t="shared" si="24"/>
        <v>2463128151</v>
      </c>
      <c r="H22" s="44">
        <f t="shared" si="24"/>
        <v>389831432</v>
      </c>
      <c r="I22" s="44">
        <f t="shared" si="24"/>
        <v>2852959583</v>
      </c>
      <c r="J22" s="44">
        <f t="shared" si="24"/>
        <v>1291925209</v>
      </c>
      <c r="K22" s="44">
        <f>SUM(K23:K24)</f>
        <v>187230017</v>
      </c>
      <c r="L22" s="44">
        <f t="shared" si="24"/>
        <v>1479155226</v>
      </c>
      <c r="M22" s="44">
        <f t="shared" si="24"/>
        <v>960423006</v>
      </c>
      <c r="N22" s="45">
        <f t="shared" si="24"/>
        <v>2334227363</v>
      </c>
      <c r="P22" s="43">
        <f>SUM(P23:P24)</f>
        <v>0</v>
      </c>
      <c r="Q22" s="45">
        <f>SUM(Q23:Q24)</f>
        <v>202993622</v>
      </c>
      <c r="S22" s="689" t="str">
        <f>+IF(JULIO!S22=0,"",JULIO!S22)</f>
        <v>1010104-2</v>
      </c>
      <c r="T22" s="665" t="str">
        <f>+IF(JULIO!T22=0,"",JULIO!T22)</f>
        <v>Prima de Vacaciones</v>
      </c>
      <c r="U22" s="27">
        <f>+ENERO!U22</f>
        <v>72708845</v>
      </c>
      <c r="V22" s="15">
        <f>JULIO!V22+AGOSTO!AL22</f>
        <v>0</v>
      </c>
      <c r="W22" s="15">
        <f>JULIO!W22+AGOSTO!AM22</f>
        <v>0</v>
      </c>
      <c r="X22" s="18">
        <f t="shared" si="17"/>
        <v>72708845</v>
      </c>
      <c r="Y22" s="19">
        <f>JULIO!AA22</f>
        <v>25671900</v>
      </c>
      <c r="Z22" s="364">
        <v>2579742</v>
      </c>
      <c r="AA22" s="18">
        <f t="shared" si="18"/>
        <v>28251642</v>
      </c>
      <c r="AB22" s="19">
        <f>JULIO!AD22</f>
        <v>25671900</v>
      </c>
      <c r="AC22" s="364">
        <v>2579742</v>
      </c>
      <c r="AD22" s="18">
        <f t="shared" si="19"/>
        <v>28251642</v>
      </c>
      <c r="AE22" s="19">
        <f>JULIO!AG22</f>
        <v>25671900</v>
      </c>
      <c r="AF22" s="364">
        <v>2579742</v>
      </c>
      <c r="AG22" s="18">
        <f t="shared" si="20"/>
        <v>28251642</v>
      </c>
      <c r="AH22" s="19">
        <f t="shared" si="21"/>
        <v>44457203</v>
      </c>
      <c r="AI22" s="15">
        <f t="shared" si="22"/>
        <v>44457203</v>
      </c>
      <c r="AJ22" s="16">
        <f t="shared" si="23"/>
        <v>44457203</v>
      </c>
      <c r="AL22" s="362">
        <v>0</v>
      </c>
      <c r="AM22" s="365">
        <v>0</v>
      </c>
      <c r="AO22" s="21"/>
      <c r="AP22" s="419" t="s">
        <v>104</v>
      </c>
      <c r="AQ22" s="420">
        <f>X17+X66</f>
        <v>3049004812</v>
      </c>
      <c r="AR22" s="420">
        <f>AD17+AD66</f>
        <v>2243234968</v>
      </c>
      <c r="AS22" s="420">
        <f>AG17+AG66</f>
        <v>2243032978</v>
      </c>
      <c r="AT22" s="421"/>
      <c r="AU22" s="422">
        <f t="shared" ref="AU22:AU32" si="25">IF(AQ22=0," ",AR22/AQ22)</f>
        <v>0.73572693594030314</v>
      </c>
      <c r="AV22" s="422">
        <f t="shared" ref="AV22:AV32" si="26">IF(AQ22=0," ",AS22/AQ22)</f>
        <v>0.73566068809470941</v>
      </c>
      <c r="AW22" s="423">
        <f>AR22/$AO$2*12</f>
        <v>3364852452</v>
      </c>
      <c r="AX22" s="423">
        <f>AS22/$AO$2*12</f>
        <v>3364549467</v>
      </c>
      <c r="AY22" s="423">
        <f t="shared" ref="AY22:AY31" si="27">AW22-AQ22</f>
        <v>315847640</v>
      </c>
      <c r="AZ22" s="424">
        <f t="shared" ref="AZ22:AZ31" si="28">AQ22-AX22</f>
        <v>-315544655</v>
      </c>
      <c r="BA22" s="372"/>
      <c r="BB22" s="102" t="s">
        <v>109</v>
      </c>
      <c r="BC22" s="103">
        <f>BC7+BC8+BC20+BC21</f>
        <v>106163265160</v>
      </c>
      <c r="BD22" s="104">
        <f>BD7+BD8+BD20+BD21</f>
        <v>83990755746</v>
      </c>
      <c r="BE22" s="105">
        <f>BE7+BE8+BE20+BE21</f>
        <v>4064042917</v>
      </c>
      <c r="BF22" s="57"/>
      <c r="BG22" s="372"/>
      <c r="BH22" s="372"/>
      <c r="BI22" s="372"/>
      <c r="BJ22" s="372"/>
      <c r="BK22" s="372"/>
      <c r="BM22" s="71" t="s">
        <v>67</v>
      </c>
      <c r="BN22" s="83">
        <f>BN23+BN24</f>
        <v>1292354144</v>
      </c>
      <c r="BO22" s="81">
        <f>BO23+BO24</f>
        <v>724180864</v>
      </c>
      <c r="BP22" s="81">
        <f>BP23+BP24</f>
        <v>724180864</v>
      </c>
      <c r="BQ22" s="82">
        <f>BQ23+BQ24</f>
        <v>78230754</v>
      </c>
      <c r="BR22" s="372"/>
    </row>
    <row r="23" spans="1:70" s="412" customFormat="1" ht="24.95" customHeight="1">
      <c r="A23" s="593" t="str">
        <f>+IF(JULIO!A23=0,"",JULIO!A23)</f>
        <v>1130101-1</v>
      </c>
      <c r="B23" s="629" t="str">
        <f>+CONCATENATE("Vigencia ",INSTRUCCIONES!$F$3)</f>
        <v>Vigencia 2019</v>
      </c>
      <c r="C23" s="655">
        <f>+ENERO!C23</f>
        <v>3087894380</v>
      </c>
      <c r="D23" s="363">
        <f>JULIO!D23+AGOSTO!P23</f>
        <v>0</v>
      </c>
      <c r="E23" s="363">
        <f>JULIO!E23+AGOSTO!Q23</f>
        <v>0</v>
      </c>
      <c r="F23" s="363">
        <f>SUM(C23:E23)</f>
        <v>3087894380</v>
      </c>
      <c r="G23" s="363">
        <f>JULIO!I23</f>
        <v>1737639942</v>
      </c>
      <c r="H23" s="364">
        <v>371434341</v>
      </c>
      <c r="I23" s="363">
        <f>SUM(G23:H23)</f>
        <v>2109074283</v>
      </c>
      <c r="J23" s="363">
        <f>JULIO!L23</f>
        <v>566437000</v>
      </c>
      <c r="K23" s="364">
        <v>168832926</v>
      </c>
      <c r="L23" s="363">
        <f>SUM(J23:K23)</f>
        <v>735269926</v>
      </c>
      <c r="M23" s="363">
        <f>F23-I23</f>
        <v>978820097</v>
      </c>
      <c r="N23" s="143">
        <f>F23-L23</f>
        <v>2352624454</v>
      </c>
      <c r="O23" s="9"/>
      <c r="P23" s="362">
        <v>0</v>
      </c>
      <c r="Q23" s="365">
        <v>0</v>
      </c>
      <c r="R23" s="9"/>
      <c r="S23" s="689" t="str">
        <f>+IF(JULIO!S23=0,"",JULIO!S23)</f>
        <v>1010104-3</v>
      </c>
      <c r="T23" s="665" t="str">
        <f>+IF(JULIO!T23=0,"",JULIO!T23)</f>
        <v>Bonificación  por servicios prestados</v>
      </c>
      <c r="U23" s="27">
        <f>+ENERO!U23</f>
        <v>44330324</v>
      </c>
      <c r="V23" s="15">
        <f>JULIO!V23+AGOSTO!AL23</f>
        <v>0</v>
      </c>
      <c r="W23" s="15">
        <f>JULIO!W23+AGOSTO!AM23</f>
        <v>0</v>
      </c>
      <c r="X23" s="18">
        <f t="shared" si="17"/>
        <v>44330324</v>
      </c>
      <c r="Y23" s="19">
        <f>JULIO!AA23</f>
        <v>19670980</v>
      </c>
      <c r="Z23" s="364">
        <v>667883</v>
      </c>
      <c r="AA23" s="18">
        <f t="shared" si="18"/>
        <v>20338863</v>
      </c>
      <c r="AB23" s="19">
        <f>JULIO!AD23</f>
        <v>19670980</v>
      </c>
      <c r="AC23" s="364">
        <v>667883</v>
      </c>
      <c r="AD23" s="18">
        <f t="shared" si="19"/>
        <v>20338863</v>
      </c>
      <c r="AE23" s="19">
        <f>JULIO!AG23</f>
        <v>19670980</v>
      </c>
      <c r="AF23" s="364">
        <v>667883</v>
      </c>
      <c r="AG23" s="18">
        <f t="shared" si="20"/>
        <v>20338863</v>
      </c>
      <c r="AH23" s="19">
        <f t="shared" si="21"/>
        <v>23991461</v>
      </c>
      <c r="AI23" s="15">
        <f t="shared" si="22"/>
        <v>23991461</v>
      </c>
      <c r="AJ23" s="16">
        <f t="shared" si="23"/>
        <v>23991461</v>
      </c>
      <c r="AK23" s="9"/>
      <c r="AL23" s="362">
        <v>0</v>
      </c>
      <c r="AM23" s="365">
        <v>0</v>
      </c>
      <c r="AN23" s="9"/>
      <c r="AO23" s="360"/>
      <c r="AP23" s="425" t="s">
        <v>108</v>
      </c>
      <c r="AQ23" s="426">
        <f>X16+X65-AQ22</f>
        <v>1499680691</v>
      </c>
      <c r="AR23" s="426">
        <f>AD16+AD65-AR22</f>
        <v>425784212</v>
      </c>
      <c r="AS23" s="426">
        <f>AG16+AG65-AS22</f>
        <v>425050798</v>
      </c>
      <c r="AT23" s="317"/>
      <c r="AU23" s="332">
        <f t="shared" si="25"/>
        <v>0.28391657941270382</v>
      </c>
      <c r="AV23" s="332">
        <f t="shared" si="26"/>
        <v>0.28342753264134679</v>
      </c>
      <c r="AW23" s="426">
        <f>(AR23-AD21-AD22-AD23-AD25-AD30-AD33-AD70-AD71-AD72-AD74-AD78-AD81)/$AO$2*12+AX22/12*2.5+AD30+AD33+AD78+AD81</f>
        <v>1061110827.625</v>
      </c>
      <c r="AX23" s="426">
        <f>(AS23-AG21-AG22-AG23-AG25-AG30-AG33-AG70-AG71-AG72-AG74-AG78-AG81)/$AO$2*12+AX22/12*2.5+AG30+AG33+AG78+AG81</f>
        <v>1060937347.125</v>
      </c>
      <c r="AY23" s="426">
        <f t="shared" si="27"/>
        <v>-438569863.375</v>
      </c>
      <c r="AZ23" s="46">
        <f t="shared" si="28"/>
        <v>438743343.875</v>
      </c>
      <c r="BA23" s="372"/>
      <c r="BF23" s="372"/>
      <c r="BG23" s="372"/>
      <c r="BH23" s="372"/>
      <c r="BI23" s="372"/>
      <c r="BJ23" s="372"/>
      <c r="BK23" s="372"/>
      <c r="BL23" s="372"/>
      <c r="BM23" s="137" t="s">
        <v>105</v>
      </c>
      <c r="BN23" s="83">
        <f>X177</f>
        <v>965336472</v>
      </c>
      <c r="BO23" s="81">
        <f>AA177</f>
        <v>555893405</v>
      </c>
      <c r="BP23" s="81">
        <f>AD177</f>
        <v>555893405</v>
      </c>
      <c r="BQ23" s="82">
        <f>AF177</f>
        <v>68138421</v>
      </c>
      <c r="BR23" s="9"/>
    </row>
    <row r="24" spans="1:70" s="412" customFormat="1" ht="24.95" customHeight="1">
      <c r="A24" s="593" t="str">
        <f>+IF(JULIO!A24=0,"",JULIO!A24)</f>
        <v>1130101-2</v>
      </c>
      <c r="B24" s="629" t="str">
        <f>+IF(JULIO!B24=0,"",JULIO!B24)</f>
        <v>Vigencia Anterior</v>
      </c>
      <c r="C24" s="655">
        <f>+ENERO!C24</f>
        <v>0</v>
      </c>
      <c r="D24" s="363">
        <f>JULIO!D24+AGOSTO!P24</f>
        <v>0</v>
      </c>
      <c r="E24" s="363">
        <f>JULIO!E24+AGOSTO!Q24</f>
        <v>725488209</v>
      </c>
      <c r="F24" s="363">
        <f>SUM(C24:E24)</f>
        <v>725488209</v>
      </c>
      <c r="G24" s="363">
        <f>JULIO!I24</f>
        <v>725488209</v>
      </c>
      <c r="H24" s="364">
        <v>18397091</v>
      </c>
      <c r="I24" s="363">
        <f>SUM(G24:H24)</f>
        <v>743885300</v>
      </c>
      <c r="J24" s="363">
        <f>JULIO!L24</f>
        <v>725488209</v>
      </c>
      <c r="K24" s="364">
        <v>18397091</v>
      </c>
      <c r="L24" s="363">
        <f>SUM(J24:K24)</f>
        <v>743885300</v>
      </c>
      <c r="M24" s="363">
        <f>F24-I24</f>
        <v>-18397091</v>
      </c>
      <c r="N24" s="143">
        <f>F24-L24</f>
        <v>-18397091</v>
      </c>
      <c r="O24" s="372"/>
      <c r="P24" s="362">
        <v>0</v>
      </c>
      <c r="Q24" s="365">
        <v>202993622</v>
      </c>
      <c r="R24" s="9"/>
      <c r="S24" s="689" t="str">
        <f>+IF(JULIO!S24=0,"",JULIO!S24)</f>
        <v>1010104-4</v>
      </c>
      <c r="T24" s="665" t="str">
        <f>+IF(JULIO!T24=0,"",JULIO!T24)</f>
        <v>Prima de Servicios</v>
      </c>
      <c r="U24" s="27">
        <f>+ENERO!U24</f>
        <v>67115850</v>
      </c>
      <c r="V24" s="15">
        <f>JULIO!V24+AGOSTO!AL24</f>
        <v>0</v>
      </c>
      <c r="W24" s="15">
        <f>JULIO!W24+AGOSTO!AM24</f>
        <v>0</v>
      </c>
      <c r="X24" s="18">
        <f t="shared" si="17"/>
        <v>67115850</v>
      </c>
      <c r="Y24" s="19">
        <f>JULIO!AA24</f>
        <v>52557247</v>
      </c>
      <c r="Z24" s="364">
        <v>842315</v>
      </c>
      <c r="AA24" s="18">
        <f t="shared" si="18"/>
        <v>53399562</v>
      </c>
      <c r="AB24" s="19">
        <f>JULIO!AD24</f>
        <v>52557247</v>
      </c>
      <c r="AC24" s="364">
        <v>842315</v>
      </c>
      <c r="AD24" s="18">
        <f t="shared" si="19"/>
        <v>53399562</v>
      </c>
      <c r="AE24" s="19">
        <f>JULIO!AG24</f>
        <v>52557247</v>
      </c>
      <c r="AF24" s="364">
        <v>842315</v>
      </c>
      <c r="AG24" s="18">
        <f t="shared" si="20"/>
        <v>53399562</v>
      </c>
      <c r="AH24" s="19">
        <f t="shared" si="21"/>
        <v>13716288</v>
      </c>
      <c r="AI24" s="15">
        <f t="shared" si="22"/>
        <v>13716288</v>
      </c>
      <c r="AJ24" s="16">
        <f t="shared" si="23"/>
        <v>13716288</v>
      </c>
      <c r="AK24" s="9"/>
      <c r="AL24" s="362">
        <v>0</v>
      </c>
      <c r="AM24" s="365">
        <v>0</v>
      </c>
      <c r="AN24" s="9"/>
      <c r="AO24" s="360"/>
      <c r="AP24" s="405" t="s">
        <v>113</v>
      </c>
      <c r="AQ24" s="421">
        <f>X35+X83</f>
        <v>28082957341</v>
      </c>
      <c r="AR24" s="421">
        <f>AD35+AD83</f>
        <v>20245308194</v>
      </c>
      <c r="AS24" s="421">
        <f>AG35+AG83</f>
        <v>13034951452</v>
      </c>
      <c r="AT24" s="421"/>
      <c r="AU24" s="363">
        <f t="shared" si="25"/>
        <v>0.72091083386159815</v>
      </c>
      <c r="AV24" s="363">
        <f t="shared" si="26"/>
        <v>0.46415878832566859</v>
      </c>
      <c r="AW24" s="363">
        <f>(AR24-AD41-AD88)/$AO$2*12+AD41+AD88</f>
        <v>27631393605</v>
      </c>
      <c r="AX24" s="363">
        <f>(AS24-AG41-AG88)/$AO$2*12+AG41+AG88</f>
        <v>16815858492</v>
      </c>
      <c r="AY24" s="363">
        <f t="shared" si="27"/>
        <v>-451563736</v>
      </c>
      <c r="AZ24" s="143">
        <f t="shared" si="28"/>
        <v>11267098849</v>
      </c>
      <c r="BA24" s="9"/>
      <c r="BB24" s="427"/>
      <c r="BC24" s="372"/>
      <c r="BD24" s="372"/>
      <c r="BE24" s="372"/>
      <c r="BF24" s="372"/>
      <c r="BG24" s="372"/>
      <c r="BH24" s="372"/>
      <c r="BI24" s="372"/>
      <c r="BJ24" s="372"/>
      <c r="BK24" s="372"/>
      <c r="BL24" s="372"/>
      <c r="BM24" s="137" t="s">
        <v>110</v>
      </c>
      <c r="BN24" s="83">
        <f>X170-X177-X174-X183-X191</f>
        <v>327017672</v>
      </c>
      <c r="BO24" s="81">
        <f>AA170-AA177-AA174-AA183-AA191</f>
        <v>168287459</v>
      </c>
      <c r="BP24" s="81">
        <f>AD170-AD177-AD174-AD183-AD191</f>
        <v>168287459</v>
      </c>
      <c r="BQ24" s="82">
        <f>AF170-AF177-AF174-AF183-AF191</f>
        <v>10092333</v>
      </c>
      <c r="BR24" s="372"/>
    </row>
    <row r="25" spans="1:70" s="372" customFormat="1" ht="24.95" customHeight="1">
      <c r="A25" s="714">
        <f>+IF(JULIO!A25=0,"",JULIO!A25)</f>
        <v>1130102</v>
      </c>
      <c r="B25" s="628" t="str">
        <f>+IF(JULIO!B25=0,"",JULIO!B25)</f>
        <v>ARS - REGIMEN SUBSIDIADO</v>
      </c>
      <c r="C25" s="43">
        <f t="shared" ref="C25:N25" si="29">SUM(C26:C27)</f>
        <v>32167564656</v>
      </c>
      <c r="D25" s="44">
        <f t="shared" si="29"/>
        <v>0</v>
      </c>
      <c r="E25" s="44">
        <f t="shared" si="29"/>
        <v>7940099340</v>
      </c>
      <c r="F25" s="44">
        <f t="shared" si="29"/>
        <v>40107663996</v>
      </c>
      <c r="G25" s="44">
        <f t="shared" si="29"/>
        <v>27688791123</v>
      </c>
      <c r="H25" s="44">
        <f t="shared" si="29"/>
        <v>3279592852</v>
      </c>
      <c r="I25" s="44">
        <f t="shared" si="29"/>
        <v>30968383975</v>
      </c>
      <c r="J25" s="44">
        <f t="shared" si="29"/>
        <v>18644603341</v>
      </c>
      <c r="K25" s="44">
        <f t="shared" si="29"/>
        <v>2700697623</v>
      </c>
      <c r="L25" s="44">
        <f t="shared" si="29"/>
        <v>21345300964</v>
      </c>
      <c r="M25" s="44">
        <f t="shared" si="29"/>
        <v>9139280021</v>
      </c>
      <c r="N25" s="45">
        <f t="shared" si="29"/>
        <v>18762363032</v>
      </c>
      <c r="P25" s="43">
        <f>SUM(P26:P27)</f>
        <v>0</v>
      </c>
      <c r="Q25" s="45">
        <f>SUM(Q26:Q27)</f>
        <v>129428997</v>
      </c>
      <c r="R25" s="9"/>
      <c r="S25" s="689" t="str">
        <f>+IF(JULIO!S25=0,"",JULIO!S25)</f>
        <v>1010104-5</v>
      </c>
      <c r="T25" s="665" t="str">
        <f>+IF(JULIO!T25=0,"",JULIO!T25)</f>
        <v>Bonificación Convencional</v>
      </c>
      <c r="U25" s="27">
        <f>+ENERO!U25</f>
        <v>0</v>
      </c>
      <c r="V25" s="15">
        <f>JULIO!V25+AGOSTO!AL25</f>
        <v>0</v>
      </c>
      <c r="W25" s="15">
        <f>JULIO!W25+AGOSTO!AM25</f>
        <v>0</v>
      </c>
      <c r="X25" s="18">
        <f t="shared" si="17"/>
        <v>0</v>
      </c>
      <c r="Y25" s="19">
        <f>JULIO!AA25</f>
        <v>0</v>
      </c>
      <c r="Z25" s="364">
        <v>0</v>
      </c>
      <c r="AA25" s="18">
        <f t="shared" si="18"/>
        <v>0</v>
      </c>
      <c r="AB25" s="19">
        <f>JULIO!AD25</f>
        <v>0</v>
      </c>
      <c r="AC25" s="364">
        <v>0</v>
      </c>
      <c r="AD25" s="18">
        <f t="shared" si="19"/>
        <v>0</v>
      </c>
      <c r="AE25" s="19">
        <f>JULIO!AG25</f>
        <v>0</v>
      </c>
      <c r="AF25" s="364">
        <v>0</v>
      </c>
      <c r="AG25" s="18">
        <f t="shared" si="20"/>
        <v>0</v>
      </c>
      <c r="AH25" s="19">
        <f t="shared" si="21"/>
        <v>0</v>
      </c>
      <c r="AI25" s="15">
        <f t="shared" si="22"/>
        <v>0</v>
      </c>
      <c r="AJ25" s="16">
        <f t="shared" si="23"/>
        <v>0</v>
      </c>
      <c r="AK25" s="9"/>
      <c r="AL25" s="362">
        <v>0</v>
      </c>
      <c r="AM25" s="365">
        <v>0</v>
      </c>
      <c r="AN25" s="9"/>
      <c r="AO25" s="21"/>
      <c r="AP25" s="428" t="s">
        <v>116</v>
      </c>
      <c r="AQ25" s="363">
        <f>X43+X57+X90+X104</f>
        <v>1947094290</v>
      </c>
      <c r="AR25" s="363">
        <f>AD43+AD57+AD90+AD104</f>
        <v>1096689648</v>
      </c>
      <c r="AS25" s="363">
        <f>AG43+AG57+AG90+AG104</f>
        <v>981994489</v>
      </c>
      <c r="AT25" s="421"/>
      <c r="AU25" s="363">
        <f t="shared" si="25"/>
        <v>0.56324424227036274</v>
      </c>
      <c r="AV25" s="363">
        <f t="shared" si="26"/>
        <v>0.50433843601893569</v>
      </c>
      <c r="AW25" s="363">
        <f>(AR25-AD55-AD61-AD102-AD108)/$AO$2*12+AD55+AD61+AD102+AD108</f>
        <v>1498443435</v>
      </c>
      <c r="AX25" s="363">
        <f>(AS25-AG55-AG61-AG102-AG108)/$AO$2*12+AG55+AG61+AG102+AG108</f>
        <v>1326400696.5</v>
      </c>
      <c r="AY25" s="363">
        <f t="shared" si="27"/>
        <v>-448650855</v>
      </c>
      <c r="AZ25" s="143">
        <f t="shared" si="28"/>
        <v>620693593.5</v>
      </c>
      <c r="BM25" s="140" t="s">
        <v>430</v>
      </c>
      <c r="BN25" s="106">
        <f>+SUM(BN26:BN28)</f>
        <v>17625908715</v>
      </c>
      <c r="BO25" s="107">
        <f>+SUM(BO26:BO28)</f>
        <v>15569571878</v>
      </c>
      <c r="BP25" s="107">
        <f>+SUM(BP26:BP28)</f>
        <v>13113191404</v>
      </c>
      <c r="BQ25" s="108">
        <f>+SUM(BQ26:BQ28)</f>
        <v>781043394</v>
      </c>
    </row>
    <row r="26" spans="1:70" s="9" customFormat="1" ht="24.95" customHeight="1">
      <c r="A26" s="593" t="str">
        <f>+IF(JULIO!A26=0,"",JULIO!A26)</f>
        <v>1130102-1</v>
      </c>
      <c r="B26" s="629" t="str">
        <f>+CONCATENATE("Vigencia ",INSTRUCCIONES!$F$3)</f>
        <v>Vigencia 2019</v>
      </c>
      <c r="C26" s="655">
        <f>+ENERO!C26</f>
        <v>32167564656</v>
      </c>
      <c r="D26" s="363">
        <f>JULIO!D26+AGOSTO!P26</f>
        <v>0</v>
      </c>
      <c r="E26" s="363">
        <f>JULIO!E26+AGOSTO!Q26</f>
        <v>0</v>
      </c>
      <c r="F26" s="363">
        <f>SUM(C26:E26)</f>
        <v>32167564656</v>
      </c>
      <c r="G26" s="363">
        <f>JULIO!I26</f>
        <v>19808856659</v>
      </c>
      <c r="H26" s="364">
        <v>3217620868</v>
      </c>
      <c r="I26" s="363">
        <f>SUM(G26:H26)</f>
        <v>23026477527</v>
      </c>
      <c r="J26" s="363">
        <f>JULIO!L26</f>
        <v>10764668877</v>
      </c>
      <c r="K26" s="364">
        <v>2638725639</v>
      </c>
      <c r="L26" s="363">
        <f>SUM(J26:K26)</f>
        <v>13403394516</v>
      </c>
      <c r="M26" s="363">
        <f>F26-I26</f>
        <v>9141087129</v>
      </c>
      <c r="N26" s="143">
        <f>F26-L26</f>
        <v>18764170140</v>
      </c>
      <c r="P26" s="362">
        <v>0</v>
      </c>
      <c r="Q26" s="365">
        <v>0</v>
      </c>
      <c r="S26" s="689" t="str">
        <f>+IF(JULIO!S26=0,"",JULIO!S26)</f>
        <v>1010104-6</v>
      </c>
      <c r="T26" s="665" t="str">
        <f>+IF(JULIO!T26=0,"",JULIO!T26)</f>
        <v>Auxilio de Transporte</v>
      </c>
      <c r="U26" s="27">
        <f>+ENERO!U26</f>
        <v>7017105</v>
      </c>
      <c r="V26" s="15">
        <f>JULIO!V26+AGOSTO!AL26</f>
        <v>0</v>
      </c>
      <c r="W26" s="15">
        <f>JULIO!W26+AGOSTO!AM26</f>
        <v>0</v>
      </c>
      <c r="X26" s="18">
        <f t="shared" si="17"/>
        <v>7017105</v>
      </c>
      <c r="Y26" s="19">
        <f>JULIO!AA26</f>
        <v>604833</v>
      </c>
      <c r="Z26" s="364">
        <v>97032</v>
      </c>
      <c r="AA26" s="18">
        <f t="shared" si="18"/>
        <v>701865</v>
      </c>
      <c r="AB26" s="19">
        <f>JULIO!AD26</f>
        <v>604833</v>
      </c>
      <c r="AC26" s="364">
        <v>97032</v>
      </c>
      <c r="AD26" s="18">
        <f t="shared" si="19"/>
        <v>701865</v>
      </c>
      <c r="AE26" s="19">
        <f>JULIO!AG26</f>
        <v>604833</v>
      </c>
      <c r="AF26" s="364">
        <v>97032</v>
      </c>
      <c r="AG26" s="18">
        <f t="shared" si="20"/>
        <v>701865</v>
      </c>
      <c r="AH26" s="19">
        <f t="shared" si="21"/>
        <v>6315240</v>
      </c>
      <c r="AI26" s="15">
        <f t="shared" si="22"/>
        <v>6315240</v>
      </c>
      <c r="AJ26" s="16">
        <f t="shared" si="23"/>
        <v>6315240</v>
      </c>
      <c r="AL26" s="362">
        <v>0</v>
      </c>
      <c r="AM26" s="365">
        <v>0</v>
      </c>
      <c r="AO26" s="21"/>
      <c r="AP26" s="429" t="s">
        <v>120</v>
      </c>
      <c r="AQ26" s="317">
        <f>X110</f>
        <v>13237034256</v>
      </c>
      <c r="AR26" s="317">
        <f>AD110</f>
        <v>8720785904</v>
      </c>
      <c r="AS26" s="317">
        <f>AG110</f>
        <v>7084922807</v>
      </c>
      <c r="AT26" s="361">
        <f>AO2/12</f>
        <v>0.66666666666666663</v>
      </c>
      <c r="AU26" s="332">
        <f t="shared" si="25"/>
        <v>0.65881720446912773</v>
      </c>
      <c r="AV26" s="332">
        <f t="shared" si="26"/>
        <v>0.53523490760693548</v>
      </c>
      <c r="AW26" s="426">
        <f>(AR26-AD121-AD139-AD143-AD153-AD168)/$AO$2*12+AD121+AD139+AD143+AD153+AD168</f>
        <v>12056748549</v>
      </c>
      <c r="AX26" s="426">
        <f>(AS26-AG121-AG139-AG143-AG153-AG168)/$AO$2*12+AG121+AG139+AG143+AG153+AG168</f>
        <v>9602953903.5</v>
      </c>
      <c r="AY26" s="426">
        <f t="shared" si="27"/>
        <v>-1180285707</v>
      </c>
      <c r="AZ26" s="46">
        <f t="shared" si="28"/>
        <v>3634080352.5</v>
      </c>
      <c r="BA26" s="372"/>
      <c r="BB26" s="372"/>
      <c r="BC26" s="372"/>
      <c r="BD26" s="372"/>
      <c r="BE26" s="372"/>
      <c r="BF26" s="372"/>
      <c r="BG26" s="372"/>
      <c r="BH26" s="372"/>
      <c r="BI26" s="372"/>
      <c r="BJ26" s="372"/>
      <c r="BK26" s="372"/>
      <c r="BM26" s="109" t="s">
        <v>431</v>
      </c>
      <c r="BN26" s="86">
        <f>+X198+X212</f>
        <v>7358464356</v>
      </c>
      <c r="BO26" s="84">
        <f>+AA198+AA212</f>
        <v>6595283675</v>
      </c>
      <c r="BP26" s="84">
        <f>+AD198+AD212</f>
        <v>5762810067</v>
      </c>
      <c r="BQ26" s="85">
        <f>+AF198+AF212</f>
        <v>451552500</v>
      </c>
      <c r="BR26" s="372"/>
    </row>
    <row r="27" spans="1:70" s="412" customFormat="1" ht="24.95" customHeight="1">
      <c r="A27" s="593" t="str">
        <f>+IF(JULIO!A27=0,"",JULIO!A27)</f>
        <v>1130102-2</v>
      </c>
      <c r="B27" s="629" t="str">
        <f>+IF(JULIO!B27=0,"",JULIO!B27)</f>
        <v>Vigencia Anterior</v>
      </c>
      <c r="C27" s="655">
        <f>+ENERO!C27</f>
        <v>0</v>
      </c>
      <c r="D27" s="363">
        <f>JULIO!D27+AGOSTO!P27</f>
        <v>0</v>
      </c>
      <c r="E27" s="363">
        <f>JULIO!E27+AGOSTO!Q27</f>
        <v>7940099340</v>
      </c>
      <c r="F27" s="363">
        <f>SUM(C27:E27)</f>
        <v>7940099340</v>
      </c>
      <c r="G27" s="363">
        <f>JULIO!I27</f>
        <v>7879934464</v>
      </c>
      <c r="H27" s="364">
        <v>61971984</v>
      </c>
      <c r="I27" s="363">
        <f>SUM(G27:H27)</f>
        <v>7941906448</v>
      </c>
      <c r="J27" s="363">
        <f>JULIO!L27</f>
        <v>7879934464</v>
      </c>
      <c r="K27" s="364">
        <v>61971984</v>
      </c>
      <c r="L27" s="363">
        <f>SUM(J27:K27)</f>
        <v>7941906448</v>
      </c>
      <c r="M27" s="363">
        <f>F27-I27</f>
        <v>-1807108</v>
      </c>
      <c r="N27" s="143">
        <f>F27-L27</f>
        <v>-1807108</v>
      </c>
      <c r="O27" s="372"/>
      <c r="P27" s="362">
        <v>0</v>
      </c>
      <c r="Q27" s="365">
        <v>129428997</v>
      </c>
      <c r="R27" s="9"/>
      <c r="S27" s="689" t="str">
        <f>+IF(JULIO!S27=0,"",JULIO!S27)</f>
        <v>1010104-7</v>
      </c>
      <c r="T27" s="665" t="str">
        <f>+IF(JULIO!T27=0,"",JULIO!T27)</f>
        <v>Auxilio de Alimentación</v>
      </c>
      <c r="U27" s="27">
        <f>+ENERO!U27</f>
        <v>92622</v>
      </c>
      <c r="V27" s="15">
        <f>JULIO!V27+AGOSTO!AL27</f>
        <v>0</v>
      </c>
      <c r="W27" s="15">
        <f>JULIO!W27+AGOSTO!AM27</f>
        <v>0</v>
      </c>
      <c r="X27" s="18">
        <f t="shared" si="17"/>
        <v>92622</v>
      </c>
      <c r="Y27" s="19">
        <f>JULIO!AA27</f>
        <v>0</v>
      </c>
      <c r="Z27" s="364">
        <v>0</v>
      </c>
      <c r="AA27" s="18">
        <f t="shared" si="18"/>
        <v>0</v>
      </c>
      <c r="AB27" s="19">
        <f>JULIO!AD27</f>
        <v>0</v>
      </c>
      <c r="AC27" s="364">
        <v>0</v>
      </c>
      <c r="AD27" s="18">
        <f t="shared" si="19"/>
        <v>0</v>
      </c>
      <c r="AE27" s="19">
        <f>JULIO!AG27</f>
        <v>0</v>
      </c>
      <c r="AF27" s="364">
        <v>0</v>
      </c>
      <c r="AG27" s="18">
        <f t="shared" si="20"/>
        <v>0</v>
      </c>
      <c r="AH27" s="19">
        <f t="shared" si="21"/>
        <v>92622</v>
      </c>
      <c r="AI27" s="15">
        <f t="shared" si="22"/>
        <v>92622</v>
      </c>
      <c r="AJ27" s="16">
        <f t="shared" si="23"/>
        <v>92622</v>
      </c>
      <c r="AK27" s="9"/>
      <c r="AL27" s="362">
        <v>0</v>
      </c>
      <c r="AM27" s="365">
        <v>0</v>
      </c>
      <c r="AN27" s="9"/>
      <c r="AO27" s="339"/>
      <c r="AP27" s="428" t="s">
        <v>123</v>
      </c>
      <c r="AQ27" s="363">
        <f>X170</f>
        <v>1292354144</v>
      </c>
      <c r="AR27" s="363">
        <f>AD170</f>
        <v>724180864</v>
      </c>
      <c r="AS27" s="363">
        <f>AG170</f>
        <v>720082034</v>
      </c>
      <c r="AT27" s="421"/>
      <c r="AU27" s="363">
        <f t="shared" si="25"/>
        <v>0.56035790759223969</v>
      </c>
      <c r="AV27" s="363">
        <f t="shared" si="26"/>
        <v>0.55718630790415913</v>
      </c>
      <c r="AW27" s="363">
        <f>(AR27-AD174-AD183-AD191)/$AO$2*12+AD174+AD183+AD191</f>
        <v>1086271296</v>
      </c>
      <c r="AX27" s="363">
        <f>(AS27-AG174-AG183-AG191)/$AO$2*12+AG174+AG183+AG191</f>
        <v>1080123051</v>
      </c>
      <c r="AY27" s="363">
        <f t="shared" si="27"/>
        <v>-206082848</v>
      </c>
      <c r="AZ27" s="143">
        <f t="shared" si="28"/>
        <v>212231093</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+IF(JULIO!A28=0,"",JULIO!A28)</f>
        <v>1130103</v>
      </c>
      <c r="B28" s="605" t="str">
        <f>+IF(JULIO!B28=0,"",JULIO!B28)</f>
        <v>SUBSIDIO A LA OFERTA- ATENCION PERSONAS POBRES NO CUBIERTOS CON SUBSIDIO A LA DEMANDA</v>
      </c>
      <c r="C28" s="43">
        <f>C29+C32+C35+C38+C39+C40</f>
        <v>8952361140</v>
      </c>
      <c r="D28" s="44">
        <f>+D29+D32+D35+D38+D39+D40</f>
        <v>0</v>
      </c>
      <c r="E28" s="44">
        <f>+E29+E32+E35+E38+E39+E40</f>
        <v>2802589107</v>
      </c>
      <c r="F28" s="44">
        <f>+F29+F32+F35+F38+F39+F40</f>
        <v>11754950247</v>
      </c>
      <c r="G28" s="44">
        <f t="shared" ref="G28:N28" si="30">G29+G32+G35+G38+G39+G40</f>
        <v>10049946499</v>
      </c>
      <c r="H28" s="44">
        <f t="shared" si="30"/>
        <v>1774984858</v>
      </c>
      <c r="I28" s="44">
        <f t="shared" si="30"/>
        <v>11824931357</v>
      </c>
      <c r="J28" s="44">
        <f t="shared" si="30"/>
        <v>3873475394</v>
      </c>
      <c r="K28" s="44">
        <f t="shared" si="30"/>
        <v>670447398</v>
      </c>
      <c r="L28" s="44">
        <f t="shared" si="30"/>
        <v>4543922792</v>
      </c>
      <c r="M28" s="44">
        <f t="shared" si="30"/>
        <v>-69981110</v>
      </c>
      <c r="N28" s="45">
        <f t="shared" si="30"/>
        <v>7211027455</v>
      </c>
      <c r="O28" s="372"/>
      <c r="P28" s="43">
        <f>P29+P32+P35+P38+P39+P940</f>
        <v>0</v>
      </c>
      <c r="Q28" s="45">
        <f>Q29+Q32+Q35+Q38+Q39+Q40</f>
        <v>1178549574</v>
      </c>
      <c r="R28" s="9"/>
      <c r="S28" s="689" t="str">
        <f>+IF(JULIO!S28=0,"",JULIO!S28)</f>
        <v>1010104-8</v>
      </c>
      <c r="T28" s="665" t="str">
        <f>+IF(JULIO!T28=0,"",JULIO!T28)</f>
        <v>Indemnizaciones por Vacaciones o Supresión de Cargos por Reestructuración</v>
      </c>
      <c r="U28" s="27">
        <f>+ENERO!U28</f>
        <v>0</v>
      </c>
      <c r="V28" s="15">
        <f>JULIO!V28+AGOSTO!AL28</f>
        <v>0</v>
      </c>
      <c r="W28" s="15">
        <f>JULIO!W28+AGOSTO!AM28</f>
        <v>0</v>
      </c>
      <c r="X28" s="18">
        <f t="shared" si="17"/>
        <v>0</v>
      </c>
      <c r="Y28" s="19">
        <f>JULIO!AA28</f>
        <v>0</v>
      </c>
      <c r="Z28" s="364">
        <v>0</v>
      </c>
      <c r="AA28" s="18">
        <f t="shared" si="18"/>
        <v>0</v>
      </c>
      <c r="AB28" s="19">
        <f>JULIO!AD28</f>
        <v>0</v>
      </c>
      <c r="AC28" s="364">
        <v>0</v>
      </c>
      <c r="AD28" s="18">
        <f t="shared" si="19"/>
        <v>0</v>
      </c>
      <c r="AE28" s="19">
        <f>JULIO!AG28</f>
        <v>0</v>
      </c>
      <c r="AF28" s="364">
        <v>0</v>
      </c>
      <c r="AG28" s="18">
        <f t="shared" si="20"/>
        <v>0</v>
      </c>
      <c r="AH28" s="19">
        <f t="shared" si="21"/>
        <v>0</v>
      </c>
      <c r="AI28" s="15">
        <f t="shared" si="22"/>
        <v>0</v>
      </c>
      <c r="AJ28" s="16">
        <f t="shared" si="23"/>
        <v>0</v>
      </c>
      <c r="AK28" s="9"/>
      <c r="AL28" s="362">
        <v>0</v>
      </c>
      <c r="AM28" s="365">
        <v>0</v>
      </c>
      <c r="AN28" s="9"/>
      <c r="AO28" s="339"/>
      <c r="AP28" s="777" t="s">
        <v>566</v>
      </c>
      <c r="AQ28" s="363">
        <f>X195</f>
        <v>24427541283</v>
      </c>
      <c r="AR28" s="363">
        <f>AD195</f>
        <v>19772600222</v>
      </c>
      <c r="AS28" s="363">
        <f>AG195</f>
        <v>13274921015</v>
      </c>
      <c r="AT28" s="421"/>
      <c r="AU28" s="363">
        <f t="shared" si="25"/>
        <v>0.80943882124397271</v>
      </c>
      <c r="AV28" s="363">
        <f t="shared" si="26"/>
        <v>0.54344073606124632</v>
      </c>
      <c r="AW28" s="363">
        <f>(AR28-AD207)/$AO$2*12+AD207</f>
        <v>26329195924</v>
      </c>
      <c r="AX28" s="363">
        <f>(AS28-AG207)/$AO$2*12+AG207</f>
        <v>16582677113.5</v>
      </c>
      <c r="AY28" s="363">
        <f t="shared" si="27"/>
        <v>1901654641</v>
      </c>
      <c r="AZ28" s="143">
        <f t="shared" si="28"/>
        <v>7844864169.5</v>
      </c>
      <c r="BA28" s="372"/>
      <c r="BB28" s="372"/>
      <c r="BC28" s="372"/>
      <c r="BD28" s="372"/>
      <c r="BE28" s="372"/>
      <c r="BF28" s="372"/>
      <c r="BG28" s="372"/>
      <c r="BH28" s="372"/>
      <c r="BI28" s="372"/>
      <c r="BJ28" s="372"/>
      <c r="BK28" s="372"/>
      <c r="BL28" s="372"/>
      <c r="BM28" s="71" t="s">
        <v>433</v>
      </c>
      <c r="BN28" s="83">
        <f>+X196-X198-X207</f>
        <v>10267444359</v>
      </c>
      <c r="BO28" s="81">
        <f>+AA196-AA198-AA207</f>
        <v>8974288203</v>
      </c>
      <c r="BP28" s="81">
        <f>+AD196-AD198-AD207</f>
        <v>7350381337</v>
      </c>
      <c r="BQ28" s="82">
        <f>+AF196-AF198-AF207</f>
        <v>329490894</v>
      </c>
      <c r="BR28" s="9"/>
    </row>
    <row r="29" spans="1:70" s="9" customFormat="1" ht="24.95" customHeight="1">
      <c r="A29" s="593" t="str">
        <f>+IF(JULIO!A29=0,"",JULIO!A29)</f>
        <v>1130103-1</v>
      </c>
      <c r="B29" s="630" t="str">
        <f>+IF(JULIO!B29=0,"",JULIO!B29)</f>
        <v>Prestación de Servicios de salud  1er Nivel</v>
      </c>
      <c r="C29" s="19">
        <f t="shared" ref="C29:N29" si="31">SUM(C30:C31)</f>
        <v>0</v>
      </c>
      <c r="D29" s="15">
        <f t="shared" si="31"/>
        <v>0</v>
      </c>
      <c r="E29" s="15">
        <f t="shared" si="31"/>
        <v>0</v>
      </c>
      <c r="F29" s="15">
        <f t="shared" si="31"/>
        <v>0</v>
      </c>
      <c r="G29" s="15">
        <f t="shared" si="31"/>
        <v>0</v>
      </c>
      <c r="H29" s="15">
        <f t="shared" si="31"/>
        <v>0</v>
      </c>
      <c r="I29" s="15">
        <f t="shared" si="31"/>
        <v>0</v>
      </c>
      <c r="J29" s="15">
        <f t="shared" si="31"/>
        <v>0</v>
      </c>
      <c r="K29" s="15">
        <f t="shared" si="31"/>
        <v>0</v>
      </c>
      <c r="L29" s="15">
        <f t="shared" si="31"/>
        <v>0</v>
      </c>
      <c r="M29" s="15">
        <f t="shared" si="31"/>
        <v>0</v>
      </c>
      <c r="N29" s="16">
        <f t="shared" si="31"/>
        <v>0</v>
      </c>
      <c r="O29" s="372"/>
      <c r="P29" s="144">
        <f>SUM(P30:P31)</f>
        <v>0</v>
      </c>
      <c r="Q29" s="145">
        <f>SUM(Q30:Q31)</f>
        <v>0</v>
      </c>
      <c r="S29" s="689" t="str">
        <f>+IF(JULIO!S29=0,"",JULIO!S29)</f>
        <v>1010104-9</v>
      </c>
      <c r="T29" s="665" t="str">
        <f>+IF(JULIO!T29=0,"",JULIO!T29)</f>
        <v>Bonificación Especial por Recreación</v>
      </c>
      <c r="U29" s="27">
        <f>+ENERO!U29</f>
        <v>8443869</v>
      </c>
      <c r="V29" s="15">
        <f>JULIO!V29+AGOSTO!AL29</f>
        <v>0</v>
      </c>
      <c r="W29" s="15">
        <f>JULIO!W29+AGOSTO!AM29</f>
        <v>0</v>
      </c>
      <c r="X29" s="18">
        <f t="shared" si="17"/>
        <v>8443869</v>
      </c>
      <c r="Y29" s="19">
        <f>JULIO!AA29</f>
        <v>3229200</v>
      </c>
      <c r="Z29" s="364">
        <v>598484</v>
      </c>
      <c r="AA29" s="18">
        <f t="shared" si="18"/>
        <v>3827684</v>
      </c>
      <c r="AB29" s="19">
        <f>JULIO!AD29</f>
        <v>3229200</v>
      </c>
      <c r="AC29" s="364">
        <v>598484</v>
      </c>
      <c r="AD29" s="18">
        <f t="shared" si="19"/>
        <v>3827684</v>
      </c>
      <c r="AE29" s="19">
        <f>JULIO!AG29</f>
        <v>3229200</v>
      </c>
      <c r="AF29" s="364">
        <v>598484</v>
      </c>
      <c r="AG29" s="18">
        <f t="shared" si="20"/>
        <v>3827684</v>
      </c>
      <c r="AH29" s="19">
        <f t="shared" si="21"/>
        <v>4616185</v>
      </c>
      <c r="AI29" s="15">
        <f t="shared" si="22"/>
        <v>4616185</v>
      </c>
      <c r="AJ29" s="16">
        <f t="shared" si="23"/>
        <v>4616185</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26829618396</v>
      </c>
      <c r="BO29" s="107">
        <f>AA232-AA256-AA241</f>
        <v>19488829887</v>
      </c>
      <c r="BP29" s="107">
        <f>AD232-AD256-AD241</f>
        <v>12110879233</v>
      </c>
      <c r="BQ29" s="108">
        <f>AF232-AF256-AF241</f>
        <v>305817927</v>
      </c>
      <c r="BR29" s="372"/>
    </row>
    <row r="30" spans="1:70" s="412" customFormat="1" ht="24.95" customHeight="1">
      <c r="A30" s="593" t="str">
        <f>+IF(JULIO!A30=0,"",JULIO!A30)</f>
        <v>1130103-1-1</v>
      </c>
      <c r="B30" s="629" t="str">
        <f>+CONCATENATE("Vigencia ",INSTRUCCIONES!$F$3)</f>
        <v>Vigencia 2019</v>
      </c>
      <c r="C30" s="655">
        <f>+ENERO!C30</f>
        <v>0</v>
      </c>
      <c r="D30" s="363">
        <f>JULIO!D30+AGOSTO!P30</f>
        <v>0</v>
      </c>
      <c r="E30" s="363">
        <f>JULIO!E30+AGOSTO!Q30</f>
        <v>0</v>
      </c>
      <c r="F30" s="363">
        <f>SUM(C30:E30)</f>
        <v>0</v>
      </c>
      <c r="G30" s="363">
        <f>JULIO!I30</f>
        <v>0</v>
      </c>
      <c r="H30" s="364">
        <v>0</v>
      </c>
      <c r="I30" s="363">
        <f>SUM(G30:H30)</f>
        <v>0</v>
      </c>
      <c r="J30" s="363">
        <f>JULIO!L30</f>
        <v>0</v>
      </c>
      <c r="K30" s="364">
        <v>0</v>
      </c>
      <c r="L30" s="363">
        <f>SUM(J30:K30)</f>
        <v>0</v>
      </c>
      <c r="M30" s="363">
        <f>F30-I30</f>
        <v>0</v>
      </c>
      <c r="N30" s="143">
        <f>F30-L30</f>
        <v>0</v>
      </c>
      <c r="O30" s="9"/>
      <c r="P30" s="362">
        <v>0</v>
      </c>
      <c r="Q30" s="365">
        <v>0</v>
      </c>
      <c r="R30" s="9"/>
      <c r="S30" s="689" t="str">
        <f>+IF(JULIO!S30=0,"",JULIO!S30)</f>
        <v>1010104-10</v>
      </c>
      <c r="T30" s="665" t="str">
        <f>+IF(JULIO!T30=0,"",JULIO!T30)</f>
        <v>Gastos de Representación</v>
      </c>
      <c r="U30" s="27">
        <f>+ENERO!U30</f>
        <v>0</v>
      </c>
      <c r="V30" s="15">
        <f>JULIO!V30+AGOSTO!AL30</f>
        <v>0</v>
      </c>
      <c r="W30" s="15">
        <f>JULIO!W30+AGOSTO!AM30</f>
        <v>0</v>
      </c>
      <c r="X30" s="18">
        <f t="shared" si="17"/>
        <v>0</v>
      </c>
      <c r="Y30" s="19">
        <f>JULIO!AA30</f>
        <v>0</v>
      </c>
      <c r="Z30" s="364">
        <v>0</v>
      </c>
      <c r="AA30" s="18">
        <f t="shared" si="18"/>
        <v>0</v>
      </c>
      <c r="AB30" s="19">
        <f>JULIO!AD30</f>
        <v>0</v>
      </c>
      <c r="AC30" s="364">
        <v>0</v>
      </c>
      <c r="AD30" s="18">
        <f t="shared" si="19"/>
        <v>0</v>
      </c>
      <c r="AE30" s="19">
        <f>JULIO!AG30</f>
        <v>0</v>
      </c>
      <c r="AF30" s="364">
        <v>0</v>
      </c>
      <c r="AG30" s="18">
        <f t="shared" si="20"/>
        <v>0</v>
      </c>
      <c r="AH30" s="19">
        <f t="shared" si="21"/>
        <v>0</v>
      </c>
      <c r="AI30" s="15">
        <f t="shared" si="22"/>
        <v>0</v>
      </c>
      <c r="AJ30" s="16">
        <f t="shared" si="23"/>
        <v>0</v>
      </c>
      <c r="AK30" s="9"/>
      <c r="AL30" s="362">
        <v>0</v>
      </c>
      <c r="AM30" s="365">
        <v>0</v>
      </c>
      <c r="AN30" s="9"/>
      <c r="AO30" s="360" t="s">
        <v>51</v>
      </c>
      <c r="AP30" s="428" t="s">
        <v>130</v>
      </c>
      <c r="AQ30" s="363">
        <f>X220+X232</f>
        <v>32627598343</v>
      </c>
      <c r="AR30" s="363">
        <f>AD220+AD232</f>
        <v>13734698481</v>
      </c>
      <c r="AS30" s="363">
        <f>AG220+AG232</f>
        <v>11721506329</v>
      </c>
      <c r="AT30" s="421"/>
      <c r="AU30" s="363">
        <f t="shared" si="25"/>
        <v>0.42095340075640825</v>
      </c>
      <c r="AV30" s="363">
        <f t="shared" si="26"/>
        <v>0.35925127573831245</v>
      </c>
      <c r="AW30" s="363">
        <f>(AR30-AD225-AD230-AD241-AD256)/$AO$2*12+AD225+AD230+AD241+AD256</f>
        <v>19892921901</v>
      </c>
      <c r="AX30" s="363">
        <f>(AS30-AG225-AG230-AG241-AG256)/$AO$2*12+AG225+AG230+AG241+AG256</f>
        <v>17221317509.5</v>
      </c>
      <c r="AY30" s="363">
        <f t="shared" si="27"/>
        <v>-12734676442</v>
      </c>
      <c r="AZ30" s="143">
        <f t="shared" si="28"/>
        <v>15406280833.5</v>
      </c>
      <c r="BA30" s="372"/>
      <c r="BG30" s="372"/>
      <c r="BH30" s="372"/>
      <c r="BI30" s="372"/>
      <c r="BJ30" s="372"/>
      <c r="BK30" s="372"/>
      <c r="BL30" s="372"/>
      <c r="BM30" s="110" t="s">
        <v>74</v>
      </c>
      <c r="BN30" s="106">
        <f>X220-X225-X230</f>
        <v>262344980</v>
      </c>
      <c r="BO30" s="107">
        <f>AA220-AA225-AA230</f>
        <v>205567607</v>
      </c>
      <c r="BP30" s="107">
        <f>AD220-AD225-AD230</f>
        <v>205567607</v>
      </c>
      <c r="BQ30" s="108">
        <f>AF220-AF225-AF230</f>
        <v>25403879</v>
      </c>
      <c r="BR30" s="372"/>
    </row>
    <row r="31" spans="1:70" s="412" customFormat="1" ht="24.95" customHeight="1">
      <c r="A31" s="593" t="str">
        <f>+IF(JULIO!A31=0,"",JULIO!A31)</f>
        <v>1130103-1-2</v>
      </c>
      <c r="B31" s="629" t="str">
        <f>+IF(JULIO!B31=0,"",JULIO!B31)</f>
        <v>Vigencia Anterior</v>
      </c>
      <c r="C31" s="655">
        <f>+ENERO!C31</f>
        <v>0</v>
      </c>
      <c r="D31" s="363">
        <f>JULIO!D31+AGOSTO!P31</f>
        <v>0</v>
      </c>
      <c r="E31" s="363">
        <f>JULIO!E31+AGOSTO!Q31</f>
        <v>0</v>
      </c>
      <c r="F31" s="363">
        <f>SUM(C31:E31)</f>
        <v>0</v>
      </c>
      <c r="G31" s="363">
        <f>JULIO!I31</f>
        <v>0</v>
      </c>
      <c r="H31" s="364">
        <v>0</v>
      </c>
      <c r="I31" s="363">
        <f>SUM(G31:H31)</f>
        <v>0</v>
      </c>
      <c r="J31" s="363">
        <f>JULIO!L31</f>
        <v>0</v>
      </c>
      <c r="K31" s="364">
        <v>0</v>
      </c>
      <c r="L31" s="363">
        <f>SUM(J31:K31)</f>
        <v>0</v>
      </c>
      <c r="M31" s="363">
        <f>F31-I31</f>
        <v>0</v>
      </c>
      <c r="N31" s="143">
        <f>F31-L31</f>
        <v>0</v>
      </c>
      <c r="O31" s="372"/>
      <c r="P31" s="362">
        <v>0</v>
      </c>
      <c r="Q31" s="365">
        <v>0</v>
      </c>
      <c r="R31" s="9"/>
      <c r="S31" s="689" t="str">
        <f>+IF(JULIO!S31=0,"",JULIO!S31)</f>
        <v>1010104-11</v>
      </c>
      <c r="T31" s="665" t="str">
        <f>+IF(JULIO!T31=0,"",JULIO!T31)</f>
        <v/>
      </c>
      <c r="U31" s="27">
        <f>+ENERO!U31</f>
        <v>0</v>
      </c>
      <c r="V31" s="15">
        <f>JULIO!V31+AGOSTO!AL31</f>
        <v>0</v>
      </c>
      <c r="W31" s="15">
        <f>JULIO!W31+AGOSTO!AM31</f>
        <v>0</v>
      </c>
      <c r="X31" s="18">
        <f t="shared" si="17"/>
        <v>0</v>
      </c>
      <c r="Y31" s="19">
        <f>JULIO!AA31</f>
        <v>0</v>
      </c>
      <c r="Z31" s="364">
        <v>0</v>
      </c>
      <c r="AA31" s="18">
        <f t="shared" si="18"/>
        <v>0</v>
      </c>
      <c r="AB31" s="19">
        <f>JULIO!AD31</f>
        <v>0</v>
      </c>
      <c r="AC31" s="364">
        <v>0</v>
      </c>
      <c r="AD31" s="18">
        <f t="shared" si="19"/>
        <v>0</v>
      </c>
      <c r="AE31" s="19">
        <f>JULIO!AG31</f>
        <v>0</v>
      </c>
      <c r="AF31" s="364">
        <v>0</v>
      </c>
      <c r="AG31" s="18">
        <f t="shared" si="20"/>
        <v>0</v>
      </c>
      <c r="AH31" s="19">
        <f t="shared" si="21"/>
        <v>0</v>
      </c>
      <c r="AI31" s="15">
        <f t="shared" si="22"/>
        <v>0</v>
      </c>
      <c r="AJ31" s="16">
        <f t="shared" si="23"/>
        <v>0</v>
      </c>
      <c r="AK31" s="9"/>
      <c r="AL31" s="362">
        <v>0</v>
      </c>
      <c r="AM31" s="365">
        <v>0</v>
      </c>
      <c r="AN31" s="9"/>
      <c r="AO31" s="339"/>
      <c r="AP31" s="405" t="s">
        <v>133</v>
      </c>
      <c r="AQ31" s="421">
        <f>X258</f>
        <v>0</v>
      </c>
      <c r="AR31" s="421">
        <f>AD258</f>
        <v>-5464894118.2400055</v>
      </c>
      <c r="AS31" s="421">
        <f>AG258</f>
        <v>-49486461902</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20411150564</v>
      </c>
      <c r="BO31" s="107">
        <f>AA33+AA41+AA55+AA61+AA81+AA88+AA102+AA108+AA121+AA139+AA143+AA153+AA168+AA174+AA183+AA191+AA207+AA218+AA230+AA241+AA256+AA225</f>
        <v>19886253095</v>
      </c>
      <c r="BP31" s="107">
        <f>AD33+AD41+AD55+AD61+AD81+AD88+AD102+AD108+AD121+AD139+AD143+AD153+AD168+AD174+AD183+AD191+AD207+AD218+AD230+AD241+AD256+AD225</f>
        <v>15892840519</v>
      </c>
      <c r="BQ31" s="108">
        <f>AF33+AF41+AF55+AF61+AF81+AF88+AF102+AF108+AF121+AF139+AF143+AF153+AF168+AF174+AF183+AF191+AF207+AF218+AF230+AF241+AF256+AF225</f>
        <v>678610637</v>
      </c>
      <c r="BR31" s="9"/>
    </row>
    <row r="32" spans="1:70" s="9" customFormat="1" ht="24.95" customHeight="1" thickBot="1">
      <c r="A32" s="593" t="str">
        <f>+IF(JULIO!A32=0,"",JULIO!A32)</f>
        <v>1130103-2</v>
      </c>
      <c r="B32" s="630" t="str">
        <f>+IF(JULIO!B32=0,"",JULIO!B32)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72"/>
      <c r="P32" s="144">
        <f>SUM(P33:P34)</f>
        <v>0</v>
      </c>
      <c r="Q32" s="145">
        <f>SUM(Q33:Q34)</f>
        <v>0</v>
      </c>
      <c r="S32" s="689" t="str">
        <f>+IF(JULIO!S32=0,"",JULIO!S32)</f>
        <v>1010104-12</v>
      </c>
      <c r="T32" s="665" t="str">
        <f>+IF(JULIO!T32=0,"",JULIO!T32)</f>
        <v/>
      </c>
      <c r="U32" s="27">
        <f>+ENERO!U32</f>
        <v>0</v>
      </c>
      <c r="V32" s="15">
        <f>JULIO!V32+AGOSTO!AL32</f>
        <v>0</v>
      </c>
      <c r="W32" s="15">
        <f>JULIO!W32+AGOSTO!AM32</f>
        <v>0</v>
      </c>
      <c r="X32" s="18">
        <f t="shared" si="17"/>
        <v>0</v>
      </c>
      <c r="Y32" s="19">
        <f>JULIO!AA32</f>
        <v>0</v>
      </c>
      <c r="Z32" s="364">
        <v>0</v>
      </c>
      <c r="AA32" s="18">
        <f t="shared" si="18"/>
        <v>0</v>
      </c>
      <c r="AB32" s="19">
        <f>JULIO!AD32</f>
        <v>0</v>
      </c>
      <c r="AC32" s="364">
        <v>0</v>
      </c>
      <c r="AD32" s="18">
        <f t="shared" si="19"/>
        <v>0</v>
      </c>
      <c r="AE32" s="19">
        <f>JULIO!AG32</f>
        <v>0</v>
      </c>
      <c r="AF32" s="364">
        <v>0</v>
      </c>
      <c r="AG32" s="18">
        <f t="shared" si="20"/>
        <v>0</v>
      </c>
      <c r="AH32" s="19">
        <f t="shared" si="21"/>
        <v>0</v>
      </c>
      <c r="AI32" s="15">
        <f t="shared" si="22"/>
        <v>0</v>
      </c>
      <c r="AJ32" s="16">
        <f t="shared" si="23"/>
        <v>0</v>
      </c>
      <c r="AL32" s="362">
        <v>0</v>
      </c>
      <c r="AM32" s="365">
        <v>0</v>
      </c>
      <c r="AO32" s="21"/>
      <c r="AP32" s="430" t="s">
        <v>138</v>
      </c>
      <c r="AQ32" s="385">
        <f>SUM(AQ22:AQ31)</f>
        <v>106163265160</v>
      </c>
      <c r="AR32" s="385">
        <f>SUM(AR22:AR31)</f>
        <v>61498388374.759995</v>
      </c>
      <c r="AS32" s="385">
        <f>SUM(AS22:AS31)</f>
        <v>0</v>
      </c>
      <c r="AT32" s="431"/>
      <c r="AU32" s="432">
        <f t="shared" si="25"/>
        <v>0.57928124461954889</v>
      </c>
      <c r="AV32" s="432">
        <f t="shared" si="26"/>
        <v>0</v>
      </c>
      <c r="AW32" s="341">
        <f>SUM(AW22:AW31)</f>
        <v>92920937989.625</v>
      </c>
      <c r="AX32" s="341">
        <f>SUM(AX22:AX31)</f>
        <v>67054817580.125</v>
      </c>
      <c r="AY32" s="341">
        <f>SUM(AY22:AY31)</f>
        <v>-13242327170.375</v>
      </c>
      <c r="AZ32" s="342">
        <f>SUM(AZ22:AZ31)</f>
        <v>39108447579.875</v>
      </c>
      <c r="BA32" s="372"/>
      <c r="BB32" s="412"/>
      <c r="BC32" s="412"/>
      <c r="BD32" s="412"/>
      <c r="BE32" s="412"/>
      <c r="BF32" s="412"/>
      <c r="BG32" s="372"/>
      <c r="BH32" s="372"/>
      <c r="BI32" s="372"/>
      <c r="BJ32" s="372"/>
      <c r="BK32" s="372"/>
      <c r="BM32" s="110" t="s">
        <v>134</v>
      </c>
      <c r="BN32" s="106">
        <f>+BN7+BN25+BN29+BN30+BN31</f>
        <v>106163265160</v>
      </c>
      <c r="BO32" s="107">
        <f>+BO7+BO25+BO29+BO30+BO31</f>
        <v>90361374592</v>
      </c>
      <c r="BP32" s="107">
        <f>+BP7+BP25+BP29+BP30+BP31</f>
        <v>66963282493</v>
      </c>
      <c r="BQ32" s="108">
        <f>+BQ7+BQ25+BQ29+BQ30+BQ31</f>
        <v>4047765520</v>
      </c>
      <c r="BR32" s="372"/>
    </row>
    <row r="33" spans="1:70" s="412" customFormat="1" ht="24.95" customHeight="1" thickBot="1">
      <c r="A33" s="593" t="str">
        <f>+IF(JULIO!A33=0,"",JULIO!A33)</f>
        <v>1130103-2-1</v>
      </c>
      <c r="B33" s="629" t="str">
        <f>+CONCATENATE("Vigencia ",INSTRUCCIONES!$F$3)</f>
        <v>Vigencia 2019</v>
      </c>
      <c r="C33" s="655">
        <f>+ENERO!C33</f>
        <v>0</v>
      </c>
      <c r="D33" s="363">
        <f>JULIO!D33+AGOSTO!P33</f>
        <v>0</v>
      </c>
      <c r="E33" s="363">
        <f>JULIO!E33+AGOSTO!Q33</f>
        <v>0</v>
      </c>
      <c r="F33" s="363">
        <f>SUM(C33:E33)</f>
        <v>0</v>
      </c>
      <c r="G33" s="363">
        <f>JULIO!I33</f>
        <v>0</v>
      </c>
      <c r="H33" s="364">
        <v>0</v>
      </c>
      <c r="I33" s="363">
        <f>SUM(G33:H33)</f>
        <v>0</v>
      </c>
      <c r="J33" s="363">
        <f>JULIO!L33</f>
        <v>0</v>
      </c>
      <c r="K33" s="364">
        <v>0</v>
      </c>
      <c r="L33" s="363">
        <f>SUM(J33:K33)</f>
        <v>0</v>
      </c>
      <c r="M33" s="363">
        <f>F33-I33</f>
        <v>0</v>
      </c>
      <c r="N33" s="143">
        <f>F33-L33</f>
        <v>0</v>
      </c>
      <c r="O33" s="9"/>
      <c r="P33" s="362">
        <v>0</v>
      </c>
      <c r="Q33" s="365">
        <v>0</v>
      </c>
      <c r="R33" s="9"/>
      <c r="S33" s="688">
        <f>+IF(JULIO!S33=0,"",JULIO!S33)</f>
        <v>1010199</v>
      </c>
      <c r="T33" s="664" t="str">
        <f>+IF(JULIO!T33=0,"",JULIO!T33)</f>
        <v>Vigencias Anteriores</v>
      </c>
      <c r="U33" s="27">
        <f>+ENERO!U33</f>
        <v>0</v>
      </c>
      <c r="V33" s="15">
        <f>JULIO!V33+AGOSTO!AL33</f>
        <v>-120000000</v>
      </c>
      <c r="W33" s="15">
        <f>JULIO!W33+AGOSTO!AM33</f>
        <v>120000000</v>
      </c>
      <c r="X33" s="18">
        <f t="shared" si="17"/>
        <v>0</v>
      </c>
      <c r="Y33" s="19">
        <f>JULIO!AA33</f>
        <v>0</v>
      </c>
      <c r="Z33" s="364">
        <v>0</v>
      </c>
      <c r="AA33" s="18">
        <f t="shared" si="18"/>
        <v>0</v>
      </c>
      <c r="AB33" s="19">
        <f>JULIO!AD33</f>
        <v>0</v>
      </c>
      <c r="AC33" s="364">
        <v>0</v>
      </c>
      <c r="AD33" s="18">
        <f t="shared" si="19"/>
        <v>0</v>
      </c>
      <c r="AE33" s="19">
        <f>JULIO!AG33</f>
        <v>0</v>
      </c>
      <c r="AF33" s="364">
        <v>0</v>
      </c>
      <c r="AG33" s="1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-6370618846</v>
      </c>
      <c r="BP33" s="113">
        <f>AD258</f>
        <v>-5464894118.2400055</v>
      </c>
      <c r="BQ33" s="114">
        <f>AF258</f>
        <v>40617111265.239998</v>
      </c>
      <c r="BR33" s="372"/>
    </row>
    <row r="34" spans="1:70" s="412" customFormat="1" ht="24.95" customHeight="1" thickBot="1">
      <c r="A34" s="593" t="str">
        <f>+IF(JULIO!A34=0,"",JULIO!A34)</f>
        <v>1130103-2-2</v>
      </c>
      <c r="B34" s="629" t="str">
        <f>+IF(JULIO!B34=0,"",JULIO!B34)</f>
        <v>Vigencia Anterior</v>
      </c>
      <c r="C34" s="655">
        <f>+ENERO!C34</f>
        <v>0</v>
      </c>
      <c r="D34" s="363">
        <f>JULIO!D34+AGOSTO!P34</f>
        <v>0</v>
      </c>
      <c r="E34" s="363">
        <f>JULIO!E34+AGOSTO!Q34</f>
        <v>0</v>
      </c>
      <c r="F34" s="363">
        <f>SUM(C34:E34)</f>
        <v>0</v>
      </c>
      <c r="G34" s="363">
        <f>JULIO!I34</f>
        <v>0</v>
      </c>
      <c r="H34" s="364">
        <v>0</v>
      </c>
      <c r="I34" s="363">
        <f>SUM(G34:H34)</f>
        <v>0</v>
      </c>
      <c r="J34" s="363">
        <f>JULIO!L34</f>
        <v>0</v>
      </c>
      <c r="K34" s="364">
        <v>0</v>
      </c>
      <c r="L34" s="363">
        <f>SUM(J34:K34)</f>
        <v>0</v>
      </c>
      <c r="M34" s="363">
        <f>F34-I34</f>
        <v>0</v>
      </c>
      <c r="N34" s="143">
        <f>F34-L34</f>
        <v>0</v>
      </c>
      <c r="O34" s="372"/>
      <c r="P34" s="362">
        <v>0</v>
      </c>
      <c r="Q34" s="365">
        <v>0</v>
      </c>
      <c r="R34" s="9"/>
      <c r="S34" s="356" t="str">
        <f>+IF(JULIO!S34=0,"",JULIO!S34)</f>
        <v/>
      </c>
      <c r="T34" s="678" t="str">
        <f>+IF(JULIO!T34=0,"",JULIO!T34)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+IF(JULIO!A35=0,"",JULIO!A35)</f>
        <v>1130103-3</v>
      </c>
      <c r="B35" s="630" t="str">
        <f>+IF(JULIO!B35=0,"",JULIO!B35)</f>
        <v>Prestación de Servicios de salud  3o. Nivel</v>
      </c>
      <c r="C35" s="19">
        <f t="shared" ref="C35:N35" si="33">SUM(C36:C37)</f>
        <v>7627600802</v>
      </c>
      <c r="D35" s="15">
        <f t="shared" si="33"/>
        <v>0</v>
      </c>
      <c r="E35" s="15">
        <f t="shared" si="33"/>
        <v>2802589107</v>
      </c>
      <c r="F35" s="15">
        <f t="shared" si="33"/>
        <v>10430189909</v>
      </c>
      <c r="G35" s="15">
        <f t="shared" si="33"/>
        <v>9387566329</v>
      </c>
      <c r="H35" s="15">
        <f t="shared" si="33"/>
        <v>1664588163</v>
      </c>
      <c r="I35" s="15">
        <f t="shared" si="33"/>
        <v>11052154492</v>
      </c>
      <c r="J35" s="15">
        <f t="shared" si="33"/>
        <v>3211095224</v>
      </c>
      <c r="K35" s="15">
        <f t="shared" si="33"/>
        <v>560050703</v>
      </c>
      <c r="L35" s="15">
        <f t="shared" si="33"/>
        <v>3771145927</v>
      </c>
      <c r="M35" s="15">
        <f t="shared" si="33"/>
        <v>-621964583</v>
      </c>
      <c r="N35" s="16">
        <f t="shared" si="33"/>
        <v>6659043982</v>
      </c>
      <c r="P35" s="144">
        <f>SUM(P36:P37)</f>
        <v>0</v>
      </c>
      <c r="Q35" s="145">
        <f>SUM(Q36:Q37)</f>
        <v>1178549574</v>
      </c>
      <c r="R35" s="9"/>
      <c r="S35" s="687">
        <f>+IF(JULIO!S35=0,"",JULIO!S35)</f>
        <v>1010200</v>
      </c>
      <c r="T35" s="663" t="str">
        <f>+IF(JULIO!T35=0,"",JULIO!T35)</f>
        <v>Servicios Personales Indirectos</v>
      </c>
      <c r="U35" s="132">
        <f t="shared" ref="U35:AJ35" si="34">SUM(U36:U41)</f>
        <v>4253886796</v>
      </c>
      <c r="V35" s="122">
        <f t="shared" si="34"/>
        <v>190000000</v>
      </c>
      <c r="W35" s="122">
        <f t="shared" si="34"/>
        <v>150000000</v>
      </c>
      <c r="X35" s="129">
        <f t="shared" si="34"/>
        <v>4593886796</v>
      </c>
      <c r="Y35" s="128">
        <f t="shared" si="34"/>
        <v>4450968099</v>
      </c>
      <c r="Z35" s="122">
        <f t="shared" si="34"/>
        <v>16679426</v>
      </c>
      <c r="AA35" s="129">
        <f t="shared" si="34"/>
        <v>4467647525</v>
      </c>
      <c r="AB35" s="128">
        <f t="shared" si="34"/>
        <v>2948189597</v>
      </c>
      <c r="AC35" s="122">
        <f t="shared" si="34"/>
        <v>362524274</v>
      </c>
      <c r="AD35" s="129">
        <f t="shared" si="34"/>
        <v>3310713871</v>
      </c>
      <c r="AE35" s="128">
        <f t="shared" si="34"/>
        <v>2464075026</v>
      </c>
      <c r="AF35" s="122">
        <f t="shared" si="34"/>
        <v>289506665</v>
      </c>
      <c r="AG35" s="129">
        <f t="shared" si="34"/>
        <v>2753581691</v>
      </c>
      <c r="AH35" s="128">
        <f t="shared" si="34"/>
        <v>126239271</v>
      </c>
      <c r="AI35" s="122">
        <f t="shared" si="34"/>
        <v>1283172925</v>
      </c>
      <c r="AJ35" s="130">
        <f t="shared" si="34"/>
        <v>1840305105</v>
      </c>
      <c r="AK35" s="9"/>
      <c r="AL35" s="128">
        <f>SUM(AL36:AL41)</f>
        <v>0</v>
      </c>
      <c r="AM35" s="130">
        <f>SUM(AM36:AM41)</f>
        <v>50000000</v>
      </c>
      <c r="AN35" s="9"/>
      <c r="AO35" s="339"/>
      <c r="AP35" s="440"/>
      <c r="AQ35" s="282"/>
      <c r="AR35" s="441"/>
      <c r="AS35" s="441"/>
      <c r="AT35" s="441"/>
      <c r="AU35" s="442">
        <f>AR17-AR32</f>
        <v>7572984734.2400055</v>
      </c>
      <c r="AV35" s="443">
        <f>AS17-AR32</f>
        <v>-14863417355</v>
      </c>
      <c r="AW35" s="443" t="s">
        <v>151</v>
      </c>
      <c r="AX35" s="444"/>
      <c r="AY35" s="443">
        <f>AY17+AY32</f>
        <v>10006875861.125</v>
      </c>
      <c r="AZ35" s="445">
        <f>AZ17+AY32</f>
        <v>-23731675195.580002</v>
      </c>
      <c r="BB35" s="412"/>
      <c r="BC35" s="412"/>
      <c r="BD35" s="412"/>
      <c r="BE35" s="412"/>
      <c r="BF35" s="412"/>
    </row>
    <row r="36" spans="1:70" s="372" customFormat="1" ht="24.95" customHeight="1" thickBot="1">
      <c r="A36" s="593" t="str">
        <f>+IF(JULIO!A36=0,"",JULIO!A36)</f>
        <v>1130103-3-1</v>
      </c>
      <c r="B36" s="629" t="str">
        <f>+CONCATENATE("Vigencia ",INSTRUCCIONES!$F$3)</f>
        <v>Vigencia 2019</v>
      </c>
      <c r="C36" s="655">
        <f>+ENERO!C36</f>
        <v>7627600802</v>
      </c>
      <c r="D36" s="363">
        <f>JULIO!D36+AGOSTO!P36</f>
        <v>0</v>
      </c>
      <c r="E36" s="363">
        <f>JULIO!E36+AGOSTO!Q36</f>
        <v>0</v>
      </c>
      <c r="F36" s="363">
        <f t="shared" ref="F36:F41" si="35">SUM(C36:E36)</f>
        <v>7627600802</v>
      </c>
      <c r="G36" s="363">
        <f>JULIO!I36</f>
        <v>6584977222</v>
      </c>
      <c r="H36" s="364">
        <v>1104922363</v>
      </c>
      <c r="I36" s="363">
        <f t="shared" ref="I36:I41" si="36">SUM(G36:H36)</f>
        <v>7689899585</v>
      </c>
      <c r="J36" s="363">
        <f>JULIO!L36</f>
        <v>408506117</v>
      </c>
      <c r="K36" s="364">
        <v>384903</v>
      </c>
      <c r="L36" s="363">
        <f t="shared" ref="L36:L41" si="37">SUM(J36:K36)</f>
        <v>408891020</v>
      </c>
      <c r="M36" s="363">
        <f t="shared" ref="M36:M41" si="38">F36-I36</f>
        <v>-62298783</v>
      </c>
      <c r="N36" s="143">
        <f t="shared" ref="N36:N41" si="39">F36-L36</f>
        <v>7218709782</v>
      </c>
      <c r="O36" s="9"/>
      <c r="P36" s="362">
        <v>0</v>
      </c>
      <c r="Q36" s="365">
        <v>0</v>
      </c>
      <c r="R36" s="9"/>
      <c r="S36" s="688" t="str">
        <f>+IF(JULIO!S36=0,"",JULIO!S36)</f>
        <v>1010200-1</v>
      </c>
      <c r="T36" s="664" t="str">
        <f>+IF(JULIO!T36=0,"",JULIO!T36)</f>
        <v>Remuneración y Honorarios por Servicios Técnicos y Profesionales</v>
      </c>
      <c r="U36" s="27">
        <f>+ENERO!U36</f>
        <v>1270340000</v>
      </c>
      <c r="V36" s="15">
        <f>JULIO!V36+AGOSTO!AL36</f>
        <v>70000000</v>
      </c>
      <c r="W36" s="15">
        <f>JULIO!W36+AGOSTO!AM36</f>
        <v>100000000</v>
      </c>
      <c r="X36" s="18">
        <f t="shared" ref="X36:X41" si="40">SUM(U36:W36)</f>
        <v>1440340000</v>
      </c>
      <c r="Y36" s="19">
        <f>JULIO!AA36</f>
        <v>1383846866</v>
      </c>
      <c r="Z36" s="364">
        <v>16265368</v>
      </c>
      <c r="AA36" s="18">
        <f t="shared" ref="AA36:AA41" si="41">SUM(Y36:Z36)</f>
        <v>1400112234</v>
      </c>
      <c r="AB36" s="19">
        <f>JULIO!AD36</f>
        <v>824345881</v>
      </c>
      <c r="AC36" s="364">
        <v>109750860</v>
      </c>
      <c r="AD36" s="18">
        <f t="shared" ref="AD36:AD41" si="42">SUM(AB36:AC36)</f>
        <v>934096741</v>
      </c>
      <c r="AE36" s="19">
        <f>JULIO!AG36</f>
        <v>810904960</v>
      </c>
      <c r="AF36" s="364">
        <v>66000000</v>
      </c>
      <c r="AG36" s="18">
        <f t="shared" ref="AG36:AG41" si="43">SUM(AE36:AF36)</f>
        <v>876904960</v>
      </c>
      <c r="AH36" s="19">
        <f t="shared" ref="AH36:AH41" si="44">X36-AA36</f>
        <v>40227766</v>
      </c>
      <c r="AI36" s="15">
        <f t="shared" ref="AI36:AI41" si="45">X36-AD36</f>
        <v>506243259</v>
      </c>
      <c r="AJ36" s="16">
        <f t="shared" ref="AJ36:AJ41" si="46">X36-AG36</f>
        <v>563435040</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+IF(JULIO!A37=0,"",JULIO!A37)</f>
        <v>1130103-3-2</v>
      </c>
      <c r="B37" s="629" t="str">
        <f>+IF(JULIO!B37=0,"",JULIO!B37)</f>
        <v>Vigencia Anterior</v>
      </c>
      <c r="C37" s="655">
        <f>+ENERO!C37</f>
        <v>0</v>
      </c>
      <c r="D37" s="363">
        <f>JULIO!D37+AGOSTO!P37</f>
        <v>0</v>
      </c>
      <c r="E37" s="363">
        <f>JULIO!E37+AGOSTO!Q37</f>
        <v>2802589107</v>
      </c>
      <c r="F37" s="363">
        <f t="shared" si="35"/>
        <v>2802589107</v>
      </c>
      <c r="G37" s="363">
        <f>JULIO!I37</f>
        <v>2802589107</v>
      </c>
      <c r="H37" s="364">
        <v>559665800</v>
      </c>
      <c r="I37" s="363">
        <f t="shared" si="36"/>
        <v>3362254907</v>
      </c>
      <c r="J37" s="363">
        <f>JULIO!L37</f>
        <v>2802589107</v>
      </c>
      <c r="K37" s="364">
        <v>559665800</v>
      </c>
      <c r="L37" s="363">
        <f t="shared" si="37"/>
        <v>3362254907</v>
      </c>
      <c r="M37" s="363">
        <f t="shared" si="38"/>
        <v>-559665800</v>
      </c>
      <c r="N37" s="143">
        <f t="shared" si="39"/>
        <v>-559665800</v>
      </c>
      <c r="P37" s="362">
        <v>0</v>
      </c>
      <c r="Q37" s="365">
        <v>1178549574</v>
      </c>
      <c r="R37" s="9"/>
      <c r="S37" s="688" t="str">
        <f>+IF(JULIO!S37=0,"",JULIO!S37)</f>
        <v>1010200-2</v>
      </c>
      <c r="T37" s="664" t="str">
        <f>+IF(JULIO!T37=0,"",JULIO!T37)</f>
        <v>Personal Supernumerario</v>
      </c>
      <c r="U37" s="27">
        <f>+ENERO!U37</f>
        <v>0</v>
      </c>
      <c r="V37" s="15">
        <f>JULIO!V37+AGOSTO!AL37</f>
        <v>0</v>
      </c>
      <c r="W37" s="15">
        <f>JULIO!W37+AGOSTO!AM37</f>
        <v>0</v>
      </c>
      <c r="X37" s="18">
        <f t="shared" si="40"/>
        <v>0</v>
      </c>
      <c r="Y37" s="19">
        <f>JULIO!AA37</f>
        <v>0</v>
      </c>
      <c r="Z37" s="364">
        <v>0</v>
      </c>
      <c r="AA37" s="18">
        <f t="shared" si="41"/>
        <v>0</v>
      </c>
      <c r="AB37" s="19">
        <f>JULIO!AD37</f>
        <v>0</v>
      </c>
      <c r="AC37" s="364">
        <v>0</v>
      </c>
      <c r="AD37" s="18">
        <f t="shared" si="42"/>
        <v>0</v>
      </c>
      <c r="AE37" s="19">
        <f>JULIO!AG37</f>
        <v>0</v>
      </c>
      <c r="AF37" s="364">
        <v>0</v>
      </c>
      <c r="AG37" s="18">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+IF(JULIO!A38=0,"",JULIO!A38)</f>
        <v>1130103-4</v>
      </c>
      <c r="B38" s="631" t="str">
        <f>+IF(JULIO!B38=0,"",JULIO!B38)</f>
        <v xml:space="preserve"> Aportes Patronales  1o. Nivel</v>
      </c>
      <c r="C38" s="655">
        <f>+ENERO!C38</f>
        <v>0</v>
      </c>
      <c r="D38" s="363">
        <f>JULIO!D38+AGOSTO!P38</f>
        <v>0</v>
      </c>
      <c r="E38" s="363">
        <f>JULIO!E38+AGOSTO!Q38</f>
        <v>0</v>
      </c>
      <c r="F38" s="363">
        <f t="shared" si="35"/>
        <v>0</v>
      </c>
      <c r="G38" s="363">
        <f>JULIO!I38</f>
        <v>0</v>
      </c>
      <c r="H38" s="364">
        <v>0</v>
      </c>
      <c r="I38" s="363">
        <f t="shared" si="36"/>
        <v>0</v>
      </c>
      <c r="J38" s="363">
        <f>JULIO!L38</f>
        <v>0</v>
      </c>
      <c r="K38" s="364">
        <v>0</v>
      </c>
      <c r="L38" s="363">
        <f t="shared" si="37"/>
        <v>0</v>
      </c>
      <c r="M38" s="363">
        <f t="shared" si="38"/>
        <v>0</v>
      </c>
      <c r="N38" s="143">
        <f t="shared" si="39"/>
        <v>0</v>
      </c>
      <c r="O38" s="515"/>
      <c r="P38" s="362">
        <v>0</v>
      </c>
      <c r="Q38" s="365">
        <v>0</v>
      </c>
      <c r="R38" s="9"/>
      <c r="S38" s="688" t="str">
        <f>+IF(JULIO!S38=0,"",JULIO!S38)</f>
        <v>1010200-3</v>
      </c>
      <c r="T38" s="664" t="str">
        <f>+IF(JULIO!T38=0,"",JULIO!T38)</f>
        <v>Honorarios de la Junta Directiva</v>
      </c>
      <c r="U38" s="27">
        <f>+ENERO!U38</f>
        <v>5000000</v>
      </c>
      <c r="V38" s="15">
        <f>JULIO!V38+AGOSTO!AL38</f>
        <v>0</v>
      </c>
      <c r="W38" s="15">
        <f>JULIO!W38+AGOSTO!AM38</f>
        <v>0</v>
      </c>
      <c r="X38" s="18">
        <f t="shared" si="40"/>
        <v>5000000</v>
      </c>
      <c r="Y38" s="19">
        <f>JULIO!AA38</f>
        <v>2898406</v>
      </c>
      <c r="Z38" s="364">
        <v>414058</v>
      </c>
      <c r="AA38" s="18">
        <f t="shared" si="41"/>
        <v>3312464</v>
      </c>
      <c r="AB38" s="19">
        <f>JULIO!AD38</f>
        <v>2898406</v>
      </c>
      <c r="AC38" s="364">
        <v>414058</v>
      </c>
      <c r="AD38" s="18">
        <f t="shared" si="42"/>
        <v>3312464</v>
      </c>
      <c r="AE38" s="19">
        <f>JULIO!AG38</f>
        <v>2898406</v>
      </c>
      <c r="AF38" s="364">
        <v>0</v>
      </c>
      <c r="AG38" s="18">
        <f t="shared" si="43"/>
        <v>2898406</v>
      </c>
      <c r="AH38" s="19">
        <f t="shared" si="44"/>
        <v>1687536</v>
      </c>
      <c r="AI38" s="15">
        <f t="shared" si="45"/>
        <v>1687536</v>
      </c>
      <c r="AJ38" s="16">
        <f t="shared" si="46"/>
        <v>2101594</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+IF(JULIO!A39=0,"",JULIO!A39)</f>
        <v>1130103-5</v>
      </c>
      <c r="B39" s="631" t="str">
        <f>+IF(JULIO!B39=0,"",JULIO!B39)</f>
        <v xml:space="preserve"> Aportes Patronales  2o. Nivel</v>
      </c>
      <c r="C39" s="655">
        <f>+ENERO!C39</f>
        <v>0</v>
      </c>
      <c r="D39" s="363">
        <f>JULIO!D39+AGOSTO!P39</f>
        <v>0</v>
      </c>
      <c r="E39" s="363">
        <f>JULIO!E39+AGOSTO!Q39</f>
        <v>0</v>
      </c>
      <c r="F39" s="363">
        <f t="shared" si="35"/>
        <v>0</v>
      </c>
      <c r="G39" s="363">
        <f>JULIO!I39</f>
        <v>0</v>
      </c>
      <c r="H39" s="364">
        <v>0</v>
      </c>
      <c r="I39" s="363">
        <f t="shared" si="36"/>
        <v>0</v>
      </c>
      <c r="J39" s="363">
        <f>JULIO!L39</f>
        <v>0</v>
      </c>
      <c r="K39" s="364">
        <v>0</v>
      </c>
      <c r="L39" s="363">
        <f t="shared" si="37"/>
        <v>0</v>
      </c>
      <c r="M39" s="363">
        <f t="shared" si="38"/>
        <v>0</v>
      </c>
      <c r="N39" s="143">
        <f t="shared" si="39"/>
        <v>0</v>
      </c>
      <c r="O39" s="515"/>
      <c r="P39" s="362">
        <v>0</v>
      </c>
      <c r="Q39" s="365">
        <v>0</v>
      </c>
      <c r="R39" s="9"/>
      <c r="S39" s="688" t="str">
        <f>+IF(JULIO!S39=0,"",JULIO!S39)</f>
        <v>1010200-4</v>
      </c>
      <c r="T39" s="664" t="str">
        <f>+IF(JULIO!T39=0,"",JULIO!T39)</f>
        <v>Otros Honorarios</v>
      </c>
      <c r="U39" s="27">
        <f>+ENERO!U39</f>
        <v>2589745841</v>
      </c>
      <c r="V39" s="15">
        <f>JULIO!V39+AGOSTO!AL39</f>
        <v>0</v>
      </c>
      <c r="W39" s="15">
        <f>JULIO!W39+AGOSTO!AM39</f>
        <v>50000000</v>
      </c>
      <c r="X39" s="18">
        <f t="shared" si="40"/>
        <v>2639745841</v>
      </c>
      <c r="Y39" s="19">
        <f>JULIO!AA39</f>
        <v>2589745626</v>
      </c>
      <c r="Z39" s="364">
        <v>0</v>
      </c>
      <c r="AA39" s="18">
        <f t="shared" si="41"/>
        <v>2589745626</v>
      </c>
      <c r="AB39" s="19">
        <f>JULIO!AD39</f>
        <v>1646468109</v>
      </c>
      <c r="AC39" s="364">
        <v>252359356</v>
      </c>
      <c r="AD39" s="18">
        <f t="shared" si="42"/>
        <v>1898827465</v>
      </c>
      <c r="AE39" s="19">
        <f>JULIO!AG39</f>
        <v>1175794459</v>
      </c>
      <c r="AF39" s="364">
        <v>223506665</v>
      </c>
      <c r="AG39" s="18">
        <f t="shared" si="43"/>
        <v>1399301124</v>
      </c>
      <c r="AH39" s="19">
        <f t="shared" si="44"/>
        <v>50000215</v>
      </c>
      <c r="AI39" s="15">
        <f t="shared" si="45"/>
        <v>740918376</v>
      </c>
      <c r="AJ39" s="16">
        <f t="shared" si="46"/>
        <v>1240444717</v>
      </c>
      <c r="AK39" s="9"/>
      <c r="AL39" s="362">
        <v>0</v>
      </c>
      <c r="AM39" s="365">
        <v>50000000</v>
      </c>
      <c r="AN39" s="9"/>
      <c r="AO39" s="284"/>
      <c r="AP39" s="284"/>
      <c r="AQ39" s="284"/>
      <c r="AR39" s="284"/>
      <c r="AS39" s="284"/>
      <c r="AT39" s="284"/>
      <c r="AU39" s="284"/>
      <c r="AV39" s="284"/>
      <c r="AW39" s="284"/>
      <c r="AX39" s="284"/>
      <c r="AY39" s="284"/>
      <c r="AZ39" s="284"/>
    </row>
    <row r="40" spans="1:70" s="412" customFormat="1" ht="24.95" customHeight="1">
      <c r="A40" s="716" t="str">
        <f>+IF(JULIO!A40=0,"",JULIO!A40)</f>
        <v>1130103-6</v>
      </c>
      <c r="B40" s="631" t="str">
        <f>+IF(JULIO!B40=0,"",JULIO!B40)</f>
        <v xml:space="preserve"> Aportes Patronales  3er. Nivel</v>
      </c>
      <c r="C40" s="655">
        <f>+ENERO!C40</f>
        <v>1324760338</v>
      </c>
      <c r="D40" s="363">
        <f>JULIO!D40+AGOSTO!P40</f>
        <v>0</v>
      </c>
      <c r="E40" s="363">
        <f>JULIO!E40+AGOSTO!Q40</f>
        <v>0</v>
      </c>
      <c r="F40" s="363">
        <f t="shared" si="35"/>
        <v>1324760338</v>
      </c>
      <c r="G40" s="363">
        <f>JULIO!I40</f>
        <v>662380170</v>
      </c>
      <c r="H40" s="364">
        <v>110396695</v>
      </c>
      <c r="I40" s="363">
        <f t="shared" si="36"/>
        <v>772776865</v>
      </c>
      <c r="J40" s="363">
        <f>JULIO!L40</f>
        <v>662380170</v>
      </c>
      <c r="K40" s="364">
        <v>110396695</v>
      </c>
      <c r="L40" s="363">
        <f t="shared" si="37"/>
        <v>772776865</v>
      </c>
      <c r="M40" s="363">
        <f t="shared" si="38"/>
        <v>551983473</v>
      </c>
      <c r="N40" s="143">
        <f t="shared" si="39"/>
        <v>551983473</v>
      </c>
      <c r="O40" s="515"/>
      <c r="P40" s="362">
        <v>0</v>
      </c>
      <c r="Q40" s="365">
        <v>0</v>
      </c>
      <c r="R40" s="9"/>
      <c r="S40" s="688" t="str">
        <f>+IF(JULIO!S40=0,"",JULIO!S40)</f>
        <v>1010200-5</v>
      </c>
      <c r="T40" s="664" t="str">
        <f>+IF(JULIO!T40=0,"",JULIO!T40)</f>
        <v>Certificación, Habilitación y Acreditación</v>
      </c>
      <c r="U40" s="27">
        <f>+ENERO!U40</f>
        <v>0</v>
      </c>
      <c r="V40" s="15">
        <f>JULIO!V40+AGOSTO!AL40</f>
        <v>0</v>
      </c>
      <c r="W40" s="15">
        <f>JULIO!W40+AGOSTO!AM40</f>
        <v>0</v>
      </c>
      <c r="X40" s="18">
        <f t="shared" si="40"/>
        <v>0</v>
      </c>
      <c r="Y40" s="19">
        <f>JULIO!AA40</f>
        <v>0</v>
      </c>
      <c r="Z40" s="364">
        <v>0</v>
      </c>
      <c r="AA40" s="18">
        <f t="shared" si="41"/>
        <v>0</v>
      </c>
      <c r="AB40" s="19">
        <f>JULIO!AD40</f>
        <v>0</v>
      </c>
      <c r="AC40" s="364">
        <v>0</v>
      </c>
      <c r="AD40" s="18">
        <f t="shared" si="42"/>
        <v>0</v>
      </c>
      <c r="AE40" s="19">
        <f>JULIO!AG40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+IF(JULIO!A41=0,"",JULIO!A41)</f>
        <v>1130104</v>
      </c>
      <c r="B41" s="628" t="str">
        <f>+IF(JULIO!B41=0,"",JULIO!B41)</f>
        <v>SUBSIDIO A LA OFERTA- ACTIVIDADES NO POS-S</v>
      </c>
      <c r="C41" s="655">
        <f>+ENERO!C41</f>
        <v>0</v>
      </c>
      <c r="D41" s="122">
        <f>JULIO!D41+AGOSTO!P41</f>
        <v>0</v>
      </c>
      <c r="E41" s="122">
        <f>JULIO!E41+AGOSTO!Q41</f>
        <v>0</v>
      </c>
      <c r="F41" s="122">
        <f t="shared" si="35"/>
        <v>0</v>
      </c>
      <c r="G41" s="122">
        <f>JULIO!I41</f>
        <v>0</v>
      </c>
      <c r="H41" s="364">
        <v>0</v>
      </c>
      <c r="I41" s="122">
        <f t="shared" si="36"/>
        <v>0</v>
      </c>
      <c r="J41" s="122">
        <f>JULIO!L41</f>
        <v>0</v>
      </c>
      <c r="K41" s="364">
        <v>0</v>
      </c>
      <c r="L41" s="122">
        <f t="shared" si="37"/>
        <v>0</v>
      </c>
      <c r="M41" s="122">
        <f t="shared" si="38"/>
        <v>0</v>
      </c>
      <c r="N41" s="130">
        <f t="shared" si="39"/>
        <v>0</v>
      </c>
      <c r="O41" s="372"/>
      <c r="P41" s="364">
        <v>0</v>
      </c>
      <c r="Q41" s="365">
        <v>0</v>
      </c>
      <c r="R41" s="9"/>
      <c r="S41" s="688">
        <f>+IF(JULIO!S41=0,"",JULIO!S41)</f>
        <v>1010299</v>
      </c>
      <c r="T41" s="664" t="str">
        <f>+IF(JULIO!T41=0,"",JULIO!T41)</f>
        <v>Vigencias Anteriores</v>
      </c>
      <c r="U41" s="27">
        <f>+ENERO!U41</f>
        <v>388800955</v>
      </c>
      <c r="V41" s="15">
        <f>JULIO!V41+AGOSTO!AL41</f>
        <v>120000000</v>
      </c>
      <c r="W41" s="15">
        <f>JULIO!W41+AGOSTO!AM41</f>
        <v>0</v>
      </c>
      <c r="X41" s="18">
        <f t="shared" si="40"/>
        <v>508800955</v>
      </c>
      <c r="Y41" s="19">
        <f>JULIO!AA41</f>
        <v>474477201</v>
      </c>
      <c r="Z41" s="364">
        <v>0</v>
      </c>
      <c r="AA41" s="18">
        <f t="shared" si="41"/>
        <v>474477201</v>
      </c>
      <c r="AB41" s="19">
        <f>JULIO!AD41</f>
        <v>474477201</v>
      </c>
      <c r="AC41" s="364">
        <v>0</v>
      </c>
      <c r="AD41" s="18">
        <f t="shared" si="42"/>
        <v>474477201</v>
      </c>
      <c r="AE41" s="19">
        <f>JULIO!AG41</f>
        <v>474477201</v>
      </c>
      <c r="AF41" s="364">
        <v>0</v>
      </c>
      <c r="AG41" s="1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+IF(JULIO!A42=0,"",JULIO!A42)</f>
        <v>1130106</v>
      </c>
      <c r="B42" s="628" t="str">
        <f>+IF(JULIO!B42=0,"",JULIO!B42)</f>
        <v>SALUD PUBLICA - PLAN DE INTERVENCIONES COLECTIVAS</v>
      </c>
      <c r="C42" s="43">
        <f t="shared" ref="C42:N42" si="47">SUM(C43:C44)</f>
        <v>0</v>
      </c>
      <c r="D42" s="44">
        <f t="shared" si="47"/>
        <v>0</v>
      </c>
      <c r="E42" s="44">
        <f t="shared" si="47"/>
        <v>0</v>
      </c>
      <c r="F42" s="44">
        <f t="shared" si="47"/>
        <v>0</v>
      </c>
      <c r="G42" s="44">
        <f t="shared" si="47"/>
        <v>0</v>
      </c>
      <c r="H42" s="44">
        <f t="shared" si="47"/>
        <v>0</v>
      </c>
      <c r="I42" s="44">
        <f t="shared" si="47"/>
        <v>0</v>
      </c>
      <c r="J42" s="44">
        <f t="shared" si="47"/>
        <v>0</v>
      </c>
      <c r="K42" s="44">
        <f t="shared" si="47"/>
        <v>0</v>
      </c>
      <c r="L42" s="44">
        <f t="shared" si="47"/>
        <v>0</v>
      </c>
      <c r="M42" s="44">
        <f t="shared" si="47"/>
        <v>0</v>
      </c>
      <c r="N42" s="45">
        <f t="shared" si="47"/>
        <v>0</v>
      </c>
      <c r="P42" s="43">
        <f>SUM(P43:P44)</f>
        <v>0</v>
      </c>
      <c r="Q42" s="45">
        <f>SUM(Q43:Q44)</f>
        <v>0</v>
      </c>
      <c r="R42" s="9"/>
      <c r="S42" s="356" t="str">
        <f>+IF(JULIO!S42=0,"",JULIO!S42)</f>
        <v/>
      </c>
      <c r="T42" s="678" t="str">
        <f>+IF(JULIO!T42=0,"",JULIO!T42)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+IF(JULIO!A43=0,"",JULIO!A43)</f>
        <v>1130106-1</v>
      </c>
      <c r="B43" s="629" t="str">
        <f>+CONCATENATE("Vigencia ",INSTRUCCIONES!$F$3)</f>
        <v>Vigencia 2019</v>
      </c>
      <c r="C43" s="655">
        <f>+ENERO!C43</f>
        <v>0</v>
      </c>
      <c r="D43" s="363">
        <f>JULIO!D43+AGOSTO!P43</f>
        <v>0</v>
      </c>
      <c r="E43" s="363">
        <f>JULIO!E43+AGOSTO!Q43</f>
        <v>0</v>
      </c>
      <c r="F43" s="363">
        <f>SUM(C43:E43)</f>
        <v>0</v>
      </c>
      <c r="G43" s="363">
        <f>JULIO!I43</f>
        <v>0</v>
      </c>
      <c r="H43" s="364">
        <v>0</v>
      </c>
      <c r="I43" s="363">
        <f>SUM(G43:H43)</f>
        <v>0</v>
      </c>
      <c r="J43" s="363">
        <f>JULIO!L43</f>
        <v>0</v>
      </c>
      <c r="K43" s="364">
        <v>0</v>
      </c>
      <c r="L43" s="363">
        <f>SUM(J43:K43)</f>
        <v>0</v>
      </c>
      <c r="M43" s="363">
        <f>F43-I43</f>
        <v>0</v>
      </c>
      <c r="N43" s="143">
        <f>F43-L43</f>
        <v>0</v>
      </c>
      <c r="O43" s="372"/>
      <c r="P43" s="362">
        <v>0</v>
      </c>
      <c r="Q43" s="365">
        <v>0</v>
      </c>
      <c r="R43" s="9"/>
      <c r="S43" s="687">
        <f>+IF(JULIO!S43=0,"",JULIO!S43)</f>
        <v>1010300</v>
      </c>
      <c r="T43" s="663" t="str">
        <f>+IF(JULIO!T43=0,"",JULIO!T43)</f>
        <v>Contribuciones Inherentes nómina al Sector Privado</v>
      </c>
      <c r="U43" s="132">
        <f t="shared" ref="U43:AJ43" si="48">U44+U49+U55</f>
        <v>682314446</v>
      </c>
      <c r="V43" s="122">
        <f t="shared" si="48"/>
        <v>-353979942</v>
      </c>
      <c r="W43" s="122">
        <f t="shared" si="48"/>
        <v>0</v>
      </c>
      <c r="X43" s="129">
        <f t="shared" si="48"/>
        <v>328334504</v>
      </c>
      <c r="Y43" s="128">
        <f t="shared" si="48"/>
        <v>218931701</v>
      </c>
      <c r="Z43" s="122">
        <f t="shared" si="48"/>
        <v>36534078</v>
      </c>
      <c r="AA43" s="129">
        <f t="shared" si="48"/>
        <v>255465779</v>
      </c>
      <c r="AB43" s="128">
        <f t="shared" si="48"/>
        <v>218931701</v>
      </c>
      <c r="AC43" s="122">
        <f t="shared" si="48"/>
        <v>36534078</v>
      </c>
      <c r="AD43" s="129">
        <f t="shared" si="48"/>
        <v>255465779</v>
      </c>
      <c r="AE43" s="128">
        <f t="shared" si="48"/>
        <v>214239981</v>
      </c>
      <c r="AF43" s="122">
        <f t="shared" si="48"/>
        <v>18975868</v>
      </c>
      <c r="AG43" s="129">
        <f t="shared" si="48"/>
        <v>233215849</v>
      </c>
      <c r="AH43" s="128">
        <f t="shared" si="48"/>
        <v>72868725</v>
      </c>
      <c r="AI43" s="122">
        <f t="shared" si="48"/>
        <v>72868725</v>
      </c>
      <c r="AJ43" s="130">
        <f t="shared" si="48"/>
        <v>95118655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+IF(JULIO!A44=0,"",JULIO!A44)</f>
        <v>1130106-2</v>
      </c>
      <c r="B44" s="629" t="str">
        <f>+IF(JULIO!B44=0,"",JULIO!B44)</f>
        <v>Vigencia Anterior</v>
      </c>
      <c r="C44" s="655">
        <f>+ENERO!C44</f>
        <v>0</v>
      </c>
      <c r="D44" s="363">
        <f>JULIO!D44+AGOSTO!P44</f>
        <v>0</v>
      </c>
      <c r="E44" s="363">
        <f>JULIO!E44+AGOSTO!Q44</f>
        <v>0</v>
      </c>
      <c r="F44" s="363">
        <f>SUM(C44:E44)</f>
        <v>0</v>
      </c>
      <c r="G44" s="363">
        <f>JULIO!I44</f>
        <v>0</v>
      </c>
      <c r="H44" s="364">
        <v>0</v>
      </c>
      <c r="I44" s="363">
        <f>SUM(G44:H44)</f>
        <v>0</v>
      </c>
      <c r="J44" s="363">
        <f>JULIO!L44</f>
        <v>0</v>
      </c>
      <c r="K44" s="364">
        <v>0</v>
      </c>
      <c r="L44" s="363">
        <f>SUM(J44:K44)</f>
        <v>0</v>
      </c>
      <c r="M44" s="363">
        <f>F44-I44</f>
        <v>0</v>
      </c>
      <c r="N44" s="143">
        <f>F44-L44</f>
        <v>0</v>
      </c>
      <c r="O44" s="372"/>
      <c r="P44" s="362">
        <v>0</v>
      </c>
      <c r="Q44" s="365">
        <v>0</v>
      </c>
      <c r="R44" s="9"/>
      <c r="S44" s="688">
        <f>+IF(JULIO!S44=0,"",JULIO!S44)</f>
        <v>1010301</v>
      </c>
      <c r="T44" s="664" t="str">
        <f>+IF(JULIO!T44=0,"",JULIO!T44)</f>
        <v>Contribuciones - SGP - Aportes Patronales - Cuenta Maestra</v>
      </c>
      <c r="U44" s="27">
        <f t="shared" ref="U44:AJ44" si="49">SUM(U45:U48)</f>
        <v>224699564</v>
      </c>
      <c r="V44" s="15">
        <f t="shared" si="49"/>
        <v>-78698777</v>
      </c>
      <c r="W44" s="15">
        <f t="shared" si="49"/>
        <v>0</v>
      </c>
      <c r="X44" s="18">
        <f t="shared" si="49"/>
        <v>146000787</v>
      </c>
      <c r="Y44" s="19">
        <f t="shared" si="49"/>
        <v>84525129</v>
      </c>
      <c r="Z44" s="142">
        <f t="shared" si="49"/>
        <v>31562798</v>
      </c>
      <c r="AA44" s="18">
        <f t="shared" si="49"/>
        <v>116087927</v>
      </c>
      <c r="AB44" s="19">
        <f t="shared" si="49"/>
        <v>84525129</v>
      </c>
      <c r="AC44" s="142">
        <f t="shared" si="49"/>
        <v>31562798</v>
      </c>
      <c r="AD44" s="18">
        <f t="shared" si="49"/>
        <v>116087927</v>
      </c>
      <c r="AE44" s="19">
        <f t="shared" si="49"/>
        <v>84525129</v>
      </c>
      <c r="AF44" s="142">
        <f t="shared" si="49"/>
        <v>14284148</v>
      </c>
      <c r="AG44" s="18">
        <f t="shared" si="49"/>
        <v>98809277</v>
      </c>
      <c r="AH44" s="19">
        <f t="shared" si="49"/>
        <v>29912860</v>
      </c>
      <c r="AI44" s="15">
        <f t="shared" si="49"/>
        <v>29912860</v>
      </c>
      <c r="AJ44" s="16">
        <f t="shared" si="49"/>
        <v>47191510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+IF(JULIO!A45=0,"",JULIO!A45)</f>
        <v>1130107</v>
      </c>
      <c r="B45" s="628" t="str">
        <f>+IF(JULIO!B45=0,"",JULIO!B45)</f>
        <v>MINSALUD-FOSYGA-RECLAMACIONES ECAT</v>
      </c>
      <c r="C45" s="43">
        <f t="shared" ref="C45:N45" si="50">SUM(C46:C47)</f>
        <v>130489617</v>
      </c>
      <c r="D45" s="44">
        <f t="shared" si="50"/>
        <v>0</v>
      </c>
      <c r="E45" s="44">
        <f t="shared" si="50"/>
        <v>5564279</v>
      </c>
      <c r="F45" s="44">
        <f t="shared" si="50"/>
        <v>136053896</v>
      </c>
      <c r="G45" s="44">
        <f t="shared" si="50"/>
        <v>589461147</v>
      </c>
      <c r="H45" s="44">
        <f t="shared" si="50"/>
        <v>117031263</v>
      </c>
      <c r="I45" s="44">
        <f t="shared" si="50"/>
        <v>706492410</v>
      </c>
      <c r="J45" s="44">
        <f t="shared" si="50"/>
        <v>5564279</v>
      </c>
      <c r="K45" s="44">
        <f t="shared" si="50"/>
        <v>0</v>
      </c>
      <c r="L45" s="44">
        <f t="shared" si="50"/>
        <v>5564279</v>
      </c>
      <c r="M45" s="44">
        <f t="shared" si="50"/>
        <v>-570438514</v>
      </c>
      <c r="N45" s="45">
        <f t="shared" si="50"/>
        <v>130489617</v>
      </c>
      <c r="P45" s="43">
        <f>SUM(P46:P47)</f>
        <v>0</v>
      </c>
      <c r="Q45" s="45">
        <f>SUM(Q46:Q47)</f>
        <v>0</v>
      </c>
      <c r="R45" s="9"/>
      <c r="S45" s="689" t="str">
        <f>+IF(JULIO!S45=0,"",JULIO!S45)</f>
        <v>1010301-1</v>
      </c>
      <c r="T45" s="665" t="str">
        <f>+IF(JULIO!T45=0,"",JULIO!T45)</f>
        <v>E.P.S. - Aportes cuenta maestra</v>
      </c>
      <c r="U45" s="27">
        <f>+ENERO!U45</f>
        <v>56701284</v>
      </c>
      <c r="V45" s="15">
        <f>JULIO!V45+AGOSTO!AL45</f>
        <v>0</v>
      </c>
      <c r="W45" s="15">
        <f>JULIO!W45+AGOSTO!AM45</f>
        <v>0</v>
      </c>
      <c r="X45" s="18">
        <f>SUM(U45:W45)</f>
        <v>56701284</v>
      </c>
      <c r="Y45" s="19">
        <f>JULIO!AA45</f>
        <v>35765779</v>
      </c>
      <c r="Z45" s="364">
        <v>13503428</v>
      </c>
      <c r="AA45" s="18">
        <f>SUM(Y45:Z45)</f>
        <v>49269207</v>
      </c>
      <c r="AB45" s="19">
        <f>JULIO!AD45</f>
        <v>35765779</v>
      </c>
      <c r="AC45" s="364">
        <v>13503428</v>
      </c>
      <c r="AD45" s="18">
        <f>SUM(AB45:AC45)</f>
        <v>49269207</v>
      </c>
      <c r="AE45" s="19">
        <f>JULIO!AG45</f>
        <v>35765779</v>
      </c>
      <c r="AF45" s="364">
        <v>6105110</v>
      </c>
      <c r="AG45" s="18">
        <f>SUM(AE45:AF45)</f>
        <v>41870889</v>
      </c>
      <c r="AH45" s="19">
        <f>X45-AA45</f>
        <v>7432077</v>
      </c>
      <c r="AI45" s="15">
        <f>X45-AD45</f>
        <v>7432077</v>
      </c>
      <c r="AJ45" s="16">
        <f>X45-AG45</f>
        <v>14830395</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+IF(JULIO!A46=0,"",JULIO!A46)</f>
        <v>1130107-1</v>
      </c>
      <c r="B46" s="629" t="str">
        <f>+CONCATENATE("Vigencia ",INSTRUCCIONES!$F$3)</f>
        <v>Vigencia 2019</v>
      </c>
      <c r="C46" s="655">
        <f>+ENERO!C46</f>
        <v>130489617</v>
      </c>
      <c r="D46" s="363">
        <f>JULIO!D46+AGOSTO!P46</f>
        <v>0</v>
      </c>
      <c r="E46" s="363">
        <f>JULIO!E46+AGOSTO!Q46</f>
        <v>0</v>
      </c>
      <c r="F46" s="363">
        <f>SUM(C46:E46)</f>
        <v>130489617</v>
      </c>
      <c r="G46" s="363">
        <f>JULIO!I46</f>
        <v>583896868</v>
      </c>
      <c r="H46" s="364">
        <v>117031263</v>
      </c>
      <c r="I46" s="363">
        <f>SUM(G46:H46)</f>
        <v>700928131</v>
      </c>
      <c r="J46" s="363">
        <f>JULIO!L46</f>
        <v>0</v>
      </c>
      <c r="K46" s="364">
        <v>0</v>
      </c>
      <c r="L46" s="363">
        <f>SUM(J46:K46)</f>
        <v>0</v>
      </c>
      <c r="M46" s="363">
        <f>F46-I46</f>
        <v>-570438514</v>
      </c>
      <c r="N46" s="143">
        <f>F46-L46</f>
        <v>130489617</v>
      </c>
      <c r="O46" s="372"/>
      <c r="P46" s="362">
        <v>0</v>
      </c>
      <c r="Q46" s="365">
        <v>0</v>
      </c>
      <c r="R46" s="9"/>
      <c r="S46" s="689" t="str">
        <f>+IF(JULIO!S46=0,"",JULIO!S46)</f>
        <v>1010301-2</v>
      </c>
      <c r="T46" s="665" t="str">
        <f>+IF(JULIO!T46=0,"",JULIO!T46)</f>
        <v>Fondos pensionales - Aportes cuenta maestra</v>
      </c>
      <c r="U46" s="27">
        <f>+ENERO!U46</f>
        <v>77319919</v>
      </c>
      <c r="V46" s="15">
        <f>JULIO!V46+AGOSTO!AL46</f>
        <v>0</v>
      </c>
      <c r="W46" s="15">
        <f>JULIO!W46+AGOSTO!AM46</f>
        <v>0</v>
      </c>
      <c r="X46" s="18">
        <f>SUM(U46:W46)</f>
        <v>77319919</v>
      </c>
      <c r="Y46" s="19">
        <f>JULIO!AA46</f>
        <v>43466390</v>
      </c>
      <c r="Z46" s="364">
        <v>16079890</v>
      </c>
      <c r="AA46" s="18">
        <f>SUM(Y46:Z46)</f>
        <v>59546280</v>
      </c>
      <c r="AB46" s="19">
        <f>JULIO!AD46</f>
        <v>43466390</v>
      </c>
      <c r="AC46" s="364">
        <v>16079890</v>
      </c>
      <c r="AD46" s="18">
        <f>SUM(AB46:AC46)</f>
        <v>59546280</v>
      </c>
      <c r="AE46" s="19">
        <f>JULIO!AG46</f>
        <v>43466390</v>
      </c>
      <c r="AF46" s="364">
        <v>7251418</v>
      </c>
      <c r="AG46" s="18">
        <f>SUM(AE46:AF46)</f>
        <v>50717808</v>
      </c>
      <c r="AH46" s="19">
        <f>X46-AA46</f>
        <v>17773639</v>
      </c>
      <c r="AI46" s="15">
        <f>X46-AD46</f>
        <v>17773639</v>
      </c>
      <c r="AJ46" s="16">
        <f>X46-AG46</f>
        <v>26602111</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+IF(JULIO!A47=0,"",JULIO!A47)</f>
        <v>1130107-2</v>
      </c>
      <c r="B47" s="629" t="str">
        <f>+IF(JULIO!B47=0,"",JULIO!B47)</f>
        <v>Vigencia Anterior</v>
      </c>
      <c r="C47" s="655">
        <f>+ENERO!C47</f>
        <v>0</v>
      </c>
      <c r="D47" s="363">
        <f>JULIO!D47+AGOSTO!P47</f>
        <v>0</v>
      </c>
      <c r="E47" s="363">
        <f>JULIO!E47+AGOSTO!Q47</f>
        <v>5564279</v>
      </c>
      <c r="F47" s="363">
        <f>SUM(C47:E47)</f>
        <v>5564279</v>
      </c>
      <c r="G47" s="363">
        <f>JULIO!I47</f>
        <v>5564279</v>
      </c>
      <c r="H47" s="364">
        <v>0</v>
      </c>
      <c r="I47" s="363">
        <f>SUM(G47:H47)</f>
        <v>5564279</v>
      </c>
      <c r="J47" s="363">
        <f>JULIO!L47</f>
        <v>5564279</v>
      </c>
      <c r="K47" s="364">
        <v>0</v>
      </c>
      <c r="L47" s="363">
        <f>SUM(J47:K47)</f>
        <v>5564279</v>
      </c>
      <c r="M47" s="363">
        <f>F47-I47</f>
        <v>0</v>
      </c>
      <c r="N47" s="143">
        <f>F47-L47</f>
        <v>0</v>
      </c>
      <c r="O47" s="372"/>
      <c r="P47" s="362">
        <v>0</v>
      </c>
      <c r="Q47" s="365">
        <v>0</v>
      </c>
      <c r="R47" s="9"/>
      <c r="S47" s="689" t="str">
        <f>+IF(JULIO!S47=0,"",JULIO!S47)</f>
        <v>1010301-3</v>
      </c>
      <c r="T47" s="665" t="str">
        <f>+IF(JULIO!T47=0,"",JULIO!T47)</f>
        <v>Fondos de cesantías - Aportes cuenta maestra</v>
      </c>
      <c r="U47" s="27">
        <f>+ENERO!U47</f>
        <v>87698777</v>
      </c>
      <c r="V47" s="15">
        <f>JULIO!V47+AGOSTO!AL47</f>
        <v>-87698777</v>
      </c>
      <c r="W47" s="15">
        <f>JULIO!W47+AGOSTO!AM47</f>
        <v>0</v>
      </c>
      <c r="X47" s="18">
        <f>SUM(U47:W47)</f>
        <v>0</v>
      </c>
      <c r="Y47" s="19">
        <f>JULIO!AA47</f>
        <v>0</v>
      </c>
      <c r="Z47" s="364">
        <v>0</v>
      </c>
      <c r="AA47" s="18">
        <f>SUM(Y47:Z47)</f>
        <v>0</v>
      </c>
      <c r="AB47" s="19">
        <f>JULIO!AD47</f>
        <v>0</v>
      </c>
      <c r="AC47" s="364">
        <v>0</v>
      </c>
      <c r="AD47" s="18">
        <f>SUM(AB47:AC47)</f>
        <v>0</v>
      </c>
      <c r="AE47" s="19">
        <f>JULIO!AG47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+IF(JULIO!A48=0,"",JULIO!A48)</f>
        <v>1130108</v>
      </c>
      <c r="B48" s="628" t="str">
        <f>+IF(JULIO!B48=0,"",JULIO!B48)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689" t="str">
        <f>+IF(JULIO!S48=0,"",JULIO!S48)</f>
        <v>1010301-4</v>
      </c>
      <c r="T48" s="665" t="str">
        <f>+IF(JULIO!T48=0,"",JULIO!T48)</f>
        <v>Riesgos laborales - Aportes cuenta maestra</v>
      </c>
      <c r="U48" s="27">
        <f>+ENERO!U48</f>
        <v>2979584</v>
      </c>
      <c r="V48" s="15">
        <f>JULIO!V48+AGOSTO!AL48</f>
        <v>9000000</v>
      </c>
      <c r="W48" s="15">
        <f>JULIO!W48+AGOSTO!AM48</f>
        <v>0</v>
      </c>
      <c r="X48" s="18">
        <f>SUM(U48:W48)</f>
        <v>11979584</v>
      </c>
      <c r="Y48" s="19">
        <f>JULIO!AA48</f>
        <v>5292960</v>
      </c>
      <c r="Z48" s="364">
        <v>1979480</v>
      </c>
      <c r="AA48" s="18">
        <f>SUM(Y48:Z48)</f>
        <v>7272440</v>
      </c>
      <c r="AB48" s="19">
        <f>JULIO!AD48</f>
        <v>5292960</v>
      </c>
      <c r="AC48" s="364">
        <v>1979480</v>
      </c>
      <c r="AD48" s="18">
        <f>SUM(AB48:AC48)</f>
        <v>7272440</v>
      </c>
      <c r="AE48" s="19">
        <f>JULIO!AG48</f>
        <v>5292960</v>
      </c>
      <c r="AF48" s="364">
        <v>927620</v>
      </c>
      <c r="AG48" s="18">
        <f>SUM(AE48:AF48)</f>
        <v>6220580</v>
      </c>
      <c r="AH48" s="19">
        <f>X48-AA48</f>
        <v>4707144</v>
      </c>
      <c r="AI48" s="15">
        <f>X48-AD48</f>
        <v>4707144</v>
      </c>
      <c r="AJ48" s="16">
        <f>X48-AG48</f>
        <v>5759004</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+IF(JULIO!A49=0,"",JULIO!A49)</f>
        <v>1130108-1</v>
      </c>
      <c r="B49" s="629" t="str">
        <f>+CONCATENATE("Vigencia ",INSTRUCCIONES!$F$3)</f>
        <v>Vigencia 2019</v>
      </c>
      <c r="C49" s="655">
        <f>+ENERO!C49</f>
        <v>0</v>
      </c>
      <c r="D49" s="363">
        <f>JULIO!D49+AGOSTO!P49</f>
        <v>0</v>
      </c>
      <c r="E49" s="363">
        <f>JULIO!E49+AGOSTO!Q49</f>
        <v>0</v>
      </c>
      <c r="F49" s="363">
        <f>SUM(C49:E49)</f>
        <v>0</v>
      </c>
      <c r="G49" s="363">
        <f>JULIO!I49</f>
        <v>0</v>
      </c>
      <c r="H49" s="364">
        <v>0</v>
      </c>
      <c r="I49" s="363">
        <f>SUM(G49:H49)</f>
        <v>0</v>
      </c>
      <c r="J49" s="363">
        <f>JULIO!L49</f>
        <v>0</v>
      </c>
      <c r="K49" s="364">
        <v>0</v>
      </c>
      <c r="L49" s="363">
        <f>SUM(J49:K49)</f>
        <v>0</v>
      </c>
      <c r="M49" s="363">
        <f>F49-I49</f>
        <v>0</v>
      </c>
      <c r="N49" s="143">
        <f>F49-L49</f>
        <v>0</v>
      </c>
      <c r="O49" s="372"/>
      <c r="P49" s="362">
        <v>0</v>
      </c>
      <c r="Q49" s="365">
        <v>0</v>
      </c>
      <c r="R49" s="9"/>
      <c r="S49" s="688">
        <f>+IF(JULIO!S49=0,"",JULIO!S49)</f>
        <v>1010302</v>
      </c>
      <c r="T49" s="664" t="str">
        <f>+IF(JULIO!T49=0,"",JULIO!T49)</f>
        <v>Contribuciones - Otros</v>
      </c>
      <c r="U49" s="27">
        <f t="shared" ref="U49:AJ49" si="52">SUM(U50:U54)</f>
        <v>349614882</v>
      </c>
      <c r="V49" s="15">
        <f t="shared" si="52"/>
        <v>-268780097</v>
      </c>
      <c r="W49" s="15">
        <f t="shared" si="52"/>
        <v>0</v>
      </c>
      <c r="X49" s="18">
        <f t="shared" si="52"/>
        <v>80834785</v>
      </c>
      <c r="Y49" s="19">
        <f t="shared" si="52"/>
        <v>32907640</v>
      </c>
      <c r="Z49" s="142">
        <f t="shared" si="52"/>
        <v>4971280</v>
      </c>
      <c r="AA49" s="18">
        <f t="shared" si="52"/>
        <v>37878920</v>
      </c>
      <c r="AB49" s="19">
        <f t="shared" si="52"/>
        <v>32907640</v>
      </c>
      <c r="AC49" s="142">
        <f t="shared" si="52"/>
        <v>4971280</v>
      </c>
      <c r="AD49" s="18">
        <f t="shared" si="52"/>
        <v>37878920</v>
      </c>
      <c r="AE49" s="19">
        <f t="shared" si="52"/>
        <v>28215920</v>
      </c>
      <c r="AF49" s="142">
        <f t="shared" si="52"/>
        <v>4691720</v>
      </c>
      <c r="AG49" s="18">
        <f t="shared" si="52"/>
        <v>32907640</v>
      </c>
      <c r="AH49" s="19">
        <f t="shared" si="52"/>
        <v>42955865</v>
      </c>
      <c r="AI49" s="15">
        <f t="shared" si="52"/>
        <v>42955865</v>
      </c>
      <c r="AJ49" s="16">
        <f t="shared" si="52"/>
        <v>47927145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+IF(JULIO!A50=0,"",JULIO!A50)</f>
        <v>1130108-2</v>
      </c>
      <c r="B50" s="629" t="str">
        <f>+IF(JULIO!B50=0,"",JULIO!B50)</f>
        <v>Vigencia Anterior</v>
      </c>
      <c r="C50" s="655">
        <f>+ENERO!C50</f>
        <v>0</v>
      </c>
      <c r="D50" s="363">
        <f>JULIO!D50+AGOSTO!P50</f>
        <v>0</v>
      </c>
      <c r="E50" s="363">
        <f>JULIO!E50+AGOSTO!Q50</f>
        <v>0</v>
      </c>
      <c r="F50" s="363">
        <f>SUM(C50:E50)</f>
        <v>0</v>
      </c>
      <c r="G50" s="363">
        <f>JULIO!I50</f>
        <v>0</v>
      </c>
      <c r="H50" s="364">
        <v>0</v>
      </c>
      <c r="I50" s="363">
        <f>SUM(G50:H50)</f>
        <v>0</v>
      </c>
      <c r="J50" s="363">
        <f>JULIO!L50</f>
        <v>0</v>
      </c>
      <c r="K50" s="364">
        <v>0</v>
      </c>
      <c r="L50" s="363">
        <f>SUM(J50:K50)</f>
        <v>0</v>
      </c>
      <c r="M50" s="363">
        <f>F50-I50</f>
        <v>0</v>
      </c>
      <c r="N50" s="143">
        <f>F50-L50</f>
        <v>0</v>
      </c>
      <c r="O50" s="372"/>
      <c r="P50" s="362">
        <v>0</v>
      </c>
      <c r="Q50" s="365">
        <v>0</v>
      </c>
      <c r="R50" s="9"/>
      <c r="S50" s="689" t="str">
        <f>+IF(JULIO!S50=0,"",JULIO!S50)</f>
        <v>1010302-1</v>
      </c>
      <c r="T50" s="665" t="str">
        <f>+IF(JULIO!T50=0,"",JULIO!T50)</f>
        <v>Aportes a E.P.S. - recursos propios</v>
      </c>
      <c r="U50" s="27">
        <f>+ENERO!U50</f>
        <v>79647420</v>
      </c>
      <c r="V50" s="15">
        <f>JULIO!V50+AGOSTO!AL50</f>
        <v>-79647420</v>
      </c>
      <c r="W50" s="15">
        <f>JULIO!W50+AGOSTO!AM50</f>
        <v>0</v>
      </c>
      <c r="X50" s="18">
        <f t="shared" ref="X50:X55" si="53">SUM(U50:W50)</f>
        <v>0</v>
      </c>
      <c r="Y50" s="19">
        <f>JULIO!AA50</f>
        <v>0</v>
      </c>
      <c r="Z50" s="364">
        <v>0</v>
      </c>
      <c r="AA50" s="18">
        <f t="shared" ref="AA50:AA55" si="54">SUM(Y50:Z50)</f>
        <v>0</v>
      </c>
      <c r="AB50" s="19">
        <f>JULIO!AD50</f>
        <v>0</v>
      </c>
      <c r="AC50" s="364">
        <v>0</v>
      </c>
      <c r="AD50" s="18">
        <f t="shared" ref="AD50:AD55" si="55">SUM(AB50:AC50)</f>
        <v>0</v>
      </c>
      <c r="AE50" s="19">
        <f>JULIO!AG50</f>
        <v>0</v>
      </c>
      <c r="AF50" s="364">
        <v>0</v>
      </c>
      <c r="AG50" s="18">
        <f t="shared" ref="AG50:AG55" si="56">SUM(AE50:AF50)</f>
        <v>0</v>
      </c>
      <c r="AH50" s="19">
        <f t="shared" ref="AH50:AH55" si="57">X50-AA50</f>
        <v>0</v>
      </c>
      <c r="AI50" s="15">
        <f t="shared" ref="AI50:AI55" si="58">X50-AD50</f>
        <v>0</v>
      </c>
      <c r="AJ50" s="16">
        <f t="shared" ref="AJ50:AJ55" si="59">X50-AG50</f>
        <v>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+IF(JULIO!A51=0,"",JULIO!A51)</f>
        <v>1130109</v>
      </c>
      <c r="B51" s="628" t="str">
        <f>+IF(JULIO!B51=0,"",JULIO!B51)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689" t="str">
        <f>+IF(JULIO!S51=0,"",JULIO!S51)</f>
        <v>1010302-2</v>
      </c>
      <c r="T51" s="665" t="str">
        <f>+IF(JULIO!T51=0,"",JULIO!T51)</f>
        <v>Aportes Fondos Pensionales - recursos propios</v>
      </c>
      <c r="U51" s="27">
        <f>+ENERO!U51</f>
        <v>115172321</v>
      </c>
      <c r="V51" s="15">
        <f>JULIO!V51+AGOSTO!AL51</f>
        <v>-115172321</v>
      </c>
      <c r="W51" s="15">
        <f>JULIO!W51+AGOSTO!AM51</f>
        <v>0</v>
      </c>
      <c r="X51" s="18">
        <f t="shared" si="53"/>
        <v>0</v>
      </c>
      <c r="Y51" s="19">
        <f>JULIO!AA51</f>
        <v>0</v>
      </c>
      <c r="Z51" s="364">
        <v>0</v>
      </c>
      <c r="AA51" s="18">
        <f t="shared" si="54"/>
        <v>0</v>
      </c>
      <c r="AB51" s="19">
        <f>JULIO!AD51</f>
        <v>0</v>
      </c>
      <c r="AC51" s="364">
        <v>0</v>
      </c>
      <c r="AD51" s="18">
        <f t="shared" si="55"/>
        <v>0</v>
      </c>
      <c r="AE51" s="19">
        <f>JULIO!AG51</f>
        <v>0</v>
      </c>
      <c r="AF51" s="364">
        <v>0</v>
      </c>
      <c r="AG51" s="18">
        <f t="shared" si="56"/>
        <v>0</v>
      </c>
      <c r="AH51" s="19">
        <f t="shared" si="57"/>
        <v>0</v>
      </c>
      <c r="AI51" s="15">
        <f t="shared" si="58"/>
        <v>0</v>
      </c>
      <c r="AJ51" s="16">
        <f t="shared" si="59"/>
        <v>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+IF(JULIO!A52=0,"",JULIO!A52)</f>
        <v>1130109-1</v>
      </c>
      <c r="B52" s="629" t="str">
        <f>+CONCATENATE("Vigencia ",INSTRUCCIONES!$F$3)</f>
        <v>Vigencia 2019</v>
      </c>
      <c r="C52" s="655">
        <f>+ENERO!C52</f>
        <v>0</v>
      </c>
      <c r="D52" s="363">
        <f>JULIO!D52+AGOSTO!P52</f>
        <v>0</v>
      </c>
      <c r="E52" s="363">
        <f>JULIO!E52+AGOSTO!Q52</f>
        <v>0</v>
      </c>
      <c r="F52" s="363">
        <f>SUM(C52:E52)</f>
        <v>0</v>
      </c>
      <c r="G52" s="363">
        <f>JULIO!I52</f>
        <v>0</v>
      </c>
      <c r="H52" s="364">
        <v>0</v>
      </c>
      <c r="I52" s="363">
        <f>SUM(G52:H52)</f>
        <v>0</v>
      </c>
      <c r="J52" s="363">
        <f>JULIO!L52</f>
        <v>0</v>
      </c>
      <c r="K52" s="364">
        <v>0</v>
      </c>
      <c r="L52" s="363">
        <f>SUM(J52:K52)</f>
        <v>0</v>
      </c>
      <c r="M52" s="363">
        <f>F52-I52</f>
        <v>0</v>
      </c>
      <c r="N52" s="143">
        <f>F52-L52</f>
        <v>0</v>
      </c>
      <c r="O52" s="372"/>
      <c r="P52" s="362">
        <v>0</v>
      </c>
      <c r="Q52" s="365">
        <v>0</v>
      </c>
      <c r="R52" s="9"/>
      <c r="S52" s="689" t="str">
        <f>+IF(JULIO!S52=0,"",JULIO!S52)</f>
        <v>1010302-3</v>
      </c>
      <c r="T52" s="665" t="str">
        <f>+IF(JULIO!T52=0,"",JULIO!T52)</f>
        <v>Aportes a Fondos de Cesantia - recursos propios</v>
      </c>
      <c r="U52" s="27">
        <f>+ENERO!U52</f>
        <v>73960356</v>
      </c>
      <c r="V52" s="15">
        <f>JULIO!V52+AGOSTO!AL52</f>
        <v>-73960356</v>
      </c>
      <c r="W52" s="15">
        <f>JULIO!W52+AGOSTO!AM52</f>
        <v>0</v>
      </c>
      <c r="X52" s="18">
        <f t="shared" si="53"/>
        <v>0</v>
      </c>
      <c r="Y52" s="19">
        <f>JULIO!AA52</f>
        <v>0</v>
      </c>
      <c r="Z52" s="364">
        <v>0</v>
      </c>
      <c r="AA52" s="18">
        <f t="shared" si="54"/>
        <v>0</v>
      </c>
      <c r="AB52" s="19">
        <f>JULIO!AD52</f>
        <v>0</v>
      </c>
      <c r="AC52" s="364">
        <v>0</v>
      </c>
      <c r="AD52" s="18">
        <f t="shared" si="55"/>
        <v>0</v>
      </c>
      <c r="AE52" s="19">
        <f>JULIO!AG52</f>
        <v>0</v>
      </c>
      <c r="AF52" s="364">
        <v>0</v>
      </c>
      <c r="AG52" s="18">
        <f t="shared" si="56"/>
        <v>0</v>
      </c>
      <c r="AH52" s="19">
        <f t="shared" si="57"/>
        <v>0</v>
      </c>
      <c r="AI52" s="15">
        <f t="shared" si="58"/>
        <v>0</v>
      </c>
      <c r="AJ52" s="16">
        <f t="shared" si="59"/>
        <v>0</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+IF(JULIO!A53=0,"",JULIO!A53)</f>
        <v>1130109-2</v>
      </c>
      <c r="B53" s="629" t="str">
        <f>+IF(JULIO!B53=0,"",JULIO!B53)</f>
        <v>Vigencia Anterior</v>
      </c>
      <c r="C53" s="655">
        <f>+ENERO!C53</f>
        <v>0</v>
      </c>
      <c r="D53" s="363">
        <f>JULIO!D53+AGOSTO!P53</f>
        <v>0</v>
      </c>
      <c r="E53" s="363">
        <f>JULIO!E53+AGOSTO!Q53</f>
        <v>0</v>
      </c>
      <c r="F53" s="363">
        <f>SUM(C53:E53)</f>
        <v>0</v>
      </c>
      <c r="G53" s="363">
        <f>JULIO!I53</f>
        <v>0</v>
      </c>
      <c r="H53" s="364">
        <v>0</v>
      </c>
      <c r="I53" s="363">
        <f>SUM(G53:H53)</f>
        <v>0</v>
      </c>
      <c r="J53" s="363">
        <f>JULIO!L53</f>
        <v>0</v>
      </c>
      <c r="K53" s="364">
        <v>0</v>
      </c>
      <c r="L53" s="363">
        <f>SUM(J53:K53)</f>
        <v>0</v>
      </c>
      <c r="M53" s="363">
        <f>F53-I53</f>
        <v>0</v>
      </c>
      <c r="N53" s="143">
        <f>F53-L53</f>
        <v>0</v>
      </c>
      <c r="O53" s="372"/>
      <c r="P53" s="362">
        <v>0</v>
      </c>
      <c r="Q53" s="365">
        <v>0</v>
      </c>
      <c r="R53" s="9"/>
      <c r="S53" s="689" t="str">
        <f>+IF(JULIO!S53=0,"",JULIO!S53)</f>
        <v>1010302-4</v>
      </c>
      <c r="T53" s="665" t="str">
        <f>+IF(JULIO!T53=0,"",JULIO!T53)</f>
        <v>Aporte a ARL. - recursos propios</v>
      </c>
      <c r="U53" s="27">
        <f>+ENERO!U53</f>
        <v>5393830</v>
      </c>
      <c r="V53" s="15">
        <f>JULIO!V53+AGOSTO!AL53</f>
        <v>0</v>
      </c>
      <c r="W53" s="15">
        <f>JULIO!W53+AGOSTO!AM53</f>
        <v>0</v>
      </c>
      <c r="X53" s="18">
        <f t="shared" si="53"/>
        <v>5393830</v>
      </c>
      <c r="Y53" s="19">
        <f>JULIO!AA53</f>
        <v>0</v>
      </c>
      <c r="Z53" s="364">
        <v>0</v>
      </c>
      <c r="AA53" s="18">
        <f t="shared" si="54"/>
        <v>0</v>
      </c>
      <c r="AB53" s="19">
        <f>JULIO!AD53</f>
        <v>0</v>
      </c>
      <c r="AC53" s="364">
        <v>0</v>
      </c>
      <c r="AD53" s="18">
        <f t="shared" si="55"/>
        <v>0</v>
      </c>
      <c r="AE53" s="19">
        <f>JULIO!AG53</f>
        <v>0</v>
      </c>
      <c r="AF53" s="364">
        <v>0</v>
      </c>
      <c r="AG53" s="1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+IF(JULIO!A54=0,"",JULIO!A54)</f>
        <v>1130110</v>
      </c>
      <c r="B54" s="628" t="str">
        <f>+IF(JULIO!B54=0,"",JULIO!B54)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689" t="str">
        <f>+IF(JULIO!S54=0,"",JULIO!S54)</f>
        <v>1010302-5</v>
      </c>
      <c r="T54" s="665" t="str">
        <f>+IF(JULIO!T54=0,"",JULIO!T54)</f>
        <v>Aporte a Caja Compensación Familiar</v>
      </c>
      <c r="U54" s="27">
        <f>+ENERO!U54</f>
        <v>75440955</v>
      </c>
      <c r="V54" s="15">
        <f>JULIO!V54+AGOSTO!AL54</f>
        <v>0</v>
      </c>
      <c r="W54" s="15">
        <f>JULIO!W54+AGOSTO!AM54</f>
        <v>0</v>
      </c>
      <c r="X54" s="18">
        <f t="shared" si="53"/>
        <v>75440955</v>
      </c>
      <c r="Y54" s="19">
        <f>JULIO!AA54</f>
        <v>32907640</v>
      </c>
      <c r="Z54" s="364">
        <v>4971280</v>
      </c>
      <c r="AA54" s="18">
        <f t="shared" si="54"/>
        <v>37878920</v>
      </c>
      <c r="AB54" s="19">
        <f>JULIO!AD54</f>
        <v>32907640</v>
      </c>
      <c r="AC54" s="364">
        <v>4971280</v>
      </c>
      <c r="AD54" s="18">
        <f t="shared" si="55"/>
        <v>37878920</v>
      </c>
      <c r="AE54" s="19">
        <f>JULIO!AG54</f>
        <v>28215920</v>
      </c>
      <c r="AF54" s="364">
        <v>4691720</v>
      </c>
      <c r="AG54" s="18">
        <f t="shared" si="56"/>
        <v>32907640</v>
      </c>
      <c r="AH54" s="19">
        <f t="shared" si="57"/>
        <v>37562035</v>
      </c>
      <c r="AI54" s="15">
        <f t="shared" si="58"/>
        <v>37562035</v>
      </c>
      <c r="AJ54" s="16">
        <f t="shared" si="59"/>
        <v>42533315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+IF(JULIO!A55=0,"",JULIO!A55)</f>
        <v>1130110-1</v>
      </c>
      <c r="B55" s="629" t="str">
        <f>+CONCATENATE("Vigencia ",INSTRUCCIONES!$F$3)</f>
        <v>Vigencia 2019</v>
      </c>
      <c r="C55" s="655">
        <f>+ENERO!C55</f>
        <v>0</v>
      </c>
      <c r="D55" s="363">
        <f>JULIO!D55+AGOSTO!P55</f>
        <v>0</v>
      </c>
      <c r="E55" s="363">
        <f>JULIO!E55+AGOSTO!Q55</f>
        <v>0</v>
      </c>
      <c r="F55" s="363">
        <f>SUM(C55:E55)</f>
        <v>0</v>
      </c>
      <c r="G55" s="363">
        <f>JULIO!I55</f>
        <v>0</v>
      </c>
      <c r="H55" s="364">
        <v>0</v>
      </c>
      <c r="I55" s="363">
        <f>SUM(G55:H55)</f>
        <v>0</v>
      </c>
      <c r="J55" s="363">
        <f>JULIO!L55</f>
        <v>0</v>
      </c>
      <c r="K55" s="364">
        <v>0</v>
      </c>
      <c r="L55" s="363">
        <f>SUM(J55:K55)</f>
        <v>0</v>
      </c>
      <c r="M55" s="363">
        <f>F55-I55</f>
        <v>0</v>
      </c>
      <c r="N55" s="143">
        <f>F55-L55</f>
        <v>0</v>
      </c>
      <c r="O55" s="372"/>
      <c r="P55" s="362">
        <v>0</v>
      </c>
      <c r="Q55" s="365">
        <v>0</v>
      </c>
      <c r="R55" s="9"/>
      <c r="S55" s="688">
        <f>+IF(JULIO!S55=0,"",JULIO!S55)</f>
        <v>1010399</v>
      </c>
      <c r="T55" s="664" t="str">
        <f>+IF(JULIO!T55=0,"",JULIO!T55)</f>
        <v>Vigencias Anteriores</v>
      </c>
      <c r="U55" s="27">
        <f>+ENERO!U55</f>
        <v>108000000</v>
      </c>
      <c r="V55" s="15">
        <f>JULIO!V55+AGOSTO!AL55</f>
        <v>-6501068</v>
      </c>
      <c r="W55" s="15">
        <f>JULIO!W55+AGOSTO!AM55</f>
        <v>0</v>
      </c>
      <c r="X55" s="18">
        <f t="shared" si="53"/>
        <v>101498932</v>
      </c>
      <c r="Y55" s="19">
        <f>JULIO!AA55</f>
        <v>101498932</v>
      </c>
      <c r="Z55" s="364">
        <v>0</v>
      </c>
      <c r="AA55" s="18">
        <f t="shared" si="54"/>
        <v>101498932</v>
      </c>
      <c r="AB55" s="19">
        <f>JULIO!AD55</f>
        <v>101498932</v>
      </c>
      <c r="AC55" s="364">
        <v>0</v>
      </c>
      <c r="AD55" s="18">
        <f t="shared" si="55"/>
        <v>101498932</v>
      </c>
      <c r="AE55" s="19">
        <f>JULIO!AG55</f>
        <v>101498932</v>
      </c>
      <c r="AF55" s="364">
        <v>0</v>
      </c>
      <c r="AG55" s="1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+IF(JULIO!A56=0,"",JULIO!A56)</f>
        <v>1130110-2</v>
      </c>
      <c r="B56" s="629" t="str">
        <f>+IF(JULIO!B56=0,"",JULIO!B56)</f>
        <v>Vigencia Anterior</v>
      </c>
      <c r="C56" s="655">
        <f>+ENERO!C56</f>
        <v>0</v>
      </c>
      <c r="D56" s="363">
        <f>JULIO!D56+AGOSTO!P56</f>
        <v>0</v>
      </c>
      <c r="E56" s="363">
        <f>JULIO!E56+AGOSTO!Q56</f>
        <v>0</v>
      </c>
      <c r="F56" s="363">
        <f>SUM(C56:E56)</f>
        <v>0</v>
      </c>
      <c r="G56" s="363">
        <f>JULIO!I56</f>
        <v>0</v>
      </c>
      <c r="H56" s="364">
        <v>0</v>
      </c>
      <c r="I56" s="363">
        <f>SUM(G56:H56)</f>
        <v>0</v>
      </c>
      <c r="J56" s="363">
        <f>JULIO!L56</f>
        <v>0</v>
      </c>
      <c r="K56" s="364">
        <v>0</v>
      </c>
      <c r="L56" s="363">
        <f>SUM(J56:K56)</f>
        <v>0</v>
      </c>
      <c r="M56" s="363">
        <f>F56-I56</f>
        <v>0</v>
      </c>
      <c r="N56" s="143">
        <f>F56-L56</f>
        <v>0</v>
      </c>
      <c r="O56" s="372"/>
      <c r="P56" s="362">
        <v>0</v>
      </c>
      <c r="Q56" s="365">
        <v>0</v>
      </c>
      <c r="R56" s="9"/>
      <c r="S56" s="356" t="str">
        <f>+IF(JULIO!S56=0,"",JULIO!S56)</f>
        <v/>
      </c>
      <c r="T56" s="678" t="str">
        <f>+IF(JULIO!T56=0,"",JULIO!T56)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+IF(JULIO!A57=0,"",JULIO!A57)</f>
        <v>1130111</v>
      </c>
      <c r="B57" s="628" t="str">
        <f>+IF(JULIO!B57=0,"",JULIO!B57)</f>
        <v>IPS PRIVADAS</v>
      </c>
      <c r="C57" s="43">
        <f t="shared" ref="C57:N57" si="62">SUM(C58:C59)</f>
        <v>205713</v>
      </c>
      <c r="D57" s="44">
        <f t="shared" si="62"/>
        <v>0</v>
      </c>
      <c r="E57" s="44">
        <f t="shared" si="62"/>
        <v>0</v>
      </c>
      <c r="F57" s="44">
        <f t="shared" si="62"/>
        <v>205713</v>
      </c>
      <c r="G57" s="44">
        <f t="shared" si="62"/>
        <v>1082717</v>
      </c>
      <c r="H57" s="44">
        <f t="shared" si="62"/>
        <v>0</v>
      </c>
      <c r="I57" s="44">
        <f t="shared" si="62"/>
        <v>1082717</v>
      </c>
      <c r="J57" s="44">
        <f t="shared" si="62"/>
        <v>0</v>
      </c>
      <c r="K57" s="44">
        <f t="shared" si="62"/>
        <v>0</v>
      </c>
      <c r="L57" s="44">
        <f t="shared" si="62"/>
        <v>0</v>
      </c>
      <c r="M57" s="44">
        <f t="shared" si="62"/>
        <v>-877004</v>
      </c>
      <c r="N57" s="45">
        <f t="shared" si="62"/>
        <v>205713</v>
      </c>
      <c r="P57" s="43">
        <f>SUM(P58:P59)</f>
        <v>0</v>
      </c>
      <c r="Q57" s="45">
        <f>SUM(Q58:Q59)</f>
        <v>0</v>
      </c>
      <c r="R57" s="9"/>
      <c r="S57" s="687">
        <f>+IF(JULIO!S57=0,"",JULIO!S57)</f>
        <v>1010400</v>
      </c>
      <c r="T57" s="663" t="str">
        <f>+IF(JULIO!T57=0,"",JULIO!T57)</f>
        <v>Contribuciones Inherentes nómina del Sector Publico</v>
      </c>
      <c r="U57" s="132">
        <f t="shared" ref="U57:AJ57" si="63">U58+U61</f>
        <v>94301194</v>
      </c>
      <c r="V57" s="122">
        <f t="shared" si="63"/>
        <v>0</v>
      </c>
      <c r="W57" s="122">
        <f t="shared" si="63"/>
        <v>0</v>
      </c>
      <c r="X57" s="129">
        <f t="shared" si="63"/>
        <v>94301194</v>
      </c>
      <c r="Y57" s="128">
        <f t="shared" si="63"/>
        <v>41134550</v>
      </c>
      <c r="Z57" s="122">
        <f t="shared" si="63"/>
        <v>6214100</v>
      </c>
      <c r="AA57" s="129">
        <f t="shared" si="63"/>
        <v>47348650</v>
      </c>
      <c r="AB57" s="128">
        <f t="shared" si="63"/>
        <v>41134550</v>
      </c>
      <c r="AC57" s="122">
        <f t="shared" si="63"/>
        <v>6214100</v>
      </c>
      <c r="AD57" s="129">
        <f t="shared" si="63"/>
        <v>47348650</v>
      </c>
      <c r="AE57" s="128">
        <f t="shared" si="63"/>
        <v>35269900</v>
      </c>
      <c r="AF57" s="122">
        <f t="shared" si="63"/>
        <v>5864650</v>
      </c>
      <c r="AG57" s="129">
        <f t="shared" si="63"/>
        <v>41134550</v>
      </c>
      <c r="AH57" s="128">
        <f t="shared" si="63"/>
        <v>46952544</v>
      </c>
      <c r="AI57" s="122">
        <f t="shared" si="63"/>
        <v>46952544</v>
      </c>
      <c r="AJ57" s="130">
        <f t="shared" si="63"/>
        <v>53166644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+IF(JULIO!A58=0,"",JULIO!A58)</f>
        <v>1130111-1</v>
      </c>
      <c r="B58" s="629" t="str">
        <f>+CONCATENATE("Vigencia ",INSTRUCCIONES!$F$3)</f>
        <v>Vigencia 2019</v>
      </c>
      <c r="C58" s="655">
        <f>+ENERO!C58</f>
        <v>205713</v>
      </c>
      <c r="D58" s="363">
        <f>JULIO!D58+AGOSTO!P58</f>
        <v>0</v>
      </c>
      <c r="E58" s="363">
        <f>JULIO!E58+AGOSTO!Q58</f>
        <v>0</v>
      </c>
      <c r="F58" s="363">
        <f>SUM(C58:E58)</f>
        <v>205713</v>
      </c>
      <c r="G58" s="363">
        <f>JULIO!I58</f>
        <v>1082717</v>
      </c>
      <c r="H58" s="364">
        <v>0</v>
      </c>
      <c r="I58" s="363">
        <f>SUM(G58:H58)</f>
        <v>1082717</v>
      </c>
      <c r="J58" s="363">
        <f>JULIO!L58</f>
        <v>0</v>
      </c>
      <c r="K58" s="364">
        <v>0</v>
      </c>
      <c r="L58" s="363">
        <f>SUM(J58:K58)</f>
        <v>0</v>
      </c>
      <c r="M58" s="363">
        <f>F58-I58</f>
        <v>-877004</v>
      </c>
      <c r="N58" s="143">
        <f>F58-L58</f>
        <v>205713</v>
      </c>
      <c r="O58" s="372"/>
      <c r="P58" s="362">
        <v>0</v>
      </c>
      <c r="Q58" s="365">
        <v>0</v>
      </c>
      <c r="R58" s="9"/>
      <c r="S58" s="688">
        <f>+IF(JULIO!S58=0,"",JULIO!S58)</f>
        <v>1010402</v>
      </c>
      <c r="T58" s="664" t="str">
        <f>+IF(JULIO!T58=0,"",JULIO!T58)</f>
        <v>Contribuciones - Otros</v>
      </c>
      <c r="U58" s="27">
        <f t="shared" ref="U58:AJ58" si="64">SUM(U59:U60)</f>
        <v>94301194</v>
      </c>
      <c r="V58" s="15">
        <f t="shared" si="64"/>
        <v>0</v>
      </c>
      <c r="W58" s="15">
        <f t="shared" si="64"/>
        <v>0</v>
      </c>
      <c r="X58" s="18">
        <f t="shared" si="64"/>
        <v>94301194</v>
      </c>
      <c r="Y58" s="19">
        <f t="shared" si="64"/>
        <v>41134550</v>
      </c>
      <c r="Z58" s="142">
        <f t="shared" si="64"/>
        <v>6214100</v>
      </c>
      <c r="AA58" s="18">
        <f t="shared" si="64"/>
        <v>47348650</v>
      </c>
      <c r="AB58" s="19">
        <f t="shared" si="64"/>
        <v>41134550</v>
      </c>
      <c r="AC58" s="142">
        <f t="shared" si="64"/>
        <v>6214100</v>
      </c>
      <c r="AD58" s="18">
        <f t="shared" si="64"/>
        <v>47348650</v>
      </c>
      <c r="AE58" s="19">
        <f t="shared" si="64"/>
        <v>35269900</v>
      </c>
      <c r="AF58" s="142">
        <f t="shared" si="64"/>
        <v>5864650</v>
      </c>
      <c r="AG58" s="18">
        <f t="shared" si="64"/>
        <v>41134550</v>
      </c>
      <c r="AH58" s="19">
        <f t="shared" si="64"/>
        <v>46952544</v>
      </c>
      <c r="AI58" s="15">
        <f t="shared" si="64"/>
        <v>46952544</v>
      </c>
      <c r="AJ58" s="16">
        <f t="shared" si="64"/>
        <v>53166644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+IF(JULIO!A59=0,"",JULIO!A59)</f>
        <v>1130111-2</v>
      </c>
      <c r="B59" s="629" t="str">
        <f>+IF(JULIO!B59=0,"",JULIO!B59)</f>
        <v>Vigencia Anterior</v>
      </c>
      <c r="C59" s="655">
        <f>+ENERO!C59</f>
        <v>0</v>
      </c>
      <c r="D59" s="363">
        <f>JULIO!D59+AGOSTO!P59</f>
        <v>0</v>
      </c>
      <c r="E59" s="363">
        <f>JULIO!E59+AGOSTO!Q59</f>
        <v>0</v>
      </c>
      <c r="F59" s="363">
        <f>SUM(C59:E59)</f>
        <v>0</v>
      </c>
      <c r="G59" s="363">
        <f>JULIO!I59</f>
        <v>0</v>
      </c>
      <c r="H59" s="364">
        <v>0</v>
      </c>
      <c r="I59" s="363">
        <f>SUM(G59:H59)</f>
        <v>0</v>
      </c>
      <c r="J59" s="363">
        <f>JULIO!L59</f>
        <v>0</v>
      </c>
      <c r="K59" s="364">
        <v>0</v>
      </c>
      <c r="L59" s="363">
        <f>SUM(J59:K59)</f>
        <v>0</v>
      </c>
      <c r="M59" s="363">
        <f>F59-I59</f>
        <v>0</v>
      </c>
      <c r="N59" s="143">
        <f>F59-L59</f>
        <v>0</v>
      </c>
      <c r="O59" s="372"/>
      <c r="P59" s="362">
        <v>0</v>
      </c>
      <c r="Q59" s="365">
        <v>0</v>
      </c>
      <c r="R59" s="9"/>
      <c r="S59" s="689" t="str">
        <f>+IF(JULIO!S59=0,"",JULIO!S59)</f>
        <v>1010402-1</v>
      </c>
      <c r="T59" s="664" t="str">
        <f>+IF(JULIO!T59=0,"",JULIO!T59)</f>
        <v>S.E.N.A.</v>
      </c>
      <c r="U59" s="27">
        <f>+ENERO!U59</f>
        <v>37720478</v>
      </c>
      <c r="V59" s="15">
        <f>JULIO!V59+AGOSTO!AL59</f>
        <v>0</v>
      </c>
      <c r="W59" s="15">
        <f>JULIO!W59+AGOSTO!AM59</f>
        <v>0</v>
      </c>
      <c r="X59" s="18">
        <f>SUM(U59:W59)</f>
        <v>37720478</v>
      </c>
      <c r="Y59" s="19">
        <f>JULIO!AA59</f>
        <v>16453820</v>
      </c>
      <c r="Z59" s="364">
        <v>2485640</v>
      </c>
      <c r="AA59" s="18">
        <f>SUM(Y59:Z59)</f>
        <v>18939460</v>
      </c>
      <c r="AB59" s="19">
        <f>JULIO!AD59</f>
        <v>16453820</v>
      </c>
      <c r="AC59" s="364">
        <v>2485640</v>
      </c>
      <c r="AD59" s="18">
        <f>SUM(AB59:AC59)</f>
        <v>18939460</v>
      </c>
      <c r="AE59" s="19">
        <f>JULIO!AG59</f>
        <v>14107960</v>
      </c>
      <c r="AF59" s="364">
        <v>2345860</v>
      </c>
      <c r="AG59" s="18">
        <f>SUM(AE59:AF59)</f>
        <v>16453820</v>
      </c>
      <c r="AH59" s="19">
        <f>X59-AA59</f>
        <v>18781018</v>
      </c>
      <c r="AI59" s="15">
        <f>X59-AD59</f>
        <v>18781018</v>
      </c>
      <c r="AJ59" s="16">
        <f>X59-AG59</f>
        <v>21266658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+IF(JULIO!A60=0,"",JULIO!A60)</f>
        <v>1130112</v>
      </c>
      <c r="B60" s="628" t="str">
        <f>+IF(JULIO!B60=0,"",JULIO!B60)</f>
        <v>IPS PUBLICAS</v>
      </c>
      <c r="C60" s="43">
        <f t="shared" ref="C60:N60" si="65">SUM(C61:C62)</f>
        <v>0</v>
      </c>
      <c r="D60" s="44">
        <f t="shared" si="65"/>
        <v>0</v>
      </c>
      <c r="E60" s="44">
        <f t="shared" si="65"/>
        <v>19213396</v>
      </c>
      <c r="F60" s="44">
        <f t="shared" si="65"/>
        <v>19213396</v>
      </c>
      <c r="G60" s="44">
        <f t="shared" si="65"/>
        <v>20055801</v>
      </c>
      <c r="H60" s="44">
        <f t="shared" si="65"/>
        <v>70700</v>
      </c>
      <c r="I60" s="44">
        <f t="shared" si="65"/>
        <v>20126501</v>
      </c>
      <c r="J60" s="44">
        <f t="shared" si="65"/>
        <v>19213396</v>
      </c>
      <c r="K60" s="44">
        <f t="shared" si="65"/>
        <v>0</v>
      </c>
      <c r="L60" s="44">
        <f t="shared" si="65"/>
        <v>19213396</v>
      </c>
      <c r="M60" s="44">
        <f t="shared" si="65"/>
        <v>-913105</v>
      </c>
      <c r="N60" s="45">
        <f t="shared" si="65"/>
        <v>0</v>
      </c>
      <c r="P60" s="43">
        <f>SUM(P61:P62)</f>
        <v>0</v>
      </c>
      <c r="Q60" s="45">
        <f>SUM(Q61:Q62)</f>
        <v>345224</v>
      </c>
      <c r="R60" s="9"/>
      <c r="S60" s="689" t="str">
        <f>+IF(JULIO!S60=0,"",JULIO!S60)</f>
        <v>1010402-2</v>
      </c>
      <c r="T60" s="664" t="str">
        <f>+IF(JULIO!T60=0,"",JULIO!T60)</f>
        <v>I.C.B.F.</v>
      </c>
      <c r="U60" s="27">
        <f>+ENERO!U60</f>
        <v>56580716</v>
      </c>
      <c r="V60" s="15">
        <f>JULIO!V60+AGOSTO!AL60</f>
        <v>0</v>
      </c>
      <c r="W60" s="15">
        <f>JULIO!W60+AGOSTO!AM60</f>
        <v>0</v>
      </c>
      <c r="X60" s="18">
        <f>SUM(U60:W60)</f>
        <v>56580716</v>
      </c>
      <c r="Y60" s="19">
        <f>JULIO!AA60</f>
        <v>24680730</v>
      </c>
      <c r="Z60" s="364">
        <v>3728460</v>
      </c>
      <c r="AA60" s="18">
        <f>SUM(Y60:Z60)</f>
        <v>28409190</v>
      </c>
      <c r="AB60" s="19">
        <f>JULIO!AD60</f>
        <v>24680730</v>
      </c>
      <c r="AC60" s="364">
        <v>3728460</v>
      </c>
      <c r="AD60" s="18">
        <f>SUM(AB60:AC60)</f>
        <v>28409190</v>
      </c>
      <c r="AE60" s="19">
        <f>JULIO!AG60</f>
        <v>21161940</v>
      </c>
      <c r="AF60" s="364">
        <v>3518790</v>
      </c>
      <c r="AG60" s="18">
        <f>SUM(AE60:AF60)</f>
        <v>24680730</v>
      </c>
      <c r="AH60" s="19">
        <f>X60-AA60</f>
        <v>28171526</v>
      </c>
      <c r="AI60" s="15">
        <f>X60-AD60</f>
        <v>28171526</v>
      </c>
      <c r="AJ60" s="16">
        <f>X60-AG60</f>
        <v>31899986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+IF(JULIO!A61=0,"",JULIO!A61)</f>
        <v>1130112-1</v>
      </c>
      <c r="B61" s="629" t="str">
        <f>+CONCATENATE("Vigencia ",INSTRUCCIONES!$F$3)</f>
        <v>Vigencia 2019</v>
      </c>
      <c r="C61" s="655">
        <f>+ENERO!C61</f>
        <v>0</v>
      </c>
      <c r="D61" s="363">
        <f>JULIO!D61+AGOSTO!P61</f>
        <v>0</v>
      </c>
      <c r="E61" s="363">
        <f>JULIO!E61+AGOSTO!Q61</f>
        <v>655301</v>
      </c>
      <c r="F61" s="363">
        <f>SUM(C61:E61)</f>
        <v>655301</v>
      </c>
      <c r="G61" s="363">
        <f>JULIO!I61</f>
        <v>1497706</v>
      </c>
      <c r="H61" s="364">
        <v>70700</v>
      </c>
      <c r="I61" s="363">
        <f>SUM(G61:H61)</f>
        <v>1568406</v>
      </c>
      <c r="J61" s="363">
        <f>JULIO!L61</f>
        <v>655301</v>
      </c>
      <c r="K61" s="364">
        <v>0</v>
      </c>
      <c r="L61" s="363">
        <f>SUM(J61:K61)</f>
        <v>655301</v>
      </c>
      <c r="M61" s="363">
        <f>F61-I61</f>
        <v>-913105</v>
      </c>
      <c r="N61" s="143">
        <f>F61-L61</f>
        <v>0</v>
      </c>
      <c r="O61" s="372"/>
      <c r="P61" s="362">
        <v>0</v>
      </c>
      <c r="Q61" s="365">
        <v>217576</v>
      </c>
      <c r="R61" s="9"/>
      <c r="S61" s="688">
        <f>+IF(JULIO!S61=0,"",JULIO!S61)</f>
        <v>1010499</v>
      </c>
      <c r="T61" s="664" t="str">
        <f>+IF(JULIO!T61=0,"",JULIO!T61)</f>
        <v>Vigencias Anteriores</v>
      </c>
      <c r="U61" s="27">
        <f>+ENERO!U61</f>
        <v>0</v>
      </c>
      <c r="V61" s="15">
        <f>JULIO!V61+AGOSTO!AL61</f>
        <v>0</v>
      </c>
      <c r="W61" s="15">
        <f>JULIO!W61+AGOSTO!AM61</f>
        <v>0</v>
      </c>
      <c r="X61" s="18">
        <f>SUM(U61:W61)</f>
        <v>0</v>
      </c>
      <c r="Y61" s="19">
        <f>JULIO!AA61</f>
        <v>0</v>
      </c>
      <c r="Z61" s="364">
        <v>0</v>
      </c>
      <c r="AA61" s="18">
        <f>SUM(Y61:Z61)</f>
        <v>0</v>
      </c>
      <c r="AB61" s="19">
        <f>JULIO!AD61</f>
        <v>0</v>
      </c>
      <c r="AC61" s="364">
        <v>0</v>
      </c>
      <c r="AD61" s="18">
        <f>SUM(AB61:AC61)</f>
        <v>0</v>
      </c>
      <c r="AE61" s="19">
        <f>JULIO!AG61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+IF(JULIO!A62=0,"",JULIO!A62)</f>
        <v>1130112-2</v>
      </c>
      <c r="B62" s="629" t="str">
        <f>+IF(JULIO!B62=0,"",JULIO!B62)</f>
        <v>Vigencia Anterior</v>
      </c>
      <c r="C62" s="655">
        <f>+ENERO!C62</f>
        <v>0</v>
      </c>
      <c r="D62" s="363">
        <f>JULIO!D62+AGOSTO!P62</f>
        <v>0</v>
      </c>
      <c r="E62" s="363">
        <f>JULIO!E62+AGOSTO!Q62</f>
        <v>18558095</v>
      </c>
      <c r="F62" s="363">
        <f>SUM(C62:E62)</f>
        <v>18558095</v>
      </c>
      <c r="G62" s="363">
        <f>JULIO!I62</f>
        <v>18558095</v>
      </c>
      <c r="H62" s="364">
        <v>0</v>
      </c>
      <c r="I62" s="363">
        <f>SUM(G62:H62)</f>
        <v>18558095</v>
      </c>
      <c r="J62" s="363">
        <f>JULIO!L62</f>
        <v>18558095</v>
      </c>
      <c r="K62" s="364">
        <v>0</v>
      </c>
      <c r="L62" s="363">
        <f>SUM(J62:K62)</f>
        <v>18558095</v>
      </c>
      <c r="M62" s="363">
        <f>F62-I62</f>
        <v>0</v>
      </c>
      <c r="N62" s="143">
        <f>F62-L62</f>
        <v>0</v>
      </c>
      <c r="O62" s="372"/>
      <c r="P62" s="362">
        <v>0</v>
      </c>
      <c r="Q62" s="365">
        <v>127648</v>
      </c>
      <c r="R62" s="9"/>
      <c r="S62" s="356" t="str">
        <f>+IF(JULIO!S62=0,"",JULIO!S62)</f>
        <v/>
      </c>
      <c r="T62" s="678" t="str">
        <f>+IF(JULIO!T62=0,"",JULIO!T62)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+IF(JULIO!A63=0,"",JULIO!A63)</f>
        <v>1130113</v>
      </c>
      <c r="B63" s="628" t="str">
        <f>+IF(JULIO!B63=0,"",JULIO!B63)</f>
        <v>COMPAÑIAS DE SEGUROS  - ACCIDENTES DE TRANSITO (SOAT)</v>
      </c>
      <c r="C63" s="43">
        <f t="shared" ref="C63:N63" si="66">SUM(C64:C65)</f>
        <v>8371510292</v>
      </c>
      <c r="D63" s="44">
        <f t="shared" si="66"/>
        <v>0</v>
      </c>
      <c r="E63" s="44">
        <f t="shared" si="66"/>
        <v>1872182903</v>
      </c>
      <c r="F63" s="44">
        <f t="shared" si="66"/>
        <v>10243693195</v>
      </c>
      <c r="G63" s="44">
        <f t="shared" si="66"/>
        <v>5074353177</v>
      </c>
      <c r="H63" s="44">
        <f t="shared" si="66"/>
        <v>541089961</v>
      </c>
      <c r="I63" s="44">
        <f t="shared" si="66"/>
        <v>5615443138</v>
      </c>
      <c r="J63" s="44">
        <f t="shared" si="66"/>
        <v>3368065202.0699997</v>
      </c>
      <c r="K63" s="44">
        <f t="shared" si="66"/>
        <v>430102182</v>
      </c>
      <c r="L63" s="44">
        <f t="shared" si="66"/>
        <v>3798167384.0699997</v>
      </c>
      <c r="M63" s="44">
        <f t="shared" si="66"/>
        <v>4628250057</v>
      </c>
      <c r="N63" s="45">
        <f t="shared" si="66"/>
        <v>6445525810.9300003</v>
      </c>
      <c r="P63" s="43">
        <f>SUM(P64:P65)</f>
        <v>0</v>
      </c>
      <c r="Q63" s="45">
        <f>SUM(Q64:Q65)</f>
        <v>24927736</v>
      </c>
      <c r="R63" s="9"/>
      <c r="S63" s="686">
        <f>+IF(JULIO!S63=0,"",JULIO!S63)</f>
        <v>1020010</v>
      </c>
      <c r="T63" s="662" t="str">
        <f>+IF(JULIO!T63=0,"",JULIO!T63)</f>
        <v>Gastos de Operación</v>
      </c>
      <c r="U63" s="132">
        <f t="shared" ref="U63:AJ63" si="67">U65+U83+U90+U104</f>
        <v>29994047768</v>
      </c>
      <c r="V63" s="122">
        <f t="shared" si="67"/>
        <v>-3815337847</v>
      </c>
      <c r="W63" s="122">
        <f t="shared" si="67"/>
        <v>1709785077</v>
      </c>
      <c r="X63" s="129">
        <f t="shared" si="67"/>
        <v>27888494998</v>
      </c>
      <c r="Y63" s="128">
        <f t="shared" si="67"/>
        <v>24737248800</v>
      </c>
      <c r="Z63" s="122">
        <f t="shared" si="67"/>
        <v>896679747</v>
      </c>
      <c r="AA63" s="129">
        <f t="shared" si="67"/>
        <v>25633928547</v>
      </c>
      <c r="AB63" s="128">
        <f t="shared" si="67"/>
        <v>17088180021</v>
      </c>
      <c r="AC63" s="122">
        <f t="shared" si="67"/>
        <v>2330215720</v>
      </c>
      <c r="AD63" s="129">
        <f t="shared" si="67"/>
        <v>19418395741</v>
      </c>
      <c r="AE63" s="128">
        <f t="shared" si="67"/>
        <v>10984804550</v>
      </c>
      <c r="AF63" s="122">
        <f t="shared" si="67"/>
        <v>1693200096</v>
      </c>
      <c r="AG63" s="129">
        <f t="shared" si="67"/>
        <v>12678004646</v>
      </c>
      <c r="AH63" s="128">
        <f t="shared" si="67"/>
        <v>2254566451</v>
      </c>
      <c r="AI63" s="122">
        <f t="shared" si="67"/>
        <v>8470099257</v>
      </c>
      <c r="AJ63" s="130">
        <f t="shared" si="67"/>
        <v>15210490352</v>
      </c>
      <c r="AK63" s="9"/>
      <c r="AL63" s="128">
        <f>AL65+AL83+AL90+AL104</f>
        <v>-795000000</v>
      </c>
      <c r="AM63" s="130">
        <f>AM65+AM83+AM90+AM104</f>
        <v>56603003</v>
      </c>
      <c r="AN63" s="9"/>
      <c r="AO63" s="284"/>
      <c r="AP63" s="284"/>
      <c r="AQ63" s="284"/>
      <c r="AR63" s="284"/>
      <c r="AS63" s="284"/>
      <c r="AT63" s="284"/>
      <c r="AU63" s="284"/>
      <c r="AV63" s="284"/>
      <c r="AW63" s="284"/>
      <c r="AX63" s="284"/>
      <c r="AY63" s="284"/>
      <c r="AZ63" s="284"/>
    </row>
    <row r="64" spans="1:70" s="412" customFormat="1" ht="24.95" customHeight="1">
      <c r="A64" s="593" t="str">
        <f>+IF(JULIO!A64=0,"",JULIO!A64)</f>
        <v>1130113-1</v>
      </c>
      <c r="B64" s="629" t="str">
        <f>+CONCATENATE("Vigencia ",INSTRUCCIONES!$F$3)</f>
        <v>Vigencia 2019</v>
      </c>
      <c r="C64" s="655">
        <f>+ENERO!C64</f>
        <v>8371510292</v>
      </c>
      <c r="D64" s="363">
        <f>JULIO!D64+AGOSTO!P64</f>
        <v>0</v>
      </c>
      <c r="E64" s="363">
        <f>JULIO!E64+AGOSTO!Q64</f>
        <v>0</v>
      </c>
      <c r="F64" s="363">
        <f>SUM(C64:E64)</f>
        <v>8371510292</v>
      </c>
      <c r="G64" s="363">
        <f>JULIO!I64</f>
        <v>3202170274</v>
      </c>
      <c r="H64" s="364">
        <v>541044861</v>
      </c>
      <c r="I64" s="363">
        <f>SUM(G64:H64)</f>
        <v>3743215135</v>
      </c>
      <c r="J64" s="363">
        <f>JULIO!L64</f>
        <v>1495882299.0699999</v>
      </c>
      <c r="K64" s="364">
        <v>430057082</v>
      </c>
      <c r="L64" s="363">
        <f>SUM(J64:K64)</f>
        <v>1925939381.0699999</v>
      </c>
      <c r="M64" s="363">
        <f>F64-I64</f>
        <v>4628295157</v>
      </c>
      <c r="N64" s="143">
        <f>F64-L64</f>
        <v>6445570910.9300003</v>
      </c>
      <c r="O64" s="372"/>
      <c r="P64" s="362">
        <v>0</v>
      </c>
      <c r="Q64" s="365">
        <v>0</v>
      </c>
      <c r="R64" s="9"/>
      <c r="S64" s="356" t="str">
        <f>+IF(JULIO!S64=0,"",JULIO!S64)</f>
        <v/>
      </c>
      <c r="T64" s="678" t="str">
        <f>+IF(JULIO!T64=0,"",JULIO!T64)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+IF(JULIO!A65=0,"",JULIO!A65)</f>
        <v>1130113-2</v>
      </c>
      <c r="B65" s="629" t="str">
        <f>+IF(JULIO!B65=0,"",JULIO!B65)</f>
        <v>Vigencia Anterior</v>
      </c>
      <c r="C65" s="655">
        <f>+ENERO!C65</f>
        <v>0</v>
      </c>
      <c r="D65" s="363">
        <f>JULIO!D65+AGOSTO!P65</f>
        <v>0</v>
      </c>
      <c r="E65" s="363">
        <f>JULIO!E65+AGOSTO!Q65</f>
        <v>1872182903</v>
      </c>
      <c r="F65" s="363">
        <f>SUM(C65:E65)</f>
        <v>1872182903</v>
      </c>
      <c r="G65" s="363">
        <f>JULIO!I65</f>
        <v>1872182903</v>
      </c>
      <c r="H65" s="364">
        <v>45100</v>
      </c>
      <c r="I65" s="363">
        <f>SUM(G65:H65)</f>
        <v>1872228003</v>
      </c>
      <c r="J65" s="363">
        <f>JULIO!L65</f>
        <v>1872182903</v>
      </c>
      <c r="K65" s="364">
        <v>45100</v>
      </c>
      <c r="L65" s="363">
        <f>SUM(J65:K65)</f>
        <v>1872228003</v>
      </c>
      <c r="M65" s="363">
        <f>F65-I65</f>
        <v>-45100</v>
      </c>
      <c r="N65" s="143">
        <f>F65-L65</f>
        <v>-45100</v>
      </c>
      <c r="O65" s="372"/>
      <c r="P65" s="362">
        <v>0</v>
      </c>
      <c r="Q65" s="365">
        <v>24927736</v>
      </c>
      <c r="R65" s="9"/>
      <c r="S65" s="687">
        <f>+IF(JULIO!S65=0,"",JULIO!S65)</f>
        <v>1020100</v>
      </c>
      <c r="T65" s="663" t="str">
        <f>+IF(JULIO!T65=0,"",JULIO!T65)</f>
        <v>Servicios Personales Asociados a Nómina</v>
      </c>
      <c r="U65" s="132">
        <f t="shared" ref="U65:AJ65" si="68">SUM(U66:U69)+U81</f>
        <v>5283965861</v>
      </c>
      <c r="V65" s="122">
        <f t="shared" si="68"/>
        <v>-2409000000</v>
      </c>
      <c r="W65" s="122">
        <f t="shared" si="68"/>
        <v>0</v>
      </c>
      <c r="X65" s="129">
        <f t="shared" si="68"/>
        <v>2874965861</v>
      </c>
      <c r="Y65" s="128">
        <f t="shared" si="68"/>
        <v>1464657459</v>
      </c>
      <c r="Z65" s="122">
        <f t="shared" si="68"/>
        <v>225268740</v>
      </c>
      <c r="AA65" s="129">
        <f t="shared" si="68"/>
        <v>1689926199</v>
      </c>
      <c r="AB65" s="128">
        <f t="shared" si="68"/>
        <v>1464657459</v>
      </c>
      <c r="AC65" s="122">
        <f t="shared" si="68"/>
        <v>225268740</v>
      </c>
      <c r="AD65" s="129">
        <f t="shared" si="68"/>
        <v>1689926199</v>
      </c>
      <c r="AE65" s="128">
        <f t="shared" si="68"/>
        <v>1463722055</v>
      </c>
      <c r="AF65" s="122">
        <f t="shared" si="68"/>
        <v>225268740</v>
      </c>
      <c r="AG65" s="129">
        <f t="shared" si="68"/>
        <v>1688990795</v>
      </c>
      <c r="AH65" s="128">
        <f t="shared" si="68"/>
        <v>1185039662</v>
      </c>
      <c r="AI65" s="122">
        <f t="shared" si="68"/>
        <v>1185039662</v>
      </c>
      <c r="AJ65" s="130">
        <f t="shared" si="68"/>
        <v>1185975066</v>
      </c>
      <c r="AK65" s="9"/>
      <c r="AL65" s="128">
        <f>SUM(AL66:AL69)+AL81</f>
        <v>-665000000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+IF(JULIO!A66=0,"",JULIO!A66)</f>
        <v>1130114</v>
      </c>
      <c r="B66" s="628" t="str">
        <f>+IF(JULIO!B66=0,"",JULIO!B66)</f>
        <v xml:space="preserve">COMPAÑIAS DE SEGUROS  - PLANES DE SALUD  </v>
      </c>
      <c r="C66" s="43">
        <f t="shared" ref="C66:N66" si="69">SUM(C67:C68)</f>
        <v>11965775</v>
      </c>
      <c r="D66" s="44">
        <f t="shared" si="69"/>
        <v>0</v>
      </c>
      <c r="E66" s="44">
        <f t="shared" si="69"/>
        <v>0</v>
      </c>
      <c r="F66" s="44">
        <f t="shared" si="69"/>
        <v>11965775</v>
      </c>
      <c r="G66" s="44">
        <f t="shared" si="69"/>
        <v>41959435</v>
      </c>
      <c r="H66" s="44">
        <f t="shared" si="69"/>
        <v>8526939</v>
      </c>
      <c r="I66" s="44">
        <f t="shared" si="69"/>
        <v>50486374</v>
      </c>
      <c r="J66" s="44">
        <f t="shared" si="69"/>
        <v>0</v>
      </c>
      <c r="K66" s="44">
        <f t="shared" si="69"/>
        <v>0</v>
      </c>
      <c r="L66" s="44">
        <f t="shared" si="69"/>
        <v>0</v>
      </c>
      <c r="M66" s="44">
        <f t="shared" si="69"/>
        <v>-38520599</v>
      </c>
      <c r="N66" s="45">
        <f t="shared" si="69"/>
        <v>11965775</v>
      </c>
      <c r="P66" s="43">
        <f>SUM(P67:P68)</f>
        <v>0</v>
      </c>
      <c r="Q66" s="45">
        <f>SUM(Q67:Q68)</f>
        <v>0</v>
      </c>
      <c r="R66" s="9"/>
      <c r="S66" s="688">
        <f>+IF(JULIO!S66=0,"",JULIO!S66)</f>
        <v>1020101</v>
      </c>
      <c r="T66" s="664" t="str">
        <f>+IF(JULIO!T66=0,"",JULIO!T66)</f>
        <v>Sueldos del Personal de nómina</v>
      </c>
      <c r="U66" s="27">
        <f>+ENERO!U66</f>
        <v>3773107838</v>
      </c>
      <c r="V66" s="15">
        <f>JULIO!V66+AGOSTO!AL66</f>
        <v>-2044000000</v>
      </c>
      <c r="W66" s="15">
        <f>JULIO!W66+AGOSTO!AM66</f>
        <v>0</v>
      </c>
      <c r="X66" s="18">
        <f>SUM(U66:W66)</f>
        <v>1729107838</v>
      </c>
      <c r="Y66" s="19">
        <f>JULIO!AA66</f>
        <v>1195000162</v>
      </c>
      <c r="Z66" s="364">
        <v>186442651</v>
      </c>
      <c r="AA66" s="18">
        <f>SUM(Y66:Z66)</f>
        <v>1381442813</v>
      </c>
      <c r="AB66" s="19">
        <f>JULIO!AD66</f>
        <v>1195000162</v>
      </c>
      <c r="AC66" s="364">
        <v>186442651</v>
      </c>
      <c r="AD66" s="18">
        <f>SUM(AB66:AC66)</f>
        <v>1381442813</v>
      </c>
      <c r="AE66" s="19">
        <f>JULIO!AG66</f>
        <v>1194798172</v>
      </c>
      <c r="AF66" s="364">
        <v>186442651</v>
      </c>
      <c r="AG66" s="18">
        <f>SUM(AE66:AF66)</f>
        <v>1381240823</v>
      </c>
      <c r="AH66" s="19">
        <f>X66-AA66</f>
        <v>347665025</v>
      </c>
      <c r="AI66" s="15">
        <f>X66-AD66</f>
        <v>347665025</v>
      </c>
      <c r="AJ66" s="16">
        <f>X66-AG66</f>
        <v>347867015</v>
      </c>
      <c r="AK66" s="9"/>
      <c r="AL66" s="362">
        <v>-600000000</v>
      </c>
      <c r="AM66" s="365">
        <v>0</v>
      </c>
      <c r="AN66" s="9"/>
      <c r="AO66" s="284"/>
      <c r="AP66" s="284"/>
      <c r="AQ66" s="284"/>
      <c r="AR66" s="284"/>
      <c r="AS66" s="284"/>
      <c r="AT66" s="284"/>
      <c r="AU66" s="284"/>
      <c r="AV66" s="284"/>
      <c r="AW66" s="284"/>
      <c r="AX66" s="284"/>
      <c r="AY66" s="284"/>
      <c r="AZ66" s="284"/>
    </row>
    <row r="67" spans="1:70" s="412" customFormat="1" ht="24.95" customHeight="1">
      <c r="A67" s="593" t="str">
        <f>+IF(JULIO!A67=0,"",JULIO!A67)</f>
        <v>1130114-1</v>
      </c>
      <c r="B67" s="629" t="str">
        <f>+CONCATENATE("Vigencia ",INSTRUCCIONES!$F$3)</f>
        <v>Vigencia 2019</v>
      </c>
      <c r="C67" s="655">
        <f>+ENERO!C67</f>
        <v>11965775</v>
      </c>
      <c r="D67" s="363">
        <f>JULIO!D67+AGOSTO!P67</f>
        <v>0</v>
      </c>
      <c r="E67" s="363">
        <f>JULIO!E67+AGOSTO!Q67</f>
        <v>0</v>
      </c>
      <c r="F67" s="363">
        <f>SUM(C67:E67)</f>
        <v>11965775</v>
      </c>
      <c r="G67" s="363">
        <f>JULIO!I67</f>
        <v>41959435</v>
      </c>
      <c r="H67" s="364">
        <v>8526939</v>
      </c>
      <c r="I67" s="363">
        <f>SUM(G67:H67)</f>
        <v>50486374</v>
      </c>
      <c r="J67" s="363">
        <f>JULIO!L67</f>
        <v>0</v>
      </c>
      <c r="K67" s="364">
        <v>0</v>
      </c>
      <c r="L67" s="363">
        <f>SUM(J67:K67)</f>
        <v>0</v>
      </c>
      <c r="M67" s="363">
        <f>F67-I67</f>
        <v>-38520599</v>
      </c>
      <c r="N67" s="143">
        <f>F67-L67</f>
        <v>11965775</v>
      </c>
      <c r="O67" s="372"/>
      <c r="P67" s="362">
        <v>0</v>
      </c>
      <c r="Q67" s="365">
        <v>0</v>
      </c>
      <c r="R67" s="9"/>
      <c r="S67" s="688">
        <f>+IF(JULIO!S67=0,"",JULIO!S67)</f>
        <v>1020102</v>
      </c>
      <c r="T67" s="664" t="str">
        <f>+IF(JULIO!T67=0,"",JULIO!T67)</f>
        <v>Horas Extras,Dominic.,Festivos y Rec. Nocturnos</v>
      </c>
      <c r="U67" s="27">
        <f>+ENERO!U67</f>
        <v>329885360</v>
      </c>
      <c r="V67" s="15">
        <f>JULIO!V67+AGOSTO!AL67</f>
        <v>-65000000</v>
      </c>
      <c r="W67" s="15">
        <f>JULIO!W67+AGOSTO!AM67</f>
        <v>0</v>
      </c>
      <c r="X67" s="18">
        <f>SUM(U67:W67)</f>
        <v>264885360</v>
      </c>
      <c r="Y67" s="19">
        <f>JULIO!AA67</f>
        <v>66215491</v>
      </c>
      <c r="Z67" s="364">
        <v>15556684</v>
      </c>
      <c r="AA67" s="18">
        <f>SUM(Y67:Z67)</f>
        <v>81772175</v>
      </c>
      <c r="AB67" s="19">
        <f>JULIO!AD67</f>
        <v>66215491</v>
      </c>
      <c r="AC67" s="364">
        <v>15556684</v>
      </c>
      <c r="AD67" s="18">
        <f>SUM(AB67:AC67)</f>
        <v>81772175</v>
      </c>
      <c r="AE67" s="19">
        <f>JULIO!AG67</f>
        <v>66117792</v>
      </c>
      <c r="AF67" s="364">
        <v>15556684</v>
      </c>
      <c r="AG67" s="18">
        <f>SUM(AE67:AF67)</f>
        <v>81674476</v>
      </c>
      <c r="AH67" s="19">
        <f>X67-AA67</f>
        <v>183113185</v>
      </c>
      <c r="AI67" s="15">
        <f>X67-AD67</f>
        <v>183113185</v>
      </c>
      <c r="AJ67" s="16">
        <f>X67-AG67</f>
        <v>183210884</v>
      </c>
      <c r="AK67" s="9"/>
      <c r="AL67" s="362">
        <v>-65000000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+IF(JULIO!A68=0,"",JULIO!A68)</f>
        <v>1130114-2</v>
      </c>
      <c r="B68" s="629" t="str">
        <f>+IF(JULIO!B68=0,"",JULIO!B68)</f>
        <v>Vigencia Anterior</v>
      </c>
      <c r="C68" s="655">
        <f>+ENERO!C68</f>
        <v>0</v>
      </c>
      <c r="D68" s="363">
        <f>JULIO!D68+AGOSTO!P68</f>
        <v>0</v>
      </c>
      <c r="E68" s="363">
        <f>JULIO!E68+AGOSTO!Q68</f>
        <v>0</v>
      </c>
      <c r="F68" s="363">
        <f>SUM(C68:E68)</f>
        <v>0</v>
      </c>
      <c r="G68" s="363">
        <f>JULIO!I68</f>
        <v>0</v>
      </c>
      <c r="H68" s="364">
        <v>0</v>
      </c>
      <c r="I68" s="363">
        <f>SUM(G68:H68)</f>
        <v>0</v>
      </c>
      <c r="J68" s="363">
        <f>JULIO!L68</f>
        <v>0</v>
      </c>
      <c r="K68" s="364">
        <v>0</v>
      </c>
      <c r="L68" s="363">
        <f>SUM(J68:K68)</f>
        <v>0</v>
      </c>
      <c r="M68" s="363">
        <f>F68-I68</f>
        <v>0</v>
      </c>
      <c r="N68" s="143">
        <f>F68-L68</f>
        <v>0</v>
      </c>
      <c r="O68" s="372"/>
      <c r="P68" s="362">
        <v>0</v>
      </c>
      <c r="Q68" s="365">
        <v>0</v>
      </c>
      <c r="R68" s="9"/>
      <c r="S68" s="688">
        <f>+IF(JULIO!S68=0,"",JULIO!S68)</f>
        <v>1020103</v>
      </c>
      <c r="T68" s="664" t="str">
        <f>+IF(JULIO!T68=0,"",JULIO!T68)</f>
        <v>Prima Técnica</v>
      </c>
      <c r="U68" s="27">
        <f>+ENERO!U68</f>
        <v>0</v>
      </c>
      <c r="V68" s="15">
        <f>JULIO!V68+AGOSTO!AL68</f>
        <v>0</v>
      </c>
      <c r="W68" s="15">
        <f>JULIO!W68+AGOSTO!AM68</f>
        <v>0</v>
      </c>
      <c r="X68" s="18">
        <f>SUM(U68:W68)</f>
        <v>0</v>
      </c>
      <c r="Y68" s="19">
        <f>JULIO!AA68</f>
        <v>0</v>
      </c>
      <c r="Z68" s="364">
        <v>0</v>
      </c>
      <c r="AA68" s="18">
        <f>SUM(Y68:Z68)</f>
        <v>0</v>
      </c>
      <c r="AB68" s="19">
        <f>JULIO!AD68</f>
        <v>0</v>
      </c>
      <c r="AC68" s="364">
        <v>0</v>
      </c>
      <c r="AD68" s="18">
        <f>SUM(AB68:AC68)</f>
        <v>0</v>
      </c>
      <c r="AE68" s="19">
        <f>JULIO!AG68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+IF(JULIO!A69=0,"",JULIO!A69)</f>
        <v>1130115</v>
      </c>
      <c r="B69" s="628" t="str">
        <f>+IF(JULIO!B69=0,"",JULIO!B69)</f>
        <v>ENTIDADES DE REGIMEN ESPECIAL (Magisterio, Fuerza Pca.)</v>
      </c>
      <c r="C69" s="43">
        <f t="shared" ref="C69:N69" si="70">SUM(C70:C71)</f>
        <v>8401952</v>
      </c>
      <c r="D69" s="44">
        <f t="shared" si="70"/>
        <v>0</v>
      </c>
      <c r="E69" s="44">
        <f t="shared" si="70"/>
        <v>169452049</v>
      </c>
      <c r="F69" s="44">
        <f t="shared" si="70"/>
        <v>177854001</v>
      </c>
      <c r="G69" s="44">
        <f t="shared" si="70"/>
        <v>177854001</v>
      </c>
      <c r="H69" s="44">
        <f t="shared" si="70"/>
        <v>2428724</v>
      </c>
      <c r="I69" s="44">
        <f t="shared" si="70"/>
        <v>180282725</v>
      </c>
      <c r="J69" s="44">
        <f t="shared" si="70"/>
        <v>177854001</v>
      </c>
      <c r="K69" s="44">
        <f t="shared" si="70"/>
        <v>2428724</v>
      </c>
      <c r="L69" s="44">
        <f t="shared" si="70"/>
        <v>180282725</v>
      </c>
      <c r="M69" s="44">
        <f t="shared" si="70"/>
        <v>-2428724</v>
      </c>
      <c r="N69" s="45">
        <f t="shared" si="70"/>
        <v>-2428724</v>
      </c>
      <c r="P69" s="43">
        <f>SUM(P70:P71)</f>
        <v>0</v>
      </c>
      <c r="Q69" s="45">
        <f>SUM(Q70:Q71)</f>
        <v>36836144</v>
      </c>
      <c r="R69" s="9"/>
      <c r="S69" s="688">
        <f>+IF(JULIO!S69=0,"",JULIO!S69)</f>
        <v>1020104</v>
      </c>
      <c r="T69" s="664" t="str">
        <f>+IF(JULIO!T69=0,"",JULIO!T69)</f>
        <v>Otros</v>
      </c>
      <c r="U69" s="27">
        <f t="shared" ref="U69:AJ69" si="71">SUM(U70:U80)</f>
        <v>1180972663</v>
      </c>
      <c r="V69" s="15">
        <f t="shared" si="71"/>
        <v>-300000000</v>
      </c>
      <c r="W69" s="15">
        <f t="shared" si="71"/>
        <v>0</v>
      </c>
      <c r="X69" s="18">
        <f t="shared" si="71"/>
        <v>880972663</v>
      </c>
      <c r="Y69" s="19">
        <f t="shared" si="71"/>
        <v>203441806</v>
      </c>
      <c r="Z69" s="142">
        <f t="shared" si="71"/>
        <v>23269405</v>
      </c>
      <c r="AA69" s="18">
        <f t="shared" si="71"/>
        <v>226711211</v>
      </c>
      <c r="AB69" s="19">
        <f t="shared" si="71"/>
        <v>203441806</v>
      </c>
      <c r="AC69" s="142">
        <f t="shared" si="71"/>
        <v>23269405</v>
      </c>
      <c r="AD69" s="18">
        <f t="shared" si="71"/>
        <v>226711211</v>
      </c>
      <c r="AE69" s="19">
        <f t="shared" si="71"/>
        <v>202806091</v>
      </c>
      <c r="AF69" s="142">
        <f t="shared" si="71"/>
        <v>23269405</v>
      </c>
      <c r="AG69" s="18">
        <f t="shared" si="71"/>
        <v>226075496</v>
      </c>
      <c r="AH69" s="19">
        <f t="shared" si="71"/>
        <v>654261452</v>
      </c>
      <c r="AI69" s="15">
        <f t="shared" si="71"/>
        <v>654261452</v>
      </c>
      <c r="AJ69" s="16">
        <f t="shared" si="71"/>
        <v>654897167</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+IF(JULIO!A70=0,"",JULIO!A70)</f>
        <v>1130115-1</v>
      </c>
      <c r="B70" s="629" t="str">
        <f>+CONCATENATE("Vigencia ",INSTRUCCIONES!$F$3)</f>
        <v>Vigencia 2019</v>
      </c>
      <c r="C70" s="655">
        <f>+ENERO!C70</f>
        <v>8401952</v>
      </c>
      <c r="D70" s="363">
        <f>JULIO!D70+AGOSTO!P70</f>
        <v>0</v>
      </c>
      <c r="E70" s="363">
        <f>JULIO!E70+AGOSTO!Q70</f>
        <v>46709694</v>
      </c>
      <c r="F70" s="363">
        <f>SUM(C70:E70)</f>
        <v>55111646</v>
      </c>
      <c r="G70" s="363">
        <f>JULIO!I70</f>
        <v>55111646</v>
      </c>
      <c r="H70" s="364">
        <f>125003+390571</f>
        <v>515574</v>
      </c>
      <c r="I70" s="363">
        <f>SUM(G70:H70)</f>
        <v>55627220</v>
      </c>
      <c r="J70" s="363">
        <f>JULIO!L70</f>
        <v>55111646</v>
      </c>
      <c r="K70" s="364">
        <v>515574</v>
      </c>
      <c r="L70" s="363">
        <f>SUM(J70:K70)</f>
        <v>55627220</v>
      </c>
      <c r="M70" s="363">
        <f>F70-I70</f>
        <v>-515574</v>
      </c>
      <c r="N70" s="143">
        <f>F70-L70</f>
        <v>-515574</v>
      </c>
      <c r="O70" s="372"/>
      <c r="P70" s="362">
        <v>0</v>
      </c>
      <c r="Q70" s="365">
        <v>36836144</v>
      </c>
      <c r="R70" s="9"/>
      <c r="S70" s="689" t="str">
        <f>+IF(JULIO!S70=0,"",JULIO!S70)</f>
        <v>1020104-1</v>
      </c>
      <c r="T70" s="665" t="str">
        <f>+IF(JULIO!T70=0,"",JULIO!T70)</f>
        <v xml:space="preserve">Prima de Navidad </v>
      </c>
      <c r="U70" s="27">
        <f>+ENERO!U70</f>
        <v>352482456</v>
      </c>
      <c r="V70" s="15">
        <f>JULIO!V70+AGOSTO!AL70</f>
        <v>0</v>
      </c>
      <c r="W70" s="15">
        <f>JULIO!W70+AGOSTO!AM70</f>
        <v>0</v>
      </c>
      <c r="X70" s="18">
        <f t="shared" ref="X70:X81" si="72">SUM(U70:W70)</f>
        <v>352482456</v>
      </c>
      <c r="Y70" s="19">
        <f>JULIO!AA70</f>
        <v>6065291</v>
      </c>
      <c r="Z70" s="364">
        <v>470160</v>
      </c>
      <c r="AA70" s="18">
        <f t="shared" ref="AA70:AA81" si="73">SUM(Y70:Z70)</f>
        <v>6535451</v>
      </c>
      <c r="AB70" s="19">
        <f>JULIO!AD70</f>
        <v>6065291</v>
      </c>
      <c r="AC70" s="364">
        <v>470160</v>
      </c>
      <c r="AD70" s="18">
        <f t="shared" ref="AD70:AD81" si="74">SUM(AB70:AC70)</f>
        <v>6535451</v>
      </c>
      <c r="AE70" s="19">
        <f>JULIO!AG70</f>
        <v>5658498</v>
      </c>
      <c r="AF70" s="364">
        <v>470160</v>
      </c>
      <c r="AG70" s="18">
        <f t="shared" ref="AG70:AG81" si="75">SUM(AE70:AF70)</f>
        <v>6128658</v>
      </c>
      <c r="AH70" s="19">
        <f t="shared" ref="AH70:AH81" si="76">X70-AA70</f>
        <v>345947005</v>
      </c>
      <c r="AI70" s="15">
        <f t="shared" ref="AI70:AI81" si="77">X70-AD70</f>
        <v>345947005</v>
      </c>
      <c r="AJ70" s="16">
        <f t="shared" ref="AJ70:AJ81" si="78">X70-AG70</f>
        <v>346353798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+IF(JULIO!A71=0,"",JULIO!A71)</f>
        <v>1130115-2</v>
      </c>
      <c r="B71" s="629" t="str">
        <f>+IF(JULIO!B71=0,"",JULIO!B71)</f>
        <v>Vigencia Anterior</v>
      </c>
      <c r="C71" s="655">
        <f>+ENERO!C71</f>
        <v>0</v>
      </c>
      <c r="D71" s="363">
        <f>JULIO!D71+AGOSTO!P71</f>
        <v>0</v>
      </c>
      <c r="E71" s="363">
        <f>JULIO!E71+AGOSTO!Q71</f>
        <v>122742355</v>
      </c>
      <c r="F71" s="363">
        <f>SUM(C71:E71)</f>
        <v>122742355</v>
      </c>
      <c r="G71" s="363">
        <f>JULIO!I71</f>
        <v>122742355</v>
      </c>
      <c r="H71" s="364">
        <v>1913150</v>
      </c>
      <c r="I71" s="363">
        <f>SUM(G71:H71)</f>
        <v>124655505</v>
      </c>
      <c r="J71" s="363">
        <f>JULIO!L71</f>
        <v>122742355</v>
      </c>
      <c r="K71" s="364">
        <v>1913150</v>
      </c>
      <c r="L71" s="363">
        <f>SUM(J71:K71)</f>
        <v>124655505</v>
      </c>
      <c r="M71" s="363">
        <f>F71-I71</f>
        <v>-1913150</v>
      </c>
      <c r="N71" s="143">
        <f>F71-L71</f>
        <v>-1913150</v>
      </c>
      <c r="O71" s="372"/>
      <c r="P71" s="362">
        <v>0</v>
      </c>
      <c r="Q71" s="365">
        <v>0</v>
      </c>
      <c r="R71" s="9"/>
      <c r="S71" s="689" t="str">
        <f>+IF(JULIO!S71=0,"",JULIO!S71)</f>
        <v>1020104-2</v>
      </c>
      <c r="T71" s="665" t="str">
        <f>+IF(JULIO!T71=0,"",JULIO!T71)</f>
        <v>Prima de Vacaciones</v>
      </c>
      <c r="U71" s="27">
        <f>+ENERO!U71</f>
        <v>180248873</v>
      </c>
      <c r="V71" s="15">
        <f>JULIO!V71+AGOSTO!AL71</f>
        <v>0</v>
      </c>
      <c r="W71" s="15">
        <f>JULIO!W71+AGOSTO!AM71</f>
        <v>0</v>
      </c>
      <c r="X71" s="18">
        <f t="shared" si="72"/>
        <v>180248873</v>
      </c>
      <c r="Y71" s="19">
        <f>JULIO!AA71</f>
        <v>55624080</v>
      </c>
      <c r="Z71" s="364">
        <v>13918173</v>
      </c>
      <c r="AA71" s="18">
        <f t="shared" si="73"/>
        <v>69542253</v>
      </c>
      <c r="AB71" s="19">
        <f>JULIO!AD71</f>
        <v>55624080</v>
      </c>
      <c r="AC71" s="364">
        <v>13918173</v>
      </c>
      <c r="AD71" s="18">
        <f t="shared" si="74"/>
        <v>69542253</v>
      </c>
      <c r="AE71" s="19">
        <f>JULIO!AG71</f>
        <v>55422090</v>
      </c>
      <c r="AF71" s="364">
        <v>13918173</v>
      </c>
      <c r="AG71" s="18">
        <f t="shared" si="75"/>
        <v>69340263</v>
      </c>
      <c r="AH71" s="19">
        <f t="shared" si="76"/>
        <v>110706620</v>
      </c>
      <c r="AI71" s="15">
        <f t="shared" si="77"/>
        <v>110706620</v>
      </c>
      <c r="AJ71" s="16">
        <f t="shared" si="78"/>
        <v>110908610</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+IF(JULIO!A72=0,"",JULIO!A72)</f>
        <v>1130116</v>
      </c>
      <c r="B72" s="628" t="str">
        <f>+IF(JULIO!B72=0,"",JULIO!B72)</f>
        <v>ADMINISTRADORAS DE RIESGOS LABORALES</v>
      </c>
      <c r="C72" s="43">
        <f t="shared" ref="C72:N72" si="79">SUM(C73:C74)</f>
        <v>2163183</v>
      </c>
      <c r="D72" s="44">
        <f t="shared" si="79"/>
        <v>0</v>
      </c>
      <c r="E72" s="44">
        <f t="shared" si="79"/>
        <v>23325184</v>
      </c>
      <c r="F72" s="44">
        <f t="shared" si="79"/>
        <v>25488367</v>
      </c>
      <c r="G72" s="44">
        <f t="shared" si="79"/>
        <v>39327577</v>
      </c>
      <c r="H72" s="44">
        <f t="shared" si="79"/>
        <v>2081845</v>
      </c>
      <c r="I72" s="44">
        <f t="shared" si="79"/>
        <v>41409422</v>
      </c>
      <c r="J72" s="44">
        <f t="shared" si="79"/>
        <v>25488366.690000001</v>
      </c>
      <c r="K72" s="44">
        <f t="shared" si="79"/>
        <v>1879162</v>
      </c>
      <c r="L72" s="44">
        <f t="shared" si="79"/>
        <v>27367528.690000001</v>
      </c>
      <c r="M72" s="44">
        <f t="shared" si="79"/>
        <v>-15921055</v>
      </c>
      <c r="N72" s="45">
        <f t="shared" si="79"/>
        <v>-1879161.6900000013</v>
      </c>
      <c r="P72" s="43">
        <f>SUM(P73:P74)</f>
        <v>0</v>
      </c>
      <c r="Q72" s="45">
        <f>SUM(Q73:Q74)</f>
        <v>1513223</v>
      </c>
      <c r="R72" s="9"/>
      <c r="S72" s="689" t="str">
        <f>+IF(JULIO!S72=0,"",JULIO!S72)</f>
        <v>1020104-3</v>
      </c>
      <c r="T72" s="665" t="str">
        <f>+IF(JULIO!T72=0,"",JULIO!T72)</f>
        <v>Bonificación  por servicios prestados</v>
      </c>
      <c r="U72" s="27">
        <f>+ENERO!U72</f>
        <v>110048955</v>
      </c>
      <c r="V72" s="15">
        <f>JULIO!V72+AGOSTO!AL72</f>
        <v>0</v>
      </c>
      <c r="W72" s="15">
        <f>JULIO!W72+AGOSTO!AM72</f>
        <v>0</v>
      </c>
      <c r="X72" s="18">
        <f t="shared" si="72"/>
        <v>110048955</v>
      </c>
      <c r="Y72" s="19">
        <f>JULIO!AA72</f>
        <v>47670302</v>
      </c>
      <c r="Z72" s="364">
        <v>5834603</v>
      </c>
      <c r="AA72" s="18">
        <f t="shared" si="73"/>
        <v>53504905</v>
      </c>
      <c r="AB72" s="19">
        <f>JULIO!AD72</f>
        <v>47670302</v>
      </c>
      <c r="AC72" s="364">
        <v>5834603</v>
      </c>
      <c r="AD72" s="18">
        <f t="shared" si="74"/>
        <v>53504905</v>
      </c>
      <c r="AE72" s="19">
        <f>JULIO!AG72</f>
        <v>47670302</v>
      </c>
      <c r="AF72" s="364">
        <v>5834603</v>
      </c>
      <c r="AG72" s="18">
        <f t="shared" si="75"/>
        <v>53504905</v>
      </c>
      <c r="AH72" s="19">
        <f t="shared" si="76"/>
        <v>56544050</v>
      </c>
      <c r="AI72" s="15">
        <f t="shared" si="77"/>
        <v>56544050</v>
      </c>
      <c r="AJ72" s="16">
        <f t="shared" si="78"/>
        <v>56544050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+IF(JULIO!A73=0,"",JULIO!A73)</f>
        <v>1130116-1</v>
      </c>
      <c r="B73" s="629" t="str">
        <f>+CONCATENATE("Vigencia ",INSTRUCCIONES!$F$3)</f>
        <v>Vigencia 2019</v>
      </c>
      <c r="C73" s="655">
        <f>+ENERO!C73</f>
        <v>2163183</v>
      </c>
      <c r="D73" s="363">
        <f>JULIO!D73+AGOSTO!P73</f>
        <v>0</v>
      </c>
      <c r="E73" s="363">
        <f>JULIO!E73+AGOSTO!Q73</f>
        <v>11881183</v>
      </c>
      <c r="F73" s="363">
        <f>SUM(C73:E73)</f>
        <v>14044366</v>
      </c>
      <c r="G73" s="363">
        <f>JULIO!I73</f>
        <v>27883576</v>
      </c>
      <c r="H73" s="364">
        <v>2081845</v>
      </c>
      <c r="I73" s="363">
        <f>SUM(G73:H73)</f>
        <v>29965421</v>
      </c>
      <c r="J73" s="363">
        <f>JULIO!L73</f>
        <v>14044366</v>
      </c>
      <c r="K73" s="364">
        <v>1879162</v>
      </c>
      <c r="L73" s="363">
        <f>SUM(J73:K73)</f>
        <v>15923528</v>
      </c>
      <c r="M73" s="363">
        <f>F73-I73</f>
        <v>-15921055</v>
      </c>
      <c r="N73" s="143">
        <f>F73-L73</f>
        <v>-1879162</v>
      </c>
      <c r="O73" s="372"/>
      <c r="P73" s="362">
        <v>0</v>
      </c>
      <c r="Q73" s="365">
        <v>654968</v>
      </c>
      <c r="R73" s="9"/>
      <c r="S73" s="689" t="str">
        <f>+IF(JULIO!S73=0,"",JULIO!S73)</f>
        <v>1020104-4</v>
      </c>
      <c r="T73" s="665" t="str">
        <f>+IF(JULIO!T73=0,"",JULIO!T73)</f>
        <v>Prima de Servicios</v>
      </c>
      <c r="U73" s="27">
        <f>+ENERO!U73</f>
        <v>166383593</v>
      </c>
      <c r="V73" s="15">
        <f>JULIO!V73+AGOSTO!AL73</f>
        <v>0</v>
      </c>
      <c r="W73" s="15">
        <f>JULIO!W73+AGOSTO!AM73</f>
        <v>0</v>
      </c>
      <c r="X73" s="18">
        <f t="shared" si="72"/>
        <v>166383593</v>
      </c>
      <c r="Y73" s="19">
        <f>JULIO!AA73</f>
        <v>83375826</v>
      </c>
      <c r="Z73" s="364">
        <v>1299921</v>
      </c>
      <c r="AA73" s="18">
        <f t="shared" si="73"/>
        <v>84675747</v>
      </c>
      <c r="AB73" s="19">
        <f>JULIO!AD73</f>
        <v>83375826</v>
      </c>
      <c r="AC73" s="364">
        <v>1299921</v>
      </c>
      <c r="AD73" s="18">
        <f t="shared" si="74"/>
        <v>84675747</v>
      </c>
      <c r="AE73" s="19">
        <f>JULIO!AG73</f>
        <v>83375826</v>
      </c>
      <c r="AF73" s="364">
        <v>1299921</v>
      </c>
      <c r="AG73" s="18">
        <f t="shared" si="75"/>
        <v>84675747</v>
      </c>
      <c r="AH73" s="19">
        <f t="shared" si="76"/>
        <v>81707846</v>
      </c>
      <c r="AI73" s="15">
        <f t="shared" si="77"/>
        <v>81707846</v>
      </c>
      <c r="AJ73" s="16">
        <f t="shared" si="78"/>
        <v>81707846</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+IF(JULIO!A74=0,"",JULIO!A74)</f>
        <v>1130116-2</v>
      </c>
      <c r="B74" s="629" t="str">
        <f>+IF(JULIO!B74=0,"",JULIO!B74)</f>
        <v>Vigencia Anterior</v>
      </c>
      <c r="C74" s="655">
        <f>+ENERO!C74</f>
        <v>0</v>
      </c>
      <c r="D74" s="363">
        <f>JULIO!D74+AGOSTO!P74</f>
        <v>0</v>
      </c>
      <c r="E74" s="363">
        <f>JULIO!E74+AGOSTO!Q74</f>
        <v>11444001</v>
      </c>
      <c r="F74" s="363">
        <f>SUM(C74:E74)</f>
        <v>11444001</v>
      </c>
      <c r="G74" s="363">
        <f>JULIO!I74</f>
        <v>11444001</v>
      </c>
      <c r="H74" s="364">
        <v>0</v>
      </c>
      <c r="I74" s="363">
        <f>SUM(G74:H74)</f>
        <v>11444001</v>
      </c>
      <c r="J74" s="363">
        <f>JULIO!L74</f>
        <v>11444000.690000001</v>
      </c>
      <c r="K74" s="364">
        <v>0</v>
      </c>
      <c r="L74" s="363">
        <f>SUM(J74:K74)</f>
        <v>11444000.690000001</v>
      </c>
      <c r="M74" s="363">
        <f>F74-I74</f>
        <v>0</v>
      </c>
      <c r="N74" s="143">
        <f>F74-L74</f>
        <v>0.30999999865889549</v>
      </c>
      <c r="O74" s="372"/>
      <c r="P74" s="362">
        <v>0</v>
      </c>
      <c r="Q74" s="365">
        <v>858255</v>
      </c>
      <c r="R74" s="9"/>
      <c r="S74" s="689" t="str">
        <f>+IF(JULIO!S74=0,"",JULIO!S74)</f>
        <v>1020104-5</v>
      </c>
      <c r="T74" s="665" t="str">
        <f>+IF(JULIO!T74=0,"",JULIO!T74)</f>
        <v>Bonificación Convencional</v>
      </c>
      <c r="U74" s="27">
        <f>+ENERO!U74</f>
        <v>20961713</v>
      </c>
      <c r="V74" s="15">
        <f>JULIO!V74+AGOSTO!AL74</f>
        <v>0</v>
      </c>
      <c r="W74" s="15">
        <f>JULIO!W74+AGOSTO!AM74</f>
        <v>0</v>
      </c>
      <c r="X74" s="18">
        <f t="shared" si="72"/>
        <v>20961713</v>
      </c>
      <c r="Y74" s="19">
        <f>JULIO!AA74</f>
        <v>0</v>
      </c>
      <c r="Z74" s="364">
        <v>0</v>
      </c>
      <c r="AA74" s="18">
        <f t="shared" si="73"/>
        <v>0</v>
      </c>
      <c r="AB74" s="19">
        <f>JULIO!AD74</f>
        <v>0</v>
      </c>
      <c r="AC74" s="364">
        <v>0</v>
      </c>
      <c r="AD74" s="18">
        <f t="shared" si="74"/>
        <v>0</v>
      </c>
      <c r="AE74" s="19">
        <f>JULIO!AG74</f>
        <v>0</v>
      </c>
      <c r="AF74" s="364">
        <v>0</v>
      </c>
      <c r="AG74" s="1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+IF(JULIO!A75=0,"",JULIO!A75)</f>
        <v>1130117</v>
      </c>
      <c r="B75" s="628" t="str">
        <f>+IF(JULIO!B75=0,"",JULIO!B75)</f>
        <v>CUOTAS DE RECUPERACION</v>
      </c>
      <c r="C75" s="43">
        <f t="shared" ref="C75:N75" si="80">SUM(C76:C77)</f>
        <v>351388967</v>
      </c>
      <c r="D75" s="44">
        <f t="shared" si="80"/>
        <v>0</v>
      </c>
      <c r="E75" s="44">
        <f t="shared" si="80"/>
        <v>290623</v>
      </c>
      <c r="F75" s="44">
        <f t="shared" si="80"/>
        <v>351679590</v>
      </c>
      <c r="G75" s="44">
        <f t="shared" si="80"/>
        <v>247882602</v>
      </c>
      <c r="H75" s="44">
        <f t="shared" si="80"/>
        <v>19698321</v>
      </c>
      <c r="I75" s="44">
        <f t="shared" si="80"/>
        <v>267580923</v>
      </c>
      <c r="J75" s="44">
        <f t="shared" si="80"/>
        <v>132940686</v>
      </c>
      <c r="K75" s="44">
        <f t="shared" si="80"/>
        <v>23057892</v>
      </c>
      <c r="L75" s="44">
        <f t="shared" si="80"/>
        <v>155998578</v>
      </c>
      <c r="M75" s="44">
        <f t="shared" si="80"/>
        <v>84098667</v>
      </c>
      <c r="N75" s="45">
        <f t="shared" si="80"/>
        <v>195681012</v>
      </c>
      <c r="P75" s="43">
        <f>SUM(P76:P77)</f>
        <v>0</v>
      </c>
      <c r="Q75" s="45">
        <f>SUM(Q76:Q77)</f>
        <v>0</v>
      </c>
      <c r="R75" s="9"/>
      <c r="S75" s="689" t="str">
        <f>+IF(JULIO!S75=0,"",JULIO!S75)</f>
        <v>1020104-6</v>
      </c>
      <c r="T75" s="665" t="str">
        <f>+IF(JULIO!T75=0,"",JULIO!T75)</f>
        <v>Auxilio de Transporte</v>
      </c>
      <c r="U75" s="27">
        <f>+ENERO!U75</f>
        <v>329885360</v>
      </c>
      <c r="V75" s="15">
        <f>JULIO!V75+AGOSTO!AL75</f>
        <v>-300000000</v>
      </c>
      <c r="W75" s="15">
        <f>JULIO!W75+AGOSTO!AM75</f>
        <v>0</v>
      </c>
      <c r="X75" s="18">
        <f t="shared" si="72"/>
        <v>29885360</v>
      </c>
      <c r="Y75" s="19">
        <f>JULIO!AA75</f>
        <v>3687216</v>
      </c>
      <c r="Z75" s="364">
        <v>0</v>
      </c>
      <c r="AA75" s="18">
        <f t="shared" si="73"/>
        <v>3687216</v>
      </c>
      <c r="AB75" s="19">
        <f>JULIO!AD75</f>
        <v>3687216</v>
      </c>
      <c r="AC75" s="364">
        <v>0</v>
      </c>
      <c r="AD75" s="18">
        <f t="shared" si="74"/>
        <v>3687216</v>
      </c>
      <c r="AE75" s="19">
        <f>JULIO!AG75</f>
        <v>3687216</v>
      </c>
      <c r="AF75" s="364">
        <v>0</v>
      </c>
      <c r="AG75" s="18">
        <f t="shared" si="75"/>
        <v>3687216</v>
      </c>
      <c r="AH75" s="19">
        <f t="shared" si="76"/>
        <v>26198144</v>
      </c>
      <c r="AI75" s="15">
        <f t="shared" si="77"/>
        <v>26198144</v>
      </c>
      <c r="AJ75" s="16">
        <f t="shared" si="78"/>
        <v>26198144</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+IF(JULIO!A76=0,"",JULIO!A76)</f>
        <v>1130117-1</v>
      </c>
      <c r="B76" s="629" t="str">
        <f>+CONCATENATE("Vigencia ",INSTRUCCIONES!$F$3)</f>
        <v>Vigencia 2019</v>
      </c>
      <c r="C76" s="655">
        <f>+ENERO!C76</f>
        <v>351388967</v>
      </c>
      <c r="D76" s="363">
        <f>JULIO!D76+AGOSTO!P76</f>
        <v>0</v>
      </c>
      <c r="E76" s="363">
        <f>JULIO!E76+AGOSTO!Q76</f>
        <v>0</v>
      </c>
      <c r="F76" s="363">
        <f t="shared" ref="F76:F83" si="81">SUM(C76:E76)</f>
        <v>351388967</v>
      </c>
      <c r="G76" s="363">
        <f>JULIO!I76</f>
        <v>247591979</v>
      </c>
      <c r="H76" s="364">
        <v>18903253</v>
      </c>
      <c r="I76" s="363">
        <f t="shared" ref="I76:I83" si="82">SUM(G76:H76)</f>
        <v>266495232</v>
      </c>
      <c r="J76" s="363">
        <f>JULIO!L76</f>
        <v>132650063</v>
      </c>
      <c r="K76" s="364">
        <v>22262824</v>
      </c>
      <c r="L76" s="363">
        <f t="shared" ref="L76:L83" si="83">SUM(J76:K76)</f>
        <v>154912887</v>
      </c>
      <c r="M76" s="363">
        <f t="shared" ref="M76:M83" si="84">F76-I76</f>
        <v>84893735</v>
      </c>
      <c r="N76" s="143">
        <f t="shared" ref="N76:N83" si="85">F76-L76</f>
        <v>196476080</v>
      </c>
      <c r="O76" s="372"/>
      <c r="P76" s="362">
        <v>0</v>
      </c>
      <c r="Q76" s="365">
        <v>0</v>
      </c>
      <c r="R76" s="9"/>
      <c r="S76" s="689" t="str">
        <f>+IF(JULIO!S76=0,"",JULIO!S76)</f>
        <v>1020104-7</v>
      </c>
      <c r="T76" s="665" t="str">
        <f>+IF(JULIO!T76=0,"",JULIO!T76)</f>
        <v>Auxilio de Alimentación</v>
      </c>
      <c r="U76" s="27">
        <f>+ENERO!U76</f>
        <v>0</v>
      </c>
      <c r="V76" s="15">
        <f>JULIO!V76+AGOSTO!AL76</f>
        <v>0</v>
      </c>
      <c r="W76" s="15">
        <f>JULIO!W76+AGOSTO!AM76</f>
        <v>0</v>
      </c>
      <c r="X76" s="18">
        <f t="shared" si="72"/>
        <v>0</v>
      </c>
      <c r="Y76" s="19">
        <f>JULIO!AA76</f>
        <v>0</v>
      </c>
      <c r="Z76" s="364">
        <v>0</v>
      </c>
      <c r="AA76" s="18">
        <f t="shared" si="73"/>
        <v>0</v>
      </c>
      <c r="AB76" s="19">
        <f>JULIO!AD76</f>
        <v>0</v>
      </c>
      <c r="AC76" s="364">
        <v>0</v>
      </c>
      <c r="AD76" s="18">
        <f t="shared" si="74"/>
        <v>0</v>
      </c>
      <c r="AE76" s="19">
        <f>JULIO!AG76</f>
        <v>0</v>
      </c>
      <c r="AF76" s="364">
        <v>0</v>
      </c>
      <c r="AG76" s="1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+IF(JULIO!A77=0,"",JULIO!A77)</f>
        <v>1130117-2</v>
      </c>
      <c r="B77" s="629" t="str">
        <f>+IF(JULIO!B77=0,"",JULIO!B77)</f>
        <v>Vigencia Anterior</v>
      </c>
      <c r="C77" s="655">
        <f>+ENERO!C77</f>
        <v>0</v>
      </c>
      <c r="D77" s="363">
        <f>JULIO!D77+AGOSTO!P77</f>
        <v>0</v>
      </c>
      <c r="E77" s="363">
        <f>JULIO!E77+AGOSTO!Q77</f>
        <v>290623</v>
      </c>
      <c r="F77" s="363">
        <f t="shared" si="81"/>
        <v>290623</v>
      </c>
      <c r="G77" s="363">
        <f>JULIO!I77</f>
        <v>290623</v>
      </c>
      <c r="H77" s="364">
        <v>795068</v>
      </c>
      <c r="I77" s="363">
        <f t="shared" si="82"/>
        <v>1085691</v>
      </c>
      <c r="J77" s="363">
        <f>JULIO!L77</f>
        <v>290623</v>
      </c>
      <c r="K77" s="364">
        <v>795068</v>
      </c>
      <c r="L77" s="363">
        <f t="shared" si="83"/>
        <v>1085691</v>
      </c>
      <c r="M77" s="363">
        <f t="shared" si="84"/>
        <v>-795068</v>
      </c>
      <c r="N77" s="143">
        <f t="shared" si="85"/>
        <v>-795068</v>
      </c>
      <c r="O77" s="372"/>
      <c r="P77" s="362">
        <v>0</v>
      </c>
      <c r="Q77" s="365">
        <v>0</v>
      </c>
      <c r="R77" s="9"/>
      <c r="S77" s="689" t="str">
        <f>+IF(JULIO!S77=0,"",JULIO!S77)</f>
        <v>1020104-8</v>
      </c>
      <c r="T77" s="665" t="str">
        <f>+IF(JULIO!T77=0,"",JULIO!T77)</f>
        <v>Indemnizaciones por Vacaciones o Supresión de Cargos por Reestructuración</v>
      </c>
      <c r="U77" s="27">
        <f>+ENERO!U77</f>
        <v>0</v>
      </c>
      <c r="V77" s="15">
        <f>JULIO!V77+AGOSTO!AL77</f>
        <v>0</v>
      </c>
      <c r="W77" s="15">
        <f>JULIO!W77+AGOSTO!AM77</f>
        <v>0</v>
      </c>
      <c r="X77" s="18">
        <f t="shared" si="72"/>
        <v>0</v>
      </c>
      <c r="Y77" s="19">
        <f>JULIO!AA77</f>
        <v>0</v>
      </c>
      <c r="Z77" s="364">
        <v>0</v>
      </c>
      <c r="AA77" s="18">
        <f t="shared" si="73"/>
        <v>0</v>
      </c>
      <c r="AB77" s="19">
        <f>JULIO!AD77</f>
        <v>0</v>
      </c>
      <c r="AC77" s="364">
        <v>0</v>
      </c>
      <c r="AD77" s="18">
        <f t="shared" si="74"/>
        <v>0</v>
      </c>
      <c r="AE77" s="19">
        <f>JULIO!AG77</f>
        <v>0</v>
      </c>
      <c r="AF77" s="364">
        <v>0</v>
      </c>
      <c r="AG77" s="1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+IF(JULIO!A78=0,"",JULIO!A78)</f>
        <v>1130118</v>
      </c>
      <c r="B78" s="628" t="str">
        <f>+IF(JULIO!B78=0,"",JULIO!B78)</f>
        <v>PARTICULARES   (Venta de Contado)</v>
      </c>
      <c r="C78" s="43">
        <f>SUM(C79:C80)</f>
        <v>209613681</v>
      </c>
      <c r="D78" s="44">
        <f>SUM(D79:D80)</f>
        <v>0</v>
      </c>
      <c r="E78" s="44">
        <f>SUM(E79:E80)</f>
        <v>64732162</v>
      </c>
      <c r="F78" s="44">
        <f t="shared" si="81"/>
        <v>274345843</v>
      </c>
      <c r="G78" s="44">
        <f>SUM(G79:G80)</f>
        <v>274345843</v>
      </c>
      <c r="H78" s="44">
        <f>SUM(H79:H80)</f>
        <v>37862814</v>
      </c>
      <c r="I78" s="44">
        <f t="shared" si="82"/>
        <v>312208657</v>
      </c>
      <c r="J78" s="44">
        <f>SUM(J79:J80)</f>
        <v>274345843</v>
      </c>
      <c r="K78" s="44">
        <f>SUM(K79:K80)</f>
        <v>37862814</v>
      </c>
      <c r="L78" s="44">
        <f t="shared" si="83"/>
        <v>312208657</v>
      </c>
      <c r="M78" s="44">
        <f t="shared" si="84"/>
        <v>-37862814</v>
      </c>
      <c r="N78" s="45">
        <f t="shared" si="85"/>
        <v>-37862814</v>
      </c>
      <c r="O78" s="372"/>
      <c r="P78" s="43">
        <f>SUM(P79:P80)</f>
        <v>0</v>
      </c>
      <c r="Q78" s="45">
        <f>SUM(Q79:Q80)</f>
        <v>33445784</v>
      </c>
      <c r="R78" s="9"/>
      <c r="S78" s="689" t="str">
        <f>+IF(JULIO!S78=0,"",JULIO!S78)</f>
        <v>1020104-9</v>
      </c>
      <c r="T78" s="665" t="str">
        <f>+IF(JULIO!T78=0,"",JULIO!T78)</f>
        <v>Bonificación Especial por Recreación</v>
      </c>
      <c r="U78" s="27">
        <f>+ENERO!U78</f>
        <v>20961713</v>
      </c>
      <c r="V78" s="15">
        <f>JULIO!V78+AGOSTO!AL78</f>
        <v>0</v>
      </c>
      <c r="W78" s="15">
        <f>JULIO!W78+AGOSTO!AM78</f>
        <v>0</v>
      </c>
      <c r="X78" s="18">
        <f t="shared" si="72"/>
        <v>20961713</v>
      </c>
      <c r="Y78" s="19">
        <f>JULIO!AA78</f>
        <v>7019091</v>
      </c>
      <c r="Z78" s="364">
        <v>1746548</v>
      </c>
      <c r="AA78" s="18">
        <f t="shared" si="73"/>
        <v>8765639</v>
      </c>
      <c r="AB78" s="19">
        <f>JULIO!AD78</f>
        <v>7019091</v>
      </c>
      <c r="AC78" s="364">
        <v>1746548</v>
      </c>
      <c r="AD78" s="18">
        <f t="shared" si="74"/>
        <v>8765639</v>
      </c>
      <c r="AE78" s="19">
        <f>JULIO!AG78</f>
        <v>6992159</v>
      </c>
      <c r="AF78" s="364">
        <v>1746548</v>
      </c>
      <c r="AG78" s="18">
        <f t="shared" si="75"/>
        <v>8738707</v>
      </c>
      <c r="AH78" s="19">
        <f t="shared" si="76"/>
        <v>12196074</v>
      </c>
      <c r="AI78" s="15">
        <f t="shared" si="77"/>
        <v>12196074</v>
      </c>
      <c r="AJ78" s="16">
        <f t="shared" si="78"/>
        <v>12223006</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+IF(JULIO!A79=0,"",JULIO!A79)</f>
        <v>1130118-1</v>
      </c>
      <c r="B79" s="629" t="str">
        <f>+CONCATENATE("Vigencia ",INSTRUCCIONES!$F$3)</f>
        <v>Vigencia 2019</v>
      </c>
      <c r="C79" s="655">
        <f>+ENERO!C79</f>
        <v>209613681</v>
      </c>
      <c r="D79" s="363">
        <f>JULIO!D79+AGOSTO!P79</f>
        <v>0</v>
      </c>
      <c r="E79" s="363">
        <f>JULIO!E79+AGOSTO!Q79</f>
        <v>45457613</v>
      </c>
      <c r="F79" s="363">
        <f t="shared" si="81"/>
        <v>255071294</v>
      </c>
      <c r="G79" s="363">
        <f>JULIO!I79</f>
        <v>255071294</v>
      </c>
      <c r="H79" s="364">
        <f>18214310+19433504</f>
        <v>37647814</v>
      </c>
      <c r="I79" s="363">
        <f t="shared" si="82"/>
        <v>292719108</v>
      </c>
      <c r="J79" s="363">
        <f>JULIO!L79</f>
        <v>255071294</v>
      </c>
      <c r="K79" s="364">
        <v>37647814</v>
      </c>
      <c r="L79" s="363">
        <f t="shared" si="83"/>
        <v>292719108</v>
      </c>
      <c r="M79" s="363">
        <f t="shared" si="84"/>
        <v>-37647814</v>
      </c>
      <c r="N79" s="143">
        <f t="shared" si="85"/>
        <v>-37647814</v>
      </c>
      <c r="P79" s="362">
        <v>0</v>
      </c>
      <c r="Q79" s="365">
        <v>32937770</v>
      </c>
      <c r="R79" s="9"/>
      <c r="S79" s="689" t="str">
        <f>+IF(JULIO!S79=0,"",JULIO!S79)</f>
        <v>1020104-10</v>
      </c>
      <c r="T79" s="665" t="str">
        <f>+IF(JULIO!T79=0,"",JULIO!T79)</f>
        <v/>
      </c>
      <c r="U79" s="27">
        <f>+ENERO!U79</f>
        <v>0</v>
      </c>
      <c r="V79" s="15">
        <f>JULIO!V79+AGOSTO!AL79</f>
        <v>0</v>
      </c>
      <c r="W79" s="15">
        <f>JULIO!W79+AGOSTO!AM79</f>
        <v>0</v>
      </c>
      <c r="X79" s="18">
        <f t="shared" si="72"/>
        <v>0</v>
      </c>
      <c r="Y79" s="19">
        <f>JULIO!AA79</f>
        <v>0</v>
      </c>
      <c r="Z79" s="364">
        <v>0</v>
      </c>
      <c r="AA79" s="18">
        <f t="shared" si="73"/>
        <v>0</v>
      </c>
      <c r="AB79" s="19">
        <f>JULIO!AD79</f>
        <v>0</v>
      </c>
      <c r="AC79" s="364">
        <v>0</v>
      </c>
      <c r="AD79" s="18">
        <f t="shared" si="74"/>
        <v>0</v>
      </c>
      <c r="AE79" s="19">
        <f>JULIO!AG79</f>
        <v>0</v>
      </c>
      <c r="AF79" s="364">
        <v>0</v>
      </c>
      <c r="AG79" s="1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+IF(JULIO!A80=0,"",JULIO!A80)</f>
        <v>1130118-2</v>
      </c>
      <c r="B80" s="629" t="str">
        <f>+IF(JULIO!B80=0,"",JULIO!B80)</f>
        <v>Vigencia Anterior</v>
      </c>
      <c r="C80" s="655">
        <f>+ENERO!C80</f>
        <v>0</v>
      </c>
      <c r="D80" s="363">
        <f>JULIO!D80+AGOSTO!P80</f>
        <v>0</v>
      </c>
      <c r="E80" s="363">
        <f>JULIO!E80+AGOSTO!Q80</f>
        <v>19274549</v>
      </c>
      <c r="F80" s="363">
        <f t="shared" si="81"/>
        <v>19274549</v>
      </c>
      <c r="G80" s="363">
        <f>JULIO!I80</f>
        <v>19274549</v>
      </c>
      <c r="H80" s="364">
        <v>215000</v>
      </c>
      <c r="I80" s="363">
        <f t="shared" si="82"/>
        <v>19489549</v>
      </c>
      <c r="J80" s="363">
        <f>JULIO!L80</f>
        <v>19274549</v>
      </c>
      <c r="K80" s="364">
        <v>215000</v>
      </c>
      <c r="L80" s="363">
        <f t="shared" si="83"/>
        <v>19489549</v>
      </c>
      <c r="M80" s="363">
        <f t="shared" si="84"/>
        <v>-215000</v>
      </c>
      <c r="N80" s="143">
        <f t="shared" si="85"/>
        <v>-215000</v>
      </c>
      <c r="O80" s="372"/>
      <c r="P80" s="362">
        <v>0</v>
      </c>
      <c r="Q80" s="365">
        <v>508014</v>
      </c>
      <c r="S80" s="689" t="str">
        <f>+IF(JULIO!S80=0,"",JULIO!S80)</f>
        <v>1020104-11</v>
      </c>
      <c r="T80" s="665" t="str">
        <f>+IF(JULIO!T80=0,"",JULIO!T80)</f>
        <v/>
      </c>
      <c r="U80" s="27">
        <f>+ENERO!U80</f>
        <v>0</v>
      </c>
      <c r="V80" s="15">
        <f>JULIO!V80+AGOSTO!AL80</f>
        <v>0</v>
      </c>
      <c r="W80" s="15">
        <f>JULIO!W80+AGOSTO!AM80</f>
        <v>0</v>
      </c>
      <c r="X80" s="18">
        <f t="shared" si="72"/>
        <v>0</v>
      </c>
      <c r="Y80" s="19">
        <f>JULIO!AA80</f>
        <v>0</v>
      </c>
      <c r="Z80" s="364">
        <v>0</v>
      </c>
      <c r="AA80" s="18">
        <f t="shared" si="73"/>
        <v>0</v>
      </c>
      <c r="AB80" s="19">
        <f>JULIO!AD80</f>
        <v>0</v>
      </c>
      <c r="AC80" s="364">
        <v>0</v>
      </c>
      <c r="AD80" s="18">
        <f t="shared" si="74"/>
        <v>0</v>
      </c>
      <c r="AE80" s="19">
        <f>JULIO!AG80</f>
        <v>0</v>
      </c>
      <c r="AF80" s="364">
        <v>0</v>
      </c>
      <c r="AG80" s="1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+IF(JULIO!A81=0,"",JULIO!A81)</f>
        <v>1130119</v>
      </c>
      <c r="B81" s="632" t="str">
        <f>+IF(JULIO!B81=0,"",JULIO!B81)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688">
        <f>+IF(JULIO!S81=0,"",JULIO!S81)</f>
        <v>1020199</v>
      </c>
      <c r="T81" s="664" t="str">
        <f>+IF(JULIO!T81=0,"",JULIO!T81)</f>
        <v>Vigencias Anteriores</v>
      </c>
      <c r="U81" s="27">
        <f>+ENERO!U81</f>
        <v>0</v>
      </c>
      <c r="V81" s="15">
        <f>JULIO!V81+AGOSTO!AL81</f>
        <v>0</v>
      </c>
      <c r="W81" s="15">
        <f>JULIO!W81+AGOSTO!AM81</f>
        <v>0</v>
      </c>
      <c r="X81" s="18">
        <f t="shared" si="72"/>
        <v>0</v>
      </c>
      <c r="Y81" s="19">
        <f>JULIO!AA81</f>
        <v>0</v>
      </c>
      <c r="Z81" s="364">
        <v>0</v>
      </c>
      <c r="AA81" s="18">
        <f t="shared" si="73"/>
        <v>0</v>
      </c>
      <c r="AB81" s="19">
        <f>JULIO!AD81</f>
        <v>0</v>
      </c>
      <c r="AC81" s="364">
        <v>0</v>
      </c>
      <c r="AD81" s="18">
        <f t="shared" si="74"/>
        <v>0</v>
      </c>
      <c r="AE81" s="19">
        <f>JULIO!AG81</f>
        <v>0</v>
      </c>
      <c r="AF81" s="364">
        <v>0</v>
      </c>
      <c r="AG81" s="1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+IF(JULIO!A82=0,"",JULIO!A82)</f>
        <v>1130119-1</v>
      </c>
      <c r="B82" s="629" t="str">
        <f>+CONCATENATE("Vigencia ",INSTRUCCIONES!$F$3)</f>
        <v>Vigencia 2019</v>
      </c>
      <c r="C82" s="655">
        <f>+ENERO!C82</f>
        <v>0</v>
      </c>
      <c r="D82" s="363">
        <f>JULIO!D82+AGOSTO!P82</f>
        <v>0</v>
      </c>
      <c r="E82" s="363">
        <f>JULIO!E82+AGOSTO!Q82</f>
        <v>0</v>
      </c>
      <c r="F82" s="363">
        <f t="shared" si="81"/>
        <v>0</v>
      </c>
      <c r="G82" s="363">
        <f>JULIO!I82</f>
        <v>0</v>
      </c>
      <c r="H82" s="364">
        <v>0</v>
      </c>
      <c r="I82" s="363">
        <f t="shared" si="82"/>
        <v>0</v>
      </c>
      <c r="J82" s="363">
        <f>JULIO!L82</f>
        <v>0</v>
      </c>
      <c r="K82" s="364">
        <v>0</v>
      </c>
      <c r="L82" s="363">
        <f t="shared" si="83"/>
        <v>0</v>
      </c>
      <c r="M82" s="363">
        <f t="shared" si="84"/>
        <v>0</v>
      </c>
      <c r="N82" s="143">
        <f t="shared" si="85"/>
        <v>0</v>
      </c>
      <c r="P82" s="362">
        <v>0</v>
      </c>
      <c r="Q82" s="365">
        <v>0</v>
      </c>
      <c r="R82" s="9"/>
      <c r="S82" s="356" t="str">
        <f>+IF(JULIO!S82=0,"",JULIO!S82)</f>
        <v/>
      </c>
      <c r="T82" s="678" t="str">
        <f>+IF(JULIO!T82=0,"",JULIO!T82)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+IF(JULIO!A83=0,"",JULIO!A83)</f>
        <v>1130119-2</v>
      </c>
      <c r="B83" s="633" t="str">
        <f>+IF(JULIO!B83=0,"",JULIO!B83)</f>
        <v>Vigencia Anterior</v>
      </c>
      <c r="C83" s="759">
        <f>+ENERO!C83</f>
        <v>0</v>
      </c>
      <c r="D83" s="375">
        <f>JULIO!D83+AGOSTO!P83</f>
        <v>0</v>
      </c>
      <c r="E83" s="375">
        <f>JULIO!E83+AGOSTO!Q83</f>
        <v>0</v>
      </c>
      <c r="F83" s="375">
        <f t="shared" si="81"/>
        <v>0</v>
      </c>
      <c r="G83" s="375">
        <f>JULIO!I83</f>
        <v>0</v>
      </c>
      <c r="H83" s="378">
        <v>0</v>
      </c>
      <c r="I83" s="375">
        <f t="shared" si="82"/>
        <v>0</v>
      </c>
      <c r="J83" s="375">
        <f>JULIO!L83</f>
        <v>0</v>
      </c>
      <c r="K83" s="378">
        <v>0</v>
      </c>
      <c r="L83" s="375">
        <f t="shared" si="83"/>
        <v>0</v>
      </c>
      <c r="M83" s="375">
        <f t="shared" si="84"/>
        <v>0</v>
      </c>
      <c r="N83" s="376">
        <f t="shared" si="85"/>
        <v>0</v>
      </c>
      <c r="P83" s="362">
        <v>0</v>
      </c>
      <c r="Q83" s="365">
        <v>0</v>
      </c>
      <c r="R83" s="9"/>
      <c r="S83" s="687">
        <f>+IF(JULIO!S83=0,"",JULIO!S83)</f>
        <v>1020200</v>
      </c>
      <c r="T83" s="663" t="str">
        <f>+IF(JULIO!T83=0,"",JULIO!T83)</f>
        <v>Servicios Personales Indirectos</v>
      </c>
      <c r="U83" s="132">
        <f t="shared" ref="U83:AJ83" si="87">SUM(U84:U88)</f>
        <v>21292467542</v>
      </c>
      <c r="V83" s="122">
        <f t="shared" si="87"/>
        <v>500000000</v>
      </c>
      <c r="W83" s="122">
        <f t="shared" si="87"/>
        <v>1696603003</v>
      </c>
      <c r="X83" s="129">
        <f t="shared" si="87"/>
        <v>23489070545</v>
      </c>
      <c r="Y83" s="128">
        <f t="shared" si="87"/>
        <v>22622083844</v>
      </c>
      <c r="Z83" s="122">
        <f t="shared" si="87"/>
        <v>528043285</v>
      </c>
      <c r="AA83" s="129">
        <f t="shared" si="87"/>
        <v>23150127129</v>
      </c>
      <c r="AB83" s="128">
        <f t="shared" si="87"/>
        <v>14973015065</v>
      </c>
      <c r="AC83" s="122">
        <f t="shared" si="87"/>
        <v>1961579258</v>
      </c>
      <c r="AD83" s="129">
        <f t="shared" si="87"/>
        <v>16934594323</v>
      </c>
      <c r="AE83" s="128">
        <f t="shared" si="87"/>
        <v>8888879738</v>
      </c>
      <c r="AF83" s="122">
        <f t="shared" si="87"/>
        <v>1392490023</v>
      </c>
      <c r="AG83" s="129">
        <f t="shared" si="87"/>
        <v>10281369761</v>
      </c>
      <c r="AH83" s="128">
        <f t="shared" si="87"/>
        <v>338943416</v>
      </c>
      <c r="AI83" s="122">
        <f t="shared" si="87"/>
        <v>6554476222</v>
      </c>
      <c r="AJ83" s="130">
        <f t="shared" si="87"/>
        <v>13207700784</v>
      </c>
      <c r="AK83" s="9"/>
      <c r="AL83" s="128">
        <f>SUM(AL84:AL88)</f>
        <v>0</v>
      </c>
      <c r="AM83" s="130">
        <f>SUM(AM84:AM88)</f>
        <v>56603003</v>
      </c>
      <c r="AN83" s="9"/>
      <c r="AO83" s="284"/>
      <c r="AP83" s="284"/>
      <c r="AQ83" s="284"/>
      <c r="AR83" s="284"/>
      <c r="AS83" s="284"/>
      <c r="AT83" s="284"/>
      <c r="AU83" s="284"/>
      <c r="AV83" s="284"/>
      <c r="AW83" s="284"/>
      <c r="AX83" s="284"/>
      <c r="AY83" s="284"/>
      <c r="AZ83" s="284"/>
      <c r="BM83" s="9"/>
    </row>
    <row r="84" spans="1:70" s="372" customFormat="1" ht="24.95" customHeight="1" thickBot="1">
      <c r="A84" s="717" t="str">
        <f>+IF(JULIO!A84=0,"",JULIO!A84)</f>
        <v/>
      </c>
      <c r="B84" s="634" t="str">
        <f>+IF(JULIO!B84=0,"",JULIO!B84)</f>
        <v/>
      </c>
      <c r="C84" s="284"/>
      <c r="D84" s="284"/>
      <c r="E84" s="284"/>
      <c r="F84" s="284"/>
      <c r="G84" s="284"/>
      <c r="H84" s="284"/>
      <c r="I84" s="284"/>
      <c r="J84" s="284"/>
      <c r="K84" s="284"/>
      <c r="L84" s="284"/>
      <c r="M84" s="284"/>
      <c r="N84" s="453"/>
      <c r="O84" s="451"/>
      <c r="P84" s="457"/>
      <c r="Q84" s="381"/>
      <c r="R84" s="9"/>
      <c r="S84" s="688" t="str">
        <f>+IF(JULIO!S84=0,"",JULIO!S84)</f>
        <v>1020200-1</v>
      </c>
      <c r="T84" s="664" t="str">
        <f>+IF(JULIO!T84=0,"",JULIO!T84)</f>
        <v>Remuneración y Honorarios por Servicios Técnicos y Profesionales</v>
      </c>
      <c r="U84" s="27">
        <f>+ENERO!U84</f>
        <v>304448100</v>
      </c>
      <c r="V84" s="15">
        <f>JULIO!V84+AGOSTO!AL84</f>
        <v>230000000</v>
      </c>
      <c r="W84" s="15">
        <f>JULIO!W84+AGOSTO!AM84</f>
        <v>146603003</v>
      </c>
      <c r="X84" s="18">
        <f>SUM(U84:W84)</f>
        <v>681051103</v>
      </c>
      <c r="Y84" s="19">
        <f>JULIO!AA84</f>
        <v>524122910</v>
      </c>
      <c r="Z84" s="364">
        <v>76624430</v>
      </c>
      <c r="AA84" s="18">
        <f>SUM(Y84:Z84)</f>
        <v>600747340</v>
      </c>
      <c r="AB84" s="19">
        <f>JULIO!AD84</f>
        <v>217455987</v>
      </c>
      <c r="AC84" s="364">
        <v>61508570</v>
      </c>
      <c r="AD84" s="18">
        <f>SUM(AB84:AC84)</f>
        <v>278964557</v>
      </c>
      <c r="AE84" s="19">
        <f>JULIO!AG84</f>
        <v>162542707</v>
      </c>
      <c r="AF84" s="364">
        <v>19160211</v>
      </c>
      <c r="AG84" s="18">
        <f>SUM(AE84:AF84)</f>
        <v>181702918</v>
      </c>
      <c r="AH84" s="19">
        <f>X84-AA84</f>
        <v>80303763</v>
      </c>
      <c r="AI84" s="15">
        <f>X84-AD84</f>
        <v>402086546</v>
      </c>
      <c r="AJ84" s="16">
        <f>X84-AG84</f>
        <v>499348185</v>
      </c>
      <c r="AK84" s="9"/>
      <c r="AL84" s="362">
        <v>70000000</v>
      </c>
      <c r="AM84" s="365">
        <v>56603003</v>
      </c>
      <c r="AN84" s="9"/>
      <c r="AO84" s="284"/>
      <c r="AP84" s="284"/>
      <c r="AQ84" s="284"/>
      <c r="AR84" s="284"/>
      <c r="AS84" s="284"/>
      <c r="AT84" s="284"/>
      <c r="AU84" s="284"/>
      <c r="AV84" s="284"/>
      <c r="AW84" s="284"/>
      <c r="AX84" s="284"/>
      <c r="AY84" s="284"/>
      <c r="AZ84" s="284"/>
    </row>
    <row r="85" spans="1:70" s="372" customFormat="1" ht="24.95" customHeight="1">
      <c r="A85" s="718">
        <f>+IF(JULIO!A85=0,"",JULIO!A85)</f>
        <v>11302</v>
      </c>
      <c r="B85" s="635" t="str">
        <f>+IF(JULIO!B85=0,"",JULIO!B85)</f>
        <v>Otras Ventas de Servicios de Salud</v>
      </c>
      <c r="C85" s="600">
        <f t="shared" ref="C85:N85" si="88">SUM(C86:C92)</f>
        <v>0</v>
      </c>
      <c r="D85" s="598">
        <f t="shared" si="88"/>
        <v>0</v>
      </c>
      <c r="E85" s="598">
        <f t="shared" si="88"/>
        <v>12200562275</v>
      </c>
      <c r="F85" s="598">
        <f t="shared" si="88"/>
        <v>12200562275</v>
      </c>
      <c r="G85" s="598">
        <f t="shared" si="88"/>
        <v>5136448616</v>
      </c>
      <c r="H85" s="598">
        <f t="shared" si="88"/>
        <v>322427000</v>
      </c>
      <c r="I85" s="598">
        <f t="shared" si="88"/>
        <v>5458875616</v>
      </c>
      <c r="J85" s="598">
        <f t="shared" si="88"/>
        <v>3996679779</v>
      </c>
      <c r="K85" s="598">
        <f t="shared" si="88"/>
        <v>0</v>
      </c>
      <c r="L85" s="598">
        <f t="shared" si="88"/>
        <v>3996679779</v>
      </c>
      <c r="M85" s="598">
        <f t="shared" si="88"/>
        <v>6741686659</v>
      </c>
      <c r="N85" s="599">
        <f t="shared" si="88"/>
        <v>8203882496</v>
      </c>
      <c r="P85" s="43">
        <f>SUM(P86:P92)</f>
        <v>0</v>
      </c>
      <c r="Q85" s="45">
        <f>SUM(Q86:Q92)</f>
        <v>0</v>
      </c>
      <c r="R85" s="9"/>
      <c r="S85" s="688" t="str">
        <f>+IF(JULIO!S85=0,"",JULIO!S85)</f>
        <v>1020200-2</v>
      </c>
      <c r="T85" s="664" t="str">
        <f>+IF(JULIO!T85=0,"",JULIO!T85)</f>
        <v>Personal Supernumerario</v>
      </c>
      <c r="U85" s="27">
        <f>+ENERO!U85</f>
        <v>0</v>
      </c>
      <c r="V85" s="15">
        <f>JULIO!V85+AGOSTO!AL85</f>
        <v>0</v>
      </c>
      <c r="W85" s="15">
        <f>JULIO!W85+AGOSTO!AM85</f>
        <v>0</v>
      </c>
      <c r="X85" s="18">
        <f>SUM(U85:W85)</f>
        <v>0</v>
      </c>
      <c r="Y85" s="19">
        <f>JULIO!AA85</f>
        <v>0</v>
      </c>
      <c r="Z85" s="364">
        <v>0</v>
      </c>
      <c r="AA85" s="18">
        <f>SUM(Y85:Z85)</f>
        <v>0</v>
      </c>
      <c r="AB85" s="19">
        <f>JULIO!AD85</f>
        <v>0</v>
      </c>
      <c r="AC85" s="364">
        <v>0</v>
      </c>
      <c r="AD85" s="18">
        <f>SUM(AB85:AC85)</f>
        <v>0</v>
      </c>
      <c r="AE85" s="19">
        <f>JULIO!AG85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+IF(JULIO!A86=0,"",JULIO!A86)</f>
        <v>1130201</v>
      </c>
      <c r="B86" s="609" t="str">
        <f>+IF(JULIO!B86=0,"",JULIO!B86)</f>
        <v/>
      </c>
      <c r="C86" s="654">
        <f>+ENERO!C86</f>
        <v>0</v>
      </c>
      <c r="D86" s="363">
        <f>JULIO!D86+AGOSTO!P86</f>
        <v>0</v>
      </c>
      <c r="E86" s="363">
        <f>JULIO!E86+AGOSTO!Q86</f>
        <v>0</v>
      </c>
      <c r="F86" s="363">
        <f t="shared" ref="F86:F92" si="89">SUM(C86:E86)</f>
        <v>0</v>
      </c>
      <c r="G86" s="363">
        <f>JULIO!I86</f>
        <v>0</v>
      </c>
      <c r="H86" s="364">
        <v>0</v>
      </c>
      <c r="I86" s="363">
        <f t="shared" ref="I86:I92" si="90">SUM(G86:H86)</f>
        <v>0</v>
      </c>
      <c r="J86" s="363">
        <f>JULIO!L86</f>
        <v>0</v>
      </c>
      <c r="K86" s="364">
        <v>0</v>
      </c>
      <c r="L86" s="363">
        <f t="shared" ref="L86:L92" si="91">SUM(J86:K86)</f>
        <v>0</v>
      </c>
      <c r="M86" s="363">
        <f t="shared" ref="M86:M92" si="92">F86-I86</f>
        <v>0</v>
      </c>
      <c r="N86" s="143">
        <f t="shared" ref="N86:N92" si="93">F86-L86</f>
        <v>0</v>
      </c>
      <c r="O86" s="372"/>
      <c r="P86" s="362">
        <v>0</v>
      </c>
      <c r="Q86" s="365">
        <v>0</v>
      </c>
      <c r="S86" s="688" t="str">
        <f>+IF(JULIO!S86=0,"",JULIO!S86)</f>
        <v>1020200-3</v>
      </c>
      <c r="T86" s="664" t="str">
        <f>+IF(JULIO!T86=0,"",JULIO!T86)</f>
        <v>Otros Honorarios</v>
      </c>
      <c r="U86" s="27">
        <f>+ENERO!U86</f>
        <v>18988019442</v>
      </c>
      <c r="V86" s="15">
        <f>JULIO!V86+AGOSTO!AL86</f>
        <v>-1230000000</v>
      </c>
      <c r="W86" s="15">
        <f>JULIO!W86+AGOSTO!AM86</f>
        <v>50000000</v>
      </c>
      <c r="X86" s="18">
        <f>SUM(U86:W86)</f>
        <v>17808019442</v>
      </c>
      <c r="Y86" s="19">
        <f>JULIO!AA86</f>
        <v>17550719618</v>
      </c>
      <c r="Z86" s="364">
        <v>0</v>
      </c>
      <c r="AA86" s="18">
        <f>SUM(Y86:Z86)</f>
        <v>17550719618</v>
      </c>
      <c r="AB86" s="19">
        <f>JULIO!AD86</f>
        <v>10208317762</v>
      </c>
      <c r="AC86" s="364">
        <v>1448651833</v>
      </c>
      <c r="AD86" s="18">
        <f>SUM(AB86:AC86)</f>
        <v>11656969595</v>
      </c>
      <c r="AE86" s="19">
        <f>JULIO!AG86</f>
        <v>4179095715</v>
      </c>
      <c r="AF86" s="364">
        <v>921910957</v>
      </c>
      <c r="AG86" s="18">
        <f>SUM(AE86:AF86)</f>
        <v>5101006672</v>
      </c>
      <c r="AH86" s="19">
        <f>X86-AA86</f>
        <v>257299824</v>
      </c>
      <c r="AI86" s="15">
        <f>X86-AD86</f>
        <v>6151049847</v>
      </c>
      <c r="AJ86" s="16">
        <f>X86-AG86</f>
        <v>12707012770</v>
      </c>
      <c r="AL86" s="362">
        <v>-70000000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+IF(JULIO!A87=0,"",JULIO!A87)</f>
        <v>1130202</v>
      </c>
      <c r="B87" s="609" t="str">
        <f>+IF(JULIO!B87=0,"",JULIO!B87)</f>
        <v/>
      </c>
      <c r="C87" s="654">
        <f>+ENERO!C87</f>
        <v>0</v>
      </c>
      <c r="D87" s="363">
        <f>JULIO!D87+AGOSTO!P87</f>
        <v>0</v>
      </c>
      <c r="E87" s="363">
        <f>JULIO!E87+AGOSTO!Q87</f>
        <v>0</v>
      </c>
      <c r="F87" s="363">
        <f t="shared" si="89"/>
        <v>0</v>
      </c>
      <c r="G87" s="363">
        <f>JULIO!I87</f>
        <v>0</v>
      </c>
      <c r="H87" s="364">
        <v>0</v>
      </c>
      <c r="I87" s="363">
        <f t="shared" si="90"/>
        <v>0</v>
      </c>
      <c r="J87" s="363">
        <f>JULIO!L87</f>
        <v>0</v>
      </c>
      <c r="K87" s="364">
        <v>0</v>
      </c>
      <c r="L87" s="363">
        <f t="shared" si="91"/>
        <v>0</v>
      </c>
      <c r="M87" s="363">
        <f t="shared" si="92"/>
        <v>0</v>
      </c>
      <c r="N87" s="143">
        <f t="shared" si="93"/>
        <v>0</v>
      </c>
      <c r="P87" s="362">
        <v>0</v>
      </c>
      <c r="Q87" s="365">
        <v>0</v>
      </c>
      <c r="R87" s="9"/>
      <c r="S87" s="688" t="str">
        <f>+IF(JULIO!S87=0,"",JULIO!S87)</f>
        <v>1020200-4</v>
      </c>
      <c r="T87" s="664" t="str">
        <f>+IF(JULIO!T87=0,"",JULIO!T87)</f>
        <v/>
      </c>
      <c r="U87" s="27">
        <f>+ENERO!U87</f>
        <v>0</v>
      </c>
      <c r="V87" s="15">
        <f>JULIO!V87+AGOSTO!AL87</f>
        <v>0</v>
      </c>
      <c r="W87" s="15">
        <f>JULIO!W87+AGOSTO!AM87</f>
        <v>0</v>
      </c>
      <c r="X87" s="18">
        <f>SUM(U87:W87)</f>
        <v>0</v>
      </c>
      <c r="Y87" s="19">
        <f>JULIO!AA87</f>
        <v>0</v>
      </c>
      <c r="Z87" s="364">
        <v>0</v>
      </c>
      <c r="AA87" s="18">
        <f>SUM(Y87:Z87)</f>
        <v>0</v>
      </c>
      <c r="AB87" s="19">
        <f>JULIO!AD87</f>
        <v>0</v>
      </c>
      <c r="AC87" s="364">
        <v>0</v>
      </c>
      <c r="AD87" s="18">
        <f>SUM(AB87:AC87)</f>
        <v>0</v>
      </c>
      <c r="AE87" s="19">
        <f>JULIO!AG87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+IF(JULIO!A88=0,"",JULIO!A88)</f>
        <v>1130203</v>
      </c>
      <c r="B88" s="610" t="str">
        <f>+IF(JULIO!B88=0,"",JULIO!B88)</f>
        <v>CONVENIOS CON LA NACION LIGADOS A LA VENTA DE SERVICIOS</v>
      </c>
      <c r="C88" s="654">
        <f>+ENERO!C88</f>
        <v>0</v>
      </c>
      <c r="D88" s="363">
        <f>JULIO!D88+AGOSTO!P88</f>
        <v>0</v>
      </c>
      <c r="E88" s="363">
        <f>JULIO!E88+AGOSTO!Q88</f>
        <v>222386275</v>
      </c>
      <c r="F88" s="363">
        <f t="shared" si="89"/>
        <v>222386275</v>
      </c>
      <c r="G88" s="363">
        <f>JULIO!I88</f>
        <v>155791839</v>
      </c>
      <c r="H88" s="364">
        <v>0</v>
      </c>
      <c r="I88" s="363">
        <f t="shared" si="90"/>
        <v>155791839</v>
      </c>
      <c r="J88" s="363">
        <f>JULIO!L88</f>
        <v>155791839</v>
      </c>
      <c r="K88" s="364">
        <v>0</v>
      </c>
      <c r="L88" s="363">
        <f t="shared" si="91"/>
        <v>155791839</v>
      </c>
      <c r="M88" s="363">
        <f t="shared" si="92"/>
        <v>66594436</v>
      </c>
      <c r="N88" s="143">
        <f t="shared" si="93"/>
        <v>66594436</v>
      </c>
      <c r="P88" s="362">
        <v>0</v>
      </c>
      <c r="Q88" s="365">
        <v>0</v>
      </c>
      <c r="R88" s="9"/>
      <c r="S88" s="688">
        <f>+IF(JULIO!S88=0,"",JULIO!S88)</f>
        <v>1020299</v>
      </c>
      <c r="T88" s="664" t="str">
        <f>+IF(JULIO!T88=0,"",JULIO!T88)</f>
        <v>Vigencias Anteriores</v>
      </c>
      <c r="U88" s="27">
        <f>+ENERO!U88</f>
        <v>2000000000</v>
      </c>
      <c r="V88" s="15">
        <f>JULIO!V88+AGOSTO!AL88</f>
        <v>1500000000</v>
      </c>
      <c r="W88" s="15">
        <f>JULIO!W88+AGOSTO!AM88</f>
        <v>1500000000</v>
      </c>
      <c r="X88" s="18">
        <f>SUM(U88:W88)</f>
        <v>5000000000</v>
      </c>
      <c r="Y88" s="19">
        <f>JULIO!AA88</f>
        <v>4547241316</v>
      </c>
      <c r="Z88" s="364">
        <v>451418855</v>
      </c>
      <c r="AA88" s="18">
        <f>SUM(Y88:Z88)</f>
        <v>4998660171</v>
      </c>
      <c r="AB88" s="19">
        <f>JULIO!AD88</f>
        <v>4547241316</v>
      </c>
      <c r="AC88" s="364">
        <v>451418855</v>
      </c>
      <c r="AD88" s="18">
        <f>SUM(AB88:AC88)</f>
        <v>4998660171</v>
      </c>
      <c r="AE88" s="19">
        <f>JULIO!AG88</f>
        <v>4547241316</v>
      </c>
      <c r="AF88" s="364">
        <v>451418855</v>
      </c>
      <c r="AG88" s="18">
        <f>SUM(AE88:AF88)</f>
        <v>4998660171</v>
      </c>
      <c r="AH88" s="19">
        <f>X88-AA88</f>
        <v>1339829</v>
      </c>
      <c r="AI88" s="15">
        <f>X88-AD88</f>
        <v>1339829</v>
      </c>
      <c r="AJ88" s="16">
        <f>X88-AG88</f>
        <v>1339829</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+IF(JULIO!A89=0,"",JULIO!A89)</f>
        <v>1130204</v>
      </c>
      <c r="B89" s="610" t="str">
        <f>+IF(JULIO!B89=0,"",JULIO!B89)</f>
        <v>CONVENIOS CON EL DEPARTAMENTO LIGADOS A LA VENTA SERVICIOS</v>
      </c>
      <c r="C89" s="654">
        <f>+ENERO!C89</f>
        <v>0</v>
      </c>
      <c r="D89" s="363">
        <f>JULIO!D89+AGOSTO!P89</f>
        <v>0</v>
      </c>
      <c r="E89" s="363">
        <f>JULIO!E89+AGOSTO!Q89</f>
        <v>0</v>
      </c>
      <c r="F89" s="363">
        <f t="shared" si="89"/>
        <v>0</v>
      </c>
      <c r="G89" s="363">
        <f>JULIO!I89</f>
        <v>0</v>
      </c>
      <c r="H89" s="364">
        <v>0</v>
      </c>
      <c r="I89" s="363">
        <f t="shared" si="90"/>
        <v>0</v>
      </c>
      <c r="J89" s="363">
        <f>JULIO!L89</f>
        <v>0</v>
      </c>
      <c r="K89" s="364">
        <v>0</v>
      </c>
      <c r="L89" s="363">
        <f t="shared" si="91"/>
        <v>0</v>
      </c>
      <c r="M89" s="363">
        <f t="shared" si="92"/>
        <v>0</v>
      </c>
      <c r="N89" s="143">
        <f t="shared" si="93"/>
        <v>0</v>
      </c>
      <c r="P89" s="362">
        <v>0</v>
      </c>
      <c r="Q89" s="365">
        <v>0</v>
      </c>
      <c r="R89" s="9"/>
      <c r="S89" s="356" t="str">
        <f>+IF(JULIO!S89=0,"",JULIO!S89)</f>
        <v/>
      </c>
      <c r="T89" s="678" t="str">
        <f>+IF(JULIO!T89=0,"",JULIO!T89)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+IF(JULIO!A90=0,"",JULIO!A90)</f>
        <v>1130205</v>
      </c>
      <c r="B90" s="610" t="str">
        <f>+IF(JULIO!B90=0,"",JULIO!B90)</f>
        <v>CONVENIOS CON EL MUNICIPIO LIGADOS A LA VENTA DE SERVICIOS</v>
      </c>
      <c r="C90" s="654">
        <f>+ENERO!C90</f>
        <v>0</v>
      </c>
      <c r="D90" s="363">
        <f>JULIO!D90+AGOSTO!P90</f>
        <v>0</v>
      </c>
      <c r="E90" s="363">
        <f>JULIO!E90+AGOSTO!Q90</f>
        <v>0</v>
      </c>
      <c r="F90" s="363">
        <f t="shared" si="89"/>
        <v>0</v>
      </c>
      <c r="G90" s="363">
        <f>JULIO!I90</f>
        <v>0</v>
      </c>
      <c r="H90" s="364">
        <v>0</v>
      </c>
      <c r="I90" s="363">
        <f t="shared" si="90"/>
        <v>0</v>
      </c>
      <c r="J90" s="363">
        <f>JULIO!L90</f>
        <v>0</v>
      </c>
      <c r="K90" s="364">
        <v>0</v>
      </c>
      <c r="L90" s="363">
        <f t="shared" si="91"/>
        <v>0</v>
      </c>
      <c r="M90" s="363">
        <f t="shared" si="92"/>
        <v>0</v>
      </c>
      <c r="N90" s="143">
        <f t="shared" si="93"/>
        <v>0</v>
      </c>
      <c r="O90" s="372"/>
      <c r="P90" s="362">
        <v>0</v>
      </c>
      <c r="Q90" s="365">
        <v>0</v>
      </c>
      <c r="R90" s="30"/>
      <c r="S90" s="687">
        <f>+IF(JULIO!S90=0,"",JULIO!S90)</f>
        <v>1020300</v>
      </c>
      <c r="T90" s="663" t="str">
        <f>+IF(JULIO!T90=0,"",JULIO!T90)</f>
        <v>Contribuciones Inherentes nómina al Sector Privado</v>
      </c>
      <c r="U90" s="132">
        <f t="shared" ref="U90:AJ90" si="94">U91+U96+U102</f>
        <v>2996072011</v>
      </c>
      <c r="V90" s="122">
        <f t="shared" si="94"/>
        <v>-1776337847</v>
      </c>
      <c r="W90" s="122">
        <f t="shared" si="94"/>
        <v>13182074</v>
      </c>
      <c r="X90" s="129">
        <f t="shared" si="94"/>
        <v>1232916238</v>
      </c>
      <c r="Y90" s="128">
        <f t="shared" si="94"/>
        <v>583438697</v>
      </c>
      <c r="Z90" s="122">
        <f t="shared" si="94"/>
        <v>132191872</v>
      </c>
      <c r="AA90" s="129">
        <f t="shared" si="94"/>
        <v>715630569</v>
      </c>
      <c r="AB90" s="128">
        <f t="shared" si="94"/>
        <v>583438697</v>
      </c>
      <c r="AC90" s="122">
        <f t="shared" si="94"/>
        <v>132191872</v>
      </c>
      <c r="AD90" s="129">
        <f t="shared" si="94"/>
        <v>715630569</v>
      </c>
      <c r="AE90" s="128">
        <f t="shared" si="94"/>
        <v>575303257</v>
      </c>
      <c r="AF90" s="122">
        <f t="shared" si="94"/>
        <v>65272033</v>
      </c>
      <c r="AG90" s="129">
        <f t="shared" si="94"/>
        <v>640575290</v>
      </c>
      <c r="AH90" s="128">
        <f t="shared" si="94"/>
        <v>517285669</v>
      </c>
      <c r="AI90" s="122">
        <f t="shared" si="94"/>
        <v>517285669</v>
      </c>
      <c r="AJ90" s="130">
        <f t="shared" si="94"/>
        <v>592340948</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+IF(JULIO!A91=0,"",JULIO!A91)</f>
        <v>1130206</v>
      </c>
      <c r="B91" s="610" t="str">
        <f>+IF(JULIO!B91=0,"",JULIO!B91)</f>
        <v>OTROS CONVENIOS LIGADOS A LA VENTA DE SERVICIOS</v>
      </c>
      <c r="C91" s="654">
        <f>+ENERO!C91</f>
        <v>0</v>
      </c>
      <c r="D91" s="363">
        <f>JULIO!D91+AGOSTO!P91</f>
        <v>0</v>
      </c>
      <c r="E91" s="363">
        <f>JULIO!E91+AGOSTO!Q91</f>
        <v>11978176000</v>
      </c>
      <c r="F91" s="363">
        <f t="shared" si="89"/>
        <v>11978176000</v>
      </c>
      <c r="G91" s="363">
        <f>JULIO!I91</f>
        <v>4980656777</v>
      </c>
      <c r="H91" s="364">
        <v>322427000</v>
      </c>
      <c r="I91" s="363">
        <f t="shared" si="90"/>
        <v>5303083777</v>
      </c>
      <c r="J91" s="363">
        <f>JULIO!L91</f>
        <v>3840887940</v>
      </c>
      <c r="K91" s="364">
        <v>0</v>
      </c>
      <c r="L91" s="363">
        <f t="shared" si="91"/>
        <v>3840887940</v>
      </c>
      <c r="M91" s="363">
        <f t="shared" si="92"/>
        <v>6675092223</v>
      </c>
      <c r="N91" s="143">
        <f t="shared" si="93"/>
        <v>8137288060</v>
      </c>
      <c r="O91" s="372"/>
      <c r="P91" s="362">
        <v>0</v>
      </c>
      <c r="Q91" s="365">
        <v>0</v>
      </c>
      <c r="R91" s="30"/>
      <c r="S91" s="688">
        <f>+IF(JULIO!S91=0,"",JULIO!S91)</f>
        <v>1020301</v>
      </c>
      <c r="T91" s="664" t="str">
        <f>+IF(JULIO!T91=0,"",JULIO!T91)</f>
        <v>Contribuciones - SGP - Aportes Patronales - Cuenta Maestra</v>
      </c>
      <c r="U91" s="27">
        <f t="shared" ref="U91:AJ91" si="95">SUM(U92:U95)</f>
        <v>1100060774</v>
      </c>
      <c r="V91" s="15">
        <f t="shared" si="95"/>
        <v>-396061561</v>
      </c>
      <c r="W91" s="15">
        <f t="shared" si="95"/>
        <v>0</v>
      </c>
      <c r="X91" s="18">
        <f t="shared" si="95"/>
        <v>703999213</v>
      </c>
      <c r="Y91" s="19">
        <f t="shared" si="95"/>
        <v>338100515</v>
      </c>
      <c r="Z91" s="142">
        <f t="shared" si="95"/>
        <v>123251192</v>
      </c>
      <c r="AA91" s="18">
        <f t="shared" si="95"/>
        <v>461351707</v>
      </c>
      <c r="AB91" s="19">
        <f t="shared" si="95"/>
        <v>338100515</v>
      </c>
      <c r="AC91" s="142">
        <f t="shared" si="95"/>
        <v>123251192</v>
      </c>
      <c r="AD91" s="18">
        <f t="shared" si="95"/>
        <v>461351707</v>
      </c>
      <c r="AE91" s="19">
        <f t="shared" si="95"/>
        <v>338100515</v>
      </c>
      <c r="AF91" s="142">
        <f t="shared" si="95"/>
        <v>57136593</v>
      </c>
      <c r="AG91" s="18">
        <f t="shared" si="95"/>
        <v>395237108</v>
      </c>
      <c r="AH91" s="19">
        <f t="shared" si="95"/>
        <v>242647506</v>
      </c>
      <c r="AI91" s="15">
        <f t="shared" si="95"/>
        <v>242647506</v>
      </c>
      <c r="AJ91" s="16">
        <f t="shared" si="95"/>
        <v>308762105</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+IF(JULIO!A92=0,"",JULIO!A92)</f>
        <v>1130207</v>
      </c>
      <c r="B92" s="611" t="str">
        <f>+IF(JULIO!B92=0,"",JULIO!B92)</f>
        <v>Vigencia Anterior</v>
      </c>
      <c r="C92" s="760">
        <f>+ENERO!C92</f>
        <v>0</v>
      </c>
      <c r="D92" s="375">
        <f>JULIO!D92+AGOSTO!P92</f>
        <v>0</v>
      </c>
      <c r="E92" s="375">
        <f>JULIO!E92+AGOSTO!Q92</f>
        <v>0</v>
      </c>
      <c r="F92" s="375">
        <f t="shared" si="89"/>
        <v>0</v>
      </c>
      <c r="G92" s="375">
        <f>JULIO!I92</f>
        <v>0</v>
      </c>
      <c r="H92" s="378">
        <v>0</v>
      </c>
      <c r="I92" s="375">
        <f t="shared" si="90"/>
        <v>0</v>
      </c>
      <c r="J92" s="375">
        <f>JULIO!L92</f>
        <v>0</v>
      </c>
      <c r="K92" s="378">
        <v>0</v>
      </c>
      <c r="L92" s="375">
        <f t="shared" si="91"/>
        <v>0</v>
      </c>
      <c r="M92" s="375">
        <f t="shared" si="92"/>
        <v>0</v>
      </c>
      <c r="N92" s="376">
        <f t="shared" si="93"/>
        <v>0</v>
      </c>
      <c r="O92" s="372"/>
      <c r="P92" s="362">
        <v>0</v>
      </c>
      <c r="Q92" s="365">
        <v>0</v>
      </c>
      <c r="R92" s="30"/>
      <c r="S92" s="689" t="str">
        <f>+IF(JULIO!S92=0,"",JULIO!S92)</f>
        <v>1020301-1</v>
      </c>
      <c r="T92" s="665" t="str">
        <f>+IF(JULIO!T92=0,"",JULIO!T92)</f>
        <v>E.P.S. - Aportes cuenta maestra</v>
      </c>
      <c r="U92" s="27">
        <f>+ENERO!U92</f>
        <v>273298716</v>
      </c>
      <c r="V92" s="15">
        <f>JULIO!V92+AGOSTO!AL92</f>
        <v>0</v>
      </c>
      <c r="W92" s="15">
        <f>JULIO!W92+AGOSTO!AM92</f>
        <v>0</v>
      </c>
      <c r="X92" s="18">
        <f>SUM(U92:W92)</f>
        <v>273298716</v>
      </c>
      <c r="Y92" s="19">
        <f>JULIO!AA92</f>
        <v>143063114</v>
      </c>
      <c r="Z92" s="364">
        <v>54013712</v>
      </c>
      <c r="AA92" s="18">
        <f>SUM(Y92:Z92)</f>
        <v>197076826</v>
      </c>
      <c r="AB92" s="19">
        <f>JULIO!AD92</f>
        <v>143063114</v>
      </c>
      <c r="AC92" s="364">
        <v>54013712</v>
      </c>
      <c r="AD92" s="18">
        <f>SUM(AB92:AC92)</f>
        <v>197076826</v>
      </c>
      <c r="AE92" s="19">
        <f>JULIO!AG92</f>
        <v>143063114</v>
      </c>
      <c r="AF92" s="364">
        <v>24420441</v>
      </c>
      <c r="AG92" s="18">
        <f>SUM(AE92:AF92)</f>
        <v>167483555</v>
      </c>
      <c r="AH92" s="19">
        <f>X92-AA92</f>
        <v>76221890</v>
      </c>
      <c r="AI92" s="15">
        <f>X92-AD92</f>
        <v>76221890</v>
      </c>
      <c r="AJ92" s="16">
        <f>X92-AG92</f>
        <v>105815161</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+IF(JULIO!A93=0,"",JULIO!A93)</f>
        <v/>
      </c>
      <c r="B93" s="634" t="str">
        <f>+IF(JULIO!B93=0,"",JULIO!B93)</f>
        <v/>
      </c>
      <c r="C93" s="284"/>
      <c r="D93" s="284"/>
      <c r="E93" s="284"/>
      <c r="F93" s="284"/>
      <c r="G93" s="284"/>
      <c r="H93" s="284"/>
      <c r="I93" s="284"/>
      <c r="J93" s="284"/>
      <c r="K93" s="284"/>
      <c r="L93" s="284"/>
      <c r="M93" s="284"/>
      <c r="N93" s="453"/>
      <c r="P93" s="457"/>
      <c r="Q93" s="381"/>
      <c r="R93" s="30"/>
      <c r="S93" s="689" t="str">
        <f>+IF(JULIO!S93=0,"",JULIO!S93)</f>
        <v>1020301-2</v>
      </c>
      <c r="T93" s="665" t="str">
        <f>+IF(JULIO!T93=0,"",JULIO!T93)</f>
        <v>Fondos pensionales - Aportes cuenta maestra</v>
      </c>
      <c r="U93" s="27">
        <f>+ENERO!U93</f>
        <v>372680081</v>
      </c>
      <c r="V93" s="15">
        <f>JULIO!V93+AGOSTO!AL93</f>
        <v>0</v>
      </c>
      <c r="W93" s="15">
        <f>JULIO!W93+AGOSTO!AM93</f>
        <v>0</v>
      </c>
      <c r="X93" s="18">
        <f>SUM(U93:W93)</f>
        <v>372680081</v>
      </c>
      <c r="Y93" s="19">
        <f>JULIO!AA93</f>
        <v>173865561</v>
      </c>
      <c r="Z93" s="364">
        <v>64319560</v>
      </c>
      <c r="AA93" s="18">
        <f>SUM(Y93:Z93)</f>
        <v>238185121</v>
      </c>
      <c r="AB93" s="19">
        <f>JULIO!AD93</f>
        <v>173865561</v>
      </c>
      <c r="AC93" s="364">
        <v>64319560</v>
      </c>
      <c r="AD93" s="18">
        <f>SUM(AB93:AC93)</f>
        <v>238185121</v>
      </c>
      <c r="AE93" s="19">
        <f>JULIO!AG93</f>
        <v>173865561</v>
      </c>
      <c r="AF93" s="364">
        <v>29005672</v>
      </c>
      <c r="AG93" s="18">
        <f>SUM(AE93:AF93)</f>
        <v>202871233</v>
      </c>
      <c r="AH93" s="19">
        <f>X93-AA93</f>
        <v>134494960</v>
      </c>
      <c r="AI93" s="15">
        <f>X93-AD93</f>
        <v>134494960</v>
      </c>
      <c r="AJ93" s="16">
        <f>X93-AG93</f>
        <v>169808848</v>
      </c>
      <c r="AK93" s="9"/>
      <c r="AL93" s="362">
        <v>0</v>
      </c>
      <c r="AM93" s="365">
        <v>0</v>
      </c>
      <c r="AN93" s="30"/>
      <c r="AO93" s="450"/>
      <c r="AP93" s="450"/>
      <c r="AQ93" s="450"/>
      <c r="AR93" s="450"/>
      <c r="AS93" s="450"/>
      <c r="AT93" s="450"/>
      <c r="AU93" s="450"/>
      <c r="AV93" s="450"/>
      <c r="AW93" s="450"/>
      <c r="AX93" s="450"/>
      <c r="AY93" s="450"/>
      <c r="AZ93" s="450"/>
      <c r="BL93" s="30"/>
    </row>
    <row r="94" spans="1:70" s="451" customFormat="1" ht="36.75" customHeight="1">
      <c r="A94" s="720">
        <f>+IF(JULIO!A94=0,"",JULIO!A94)</f>
        <v>11303</v>
      </c>
      <c r="B94" s="601" t="str">
        <f>+IF(JULIO!B94=0,"",JULIO!B94)</f>
        <v>Aportes (No ligados a la venta de servicios de salud)</v>
      </c>
      <c r="C94" s="600">
        <f>SUM(C95:C102)</f>
        <v>7982899073</v>
      </c>
      <c r="D94" s="598">
        <f t="shared" ref="D94:N94" si="96">SUM(D95:D102)</f>
        <v>0</v>
      </c>
      <c r="E94" s="598">
        <f t="shared" si="96"/>
        <v>8000000000</v>
      </c>
      <c r="F94" s="598">
        <f t="shared" si="96"/>
        <v>15982899073</v>
      </c>
      <c r="G94" s="598">
        <f t="shared" si="96"/>
        <v>14812488354</v>
      </c>
      <c r="H94" s="598">
        <f t="shared" si="96"/>
        <v>0</v>
      </c>
      <c r="I94" s="598">
        <f t="shared" si="96"/>
        <v>14812488354</v>
      </c>
      <c r="J94" s="598">
        <f t="shared" si="96"/>
        <v>14812488354</v>
      </c>
      <c r="K94" s="598">
        <f t="shared" si="96"/>
        <v>0</v>
      </c>
      <c r="L94" s="598">
        <f t="shared" si="96"/>
        <v>14812488354</v>
      </c>
      <c r="M94" s="598">
        <f t="shared" si="96"/>
        <v>1170410719</v>
      </c>
      <c r="N94" s="599">
        <f t="shared" si="96"/>
        <v>1170410719</v>
      </c>
      <c r="O94" s="372"/>
      <c r="P94" s="43">
        <f>SUM(P95:P102)</f>
        <v>0</v>
      </c>
      <c r="Q94" s="45">
        <f>SUM(Q95:Q102)</f>
        <v>0</v>
      </c>
      <c r="R94" s="30"/>
      <c r="S94" s="689" t="str">
        <f>+IF(JULIO!S94=0,"",JULIO!S94)</f>
        <v>1020301-3</v>
      </c>
      <c r="T94" s="665" t="str">
        <f>+IF(JULIO!T94=0,"",JULIO!T94)</f>
        <v>Fondos de cesantías - Aportes cuenta maestra</v>
      </c>
      <c r="U94" s="27">
        <f>+ENERO!U94</f>
        <v>387061561</v>
      </c>
      <c r="V94" s="15">
        <f>JULIO!V94+AGOSTO!AL94</f>
        <v>-387061561</v>
      </c>
      <c r="W94" s="15">
        <f>JULIO!W94+AGOSTO!AM94</f>
        <v>0</v>
      </c>
      <c r="X94" s="18">
        <f>SUM(U94:W94)</f>
        <v>0</v>
      </c>
      <c r="Y94" s="19">
        <f>JULIO!AA94</f>
        <v>0</v>
      </c>
      <c r="Z94" s="364">
        <v>0</v>
      </c>
      <c r="AA94" s="18">
        <f>SUM(Y94:Z94)</f>
        <v>0</v>
      </c>
      <c r="AB94" s="19">
        <f>JULIO!AD94</f>
        <v>0</v>
      </c>
      <c r="AC94" s="364">
        <v>0</v>
      </c>
      <c r="AD94" s="18">
        <f>SUM(AB94:AC94)</f>
        <v>0</v>
      </c>
      <c r="AE94" s="19">
        <f>JULIO!AG94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+IF(JULIO!A95=0,"",JULIO!A95)</f>
        <v>11303-1</v>
      </c>
      <c r="B95" s="602" t="str">
        <f>+IF(JULIO!B95=0,"",JULIO!B95)</f>
        <v>CONVENIOS CON LA NACION NO LIGADOS A LA VENTA DE SERVICIOS</v>
      </c>
      <c r="C95" s="654">
        <f>+ENERO!C95</f>
        <v>0</v>
      </c>
      <c r="D95" s="363">
        <f>JULIO!D95+AGOSTO!P95</f>
        <v>0</v>
      </c>
      <c r="E95" s="363">
        <f>JULIO!E95+AGOSTO!Q95</f>
        <v>0</v>
      </c>
      <c r="F95" s="363">
        <f t="shared" ref="F95:F102" si="97">SUM(C95:E95)</f>
        <v>0</v>
      </c>
      <c r="G95" s="363">
        <f>JULIO!I95</f>
        <v>0</v>
      </c>
      <c r="H95" s="364">
        <v>0</v>
      </c>
      <c r="I95" s="363">
        <f t="shared" ref="I95:I102" si="98">SUM(G95:H95)</f>
        <v>0</v>
      </c>
      <c r="J95" s="363">
        <f>JULIO!L95</f>
        <v>0</v>
      </c>
      <c r="K95" s="364">
        <v>0</v>
      </c>
      <c r="L95" s="363">
        <f t="shared" ref="L95:L102" si="99">SUM(J95:K95)</f>
        <v>0</v>
      </c>
      <c r="M95" s="363">
        <f t="shared" ref="M95:M102" si="100">F95-I95</f>
        <v>0</v>
      </c>
      <c r="N95" s="143">
        <f t="shared" ref="N95:N102" si="101">F95-L95</f>
        <v>0</v>
      </c>
      <c r="O95" s="372"/>
      <c r="P95" s="362">
        <v>0</v>
      </c>
      <c r="Q95" s="365">
        <v>0</v>
      </c>
      <c r="R95" s="30"/>
      <c r="S95" s="689" t="str">
        <f>+IF(JULIO!S95=0,"",JULIO!S95)</f>
        <v>1020301-4</v>
      </c>
      <c r="T95" s="665" t="str">
        <f>+IF(JULIO!T95=0,"",JULIO!T95)</f>
        <v>Riesgos laborales - Aportes cuenta maestra</v>
      </c>
      <c r="U95" s="27">
        <f>+ENERO!U95</f>
        <v>67020416</v>
      </c>
      <c r="V95" s="15">
        <f>JULIO!V95+AGOSTO!AL95</f>
        <v>-9000000</v>
      </c>
      <c r="W95" s="15">
        <f>JULIO!W95+AGOSTO!AM95</f>
        <v>0</v>
      </c>
      <c r="X95" s="18">
        <f>SUM(U95:W95)</f>
        <v>58020416</v>
      </c>
      <c r="Y95" s="19">
        <f>JULIO!AA95</f>
        <v>21171840</v>
      </c>
      <c r="Z95" s="364">
        <v>4917920</v>
      </c>
      <c r="AA95" s="18">
        <f>SUM(Y95:Z95)</f>
        <v>26089760</v>
      </c>
      <c r="AB95" s="19">
        <f>JULIO!AD95</f>
        <v>21171840</v>
      </c>
      <c r="AC95" s="364">
        <v>4917920</v>
      </c>
      <c r="AD95" s="18">
        <f>SUM(AB95:AC95)</f>
        <v>26089760</v>
      </c>
      <c r="AE95" s="19">
        <f>JULIO!AG95</f>
        <v>21171840</v>
      </c>
      <c r="AF95" s="364">
        <v>3710480</v>
      </c>
      <c r="AG95" s="18">
        <f>SUM(AE95:AF95)</f>
        <v>24882320</v>
      </c>
      <c r="AH95" s="19">
        <f>X95-AA95</f>
        <v>31930656</v>
      </c>
      <c r="AI95" s="15">
        <f>X95-AD95</f>
        <v>31930656</v>
      </c>
      <c r="AJ95" s="16">
        <f>X95-AG95</f>
        <v>33138096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+IF(JULIO!A96=0,"",JULIO!A96)</f>
        <v>11303-2</v>
      </c>
      <c r="B96" s="602" t="str">
        <f>+IF(JULIO!B96=0,"",JULIO!B96)</f>
        <v>CONVENIOS CON EL DEPARTAMENTO NO LIGADOS A LA VENTA SERVICIOS</v>
      </c>
      <c r="C96" s="654">
        <f>+ENERO!C96</f>
        <v>7982899073</v>
      </c>
      <c r="D96" s="363">
        <f>JULIO!D96+AGOSTO!P96</f>
        <v>0</v>
      </c>
      <c r="E96" s="363">
        <f>JULIO!E96+AGOSTO!Q96</f>
        <v>8000000000</v>
      </c>
      <c r="F96" s="363">
        <f t="shared" si="97"/>
        <v>15982899073</v>
      </c>
      <c r="G96" s="363">
        <f>JULIO!I96</f>
        <v>14812488354</v>
      </c>
      <c r="H96" s="364">
        <v>0</v>
      </c>
      <c r="I96" s="363">
        <f t="shared" si="98"/>
        <v>14812488354</v>
      </c>
      <c r="J96" s="363">
        <f>JULIO!L96</f>
        <v>14812488354</v>
      </c>
      <c r="K96" s="364">
        <v>0</v>
      </c>
      <c r="L96" s="363">
        <f t="shared" si="99"/>
        <v>14812488354</v>
      </c>
      <c r="M96" s="363">
        <f t="shared" si="100"/>
        <v>1170410719</v>
      </c>
      <c r="N96" s="143">
        <f t="shared" si="101"/>
        <v>1170410719</v>
      </c>
      <c r="O96" s="372"/>
      <c r="P96" s="362">
        <v>0</v>
      </c>
      <c r="Q96" s="365">
        <v>0</v>
      </c>
      <c r="S96" s="688">
        <f>+IF(JULIO!S96=0,"",JULIO!S96)</f>
        <v>1020302</v>
      </c>
      <c r="T96" s="664" t="str">
        <f>+IF(JULIO!T96=0,"",JULIO!T96)</f>
        <v>Contribuciones - Otros</v>
      </c>
      <c r="U96" s="27">
        <f t="shared" ref="U96:AJ96" si="102">SUM(U97:U101)</f>
        <v>1724011237</v>
      </c>
      <c r="V96" s="15">
        <f t="shared" si="102"/>
        <v>-1386777354</v>
      </c>
      <c r="W96" s="15">
        <f t="shared" si="102"/>
        <v>0</v>
      </c>
      <c r="X96" s="18">
        <f t="shared" si="102"/>
        <v>337233883</v>
      </c>
      <c r="Y96" s="19">
        <f t="shared" si="102"/>
        <v>53655040</v>
      </c>
      <c r="Z96" s="142">
        <f t="shared" si="102"/>
        <v>8940680</v>
      </c>
      <c r="AA96" s="18">
        <f t="shared" si="102"/>
        <v>62595720</v>
      </c>
      <c r="AB96" s="19">
        <f t="shared" si="102"/>
        <v>53655040</v>
      </c>
      <c r="AC96" s="142">
        <f t="shared" si="102"/>
        <v>8940680</v>
      </c>
      <c r="AD96" s="18">
        <f t="shared" si="102"/>
        <v>62595720</v>
      </c>
      <c r="AE96" s="19">
        <f t="shared" si="102"/>
        <v>45519600</v>
      </c>
      <c r="AF96" s="142">
        <f t="shared" si="102"/>
        <v>8135440</v>
      </c>
      <c r="AG96" s="18">
        <f t="shared" si="102"/>
        <v>53655040</v>
      </c>
      <c r="AH96" s="19">
        <f t="shared" si="102"/>
        <v>274638163</v>
      </c>
      <c r="AI96" s="15">
        <f t="shared" si="102"/>
        <v>274638163</v>
      </c>
      <c r="AJ96" s="16">
        <f t="shared" si="102"/>
        <v>283578843</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+IF(JULIO!A97=0,"",JULIO!A97)</f>
        <v>11303-3</v>
      </c>
      <c r="B97" s="602" t="str">
        <f>+IF(JULIO!B97=0,"",JULIO!B97)</f>
        <v>CONVENIOS CON EL MUNICIPIO NO LIGADOS A LA VENTA DE SERVICIOS</v>
      </c>
      <c r="C97" s="654">
        <f>+ENERO!C97</f>
        <v>0</v>
      </c>
      <c r="D97" s="363">
        <f>JULIO!D97+AGOSTO!P97</f>
        <v>0</v>
      </c>
      <c r="E97" s="363">
        <f>JULIO!E97+AGOSTO!Q97</f>
        <v>0</v>
      </c>
      <c r="F97" s="363">
        <f t="shared" si="97"/>
        <v>0</v>
      </c>
      <c r="G97" s="363">
        <f>JULIO!I97</f>
        <v>0</v>
      </c>
      <c r="H97" s="364">
        <v>0</v>
      </c>
      <c r="I97" s="363">
        <f t="shared" si="98"/>
        <v>0</v>
      </c>
      <c r="J97" s="363">
        <f>JULIO!L97</f>
        <v>0</v>
      </c>
      <c r="K97" s="364">
        <v>0</v>
      </c>
      <c r="L97" s="363">
        <f t="shared" si="99"/>
        <v>0</v>
      </c>
      <c r="M97" s="363">
        <f t="shared" si="100"/>
        <v>0</v>
      </c>
      <c r="N97" s="143">
        <f t="shared" si="101"/>
        <v>0</v>
      </c>
      <c r="O97" s="372"/>
      <c r="P97" s="362">
        <v>0</v>
      </c>
      <c r="Q97" s="365">
        <v>0</v>
      </c>
      <c r="R97" s="30"/>
      <c r="S97" s="689" t="str">
        <f>+IF(JULIO!S97=0,"",JULIO!S97)</f>
        <v>1020302-1</v>
      </c>
      <c r="T97" s="665" t="str">
        <f>+IF(JULIO!T97=0,"",JULIO!T97)</f>
        <v>Aportes a E.P.S. - recursos propios</v>
      </c>
      <c r="U97" s="27">
        <f>+ENERO!U97</f>
        <v>383898492</v>
      </c>
      <c r="V97" s="15">
        <f>JULIO!V97+AGOSTO!AL97</f>
        <v>-383898492</v>
      </c>
      <c r="W97" s="15">
        <f>JULIO!W97+AGOSTO!AM97</f>
        <v>0</v>
      </c>
      <c r="X97" s="18">
        <f t="shared" ref="X97:X102" si="103">SUM(U97:W97)</f>
        <v>0</v>
      </c>
      <c r="Y97" s="19">
        <f>JULIO!AA97</f>
        <v>0</v>
      </c>
      <c r="Z97" s="364">
        <v>0</v>
      </c>
      <c r="AA97" s="18">
        <f t="shared" ref="AA97:AA102" si="104">SUM(Y97:Z97)</f>
        <v>0</v>
      </c>
      <c r="AB97" s="19">
        <f>JULIO!AD97</f>
        <v>0</v>
      </c>
      <c r="AC97" s="364">
        <v>0</v>
      </c>
      <c r="AD97" s="18">
        <f t="shared" ref="AD97:AD102" si="105">SUM(AB97:AC97)</f>
        <v>0</v>
      </c>
      <c r="AE97" s="19">
        <f>JULIO!AG97</f>
        <v>0</v>
      </c>
      <c r="AF97" s="364">
        <v>0</v>
      </c>
      <c r="AG97" s="18">
        <f t="shared" ref="AG97:AG102" si="106">SUM(AE97:AF97)</f>
        <v>0</v>
      </c>
      <c r="AH97" s="19">
        <f t="shared" ref="AH97:AH102" si="107">X97-AA97</f>
        <v>0</v>
      </c>
      <c r="AI97" s="15">
        <f t="shared" ref="AI97:AI102" si="108">X97-AD97</f>
        <v>0</v>
      </c>
      <c r="AJ97" s="16">
        <f t="shared" ref="AJ97:AJ102" si="109">X97-AG97</f>
        <v>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+IF(JULIO!A98=0,"",JULIO!A98)</f>
        <v>11303-4</v>
      </c>
      <c r="B98" s="602" t="str">
        <f>+IF(JULIO!B98=0,"",JULIO!B98)</f>
        <v>OTROS CONVENIOS NO LIGADOS A LA VENTA DE SERVICIOS</v>
      </c>
      <c r="C98" s="654">
        <f>+ENERO!C98</f>
        <v>0</v>
      </c>
      <c r="D98" s="363">
        <f>JULIO!D98+AGOSTO!P98</f>
        <v>0</v>
      </c>
      <c r="E98" s="363">
        <f>JULIO!E98+AGOSTO!Q98</f>
        <v>0</v>
      </c>
      <c r="F98" s="363">
        <f t="shared" si="97"/>
        <v>0</v>
      </c>
      <c r="G98" s="363">
        <f>JULIO!I98</f>
        <v>0</v>
      </c>
      <c r="H98" s="364">
        <v>0</v>
      </c>
      <c r="I98" s="363">
        <f t="shared" si="98"/>
        <v>0</v>
      </c>
      <c r="J98" s="363">
        <f>JULIO!L98</f>
        <v>0</v>
      </c>
      <c r="K98" s="364">
        <v>0</v>
      </c>
      <c r="L98" s="363">
        <f t="shared" si="99"/>
        <v>0</v>
      </c>
      <c r="M98" s="363">
        <f t="shared" si="100"/>
        <v>0</v>
      </c>
      <c r="N98" s="143">
        <f t="shared" si="101"/>
        <v>0</v>
      </c>
      <c r="O98" s="372"/>
      <c r="P98" s="362">
        <v>0</v>
      </c>
      <c r="Q98" s="365">
        <v>0</v>
      </c>
      <c r="R98" s="30"/>
      <c r="S98" s="689" t="str">
        <f>+IF(JULIO!S98=0,"",JULIO!S98)</f>
        <v>1020302-2</v>
      </c>
      <c r="T98" s="665" t="str">
        <f>+IF(JULIO!T98=0,"",JULIO!T98)</f>
        <v>Aportes Fondos Pensionales - recursos propios</v>
      </c>
      <c r="U98" s="27">
        <f>+ENERO!U98</f>
        <v>555127711</v>
      </c>
      <c r="V98" s="15">
        <f>JULIO!V98+AGOSTO!AL98</f>
        <v>-555127711</v>
      </c>
      <c r="W98" s="15">
        <f>JULIO!W98+AGOSTO!AM98</f>
        <v>0</v>
      </c>
      <c r="X98" s="18">
        <f t="shared" si="103"/>
        <v>0</v>
      </c>
      <c r="Y98" s="19">
        <f>JULIO!AA98</f>
        <v>0</v>
      </c>
      <c r="Z98" s="364">
        <v>0</v>
      </c>
      <c r="AA98" s="18">
        <f t="shared" si="104"/>
        <v>0</v>
      </c>
      <c r="AB98" s="19">
        <f>JULIO!AD98</f>
        <v>0</v>
      </c>
      <c r="AC98" s="364">
        <v>0</v>
      </c>
      <c r="AD98" s="18">
        <f t="shared" si="105"/>
        <v>0</v>
      </c>
      <c r="AE98" s="19">
        <f>JULIO!AG98</f>
        <v>0</v>
      </c>
      <c r="AF98" s="364">
        <v>0</v>
      </c>
      <c r="AG98" s="18">
        <f t="shared" si="106"/>
        <v>0</v>
      </c>
      <c r="AH98" s="19">
        <f t="shared" si="107"/>
        <v>0</v>
      </c>
      <c r="AI98" s="15">
        <f t="shared" si="108"/>
        <v>0</v>
      </c>
      <c r="AJ98" s="16">
        <f t="shared" si="109"/>
        <v>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+IF(JULIO!A99=0,"",JULIO!A99)</f>
        <v>11303-5</v>
      </c>
      <c r="B99" s="602" t="str">
        <f>+IF(JULIO!B99=0,"",JULIO!B99)</f>
        <v>RECURSOS PARA PROGRAMA DE SANEAMIENTO FINANCIERO</v>
      </c>
      <c r="C99" s="654">
        <f>+ENERO!C99</f>
        <v>0</v>
      </c>
      <c r="D99" s="363">
        <f>JULIO!D99+AGOSTO!P99</f>
        <v>0</v>
      </c>
      <c r="E99" s="363">
        <f>JULIO!E99+AGOSTO!Q99</f>
        <v>0</v>
      </c>
      <c r="F99" s="363">
        <f t="shared" si="97"/>
        <v>0</v>
      </c>
      <c r="G99" s="363">
        <f>JULIO!I99</f>
        <v>0</v>
      </c>
      <c r="H99" s="364">
        <v>0</v>
      </c>
      <c r="I99" s="363">
        <f t="shared" si="98"/>
        <v>0</v>
      </c>
      <c r="J99" s="363">
        <f>JULIO!L99</f>
        <v>0</v>
      </c>
      <c r="K99" s="364">
        <v>0</v>
      </c>
      <c r="L99" s="363">
        <f t="shared" si="99"/>
        <v>0</v>
      </c>
      <c r="M99" s="363">
        <f t="shared" si="100"/>
        <v>0</v>
      </c>
      <c r="N99" s="143">
        <f t="shared" si="101"/>
        <v>0</v>
      </c>
      <c r="O99" s="372"/>
      <c r="P99" s="362">
        <v>0</v>
      </c>
      <c r="Q99" s="365">
        <v>0</v>
      </c>
      <c r="R99" s="30"/>
      <c r="S99" s="689" t="str">
        <f>+IF(JULIO!S99=0,"",JULIO!S99)</f>
        <v>1020302-3</v>
      </c>
      <c r="T99" s="665" t="str">
        <f>+IF(JULIO!T99=0,"",JULIO!T99)</f>
        <v>Aportes a Fondos de Cesantia - recursos propios</v>
      </c>
      <c r="U99" s="27">
        <f>+ENERO!U99</f>
        <v>326426572</v>
      </c>
      <c r="V99" s="15">
        <f>JULIO!V99+AGOSTO!AL99</f>
        <v>-326426572</v>
      </c>
      <c r="W99" s="15">
        <f>JULIO!W99+AGOSTO!AM99</f>
        <v>0</v>
      </c>
      <c r="X99" s="18">
        <f t="shared" si="103"/>
        <v>0</v>
      </c>
      <c r="Y99" s="19">
        <f>JULIO!AA99</f>
        <v>0</v>
      </c>
      <c r="Z99" s="364">
        <v>0</v>
      </c>
      <c r="AA99" s="18">
        <f t="shared" si="104"/>
        <v>0</v>
      </c>
      <c r="AB99" s="19">
        <f>JULIO!AD99</f>
        <v>0</v>
      </c>
      <c r="AC99" s="364">
        <v>0</v>
      </c>
      <c r="AD99" s="18">
        <f t="shared" si="105"/>
        <v>0</v>
      </c>
      <c r="AE99" s="19">
        <f>JULIO!AG99</f>
        <v>0</v>
      </c>
      <c r="AF99" s="364">
        <v>0</v>
      </c>
      <c r="AG99" s="18">
        <f t="shared" si="106"/>
        <v>0</v>
      </c>
      <c r="AH99" s="19">
        <f t="shared" si="107"/>
        <v>0</v>
      </c>
      <c r="AI99" s="15">
        <f t="shared" si="108"/>
        <v>0</v>
      </c>
      <c r="AJ99" s="16">
        <f t="shared" si="109"/>
        <v>0</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+IF(JULIO!A100=0,"",JULIO!A100)</f>
        <v>11303-6</v>
      </c>
      <c r="B100" s="602" t="str">
        <f>+IF(JULIO!B100=0,"",JULIO!B100)</f>
        <v/>
      </c>
      <c r="C100" s="654">
        <f>+ENERO!C100</f>
        <v>0</v>
      </c>
      <c r="D100" s="363">
        <f>JULIO!D100+AGOSTO!P100</f>
        <v>0</v>
      </c>
      <c r="E100" s="363">
        <f>JULIO!E100+AGOSTO!Q100</f>
        <v>0</v>
      </c>
      <c r="F100" s="363">
        <f t="shared" si="97"/>
        <v>0</v>
      </c>
      <c r="G100" s="363">
        <f>JULIO!I100</f>
        <v>0</v>
      </c>
      <c r="H100" s="364">
        <v>0</v>
      </c>
      <c r="I100" s="363">
        <f t="shared" si="98"/>
        <v>0</v>
      </c>
      <c r="J100" s="363">
        <f>JULIO!L100</f>
        <v>0</v>
      </c>
      <c r="K100" s="364">
        <v>0</v>
      </c>
      <c r="L100" s="363">
        <f t="shared" si="99"/>
        <v>0</v>
      </c>
      <c r="M100" s="363">
        <f t="shared" si="100"/>
        <v>0</v>
      </c>
      <c r="N100" s="143">
        <f t="shared" si="101"/>
        <v>0</v>
      </c>
      <c r="P100" s="362">
        <v>0</v>
      </c>
      <c r="Q100" s="365">
        <v>0</v>
      </c>
      <c r="R100" s="9"/>
      <c r="S100" s="689" t="str">
        <f>+IF(JULIO!S100=0,"",JULIO!S100)</f>
        <v>1020302-4</v>
      </c>
      <c r="T100" s="665" t="str">
        <f>+IF(JULIO!T100=0,"",JULIO!T100)</f>
        <v>Aporte a ARL. - recursos propios</v>
      </c>
      <c r="U100" s="27">
        <f>+ENERO!U100</f>
        <v>121324579</v>
      </c>
      <c r="V100" s="15">
        <f>JULIO!V100+AGOSTO!AL100</f>
        <v>-121324579</v>
      </c>
      <c r="W100" s="15">
        <f>JULIO!W100+AGOSTO!AM100</f>
        <v>0</v>
      </c>
      <c r="X100" s="18">
        <f t="shared" si="103"/>
        <v>0</v>
      </c>
      <c r="Y100" s="19">
        <f>JULIO!AA100</f>
        <v>0</v>
      </c>
      <c r="Z100" s="364">
        <v>0</v>
      </c>
      <c r="AA100" s="18">
        <f t="shared" si="104"/>
        <v>0</v>
      </c>
      <c r="AB100" s="19">
        <f>JULIO!AD100</f>
        <v>0</v>
      </c>
      <c r="AC100" s="364">
        <v>0</v>
      </c>
      <c r="AD100" s="18">
        <f t="shared" si="105"/>
        <v>0</v>
      </c>
      <c r="AE100" s="19">
        <f>JULIO!AG100</f>
        <v>0</v>
      </c>
      <c r="AF100" s="364">
        <v>0</v>
      </c>
      <c r="AG100" s="18">
        <f t="shared" si="106"/>
        <v>0</v>
      </c>
      <c r="AH100" s="19">
        <f t="shared" si="107"/>
        <v>0</v>
      </c>
      <c r="AI100" s="15">
        <f t="shared" si="108"/>
        <v>0</v>
      </c>
      <c r="AJ100" s="16">
        <f t="shared" si="109"/>
        <v>0</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+IF(JULIO!A101=0,"",JULIO!A101)</f>
        <v>11303-7</v>
      </c>
      <c r="B101" s="602" t="str">
        <f>+IF(JULIO!B101=0,"",JULIO!B101)</f>
        <v/>
      </c>
      <c r="C101" s="654">
        <f>+ENERO!C101</f>
        <v>0</v>
      </c>
      <c r="D101" s="363">
        <f>JULIO!D101+AGOSTO!P101</f>
        <v>0</v>
      </c>
      <c r="E101" s="363">
        <f>JULIO!E101+AGOSTO!Q101</f>
        <v>0</v>
      </c>
      <c r="F101" s="363">
        <f t="shared" si="97"/>
        <v>0</v>
      </c>
      <c r="G101" s="363">
        <f>JULIO!I101</f>
        <v>0</v>
      </c>
      <c r="H101" s="364">
        <v>0</v>
      </c>
      <c r="I101" s="363">
        <f t="shared" si="98"/>
        <v>0</v>
      </c>
      <c r="J101" s="363">
        <f>JULIO!L101</f>
        <v>0</v>
      </c>
      <c r="K101" s="364">
        <v>0</v>
      </c>
      <c r="L101" s="363">
        <f t="shared" si="99"/>
        <v>0</v>
      </c>
      <c r="M101" s="363">
        <f t="shared" si="100"/>
        <v>0</v>
      </c>
      <c r="N101" s="143">
        <f t="shared" si="101"/>
        <v>0</v>
      </c>
      <c r="P101" s="362">
        <v>0</v>
      </c>
      <c r="Q101" s="365">
        <v>0</v>
      </c>
      <c r="R101" s="9"/>
      <c r="S101" s="689" t="str">
        <f>+IF(JULIO!S101=0,"",JULIO!S101)</f>
        <v>1020302-5</v>
      </c>
      <c r="T101" s="665" t="str">
        <f>+IF(JULIO!T101=0,"",JULIO!T101)</f>
        <v>Aporte a Caja Compensación Familiar</v>
      </c>
      <c r="U101" s="27">
        <f>+ENERO!U101</f>
        <v>337233883</v>
      </c>
      <c r="V101" s="15">
        <f>JULIO!V101+AGOSTO!AL101</f>
        <v>0</v>
      </c>
      <c r="W101" s="15">
        <f>JULIO!W101+AGOSTO!AM101</f>
        <v>0</v>
      </c>
      <c r="X101" s="18">
        <f t="shared" si="103"/>
        <v>337233883</v>
      </c>
      <c r="Y101" s="19">
        <f>JULIO!AA101</f>
        <v>53655040</v>
      </c>
      <c r="Z101" s="364">
        <v>8940680</v>
      </c>
      <c r="AA101" s="18">
        <f t="shared" si="104"/>
        <v>62595720</v>
      </c>
      <c r="AB101" s="19">
        <f>JULIO!AD101</f>
        <v>53655040</v>
      </c>
      <c r="AC101" s="364">
        <v>8940680</v>
      </c>
      <c r="AD101" s="18">
        <f t="shared" si="105"/>
        <v>62595720</v>
      </c>
      <c r="AE101" s="19">
        <f>JULIO!AG101</f>
        <v>45519600</v>
      </c>
      <c r="AF101" s="364">
        <v>8135440</v>
      </c>
      <c r="AG101" s="18">
        <f t="shared" si="106"/>
        <v>53655040</v>
      </c>
      <c r="AH101" s="19">
        <f t="shared" si="107"/>
        <v>274638163</v>
      </c>
      <c r="AI101" s="15">
        <f t="shared" si="108"/>
        <v>274638163</v>
      </c>
      <c r="AJ101" s="16">
        <f t="shared" si="109"/>
        <v>283578843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+IF(JULIO!A102=0,"",JULIO!A102)</f>
        <v>11303-8</v>
      </c>
      <c r="B102" s="611" t="str">
        <f>+IF(JULIO!B102=0,"",JULIO!B102)</f>
        <v>Vigencia Anterior</v>
      </c>
      <c r="C102" s="760">
        <f>+ENERO!C102</f>
        <v>0</v>
      </c>
      <c r="D102" s="375">
        <f>JULIO!D102+AGOSTO!P102</f>
        <v>0</v>
      </c>
      <c r="E102" s="375">
        <f>JULIO!E102+AGOSTO!Q102</f>
        <v>0</v>
      </c>
      <c r="F102" s="375">
        <f t="shared" si="97"/>
        <v>0</v>
      </c>
      <c r="G102" s="375">
        <f>JULIO!I102</f>
        <v>0</v>
      </c>
      <c r="H102" s="378">
        <v>0</v>
      </c>
      <c r="I102" s="375">
        <f t="shared" si="98"/>
        <v>0</v>
      </c>
      <c r="J102" s="375">
        <f>JULIO!L102</f>
        <v>0</v>
      </c>
      <c r="K102" s="378">
        <v>0</v>
      </c>
      <c r="L102" s="375">
        <f t="shared" si="99"/>
        <v>0</v>
      </c>
      <c r="M102" s="375">
        <f t="shared" si="100"/>
        <v>0</v>
      </c>
      <c r="N102" s="376">
        <f t="shared" si="101"/>
        <v>0</v>
      </c>
      <c r="P102" s="362">
        <v>0</v>
      </c>
      <c r="Q102" s="365">
        <v>0</v>
      </c>
      <c r="R102" s="9"/>
      <c r="S102" s="688">
        <f>+IF(JULIO!S102=0,"",JULIO!S102)</f>
        <v>1020399</v>
      </c>
      <c r="T102" s="664" t="str">
        <f>+IF(JULIO!T102=0,"",JULIO!T102)</f>
        <v>Vigencias Anteriores</v>
      </c>
      <c r="U102" s="27">
        <f>+ENERO!U102</f>
        <v>172000000</v>
      </c>
      <c r="V102" s="15">
        <f>JULIO!V102+AGOSTO!AL102</f>
        <v>6501068</v>
      </c>
      <c r="W102" s="15">
        <f>JULIO!W102+AGOSTO!AM102</f>
        <v>13182074</v>
      </c>
      <c r="X102" s="18">
        <f t="shared" si="103"/>
        <v>191683142</v>
      </c>
      <c r="Y102" s="19">
        <f>JULIO!AA102</f>
        <v>191683142</v>
      </c>
      <c r="Z102" s="364">
        <v>0</v>
      </c>
      <c r="AA102" s="18">
        <f t="shared" si="104"/>
        <v>191683142</v>
      </c>
      <c r="AB102" s="19">
        <f>JULIO!AD102</f>
        <v>191683142</v>
      </c>
      <c r="AC102" s="364">
        <v>0</v>
      </c>
      <c r="AD102" s="18">
        <f t="shared" si="105"/>
        <v>191683142</v>
      </c>
      <c r="AE102" s="19">
        <f>JULIO!AG102</f>
        <v>191683142</v>
      </c>
      <c r="AF102" s="364">
        <v>0</v>
      </c>
      <c r="AG102" s="1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+IF(JULIO!A103=0,"",JULIO!A103)</f>
        <v/>
      </c>
      <c r="B103" s="636" t="str">
        <f>+IF(JULIO!B103=0,"",JULIO!B103)</f>
        <v/>
      </c>
      <c r="C103" s="470"/>
      <c r="D103" s="470"/>
      <c r="E103" s="470"/>
      <c r="F103" s="470"/>
      <c r="G103" s="470"/>
      <c r="H103" s="470"/>
      <c r="I103" s="470"/>
      <c r="J103" s="470"/>
      <c r="K103" s="470"/>
      <c r="L103" s="470"/>
      <c r="M103" s="470"/>
      <c r="N103" s="471"/>
      <c r="P103" s="472"/>
      <c r="Q103" s="471"/>
      <c r="R103" s="9"/>
      <c r="S103" s="356" t="str">
        <f>+IF(JULIO!S103=0,"",JULIO!S103)</f>
        <v/>
      </c>
      <c r="T103" s="678" t="str">
        <f>+IF(JULIO!T103=0,"",JULIO!T103)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+IF(JULIO!A104=0,"",JULIO!A104)</f>
        <v>11304</v>
      </c>
      <c r="B104" s="601" t="str">
        <f>+IF(JULIO!B104=0,"",JULIO!B104)</f>
        <v>Otros ingresos corrientes</v>
      </c>
      <c r="C104" s="600">
        <f>SUM(C105:C111)</f>
        <v>98172123</v>
      </c>
      <c r="D104" s="598">
        <f t="shared" ref="D104:N104" si="110">SUM(D105:D111)</f>
        <v>0</v>
      </c>
      <c r="E104" s="598">
        <f t="shared" si="110"/>
        <v>2205940</v>
      </c>
      <c r="F104" s="598">
        <f t="shared" si="110"/>
        <v>100378063</v>
      </c>
      <c r="G104" s="598">
        <f t="shared" si="110"/>
        <v>101249055</v>
      </c>
      <c r="H104" s="598">
        <f t="shared" si="110"/>
        <v>5645228</v>
      </c>
      <c r="I104" s="598">
        <f t="shared" si="110"/>
        <v>106894283</v>
      </c>
      <c r="J104" s="598">
        <f t="shared" si="110"/>
        <v>49060509</v>
      </c>
      <c r="K104" s="598">
        <f t="shared" si="110"/>
        <v>1868492</v>
      </c>
      <c r="L104" s="598">
        <f t="shared" si="110"/>
        <v>50929001</v>
      </c>
      <c r="M104" s="598">
        <f t="shared" si="110"/>
        <v>-6516220</v>
      </c>
      <c r="N104" s="599">
        <f t="shared" si="110"/>
        <v>49449062</v>
      </c>
      <c r="P104" s="43">
        <f>SUM(P105:P111)</f>
        <v>0</v>
      </c>
      <c r="Q104" s="45">
        <f>SUM(Q105:Q111)</f>
        <v>0</v>
      </c>
      <c r="R104" s="9"/>
      <c r="S104" s="687">
        <f>+IF(JULIO!S104=0,"",JULIO!S104)</f>
        <v>1020400</v>
      </c>
      <c r="T104" s="663" t="str">
        <f>+IF(JULIO!T104=0,"",JULIO!T104)</f>
        <v>Contribuciones Inherentes nómina del Sector Publico</v>
      </c>
      <c r="U104" s="132">
        <f t="shared" ref="U104:AJ104" si="111">U105+U108</f>
        <v>421542354</v>
      </c>
      <c r="V104" s="122">
        <f t="shared" si="111"/>
        <v>-130000000</v>
      </c>
      <c r="W104" s="122">
        <f t="shared" si="111"/>
        <v>0</v>
      </c>
      <c r="X104" s="129">
        <f t="shared" si="111"/>
        <v>291542354</v>
      </c>
      <c r="Y104" s="128">
        <f t="shared" si="111"/>
        <v>67068800</v>
      </c>
      <c r="Z104" s="122">
        <f t="shared" si="111"/>
        <v>11175850</v>
      </c>
      <c r="AA104" s="129">
        <f t="shared" si="111"/>
        <v>78244650</v>
      </c>
      <c r="AB104" s="128">
        <f t="shared" si="111"/>
        <v>67068800</v>
      </c>
      <c r="AC104" s="122">
        <f t="shared" si="111"/>
        <v>11175850</v>
      </c>
      <c r="AD104" s="129">
        <f t="shared" si="111"/>
        <v>78244650</v>
      </c>
      <c r="AE104" s="128">
        <f t="shared" si="111"/>
        <v>56899500</v>
      </c>
      <c r="AF104" s="122">
        <f t="shared" si="111"/>
        <v>10169300</v>
      </c>
      <c r="AG104" s="129">
        <f t="shared" si="111"/>
        <v>67068800</v>
      </c>
      <c r="AH104" s="128">
        <f t="shared" si="111"/>
        <v>213297704</v>
      </c>
      <c r="AI104" s="122">
        <f t="shared" si="111"/>
        <v>213297704</v>
      </c>
      <c r="AJ104" s="130">
        <f t="shared" si="111"/>
        <v>224473554</v>
      </c>
      <c r="AK104" s="9"/>
      <c r="AL104" s="128">
        <f>AL105+AL108</f>
        <v>-130000000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+IF(JULIO!A105=0,"",JULIO!A105)</f>
        <v>11304-1</v>
      </c>
      <c r="B105" s="602" t="str">
        <f>+IF(JULIO!B105=0,"",JULIO!B105)</f>
        <v>ARRENDAMIENTO Y ALQUILER DE BIENES MUEBLES E INMUEBLES</v>
      </c>
      <c r="C105" s="654">
        <f>+ENERO!C105</f>
        <v>35952047</v>
      </c>
      <c r="D105" s="363">
        <f>JULIO!D105+AGOSTO!P105</f>
        <v>0</v>
      </c>
      <c r="E105" s="363">
        <f>JULIO!E105+AGOSTO!Q105</f>
        <v>0</v>
      </c>
      <c r="F105" s="363">
        <f t="shared" ref="F105:F111" si="112">SUM(C105:E105)</f>
        <v>35952047</v>
      </c>
      <c r="G105" s="363">
        <f>JULIO!I105</f>
        <v>62756940</v>
      </c>
      <c r="H105" s="364">
        <v>5461728</v>
      </c>
      <c r="I105" s="363">
        <f t="shared" ref="I105:I111" si="113">SUM(G105:H105)</f>
        <v>68218668</v>
      </c>
      <c r="J105" s="363">
        <f>JULIO!L105</f>
        <v>10568394</v>
      </c>
      <c r="K105" s="364">
        <v>1684992</v>
      </c>
      <c r="L105" s="363">
        <f t="shared" ref="L105:L111" si="114">SUM(J105:K105)</f>
        <v>12253386</v>
      </c>
      <c r="M105" s="363">
        <f t="shared" ref="M105:M111" si="115">F105-I105</f>
        <v>-32266621</v>
      </c>
      <c r="N105" s="143">
        <f t="shared" ref="N105:N111" si="116">F105-L105</f>
        <v>23698661</v>
      </c>
      <c r="P105" s="362">
        <v>0</v>
      </c>
      <c r="Q105" s="365">
        <v>0</v>
      </c>
      <c r="R105" s="9"/>
      <c r="S105" s="688">
        <f>+IF(JULIO!S105=0,"",JULIO!S105)</f>
        <v>1020402</v>
      </c>
      <c r="T105" s="664" t="str">
        <f>+IF(JULIO!T105=0,"",JULIO!T105)</f>
        <v>Contribuciones - Otros</v>
      </c>
      <c r="U105" s="27">
        <f t="shared" ref="U105:AJ105" si="117">SUM(U106:U107)</f>
        <v>421542354</v>
      </c>
      <c r="V105" s="15">
        <f t="shared" si="117"/>
        <v>-130000000</v>
      </c>
      <c r="W105" s="15">
        <f t="shared" si="117"/>
        <v>0</v>
      </c>
      <c r="X105" s="18">
        <f t="shared" si="117"/>
        <v>291542354</v>
      </c>
      <c r="Y105" s="19">
        <f t="shared" si="117"/>
        <v>67068800</v>
      </c>
      <c r="Z105" s="142">
        <f t="shared" si="117"/>
        <v>11175850</v>
      </c>
      <c r="AA105" s="18">
        <f t="shared" si="117"/>
        <v>78244650</v>
      </c>
      <c r="AB105" s="19">
        <f t="shared" si="117"/>
        <v>67068800</v>
      </c>
      <c r="AC105" s="142">
        <f t="shared" si="117"/>
        <v>11175850</v>
      </c>
      <c r="AD105" s="18">
        <f t="shared" si="117"/>
        <v>78244650</v>
      </c>
      <c r="AE105" s="19">
        <f t="shared" si="117"/>
        <v>56899500</v>
      </c>
      <c r="AF105" s="142">
        <f t="shared" si="117"/>
        <v>10169300</v>
      </c>
      <c r="AG105" s="18">
        <f t="shared" si="117"/>
        <v>67068800</v>
      </c>
      <c r="AH105" s="19">
        <f t="shared" si="117"/>
        <v>213297704</v>
      </c>
      <c r="AI105" s="15">
        <f t="shared" si="117"/>
        <v>213297704</v>
      </c>
      <c r="AJ105" s="16">
        <f t="shared" si="117"/>
        <v>224473554</v>
      </c>
      <c r="AK105" s="10"/>
      <c r="AL105" s="29">
        <f>SUM(AL106:AL107)</f>
        <v>-130000000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+IF(JULIO!A106=0,"",JULIO!A106)</f>
        <v>11304-2</v>
      </c>
      <c r="B106" s="603" t="str">
        <f>+IF(JULIO!B106=0,"",JULIO!B106)</f>
        <v>COMERCIALIZACIÓN DE MERCANCÍAS</v>
      </c>
      <c r="C106" s="654">
        <f>+ENERO!C106</f>
        <v>0</v>
      </c>
      <c r="D106" s="363">
        <f>JULIO!D106+AGOSTO!P106</f>
        <v>0</v>
      </c>
      <c r="E106" s="363">
        <f>JULIO!E106+AGOSTO!Q106</f>
        <v>0</v>
      </c>
      <c r="F106" s="363">
        <f t="shared" si="112"/>
        <v>0</v>
      </c>
      <c r="G106" s="363">
        <f>JULIO!I106</f>
        <v>0</v>
      </c>
      <c r="H106" s="364">
        <v>0</v>
      </c>
      <c r="I106" s="363">
        <f t="shared" si="113"/>
        <v>0</v>
      </c>
      <c r="J106" s="363">
        <f>JULIO!L106</f>
        <v>0</v>
      </c>
      <c r="K106" s="364">
        <v>0</v>
      </c>
      <c r="L106" s="363">
        <f t="shared" si="114"/>
        <v>0</v>
      </c>
      <c r="M106" s="363">
        <f t="shared" si="115"/>
        <v>0</v>
      </c>
      <c r="N106" s="143">
        <f t="shared" si="116"/>
        <v>0</v>
      </c>
      <c r="P106" s="362">
        <v>0</v>
      </c>
      <c r="Q106" s="365">
        <v>0</v>
      </c>
      <c r="R106" s="9"/>
      <c r="S106" s="689" t="str">
        <f>+IF(JULIO!S106=0,"",JULIO!S106)</f>
        <v>1020402-1</v>
      </c>
      <c r="T106" s="664" t="str">
        <f>+IF(JULIO!T106=0,"",JULIO!T106)</f>
        <v>S.E.N.A.</v>
      </c>
      <c r="U106" s="27">
        <f>+ENERO!U106</f>
        <v>168616942</v>
      </c>
      <c r="V106" s="15">
        <f>JULIO!V106+AGOSTO!AL106</f>
        <v>-60000000</v>
      </c>
      <c r="W106" s="15">
        <f>JULIO!W106+AGOSTO!AM106</f>
        <v>0</v>
      </c>
      <c r="X106" s="18">
        <f>SUM(U106:W106)</f>
        <v>108616942</v>
      </c>
      <c r="Y106" s="19">
        <f>JULIO!AA106</f>
        <v>26827520</v>
      </c>
      <c r="Z106" s="364">
        <v>4470340</v>
      </c>
      <c r="AA106" s="18">
        <f>SUM(Y106:Z106)</f>
        <v>31297860</v>
      </c>
      <c r="AB106" s="19">
        <f>JULIO!AD106</f>
        <v>26827520</v>
      </c>
      <c r="AC106" s="364">
        <v>4470340</v>
      </c>
      <c r="AD106" s="18">
        <f>SUM(AB106:AC106)</f>
        <v>31297860</v>
      </c>
      <c r="AE106" s="19">
        <f>JULIO!AG106</f>
        <v>22759800</v>
      </c>
      <c r="AF106" s="364">
        <v>4067720</v>
      </c>
      <c r="AG106" s="18">
        <f>SUM(AE106:AF106)</f>
        <v>26827520</v>
      </c>
      <c r="AH106" s="19">
        <f>X106-AA106</f>
        <v>77319082</v>
      </c>
      <c r="AI106" s="15">
        <f>X106-AD106</f>
        <v>77319082</v>
      </c>
      <c r="AJ106" s="16">
        <f>X106-AG106</f>
        <v>81789422</v>
      </c>
      <c r="AK106" s="9"/>
      <c r="AL106" s="362">
        <v>-60000000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+IF(JULIO!A107=0,"",JULIO!A107)</f>
        <v>11304-3</v>
      </c>
      <c r="B107" s="602" t="str">
        <f>+IF(JULIO!B107=0,"",JULIO!B107)</f>
        <v>Bienestar Social</v>
      </c>
      <c r="C107" s="654">
        <f>+ENERO!C107</f>
        <v>0</v>
      </c>
      <c r="D107" s="363">
        <f>JULIO!D107+AGOSTO!P107</f>
        <v>0</v>
      </c>
      <c r="E107" s="363">
        <f>JULIO!E107+AGOSTO!Q107</f>
        <v>0</v>
      </c>
      <c r="F107" s="363">
        <f t="shared" si="112"/>
        <v>0</v>
      </c>
      <c r="G107" s="363">
        <f>JULIO!I107</f>
        <v>0</v>
      </c>
      <c r="H107" s="364">
        <v>0</v>
      </c>
      <c r="I107" s="363">
        <f t="shared" si="113"/>
        <v>0</v>
      </c>
      <c r="J107" s="363">
        <f>JULIO!L107</f>
        <v>0</v>
      </c>
      <c r="K107" s="364">
        <v>0</v>
      </c>
      <c r="L107" s="363">
        <f t="shared" si="114"/>
        <v>0</v>
      </c>
      <c r="M107" s="363">
        <f t="shared" si="115"/>
        <v>0</v>
      </c>
      <c r="N107" s="143">
        <f t="shared" si="116"/>
        <v>0</v>
      </c>
      <c r="P107" s="362">
        <v>0</v>
      </c>
      <c r="Q107" s="365">
        <v>0</v>
      </c>
      <c r="R107" s="9"/>
      <c r="S107" s="689" t="str">
        <f>+IF(JULIO!S107=0,"",JULIO!S107)</f>
        <v>1020402-2</v>
      </c>
      <c r="T107" s="664" t="str">
        <f>+IF(JULIO!T107=0,"",JULIO!T107)</f>
        <v>I.C.B.F.</v>
      </c>
      <c r="U107" s="27">
        <f>+ENERO!U107</f>
        <v>252925412</v>
      </c>
      <c r="V107" s="15">
        <f>JULIO!V107+AGOSTO!AL107</f>
        <v>-70000000</v>
      </c>
      <c r="W107" s="15">
        <f>JULIO!W107+AGOSTO!AM107</f>
        <v>0</v>
      </c>
      <c r="X107" s="18">
        <f>SUM(U107:W107)</f>
        <v>182925412</v>
      </c>
      <c r="Y107" s="19">
        <f>JULIO!AA107</f>
        <v>40241280</v>
      </c>
      <c r="Z107" s="364">
        <v>6705510</v>
      </c>
      <c r="AA107" s="18">
        <f>SUM(Y107:Z107)</f>
        <v>46946790</v>
      </c>
      <c r="AB107" s="19">
        <f>JULIO!AD107</f>
        <v>40241280</v>
      </c>
      <c r="AC107" s="364">
        <v>6705510</v>
      </c>
      <c r="AD107" s="18">
        <f>SUM(AB107:AC107)</f>
        <v>46946790</v>
      </c>
      <c r="AE107" s="19">
        <f>JULIO!AG107</f>
        <v>34139700</v>
      </c>
      <c r="AF107" s="364">
        <v>6101580</v>
      </c>
      <c r="AG107" s="18">
        <f>SUM(AE107:AF107)</f>
        <v>40241280</v>
      </c>
      <c r="AH107" s="19">
        <f>X107-AA107</f>
        <v>135978622</v>
      </c>
      <c r="AI107" s="15">
        <f>X107-AD107</f>
        <v>135978622</v>
      </c>
      <c r="AJ107" s="16">
        <f>X107-AG107</f>
        <v>142684132</v>
      </c>
      <c r="AK107" s="9"/>
      <c r="AL107" s="362">
        <v>-70000000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+IF(JULIO!A108=0,"",JULIO!A108)</f>
        <v>11304-4</v>
      </c>
      <c r="B108" s="602" t="str">
        <f>+IF(JULIO!B108=0,"",JULIO!B108)</f>
        <v>Fondo de la Vivienda</v>
      </c>
      <c r="C108" s="654">
        <f>+ENERO!C108</f>
        <v>0</v>
      </c>
      <c r="D108" s="363">
        <f>JULIO!D108+AGOSTO!P108</f>
        <v>0</v>
      </c>
      <c r="E108" s="363">
        <f>JULIO!E108+AGOSTO!Q108</f>
        <v>0</v>
      </c>
      <c r="F108" s="363">
        <f t="shared" si="112"/>
        <v>0</v>
      </c>
      <c r="G108" s="363">
        <f>JULIO!I108</f>
        <v>0</v>
      </c>
      <c r="H108" s="364">
        <v>0</v>
      </c>
      <c r="I108" s="363">
        <f t="shared" si="113"/>
        <v>0</v>
      </c>
      <c r="J108" s="363">
        <f>JULIO!L108</f>
        <v>0</v>
      </c>
      <c r="K108" s="364">
        <v>0</v>
      </c>
      <c r="L108" s="363">
        <f t="shared" si="114"/>
        <v>0</v>
      </c>
      <c r="M108" s="363">
        <f t="shared" si="115"/>
        <v>0</v>
      </c>
      <c r="N108" s="143">
        <f t="shared" si="116"/>
        <v>0</v>
      </c>
      <c r="P108" s="362">
        <v>0</v>
      </c>
      <c r="Q108" s="365">
        <v>0</v>
      </c>
      <c r="R108" s="9"/>
      <c r="S108" s="688">
        <f>+IF(JULIO!S108=0,"",JULIO!S108)</f>
        <v>1020499</v>
      </c>
      <c r="T108" s="664" t="str">
        <f>+IF(JULIO!T108=0,"",JULIO!T108)</f>
        <v>Vigencias Anteriores</v>
      </c>
      <c r="U108" s="27">
        <f>+ENERO!U108</f>
        <v>0</v>
      </c>
      <c r="V108" s="15">
        <f>JULIO!V108+AGOSTO!AL108</f>
        <v>0</v>
      </c>
      <c r="W108" s="15">
        <f>JULIO!W108+AGOSTO!AM108</f>
        <v>0</v>
      </c>
      <c r="X108" s="18">
        <f>SUM(U108:W108)</f>
        <v>0</v>
      </c>
      <c r="Y108" s="19">
        <f>JULIO!AA108</f>
        <v>0</v>
      </c>
      <c r="Z108" s="364">
        <v>0</v>
      </c>
      <c r="AA108" s="18">
        <f>SUM(Y108:Z108)</f>
        <v>0</v>
      </c>
      <c r="AB108" s="19">
        <f>JULIO!AD108</f>
        <v>0</v>
      </c>
      <c r="AC108" s="364">
        <v>0</v>
      </c>
      <c r="AD108" s="18">
        <f>SUM(AB108:AC108)</f>
        <v>0</v>
      </c>
      <c r="AE108" s="19">
        <f>JULIO!AG108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+IF(JULIO!A109=0,"",JULIO!A109)</f>
        <v>11304-5</v>
      </c>
      <c r="B109" s="602" t="str">
        <f>+IF(JULIO!B109=0,"",JULIO!B109)</f>
        <v xml:space="preserve">Aprovechamientos </v>
      </c>
      <c r="C109" s="654">
        <f>+ENERO!C109</f>
        <v>62220076</v>
      </c>
      <c r="D109" s="363">
        <f>JULIO!D109+AGOSTO!P109</f>
        <v>0</v>
      </c>
      <c r="E109" s="363">
        <f>JULIO!E109+AGOSTO!Q109</f>
        <v>0</v>
      </c>
      <c r="F109" s="363">
        <f t="shared" si="112"/>
        <v>62220076</v>
      </c>
      <c r="G109" s="363">
        <f>JULIO!I109</f>
        <v>36286175</v>
      </c>
      <c r="H109" s="364">
        <v>183500</v>
      </c>
      <c r="I109" s="363">
        <f t="shared" si="113"/>
        <v>36469675</v>
      </c>
      <c r="J109" s="363">
        <f>JULIO!L109</f>
        <v>36286175</v>
      </c>
      <c r="K109" s="364">
        <v>183500</v>
      </c>
      <c r="L109" s="363">
        <f t="shared" si="114"/>
        <v>36469675</v>
      </c>
      <c r="M109" s="363">
        <f t="shared" si="115"/>
        <v>25750401</v>
      </c>
      <c r="N109" s="143">
        <f t="shared" si="116"/>
        <v>25750401</v>
      </c>
      <c r="P109" s="362">
        <v>0</v>
      </c>
      <c r="Q109" s="365">
        <v>0</v>
      </c>
      <c r="R109" s="9"/>
      <c r="S109" s="356" t="str">
        <f>+IF(JULIO!S109=0,"",JULIO!S109)</f>
        <v/>
      </c>
      <c r="T109" s="678" t="str">
        <f>+IF(JULIO!T109=0,"",JULIO!T109)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+IF(JULIO!A110=0,"",JULIO!A110)</f>
        <v>11304-6</v>
      </c>
      <c r="B110" s="602" t="str">
        <f>+IF(JULIO!B110=0,"",JULIO!B110)</f>
        <v>Otros</v>
      </c>
      <c r="C110" s="654">
        <f>+ENERO!C110</f>
        <v>0</v>
      </c>
      <c r="D110" s="363">
        <f>JULIO!D110+AGOSTO!P110</f>
        <v>0</v>
      </c>
      <c r="E110" s="363">
        <f>JULIO!E110+AGOSTO!Q110</f>
        <v>2205940</v>
      </c>
      <c r="F110" s="363">
        <f t="shared" si="112"/>
        <v>2205940</v>
      </c>
      <c r="G110" s="363">
        <f>JULIO!I110</f>
        <v>2205940</v>
      </c>
      <c r="H110" s="364">
        <v>0</v>
      </c>
      <c r="I110" s="363">
        <f t="shared" si="113"/>
        <v>2205940</v>
      </c>
      <c r="J110" s="363">
        <f>JULIO!L110</f>
        <v>2205940</v>
      </c>
      <c r="K110" s="364">
        <v>0</v>
      </c>
      <c r="L110" s="363">
        <f t="shared" si="114"/>
        <v>2205940</v>
      </c>
      <c r="M110" s="363">
        <f t="shared" si="115"/>
        <v>0</v>
      </c>
      <c r="N110" s="143">
        <f t="shared" si="116"/>
        <v>0</v>
      </c>
      <c r="P110" s="362">
        <v>0</v>
      </c>
      <c r="Q110" s="365">
        <v>0</v>
      </c>
      <c r="R110" s="9"/>
      <c r="S110" s="686">
        <f>+IF(JULIO!S110=0,"",JULIO!S110)</f>
        <v>2000000</v>
      </c>
      <c r="T110" s="668" t="str">
        <f>+IF(JULIO!T110=0,"",JULIO!T110)</f>
        <v>GASTOS GENERALES</v>
      </c>
      <c r="U110" s="460">
        <f t="shared" ref="U110:AJ110" si="118">U112+U145</f>
        <v>11975719527</v>
      </c>
      <c r="V110" s="461">
        <f t="shared" si="118"/>
        <v>-1143000000</v>
      </c>
      <c r="W110" s="461">
        <f t="shared" si="118"/>
        <v>2404314729</v>
      </c>
      <c r="X110" s="462">
        <f t="shared" si="118"/>
        <v>13237034256</v>
      </c>
      <c r="Y110" s="369">
        <f t="shared" si="118"/>
        <v>10069220741</v>
      </c>
      <c r="Z110" s="461">
        <f t="shared" si="118"/>
        <v>849447098</v>
      </c>
      <c r="AA110" s="462">
        <f t="shared" si="118"/>
        <v>10918667839</v>
      </c>
      <c r="AB110" s="369">
        <f t="shared" si="118"/>
        <v>7722393340</v>
      </c>
      <c r="AC110" s="461">
        <f t="shared" si="118"/>
        <v>998392564</v>
      </c>
      <c r="AD110" s="462">
        <f t="shared" si="118"/>
        <v>8720785904</v>
      </c>
      <c r="AE110" s="369">
        <f t="shared" si="118"/>
        <v>6365318979</v>
      </c>
      <c r="AF110" s="461">
        <f t="shared" si="118"/>
        <v>719603828</v>
      </c>
      <c r="AG110" s="462">
        <f t="shared" si="118"/>
        <v>7084922807</v>
      </c>
      <c r="AH110" s="369">
        <f t="shared" si="118"/>
        <v>2318366417</v>
      </c>
      <c r="AI110" s="461">
        <f t="shared" si="118"/>
        <v>4516248352</v>
      </c>
      <c r="AJ110" s="370">
        <f t="shared" si="118"/>
        <v>6152111449</v>
      </c>
      <c r="AK110" s="10"/>
      <c r="AL110" s="128">
        <f>AL112+AL145</f>
        <v>120000000</v>
      </c>
      <c r="AM110" s="130">
        <f>AM112+AM145</f>
        <v>360000000</v>
      </c>
      <c r="AN110" s="9"/>
      <c r="AO110" s="284"/>
      <c r="AP110" s="284"/>
      <c r="AQ110" s="284"/>
      <c r="AR110" s="284"/>
      <c r="AS110" s="284"/>
      <c r="AT110" s="284"/>
      <c r="AU110" s="284"/>
      <c r="AV110" s="284"/>
      <c r="AW110" s="284"/>
      <c r="AX110" s="284"/>
      <c r="AY110" s="284"/>
      <c r="AZ110" s="284"/>
    </row>
    <row r="111" spans="1:70" s="372" customFormat="1" ht="24.95" customHeight="1" thickBot="1">
      <c r="A111" s="721" t="str">
        <f>+IF(JULIO!A111=0,"",JULIO!A111)</f>
        <v>11304-7</v>
      </c>
      <c r="B111" s="637" t="str">
        <f>+IF(JULIO!B111=0,"",JULIO!B111)</f>
        <v>Vigencia Anterior</v>
      </c>
      <c r="C111" s="760">
        <f>+ENERO!C111</f>
        <v>0</v>
      </c>
      <c r="D111" s="375">
        <f>JULIO!D111+AGOSTO!P111</f>
        <v>0</v>
      </c>
      <c r="E111" s="375">
        <f>JULIO!E111+AGOSTO!Q111</f>
        <v>0</v>
      </c>
      <c r="F111" s="375">
        <f t="shared" si="112"/>
        <v>0</v>
      </c>
      <c r="G111" s="375">
        <f>JULIO!I111</f>
        <v>0</v>
      </c>
      <c r="H111" s="378">
        <v>0</v>
      </c>
      <c r="I111" s="375">
        <f t="shared" si="113"/>
        <v>0</v>
      </c>
      <c r="J111" s="375">
        <f>JULIO!L111</f>
        <v>0</v>
      </c>
      <c r="K111" s="378">
        <v>0</v>
      </c>
      <c r="L111" s="375">
        <f t="shared" si="114"/>
        <v>0</v>
      </c>
      <c r="M111" s="375">
        <f t="shared" si="115"/>
        <v>0</v>
      </c>
      <c r="N111" s="376">
        <f t="shared" si="116"/>
        <v>0</v>
      </c>
      <c r="P111" s="362">
        <v>0</v>
      </c>
      <c r="Q111" s="365">
        <v>0</v>
      </c>
      <c r="R111" s="9"/>
      <c r="S111" s="356" t="str">
        <f>+IF(JULIO!S111=0,"",JULIO!S111)</f>
        <v/>
      </c>
      <c r="T111" s="678" t="str">
        <f>+IF(JULIO!T111=0,"",JULIO!T111)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+IF(JULIO!A112=0,"",JULIO!A112)</f>
        <v/>
      </c>
      <c r="B112" s="636" t="str">
        <f>+IF(JULIO!B112=0,"",JULIO!B112)</f>
        <v/>
      </c>
      <c r="C112" s="470"/>
      <c r="D112" s="470"/>
      <c r="E112" s="470"/>
      <c r="F112" s="470"/>
      <c r="G112" s="470"/>
      <c r="H112" s="470"/>
      <c r="I112" s="470"/>
      <c r="J112" s="470"/>
      <c r="K112" s="470"/>
      <c r="L112" s="470"/>
      <c r="M112" s="470"/>
      <c r="N112" s="471"/>
      <c r="P112" s="472"/>
      <c r="Q112" s="471"/>
      <c r="R112" s="9"/>
      <c r="S112" s="686">
        <f>+IF(JULIO!S112=0,"",JULIO!S112)</f>
        <v>2010000</v>
      </c>
      <c r="T112" s="662" t="str">
        <f>+IF(JULIO!T112=0,"",JULIO!T112)</f>
        <v>Gastos de Administración</v>
      </c>
      <c r="U112" s="132">
        <f t="shared" ref="U112:AJ112" si="119">U114+U123+U141</f>
        <v>6052082264</v>
      </c>
      <c r="V112" s="122">
        <f t="shared" si="119"/>
        <v>-1505000000</v>
      </c>
      <c r="W112" s="122">
        <f t="shared" si="119"/>
        <v>1024314729</v>
      </c>
      <c r="X112" s="129">
        <f t="shared" si="119"/>
        <v>5571396993</v>
      </c>
      <c r="Y112" s="128">
        <f t="shared" si="119"/>
        <v>3827712332</v>
      </c>
      <c r="Z112" s="122">
        <f t="shared" si="119"/>
        <v>394875149</v>
      </c>
      <c r="AA112" s="129">
        <f t="shared" si="119"/>
        <v>4222587481</v>
      </c>
      <c r="AB112" s="128">
        <f t="shared" si="119"/>
        <v>3147888768</v>
      </c>
      <c r="AC112" s="122">
        <f t="shared" si="119"/>
        <v>333956871</v>
      </c>
      <c r="AD112" s="129">
        <f t="shared" si="119"/>
        <v>3481845639</v>
      </c>
      <c r="AE112" s="128">
        <f t="shared" si="119"/>
        <v>2879359763</v>
      </c>
      <c r="AF112" s="122">
        <f t="shared" si="119"/>
        <v>133671601</v>
      </c>
      <c r="AG112" s="129">
        <f t="shared" si="119"/>
        <v>3013031364</v>
      </c>
      <c r="AH112" s="128">
        <f t="shared" si="119"/>
        <v>1348809512</v>
      </c>
      <c r="AI112" s="122">
        <f t="shared" si="119"/>
        <v>2089551354</v>
      </c>
      <c r="AJ112" s="130">
        <f t="shared" si="119"/>
        <v>2558365629</v>
      </c>
      <c r="AK112" s="9"/>
      <c r="AL112" s="128">
        <f>AL114+AL123+AL141</f>
        <v>50000000</v>
      </c>
      <c r="AM112" s="130">
        <f>AM114+AM123+AM141</f>
        <v>280000000</v>
      </c>
      <c r="AN112" s="9"/>
      <c r="AO112" s="284"/>
      <c r="AP112" s="284"/>
      <c r="AQ112" s="284"/>
      <c r="AR112" s="284"/>
      <c r="AS112" s="284"/>
      <c r="AT112" s="284"/>
      <c r="AU112" s="284"/>
      <c r="AV112" s="284"/>
      <c r="AW112" s="284"/>
      <c r="AX112" s="284"/>
      <c r="AY112" s="284"/>
      <c r="AZ112" s="284"/>
    </row>
    <row r="113" spans="1:52" s="372" customFormat="1" ht="24.95" customHeight="1" thickBot="1">
      <c r="A113" s="711">
        <f>+IF(JULIO!A113=0,"",JULIO!A113)</f>
        <v>2000</v>
      </c>
      <c r="B113" s="623" t="str">
        <f>+IF(JULIO!B113=0,"",JULIO!B113)</f>
        <v>INGRESOS DE CAPITAL</v>
      </c>
      <c r="C113" s="606">
        <f>SUM(C115:C124)</f>
        <v>200295319</v>
      </c>
      <c r="D113" s="607">
        <f>SUM(D115:D124)</f>
        <v>0</v>
      </c>
      <c r="E113" s="607">
        <f t="shared" ref="E113:N113" si="120">SUM(E115:E124)</f>
        <v>585768784</v>
      </c>
      <c r="F113" s="607">
        <f t="shared" si="120"/>
        <v>786064103</v>
      </c>
      <c r="G113" s="607">
        <f t="shared" si="120"/>
        <v>585776060</v>
      </c>
      <c r="H113" s="607">
        <f t="shared" si="120"/>
        <v>8468613</v>
      </c>
      <c r="I113" s="607">
        <f t="shared" si="120"/>
        <v>594244673</v>
      </c>
      <c r="J113" s="607">
        <f t="shared" si="120"/>
        <v>585776060</v>
      </c>
      <c r="K113" s="607">
        <f t="shared" si="120"/>
        <v>8468613</v>
      </c>
      <c r="L113" s="607">
        <f t="shared" si="120"/>
        <v>594244673</v>
      </c>
      <c r="M113" s="607">
        <f t="shared" si="120"/>
        <v>191819430</v>
      </c>
      <c r="N113" s="608">
        <f t="shared" si="120"/>
        <v>191819430</v>
      </c>
      <c r="O113" s="451"/>
      <c r="P113" s="174">
        <f>SUM(P115:P124)</f>
        <v>0</v>
      </c>
      <c r="Q113" s="175">
        <f>SUM(Q115:Q124)</f>
        <v>458562699</v>
      </c>
      <c r="R113" s="9"/>
      <c r="S113" s="356" t="str">
        <f>+IF(JULIO!S113=0,"",JULIO!S113)</f>
        <v/>
      </c>
      <c r="T113" s="678" t="str">
        <f>+IF(JULIO!T113=0,"",JULIO!T113)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+IF(JULIO!A114=0,"",JULIO!A114)</f>
        <v/>
      </c>
      <c r="B114" s="636" t="str">
        <f>+IF(JULIO!B114=0,"",JULIO!B114)</f>
        <v/>
      </c>
      <c r="C114" s="470"/>
      <c r="D114" s="470"/>
      <c r="E114" s="470"/>
      <c r="F114" s="470"/>
      <c r="G114" s="470"/>
      <c r="H114" s="470"/>
      <c r="I114" s="470"/>
      <c r="J114" s="470"/>
      <c r="K114" s="470"/>
      <c r="L114" s="470"/>
      <c r="M114" s="470"/>
      <c r="N114" s="471"/>
      <c r="P114" s="472"/>
      <c r="Q114" s="471"/>
      <c r="R114" s="9"/>
      <c r="S114" s="687">
        <f>+IF(JULIO!S114=0,"",JULIO!S114)</f>
        <v>2010100</v>
      </c>
      <c r="T114" s="663" t="str">
        <f>+IF(JULIO!T114=0,"",JULIO!T114)</f>
        <v>Adquisición de bienes</v>
      </c>
      <c r="U114" s="132">
        <f t="shared" ref="U114:AJ114" si="121">SUM(U115:U121)</f>
        <v>2750000000</v>
      </c>
      <c r="V114" s="122">
        <f t="shared" si="121"/>
        <v>-1600000000</v>
      </c>
      <c r="W114" s="122">
        <f t="shared" si="121"/>
        <v>694314729</v>
      </c>
      <c r="X114" s="129">
        <f t="shared" si="121"/>
        <v>1844314729</v>
      </c>
      <c r="Y114" s="128">
        <f t="shared" si="121"/>
        <v>1144559410</v>
      </c>
      <c r="Z114" s="122">
        <f t="shared" si="121"/>
        <v>204311703</v>
      </c>
      <c r="AA114" s="129">
        <f t="shared" si="121"/>
        <v>1348871113</v>
      </c>
      <c r="AB114" s="128">
        <f t="shared" si="121"/>
        <v>1135075986</v>
      </c>
      <c r="AC114" s="122">
        <f t="shared" si="121"/>
        <v>58057587</v>
      </c>
      <c r="AD114" s="129">
        <f t="shared" si="121"/>
        <v>1193133573</v>
      </c>
      <c r="AE114" s="128">
        <f t="shared" si="121"/>
        <v>1064684819</v>
      </c>
      <c r="AF114" s="122">
        <f t="shared" si="121"/>
        <v>25975909</v>
      </c>
      <c r="AG114" s="129">
        <f t="shared" si="121"/>
        <v>1090660728</v>
      </c>
      <c r="AH114" s="128">
        <f t="shared" si="121"/>
        <v>495443616</v>
      </c>
      <c r="AI114" s="122">
        <f t="shared" si="121"/>
        <v>651181156</v>
      </c>
      <c r="AJ114" s="130">
        <f t="shared" si="121"/>
        <v>753654001</v>
      </c>
      <c r="AK114" s="9"/>
      <c r="AL114" s="128">
        <f>SUM(AL115:AL121)</f>
        <v>0</v>
      </c>
      <c r="AM114" s="130">
        <f>SUM(AM115:AM121)</f>
        <v>200000000</v>
      </c>
      <c r="AN114" s="9"/>
      <c r="AO114" s="284"/>
      <c r="AP114" s="284"/>
      <c r="AQ114" s="284"/>
      <c r="AR114" s="284"/>
      <c r="AS114" s="284"/>
      <c r="AT114" s="284"/>
      <c r="AU114" s="284"/>
      <c r="AV114" s="284"/>
      <c r="AW114" s="284"/>
      <c r="AX114" s="284"/>
      <c r="AY114" s="284"/>
      <c r="AZ114" s="284"/>
    </row>
    <row r="115" spans="1:52" s="372" customFormat="1" ht="24.95" customHeight="1">
      <c r="A115" s="723">
        <f>+IF(JULIO!A115=0,"",JULIO!A115)</f>
        <v>2100</v>
      </c>
      <c r="B115" s="609" t="str">
        <f>+IF(JULIO!B115=0,"",JULIO!B115)</f>
        <v>CREDITO INTERNO</v>
      </c>
      <c r="C115" s="655">
        <f>+ENERO!C115</f>
        <v>0</v>
      </c>
      <c r="D115" s="454">
        <f>JULIO!D115+AGOSTO!P115</f>
        <v>0</v>
      </c>
      <c r="E115" s="454">
        <f>JULIO!E115+AGOSTO!Q115</f>
        <v>0</v>
      </c>
      <c r="F115" s="458">
        <f t="shared" ref="F115:F124" si="122">SUM(C115:E115)</f>
        <v>0</v>
      </c>
      <c r="G115" s="456">
        <f>JULIO!I115</f>
        <v>0</v>
      </c>
      <c r="H115" s="364">
        <v>0</v>
      </c>
      <c r="I115" s="458">
        <f t="shared" ref="I115:I124" si="123">SUM(G115:H115)</f>
        <v>0</v>
      </c>
      <c r="J115" s="456">
        <f>JULIO!L115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+IF(JULIO!S115=0,"",JULIO!S115)</f>
        <v>2010100-1</v>
      </c>
      <c r="T115" s="664" t="str">
        <f>+IF(JULIO!T115=0,"",JULIO!T115)</f>
        <v>Compra de Equipos</v>
      </c>
      <c r="U115" s="27">
        <f>+ENERO!U115</f>
        <v>2350000000</v>
      </c>
      <c r="V115" s="15">
        <f>JULIO!V115+AGOSTO!AL115</f>
        <v>-1730000000</v>
      </c>
      <c r="W115" s="15">
        <f>JULIO!W115+AGOSTO!AM115</f>
        <v>0</v>
      </c>
      <c r="X115" s="18">
        <f t="shared" ref="X115:X121" si="127">SUM(U115:W115)</f>
        <v>620000000</v>
      </c>
      <c r="Y115" s="19">
        <f>JULIO!AA115</f>
        <v>301433075</v>
      </c>
      <c r="Z115" s="364">
        <v>150094700</v>
      </c>
      <c r="AA115" s="18">
        <f t="shared" ref="AA115:AA121" si="128">SUM(Y115:Z115)</f>
        <v>451527775</v>
      </c>
      <c r="AB115" s="19">
        <f>JULIO!AD115</f>
        <v>301433075</v>
      </c>
      <c r="AC115" s="364">
        <v>1523200</v>
      </c>
      <c r="AD115" s="18">
        <f t="shared" ref="AD115:AD121" si="129">SUM(AB115:AC115)</f>
        <v>302956275</v>
      </c>
      <c r="AE115" s="19">
        <f>JULIO!AG115</f>
        <v>293084630</v>
      </c>
      <c r="AF115" s="364">
        <v>0</v>
      </c>
      <c r="AG115" s="18">
        <f t="shared" ref="AG115:AG121" si="130">SUM(AE115:AF115)</f>
        <v>293084630</v>
      </c>
      <c r="AH115" s="19">
        <f t="shared" ref="AH115:AH121" si="131">X115-AA115</f>
        <v>168472225</v>
      </c>
      <c r="AI115" s="15">
        <f t="shared" ref="AI115:AI121" si="132">X115-AD115</f>
        <v>317043725</v>
      </c>
      <c r="AJ115" s="16">
        <f t="shared" ref="AJ115:AJ121" si="133">X115-AG115</f>
        <v>326915370</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+IF(JULIO!A116=0,"",JULIO!A116)</f>
        <v>2100-1</v>
      </c>
      <c r="B116" s="610" t="str">
        <f>+IF(JULIO!B116=0,"",JULIO!B116)</f>
        <v>Vigencia Anterior</v>
      </c>
      <c r="C116" s="655">
        <f>+ENERO!C116</f>
        <v>0</v>
      </c>
      <c r="D116" s="454">
        <f>JULIO!D116+AGOSTO!P116</f>
        <v>0</v>
      </c>
      <c r="E116" s="454">
        <f>JULIO!E116+AGOSTO!Q116</f>
        <v>0</v>
      </c>
      <c r="F116" s="458">
        <f t="shared" si="122"/>
        <v>0</v>
      </c>
      <c r="G116" s="456">
        <f>JULIO!I116</f>
        <v>0</v>
      </c>
      <c r="H116" s="364">
        <v>0</v>
      </c>
      <c r="I116" s="458">
        <f t="shared" si="123"/>
        <v>0</v>
      </c>
      <c r="J116" s="456">
        <f>JULIO!L116</f>
        <v>0</v>
      </c>
      <c r="K116" s="364">
        <v>0</v>
      </c>
      <c r="L116" s="455">
        <f t="shared" si="124"/>
        <v>0</v>
      </c>
      <c r="M116" s="459">
        <f t="shared" si="125"/>
        <v>0</v>
      </c>
      <c r="N116" s="455">
        <f t="shared" si="126"/>
        <v>0</v>
      </c>
      <c r="O116" s="451"/>
      <c r="P116" s="362">
        <v>0</v>
      </c>
      <c r="Q116" s="365">
        <v>0</v>
      </c>
      <c r="R116" s="9"/>
      <c r="S116" s="688" t="str">
        <f>+IF(JULIO!S116=0,"",JULIO!S116)</f>
        <v>2010100-2</v>
      </c>
      <c r="T116" s="664" t="str">
        <f>+IF(JULIO!T116=0,"",JULIO!T116)</f>
        <v>Materiales</v>
      </c>
      <c r="U116" s="27">
        <f>+ENERO!U116</f>
        <v>300000000</v>
      </c>
      <c r="V116" s="15">
        <f>JULIO!V116+AGOSTO!AL116</f>
        <v>0</v>
      </c>
      <c r="W116" s="15">
        <f>JULIO!W116+AGOSTO!AM116</f>
        <v>294314729</v>
      </c>
      <c r="X116" s="18">
        <f t="shared" si="127"/>
        <v>594314729</v>
      </c>
      <c r="Y116" s="19">
        <f>JULIO!AA116</f>
        <v>262463498</v>
      </c>
      <c r="Z116" s="364">
        <v>54217003</v>
      </c>
      <c r="AA116" s="18">
        <f t="shared" si="128"/>
        <v>316680501</v>
      </c>
      <c r="AB116" s="19">
        <f>JULIO!AD116</f>
        <v>252980074</v>
      </c>
      <c r="AC116" s="364">
        <v>56534387</v>
      </c>
      <c r="AD116" s="18">
        <f t="shared" si="129"/>
        <v>309514461</v>
      </c>
      <c r="AE116" s="19">
        <f>JULIO!AG116</f>
        <v>190937352</v>
      </c>
      <c r="AF116" s="364">
        <v>25975909</v>
      </c>
      <c r="AG116" s="18">
        <f t="shared" si="130"/>
        <v>216913261</v>
      </c>
      <c r="AH116" s="19">
        <f t="shared" si="131"/>
        <v>277634228</v>
      </c>
      <c r="AI116" s="15">
        <f t="shared" si="132"/>
        <v>284800268</v>
      </c>
      <c r="AJ116" s="16">
        <f t="shared" si="133"/>
        <v>377401468</v>
      </c>
      <c r="AK116" s="9"/>
      <c r="AL116" s="362">
        <v>0</v>
      </c>
      <c r="AM116" s="365">
        <v>200000000</v>
      </c>
      <c r="AN116" s="9"/>
      <c r="AO116" s="284"/>
      <c r="AP116" s="284"/>
      <c r="AQ116" s="284"/>
      <c r="AR116" s="284"/>
      <c r="AS116" s="284"/>
      <c r="AT116" s="284"/>
      <c r="AU116" s="284"/>
      <c r="AV116" s="284"/>
      <c r="AW116" s="284"/>
      <c r="AX116" s="284"/>
      <c r="AY116" s="284"/>
      <c r="AZ116" s="284"/>
    </row>
    <row r="117" spans="1:52" s="372" customFormat="1" ht="24.95" customHeight="1">
      <c r="A117" s="723">
        <f>+IF(JULIO!A117=0,"",JULIO!A117)</f>
        <v>2200</v>
      </c>
      <c r="B117" s="609" t="str">
        <f>+IF(JULIO!B117=0,"",JULIO!B117)</f>
        <v>CREDITO EXTERNO</v>
      </c>
      <c r="C117" s="655">
        <f>+ENERO!C117</f>
        <v>0</v>
      </c>
      <c r="D117" s="454">
        <f>JULIO!D117+AGOSTO!P117</f>
        <v>0</v>
      </c>
      <c r="E117" s="454">
        <f>JULIO!E117+AGOSTO!Q117</f>
        <v>0</v>
      </c>
      <c r="F117" s="458">
        <f t="shared" si="122"/>
        <v>0</v>
      </c>
      <c r="G117" s="456">
        <f>JULIO!I117</f>
        <v>0</v>
      </c>
      <c r="H117" s="364">
        <v>0</v>
      </c>
      <c r="I117" s="458">
        <f t="shared" si="123"/>
        <v>0</v>
      </c>
      <c r="J117" s="456">
        <f>JULIO!L117</f>
        <v>0</v>
      </c>
      <c r="K117" s="364">
        <v>0</v>
      </c>
      <c r="L117" s="455">
        <f t="shared" si="124"/>
        <v>0</v>
      </c>
      <c r="M117" s="459">
        <f t="shared" si="125"/>
        <v>0</v>
      </c>
      <c r="N117" s="455">
        <f t="shared" si="126"/>
        <v>0</v>
      </c>
      <c r="O117" s="451"/>
      <c r="P117" s="362">
        <v>0</v>
      </c>
      <c r="Q117" s="365">
        <v>0</v>
      </c>
      <c r="R117" s="9"/>
      <c r="S117" s="688" t="str">
        <f>+IF(JULIO!S117=0,"",JULIO!S117)</f>
        <v>2010100-3</v>
      </c>
      <c r="T117" s="664" t="str">
        <f>+IF(JULIO!T117=0,"",JULIO!T117)</f>
        <v>Salud Ocupacional</v>
      </c>
      <c r="U117" s="27">
        <f>+ENERO!U117</f>
        <v>0</v>
      </c>
      <c r="V117" s="15">
        <f>JULIO!V117+AGOSTO!AL117</f>
        <v>40000000</v>
      </c>
      <c r="W117" s="15">
        <f>JULIO!W117+AGOSTO!AM117</f>
        <v>0</v>
      </c>
      <c r="X117" s="18">
        <f t="shared" si="127"/>
        <v>40000000</v>
      </c>
      <c r="Y117" s="19">
        <f>JULIO!AA117</f>
        <v>0</v>
      </c>
      <c r="Z117" s="364">
        <v>0</v>
      </c>
      <c r="AA117" s="18">
        <f t="shared" si="128"/>
        <v>0</v>
      </c>
      <c r="AB117" s="19">
        <f>JULIO!AD117</f>
        <v>0</v>
      </c>
      <c r="AC117" s="364">
        <v>0</v>
      </c>
      <c r="AD117" s="18">
        <f t="shared" si="129"/>
        <v>0</v>
      </c>
      <c r="AE117" s="19">
        <f>JULIO!AG117</f>
        <v>0</v>
      </c>
      <c r="AF117" s="364">
        <v>0</v>
      </c>
      <c r="AG117" s="18">
        <f t="shared" si="130"/>
        <v>0</v>
      </c>
      <c r="AH117" s="19">
        <f t="shared" si="131"/>
        <v>40000000</v>
      </c>
      <c r="AI117" s="15">
        <f t="shared" si="132"/>
        <v>40000000</v>
      </c>
      <c r="AJ117" s="16">
        <f t="shared" si="133"/>
        <v>40000000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+IF(JULIO!A118=0,"",JULIO!A118)</f>
        <v>2200-1</v>
      </c>
      <c r="B118" s="610" t="str">
        <f>+IF(JULIO!B118=0,"",JULIO!B118)</f>
        <v>Vigencia Anterior</v>
      </c>
      <c r="C118" s="655">
        <f>+ENERO!C118</f>
        <v>0</v>
      </c>
      <c r="D118" s="454">
        <f>JULIO!D118+AGOSTO!P118</f>
        <v>0</v>
      </c>
      <c r="E118" s="454">
        <f>JULIO!E118+AGOSTO!Q118</f>
        <v>0</v>
      </c>
      <c r="F118" s="458">
        <f t="shared" si="122"/>
        <v>0</v>
      </c>
      <c r="G118" s="456">
        <f>JULIO!I118</f>
        <v>0</v>
      </c>
      <c r="H118" s="364">
        <v>0</v>
      </c>
      <c r="I118" s="458">
        <f t="shared" si="123"/>
        <v>0</v>
      </c>
      <c r="J118" s="456">
        <f>JULIO!L118</f>
        <v>0</v>
      </c>
      <c r="K118" s="364">
        <v>0</v>
      </c>
      <c r="L118" s="455">
        <f t="shared" si="124"/>
        <v>0</v>
      </c>
      <c r="M118" s="459">
        <f t="shared" si="125"/>
        <v>0</v>
      </c>
      <c r="N118" s="455">
        <f t="shared" si="126"/>
        <v>0</v>
      </c>
      <c r="O118" s="451"/>
      <c r="P118" s="362">
        <v>0</v>
      </c>
      <c r="Q118" s="365">
        <v>0</v>
      </c>
      <c r="R118" s="9"/>
      <c r="S118" s="688" t="str">
        <f>+IF(JULIO!S118=0,"",JULIO!S118)</f>
        <v>2010100-4</v>
      </c>
      <c r="T118" s="664" t="str">
        <f>+IF(JULIO!T118=0,"",JULIO!T118)</f>
        <v/>
      </c>
      <c r="U118" s="27">
        <f>+ENERO!U118</f>
        <v>0</v>
      </c>
      <c r="V118" s="15">
        <f>JULIO!V118+AGOSTO!AL118</f>
        <v>70000000</v>
      </c>
      <c r="W118" s="15">
        <f>JULIO!W118+AGOSTO!AM118</f>
        <v>0</v>
      </c>
      <c r="X118" s="18">
        <f t="shared" si="127"/>
        <v>70000000</v>
      </c>
      <c r="Y118" s="19">
        <f>JULIO!AA118</f>
        <v>65000000</v>
      </c>
      <c r="Z118" s="364">
        <v>0</v>
      </c>
      <c r="AA118" s="18">
        <f t="shared" si="128"/>
        <v>65000000</v>
      </c>
      <c r="AB118" s="19">
        <f>JULIO!AD118</f>
        <v>65000000</v>
      </c>
      <c r="AC118" s="364">
        <v>0</v>
      </c>
      <c r="AD118" s="18">
        <f t="shared" si="129"/>
        <v>65000000</v>
      </c>
      <c r="AE118" s="19">
        <f>JULIO!AG118</f>
        <v>65000000</v>
      </c>
      <c r="AF118" s="364">
        <v>0</v>
      </c>
      <c r="AG118" s="18">
        <f t="shared" si="130"/>
        <v>65000000</v>
      </c>
      <c r="AH118" s="19">
        <f t="shared" si="131"/>
        <v>5000000</v>
      </c>
      <c r="AI118" s="15">
        <f t="shared" si="132"/>
        <v>5000000</v>
      </c>
      <c r="AJ118" s="16">
        <f t="shared" si="133"/>
        <v>5000000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+IF(JULIO!A119=0,"",JULIO!A119)</f>
        <v>2300</v>
      </c>
      <c r="B119" s="609" t="str">
        <f>+IF(JULIO!B119=0,"",JULIO!B119)</f>
        <v>RENDIMIENTOS FINANCIEROS</v>
      </c>
      <c r="C119" s="655">
        <f>+ENERO!C119</f>
        <v>200295319</v>
      </c>
      <c r="D119" s="454">
        <f>JULIO!D119+AGOSTO!P119</f>
        <v>0</v>
      </c>
      <c r="E119" s="454">
        <f>JULIO!E119+AGOSTO!Q119</f>
        <v>0</v>
      </c>
      <c r="F119" s="458">
        <f t="shared" si="122"/>
        <v>200295319</v>
      </c>
      <c r="G119" s="216">
        <f>JULIO!I119</f>
        <v>7276</v>
      </c>
      <c r="H119" s="364">
        <v>0</v>
      </c>
      <c r="I119" s="463">
        <f t="shared" si="123"/>
        <v>7276</v>
      </c>
      <c r="J119" s="216">
        <f>JULIO!L119</f>
        <v>7276</v>
      </c>
      <c r="K119" s="364">
        <v>0</v>
      </c>
      <c r="L119" s="143">
        <f t="shared" si="124"/>
        <v>7276</v>
      </c>
      <c r="M119" s="428">
        <f t="shared" si="125"/>
        <v>200288043</v>
      </c>
      <c r="N119" s="143">
        <f t="shared" si="126"/>
        <v>200288043</v>
      </c>
      <c r="O119" s="451"/>
      <c r="P119" s="362">
        <v>0</v>
      </c>
      <c r="Q119" s="365">
        <v>0</v>
      </c>
      <c r="R119" s="9"/>
      <c r="S119" s="688" t="str">
        <f>+IF(JULIO!S119=0,"",JULIO!S119)</f>
        <v>2010100-5</v>
      </c>
      <c r="T119" s="664" t="str">
        <f>+IF(JULIO!T119=0,"",JULIO!T119)</f>
        <v/>
      </c>
      <c r="U119" s="27">
        <f>+ENERO!U119</f>
        <v>0</v>
      </c>
      <c r="V119" s="15">
        <f>JULIO!V119+AGOSTO!AL119</f>
        <v>0</v>
      </c>
      <c r="W119" s="15">
        <f>JULIO!W119+AGOSTO!AM119</f>
        <v>0</v>
      </c>
      <c r="X119" s="18">
        <f t="shared" si="127"/>
        <v>0</v>
      </c>
      <c r="Y119" s="19">
        <f>JULIO!AA119</f>
        <v>0</v>
      </c>
      <c r="Z119" s="364">
        <v>0</v>
      </c>
      <c r="AA119" s="18">
        <f t="shared" si="128"/>
        <v>0</v>
      </c>
      <c r="AB119" s="19">
        <f>JULIO!AD119</f>
        <v>0</v>
      </c>
      <c r="AC119" s="364">
        <v>0</v>
      </c>
      <c r="AD119" s="18">
        <f t="shared" si="129"/>
        <v>0</v>
      </c>
      <c r="AE119" s="19">
        <f>JULIO!AG119</f>
        <v>0</v>
      </c>
      <c r="AF119" s="364">
        <v>0</v>
      </c>
      <c r="AG119" s="1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+IF(JULIO!A120=0,"",JULIO!A120)</f>
        <v>2400</v>
      </c>
      <c r="B120" s="610" t="str">
        <f>+IF(JULIO!B120=0,"",JULIO!B120)</f>
        <v>VENTA DE ACTIVOS</v>
      </c>
      <c r="C120" s="655">
        <f>+ENERO!C120</f>
        <v>0</v>
      </c>
      <c r="D120" s="454">
        <f>JULIO!D120+AGOSTO!P120</f>
        <v>0</v>
      </c>
      <c r="E120" s="454">
        <f>JULIO!E120+AGOSTO!Q120</f>
        <v>0</v>
      </c>
      <c r="F120" s="458">
        <f t="shared" si="122"/>
        <v>0</v>
      </c>
      <c r="G120" s="216">
        <f>JULIO!I120</f>
        <v>0</v>
      </c>
      <c r="H120" s="364">
        <v>0</v>
      </c>
      <c r="I120" s="463">
        <f t="shared" si="123"/>
        <v>0</v>
      </c>
      <c r="J120" s="216">
        <f>JULIO!L120</f>
        <v>0</v>
      </c>
      <c r="K120" s="364">
        <v>0</v>
      </c>
      <c r="L120" s="143">
        <f t="shared" si="124"/>
        <v>0</v>
      </c>
      <c r="M120" s="428">
        <f t="shared" si="125"/>
        <v>0</v>
      </c>
      <c r="N120" s="143">
        <f t="shared" si="126"/>
        <v>0</v>
      </c>
      <c r="P120" s="362">
        <v>0</v>
      </c>
      <c r="Q120" s="365">
        <v>0</v>
      </c>
      <c r="R120" s="9"/>
      <c r="S120" s="688" t="str">
        <f>+IF(JULIO!S120=0,"",JULIO!S120)</f>
        <v>2010100-6</v>
      </c>
      <c r="T120" s="664" t="str">
        <f>+IF(JULIO!T120=0,"",JULIO!T120)</f>
        <v/>
      </c>
      <c r="U120" s="27">
        <f>+ENERO!U120</f>
        <v>0</v>
      </c>
      <c r="V120" s="15">
        <f>JULIO!V120+AGOSTO!AL120</f>
        <v>0</v>
      </c>
      <c r="W120" s="15">
        <f>JULIO!W120+AGOSTO!AM120</f>
        <v>0</v>
      </c>
      <c r="X120" s="18">
        <f t="shared" si="127"/>
        <v>0</v>
      </c>
      <c r="Y120" s="19">
        <f>JULIO!AA120</f>
        <v>0</v>
      </c>
      <c r="Z120" s="364">
        <v>0</v>
      </c>
      <c r="AA120" s="18">
        <f t="shared" si="128"/>
        <v>0</v>
      </c>
      <c r="AB120" s="19">
        <f>JULIO!AD120</f>
        <v>0</v>
      </c>
      <c r="AC120" s="364">
        <v>0</v>
      </c>
      <c r="AD120" s="18">
        <f t="shared" si="129"/>
        <v>0</v>
      </c>
      <c r="AE120" s="19">
        <f>JULIO!AG120</f>
        <v>0</v>
      </c>
      <c r="AF120" s="364">
        <v>0</v>
      </c>
      <c r="AG120" s="1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+IF(JULIO!A121=0,"",JULIO!A121)</f>
        <v>2500</v>
      </c>
      <c r="B121" s="610" t="str">
        <f>+IF(JULIO!B121=0,"",JULIO!B121)</f>
        <v>DONACIONES</v>
      </c>
      <c r="C121" s="655">
        <f>+ENERO!C121</f>
        <v>0</v>
      </c>
      <c r="D121" s="454">
        <f>JULIO!D121+AGOSTO!P121</f>
        <v>0</v>
      </c>
      <c r="E121" s="454">
        <f>JULIO!E121+AGOSTO!Q121</f>
        <v>1500000</v>
      </c>
      <c r="F121" s="458">
        <f t="shared" si="122"/>
        <v>1500000</v>
      </c>
      <c r="G121" s="216">
        <f>JULIO!I121</f>
        <v>1500000</v>
      </c>
      <c r="H121" s="364">
        <v>0</v>
      </c>
      <c r="I121" s="463">
        <f t="shared" si="123"/>
        <v>1500000</v>
      </c>
      <c r="J121" s="216">
        <f>JULIO!L121</f>
        <v>1500000</v>
      </c>
      <c r="K121" s="364">
        <v>0</v>
      </c>
      <c r="L121" s="143">
        <f t="shared" si="124"/>
        <v>1500000</v>
      </c>
      <c r="M121" s="428">
        <f t="shared" si="125"/>
        <v>0</v>
      </c>
      <c r="N121" s="143">
        <f t="shared" si="126"/>
        <v>0</v>
      </c>
      <c r="P121" s="362">
        <v>0</v>
      </c>
      <c r="Q121" s="365">
        <v>0</v>
      </c>
      <c r="R121" s="9"/>
      <c r="S121" s="688">
        <f>+IF(JULIO!S121=0,"",JULIO!S121)</f>
        <v>2010199</v>
      </c>
      <c r="T121" s="664" t="str">
        <f>+IF(JULIO!T121=0,"",JULIO!T121)</f>
        <v>Vigencias Anteriores</v>
      </c>
      <c r="U121" s="27">
        <f>+ENERO!U121</f>
        <v>100000000</v>
      </c>
      <c r="V121" s="15">
        <f>JULIO!V121+AGOSTO!AL121</f>
        <v>20000000</v>
      </c>
      <c r="W121" s="15">
        <f>JULIO!W121+AGOSTO!AM121</f>
        <v>400000000</v>
      </c>
      <c r="X121" s="18">
        <f t="shared" si="127"/>
        <v>520000000</v>
      </c>
      <c r="Y121" s="19">
        <f>JULIO!AA121</f>
        <v>515662837</v>
      </c>
      <c r="Z121" s="364">
        <v>0</v>
      </c>
      <c r="AA121" s="18">
        <f t="shared" si="128"/>
        <v>515662837</v>
      </c>
      <c r="AB121" s="19">
        <f>JULIO!AD121</f>
        <v>515662837</v>
      </c>
      <c r="AC121" s="364">
        <v>0</v>
      </c>
      <c r="AD121" s="18">
        <f t="shared" si="129"/>
        <v>515662837</v>
      </c>
      <c r="AE121" s="19">
        <f>JULIO!AG121</f>
        <v>515662837</v>
      </c>
      <c r="AF121" s="364">
        <v>0</v>
      </c>
      <c r="AG121" s="18">
        <f t="shared" si="130"/>
        <v>515662837</v>
      </c>
      <c r="AH121" s="19">
        <f t="shared" si="131"/>
        <v>4337163</v>
      </c>
      <c r="AI121" s="15">
        <f t="shared" si="132"/>
        <v>4337163</v>
      </c>
      <c r="AJ121" s="16">
        <f t="shared" si="133"/>
        <v>4337163</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+IF(JULIO!A122=0,"",JULIO!A122)</f>
        <v>2600</v>
      </c>
      <c r="B122" s="610" t="str">
        <f>+IF(JULIO!B122=0,"",JULIO!B122)</f>
        <v>RECUPERACIÓN DE CARTERA (AÑO 2017 Y ANTERIORES)</v>
      </c>
      <c r="C122" s="655">
        <f>+ENERO!C122</f>
        <v>0</v>
      </c>
      <c r="D122" s="454">
        <f>JULIO!D122+AGOSTO!P122</f>
        <v>0</v>
      </c>
      <c r="E122" s="454">
        <f>JULIO!E122+AGOSTO!Q122</f>
        <v>0</v>
      </c>
      <c r="F122" s="458">
        <f t="shared" si="122"/>
        <v>0</v>
      </c>
      <c r="G122" s="216">
        <f>JULIO!I122</f>
        <v>0</v>
      </c>
      <c r="H122" s="364">
        <v>0</v>
      </c>
      <c r="I122" s="463">
        <f t="shared" si="123"/>
        <v>0</v>
      </c>
      <c r="J122" s="216">
        <f>JULIO!L122</f>
        <v>0</v>
      </c>
      <c r="K122" s="364">
        <v>0</v>
      </c>
      <c r="L122" s="143">
        <f t="shared" si="124"/>
        <v>0</v>
      </c>
      <c r="M122" s="428">
        <f t="shared" si="125"/>
        <v>0</v>
      </c>
      <c r="N122" s="143">
        <f t="shared" si="126"/>
        <v>0</v>
      </c>
      <c r="P122" s="362">
        <v>0</v>
      </c>
      <c r="Q122" s="365">
        <v>0</v>
      </c>
      <c r="R122" s="9"/>
      <c r="S122" s="356" t="str">
        <f>+IF(JULIO!S122=0,"",JULIO!S122)</f>
        <v/>
      </c>
      <c r="T122" s="678" t="str">
        <f>+IF(JULIO!T122=0,"",JULIO!T122)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+IF(JULIO!A123=0,"",JULIO!A123)</f>
        <v>2700</v>
      </c>
      <c r="B123" s="610" t="str">
        <f>+IF(JULIO!B123=0,"",JULIO!B123)</f>
        <v>OTROS INGRESOS DE CAPITAL</v>
      </c>
      <c r="C123" s="655">
        <f>+ENERO!C123</f>
        <v>0</v>
      </c>
      <c r="D123" s="454">
        <f>JULIO!D123+AGOSTO!P123</f>
        <v>0</v>
      </c>
      <c r="E123" s="454">
        <f>JULIO!E123+AGOSTO!Q123</f>
        <v>153636785</v>
      </c>
      <c r="F123" s="458">
        <f t="shared" si="122"/>
        <v>153636785</v>
      </c>
      <c r="G123" s="216">
        <f>JULIO!I123</f>
        <v>153636785</v>
      </c>
      <c r="H123" s="364">
        <v>8468613</v>
      </c>
      <c r="I123" s="463">
        <f t="shared" si="123"/>
        <v>162105398</v>
      </c>
      <c r="J123" s="216">
        <f>JULIO!L123</f>
        <v>153636785</v>
      </c>
      <c r="K123" s="364">
        <v>8468613</v>
      </c>
      <c r="L123" s="143">
        <f t="shared" si="124"/>
        <v>162105398</v>
      </c>
      <c r="M123" s="428">
        <f t="shared" si="125"/>
        <v>-8468613</v>
      </c>
      <c r="N123" s="143">
        <f t="shared" si="126"/>
        <v>-8468613</v>
      </c>
      <c r="P123" s="362">
        <v>0</v>
      </c>
      <c r="Q123" s="365">
        <v>27930700</v>
      </c>
      <c r="R123" s="9"/>
      <c r="S123" s="687">
        <f>+IF(JULIO!S123=0,"",JULIO!S123)</f>
        <v>2010200</v>
      </c>
      <c r="T123" s="663" t="str">
        <f>+IF(JULIO!T123=0,"",JULIO!T123)</f>
        <v>Adquisición de Servicios</v>
      </c>
      <c r="U123" s="132">
        <f t="shared" ref="U123:AJ123" si="134">SUM(U124:U139)</f>
        <v>2775000000</v>
      </c>
      <c r="V123" s="122">
        <f t="shared" si="134"/>
        <v>95000000</v>
      </c>
      <c r="W123" s="122">
        <f t="shared" si="134"/>
        <v>330000000</v>
      </c>
      <c r="X123" s="129">
        <f t="shared" si="134"/>
        <v>3200000000</v>
      </c>
      <c r="Y123" s="128">
        <f t="shared" si="134"/>
        <v>2501934768</v>
      </c>
      <c r="Z123" s="122">
        <f t="shared" si="134"/>
        <v>173883948</v>
      </c>
      <c r="AA123" s="129">
        <f t="shared" si="134"/>
        <v>2675818716</v>
      </c>
      <c r="AB123" s="128">
        <f t="shared" si="134"/>
        <v>1831594628</v>
      </c>
      <c r="AC123" s="122">
        <f t="shared" si="134"/>
        <v>259219786</v>
      </c>
      <c r="AD123" s="129">
        <f t="shared" si="134"/>
        <v>2090814414</v>
      </c>
      <c r="AE123" s="128">
        <f t="shared" si="134"/>
        <v>1633456790</v>
      </c>
      <c r="AF123" s="122">
        <f t="shared" si="134"/>
        <v>91016194</v>
      </c>
      <c r="AG123" s="129">
        <f t="shared" si="134"/>
        <v>1724472984</v>
      </c>
      <c r="AH123" s="128">
        <f t="shared" si="134"/>
        <v>524181284</v>
      </c>
      <c r="AI123" s="122">
        <f t="shared" si="134"/>
        <v>1109185586</v>
      </c>
      <c r="AJ123" s="130">
        <f t="shared" si="134"/>
        <v>1475527016</v>
      </c>
      <c r="AK123" s="9"/>
      <c r="AL123" s="128">
        <f>SUM(AL124:AL139)</f>
        <v>50000000</v>
      </c>
      <c r="AM123" s="130">
        <f>SUM(AM124:AM139)</f>
        <v>80000000</v>
      </c>
      <c r="AN123" s="9"/>
      <c r="AO123" s="284"/>
      <c r="AP123" s="284"/>
      <c r="AQ123" s="284"/>
      <c r="AR123" s="284"/>
      <c r="AS123" s="284"/>
      <c r="AT123" s="284"/>
      <c r="AU123" s="284"/>
      <c r="AV123" s="284"/>
      <c r="AW123" s="284"/>
      <c r="AX123" s="284"/>
      <c r="AY123" s="284"/>
      <c r="AZ123" s="284"/>
    </row>
    <row r="124" spans="1:52" s="372" customFormat="1" ht="24.95" customHeight="1" thickBot="1">
      <c r="A124" s="727">
        <f>+IF(JULIO!A124=0,"",JULIO!A124)</f>
        <v>2800</v>
      </c>
      <c r="B124" s="638" t="str">
        <f>+IF(JULIO!B124=0,"",JULIO!B124)</f>
        <v/>
      </c>
      <c r="C124" s="759">
        <f>+ENERO!C124</f>
        <v>0</v>
      </c>
      <c r="D124" s="452">
        <f>JULIO!D124+AGOSTO!P124</f>
        <v>0</v>
      </c>
      <c r="E124" s="452">
        <f>JULIO!E124+AGOSTO!Q124</f>
        <v>430631999</v>
      </c>
      <c r="F124" s="464">
        <f t="shared" si="122"/>
        <v>430631999</v>
      </c>
      <c r="G124" s="377">
        <f>JULIO!I124</f>
        <v>430631999</v>
      </c>
      <c r="H124" s="378" t="s">
        <v>12</v>
      </c>
      <c r="I124" s="465">
        <f t="shared" si="123"/>
        <v>430631999</v>
      </c>
      <c r="J124" s="377">
        <f>JULIO!L124</f>
        <v>430631999</v>
      </c>
      <c r="K124" s="378">
        <v>0</v>
      </c>
      <c r="L124" s="376">
        <f t="shared" si="124"/>
        <v>430631999</v>
      </c>
      <c r="M124" s="466">
        <f t="shared" si="125"/>
        <v>0</v>
      </c>
      <c r="N124" s="376">
        <f t="shared" si="126"/>
        <v>0</v>
      </c>
      <c r="P124" s="374">
        <v>0</v>
      </c>
      <c r="Q124" s="379">
        <v>430631999</v>
      </c>
      <c r="R124" s="9"/>
      <c r="S124" s="688" t="str">
        <f>+IF(JULIO!S124=0,"",JULIO!S124)</f>
        <v>2010200-1</v>
      </c>
      <c r="T124" s="664" t="str">
        <f>+IF(JULIO!T124=0,"",JULIO!T124)</f>
        <v>Seguros</v>
      </c>
      <c r="U124" s="27">
        <f>+ENERO!U124</f>
        <v>3000000</v>
      </c>
      <c r="V124" s="15">
        <f>JULIO!V124+AGOSTO!AL124</f>
        <v>0</v>
      </c>
      <c r="W124" s="15">
        <f>JULIO!W124+AGOSTO!AM124</f>
        <v>0</v>
      </c>
      <c r="X124" s="18">
        <f t="shared" ref="X124:X139" si="135">SUM(U124:W124)</f>
        <v>3000000</v>
      </c>
      <c r="Y124" s="19">
        <f>JULIO!AA124</f>
        <v>1958919</v>
      </c>
      <c r="Z124" s="364">
        <v>0</v>
      </c>
      <c r="AA124" s="18">
        <f t="shared" ref="AA124:AA139" si="136">SUM(Y124:Z124)</f>
        <v>1958919</v>
      </c>
      <c r="AB124" s="19">
        <f>JULIO!AD124</f>
        <v>1666765</v>
      </c>
      <c r="AC124" s="364">
        <v>0</v>
      </c>
      <c r="AD124" s="18">
        <f t="shared" ref="AD124:AD139" si="137">SUM(AB124:AC124)</f>
        <v>1666765</v>
      </c>
      <c r="AE124" s="19">
        <f>JULIO!AG124</f>
        <v>1666765</v>
      </c>
      <c r="AF124" s="364">
        <v>0</v>
      </c>
      <c r="AG124" s="18">
        <f t="shared" ref="AG124:AG139" si="138">SUM(AE124:AF124)</f>
        <v>1666765</v>
      </c>
      <c r="AH124" s="19">
        <f t="shared" ref="AH124:AH139" si="139">X124-AA124</f>
        <v>1041081</v>
      </c>
      <c r="AI124" s="15">
        <f t="shared" ref="AI124:AI139" si="140">X124-AD124</f>
        <v>1333235</v>
      </c>
      <c r="AJ124" s="16">
        <f t="shared" ref="AJ124:AJ139" si="141">X124-AG124</f>
        <v>1333235</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+IF(JULIO!S125=0,"",JULIO!S125)</f>
        <v>2010200-2</v>
      </c>
      <c r="T125" s="664" t="str">
        <f>+IF(JULIO!T125=0,"",JULIO!T125)</f>
        <v>Impresos y Publicaciones</v>
      </c>
      <c r="U125" s="27">
        <f>+ENERO!U125</f>
        <v>25000000</v>
      </c>
      <c r="V125" s="15">
        <f>JULIO!V125+AGOSTO!AL125</f>
        <v>0</v>
      </c>
      <c r="W125" s="15">
        <f>JULIO!W125+AGOSTO!AM125</f>
        <v>0</v>
      </c>
      <c r="X125" s="18">
        <f t="shared" si="135"/>
        <v>25000000</v>
      </c>
      <c r="Y125" s="19">
        <f>JULIO!AA125</f>
        <v>2098900</v>
      </c>
      <c r="Z125" s="364">
        <v>824159</v>
      </c>
      <c r="AA125" s="18">
        <f t="shared" si="136"/>
        <v>2923059</v>
      </c>
      <c r="AB125" s="19">
        <f>JULIO!AD125</f>
        <v>2098900</v>
      </c>
      <c r="AC125" s="364">
        <v>824159</v>
      </c>
      <c r="AD125" s="18">
        <f t="shared" si="137"/>
        <v>2923059</v>
      </c>
      <c r="AE125" s="19">
        <f>JULIO!AG125</f>
        <v>2098900</v>
      </c>
      <c r="AF125" s="364">
        <v>535500</v>
      </c>
      <c r="AG125" s="18">
        <f t="shared" si="138"/>
        <v>2634400</v>
      </c>
      <c r="AH125" s="19">
        <f t="shared" si="139"/>
        <v>22076941</v>
      </c>
      <c r="AI125" s="15">
        <f t="shared" si="140"/>
        <v>22076941</v>
      </c>
      <c r="AJ125" s="16">
        <f t="shared" si="141"/>
        <v>22365600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2">C8-C128</f>
        <v>66420360605</v>
      </c>
      <c r="D126" s="467">
        <f t="shared" si="142"/>
        <v>0</v>
      </c>
      <c r="E126" s="467">
        <f t="shared" si="142"/>
        <v>26224671094</v>
      </c>
      <c r="F126" s="467">
        <f t="shared" si="142"/>
        <v>92645031699</v>
      </c>
      <c r="G126" s="467">
        <f t="shared" si="142"/>
        <v>64022946611</v>
      </c>
      <c r="H126" s="467">
        <f t="shared" si="142"/>
        <v>5866737357</v>
      </c>
      <c r="I126" s="467">
        <f t="shared" si="142"/>
        <v>69889683968</v>
      </c>
      <c r="J126" s="467">
        <f t="shared" si="142"/>
        <v>43976276873.069992</v>
      </c>
      <c r="K126" s="467">
        <f t="shared" si="142"/>
        <v>3421039724</v>
      </c>
      <c r="L126" s="467">
        <f t="shared" si="142"/>
        <v>47397316597.069992</v>
      </c>
      <c r="M126" s="467">
        <f t="shared" si="142"/>
        <v>22755347731</v>
      </c>
      <c r="N126" s="596">
        <f t="shared" si="142"/>
        <v>45247715101.93</v>
      </c>
      <c r="P126" s="468">
        <f>P8-P128</f>
        <v>0</v>
      </c>
      <c r="Q126" s="469">
        <f>Q8-Q128</f>
        <v>529209157</v>
      </c>
      <c r="R126" s="9"/>
      <c r="S126" s="688" t="str">
        <f>+IF(JULIO!S126=0,"",JULIO!S126)</f>
        <v>2010200-3</v>
      </c>
      <c r="T126" s="664" t="str">
        <f>+IF(JULIO!T126=0,"",JULIO!T126)</f>
        <v xml:space="preserve">Servicios Públicos </v>
      </c>
      <c r="U126" s="27">
        <f>+ENERO!U126</f>
        <v>740000000</v>
      </c>
      <c r="V126" s="15">
        <f>JULIO!V126+AGOSTO!AL126</f>
        <v>0</v>
      </c>
      <c r="W126" s="15">
        <f>JULIO!W126+AGOSTO!AM126</f>
        <v>0</v>
      </c>
      <c r="X126" s="18">
        <f t="shared" si="135"/>
        <v>740000000</v>
      </c>
      <c r="Y126" s="19">
        <f>JULIO!AA126</f>
        <v>383598485</v>
      </c>
      <c r="Z126" s="364">
        <v>69535237</v>
      </c>
      <c r="AA126" s="18">
        <f t="shared" si="136"/>
        <v>453133722</v>
      </c>
      <c r="AB126" s="19">
        <f>JULIO!AD126</f>
        <v>383598485</v>
      </c>
      <c r="AC126" s="364">
        <v>69535237</v>
      </c>
      <c r="AD126" s="18">
        <f t="shared" si="137"/>
        <v>453133722</v>
      </c>
      <c r="AE126" s="19">
        <f>JULIO!AG126</f>
        <v>376887127</v>
      </c>
      <c r="AF126" s="364">
        <v>19828192</v>
      </c>
      <c r="AG126" s="18">
        <f t="shared" si="138"/>
        <v>396715319</v>
      </c>
      <c r="AH126" s="19">
        <f t="shared" si="139"/>
        <v>286866278</v>
      </c>
      <c r="AI126" s="15">
        <f t="shared" si="140"/>
        <v>286866278</v>
      </c>
      <c r="AJ126" s="16">
        <f t="shared" si="141"/>
        <v>343284681</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+IF(JULIO!S127=0,"",JULIO!S127)</f>
        <v>2010200-4</v>
      </c>
      <c r="T127" s="664" t="str">
        <f>+IF(JULIO!T127=0,"",JULIO!T127)</f>
        <v>Comunicaciones y Transportes</v>
      </c>
      <c r="U127" s="27">
        <f>+ENERO!U127</f>
        <v>118000000</v>
      </c>
      <c r="V127" s="15">
        <f>JULIO!V127+AGOSTO!AL127</f>
        <v>40000000</v>
      </c>
      <c r="W127" s="15">
        <f>JULIO!W127+AGOSTO!AM127</f>
        <v>0</v>
      </c>
      <c r="X127" s="18">
        <f t="shared" si="135"/>
        <v>158000000</v>
      </c>
      <c r="Y127" s="19">
        <f>JULIO!AA127</f>
        <v>144988744</v>
      </c>
      <c r="Z127" s="364">
        <v>2433753</v>
      </c>
      <c r="AA127" s="18">
        <f t="shared" si="136"/>
        <v>147422497</v>
      </c>
      <c r="AB127" s="19">
        <f>JULIO!AD127</f>
        <v>69488744</v>
      </c>
      <c r="AC127" s="364">
        <v>16033753</v>
      </c>
      <c r="AD127" s="18">
        <f t="shared" si="137"/>
        <v>85522497</v>
      </c>
      <c r="AE127" s="19">
        <f>JULIO!AG127</f>
        <v>64860794</v>
      </c>
      <c r="AF127" s="364">
        <v>14561703</v>
      </c>
      <c r="AG127" s="18">
        <f t="shared" si="138"/>
        <v>79422497</v>
      </c>
      <c r="AH127" s="19">
        <f t="shared" si="139"/>
        <v>10577503</v>
      </c>
      <c r="AI127" s="15">
        <f t="shared" si="140"/>
        <v>72477503</v>
      </c>
      <c r="AJ127" s="16">
        <f t="shared" si="141"/>
        <v>78577503</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13518233461</v>
      </c>
      <c r="F128" s="473">
        <f>SUMIF($B8:$B$122,$B$24,F8:F122)+F122</f>
        <v>13518233461</v>
      </c>
      <c r="G128" s="473">
        <f>SUMIF($B8:$B$122,$B$24,G8:G122)+G122</f>
        <v>13458068585</v>
      </c>
      <c r="H128" s="473">
        <f>SUMIF($B8:$B$122,$B$24,H8:H122)+H122</f>
        <v>643003193</v>
      </c>
      <c r="I128" s="473">
        <f>SUMIF($B8:$B$122,$B$24,I8:I122)+I122</f>
        <v>14101071778</v>
      </c>
      <c r="J128" s="473">
        <f>SUMIF($B8:$B$122,$B$24,J8:J122)+J1212</f>
        <v>13458068584.690001</v>
      </c>
      <c r="K128" s="473">
        <f>SUMIF($B8:$B$122,$B$24,K8:K122)+K122</f>
        <v>643003193</v>
      </c>
      <c r="L128" s="473">
        <f>SUMIF($B8:$B$122,$B$24,L8:L122)+L122</f>
        <v>14101071777.690001</v>
      </c>
      <c r="M128" s="473">
        <f>SUMIF($B8:$B$122,$B$24,M8:M122)+M12</f>
        <v>-582838317</v>
      </c>
      <c r="N128" s="597">
        <f>SUMIF($B8:$B$122,$B$24,N8:N122)+N122</f>
        <v>-582838316.69000006</v>
      </c>
      <c r="O128" s="451"/>
      <c r="P128" s="473">
        <f>SUMIF($B8:$B$122,$B$24,P8:P122)+P122</f>
        <v>0</v>
      </c>
      <c r="Q128" s="474">
        <f>SUMIF($B8:$B$122,$B$24,Q8:Q122)+Q122</f>
        <v>1537393846</v>
      </c>
      <c r="R128" s="9"/>
      <c r="S128" s="688" t="str">
        <f>+IF(JULIO!S128=0,"",JULIO!S128)</f>
        <v>2010200-5</v>
      </c>
      <c r="T128" s="664" t="str">
        <f>+IF(JULIO!T128=0,"",JULIO!T128)</f>
        <v>Viáticos y Gastos de Viaje</v>
      </c>
      <c r="U128" s="27">
        <f>+ENERO!U128</f>
        <v>22000000</v>
      </c>
      <c r="V128" s="15">
        <f>JULIO!V128+AGOSTO!AL128</f>
        <v>0</v>
      </c>
      <c r="W128" s="15">
        <f>JULIO!W128+AGOSTO!AM128</f>
        <v>0</v>
      </c>
      <c r="X128" s="18">
        <f t="shared" si="135"/>
        <v>22000000</v>
      </c>
      <c r="Y128" s="19">
        <f>JULIO!AA128</f>
        <v>2938000</v>
      </c>
      <c r="Z128" s="364">
        <v>0</v>
      </c>
      <c r="AA128" s="18">
        <f t="shared" si="136"/>
        <v>2938000</v>
      </c>
      <c r="AB128" s="19">
        <f>JULIO!AD128</f>
        <v>2788000</v>
      </c>
      <c r="AC128" s="364">
        <v>0</v>
      </c>
      <c r="AD128" s="18">
        <f t="shared" si="137"/>
        <v>2788000</v>
      </c>
      <c r="AE128" s="19">
        <f>JULIO!AG128</f>
        <v>2615500</v>
      </c>
      <c r="AF128" s="364">
        <v>0</v>
      </c>
      <c r="AG128" s="18">
        <f t="shared" si="138"/>
        <v>2615500</v>
      </c>
      <c r="AH128" s="19">
        <f t="shared" si="139"/>
        <v>19062000</v>
      </c>
      <c r="AI128" s="15">
        <f t="shared" si="140"/>
        <v>19212000</v>
      </c>
      <c r="AJ128" s="16">
        <f t="shared" si="141"/>
        <v>19384500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+IF(JULIO!S129=0,"",JULIO!S129)</f>
        <v>2010200-6</v>
      </c>
      <c r="T129" s="664" t="str">
        <f>+IF(JULIO!T129=0,"",JULIO!T129)</f>
        <v>Arrendamientos</v>
      </c>
      <c r="U129" s="27">
        <f>+ENERO!U129</f>
        <v>165000000</v>
      </c>
      <c r="V129" s="15">
        <f>JULIO!V129+AGOSTO!AL129</f>
        <v>-10000000</v>
      </c>
      <c r="W129" s="15">
        <f>JULIO!W129+AGOSTO!AM129</f>
        <v>0</v>
      </c>
      <c r="X129" s="18">
        <f t="shared" si="135"/>
        <v>155000000</v>
      </c>
      <c r="Y129" s="19">
        <f>JULIO!AA129</f>
        <v>110000000</v>
      </c>
      <c r="Z129" s="364">
        <v>45000000</v>
      </c>
      <c r="AA129" s="18">
        <f t="shared" si="136"/>
        <v>155000000</v>
      </c>
      <c r="AB129" s="19">
        <f>JULIO!AD129</f>
        <v>73528152</v>
      </c>
      <c r="AC129" s="364">
        <v>29302665</v>
      </c>
      <c r="AD129" s="18">
        <f t="shared" si="137"/>
        <v>102830817</v>
      </c>
      <c r="AE129" s="19">
        <f>JULIO!AG129</f>
        <v>62968468</v>
      </c>
      <c r="AF129" s="364">
        <v>0</v>
      </c>
      <c r="AG129" s="18">
        <f t="shared" si="138"/>
        <v>62968468</v>
      </c>
      <c r="AH129" s="19">
        <f t="shared" si="139"/>
        <v>0</v>
      </c>
      <c r="AI129" s="15">
        <f t="shared" si="140"/>
        <v>52169183</v>
      </c>
      <c r="AJ129" s="16">
        <f t="shared" si="141"/>
        <v>92031532</v>
      </c>
      <c r="AK129" s="9"/>
      <c r="AL129" s="362">
        <v>-10000000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3">C128+C126</f>
        <v>66420360605</v>
      </c>
      <c r="D130" s="476">
        <f t="shared" si="143"/>
        <v>0</v>
      </c>
      <c r="E130" s="476">
        <f t="shared" si="143"/>
        <v>39742904555</v>
      </c>
      <c r="F130" s="477">
        <f t="shared" si="143"/>
        <v>106163265160</v>
      </c>
      <c r="G130" s="475">
        <f t="shared" si="143"/>
        <v>77481015196</v>
      </c>
      <c r="H130" s="476">
        <f t="shared" si="143"/>
        <v>6509740550</v>
      </c>
      <c r="I130" s="477">
        <f t="shared" si="143"/>
        <v>83990755746</v>
      </c>
      <c r="J130" s="475">
        <f t="shared" si="143"/>
        <v>57434345457.759995</v>
      </c>
      <c r="K130" s="476">
        <f t="shared" si="143"/>
        <v>4064042917</v>
      </c>
      <c r="L130" s="477">
        <f t="shared" si="143"/>
        <v>61498388374.759995</v>
      </c>
      <c r="M130" s="475">
        <f t="shared" si="143"/>
        <v>22172509414</v>
      </c>
      <c r="N130" s="477">
        <f t="shared" si="143"/>
        <v>44664876785.239998</v>
      </c>
      <c r="P130" s="468">
        <f>P128+P126</f>
        <v>0</v>
      </c>
      <c r="Q130" s="469">
        <f>Q128+Q126</f>
        <v>2066603003</v>
      </c>
      <c r="R130" s="9"/>
      <c r="S130" s="688" t="str">
        <f>+IF(JULIO!S130=0,"",JULIO!S130)</f>
        <v>2010200-7</v>
      </c>
      <c r="T130" s="664" t="str">
        <f>+IF(JULIO!T130=0,"",JULIO!T130)</f>
        <v>Vigilancia y Aseo</v>
      </c>
      <c r="U130" s="27">
        <f>+ENERO!U130</f>
        <v>1086000000</v>
      </c>
      <c r="V130" s="15">
        <f>JULIO!V130+AGOSTO!AL130</f>
        <v>-50000000</v>
      </c>
      <c r="W130" s="15">
        <f>JULIO!W130+AGOSTO!AM130</f>
        <v>0</v>
      </c>
      <c r="X130" s="18">
        <f t="shared" si="135"/>
        <v>1036000000</v>
      </c>
      <c r="Y130" s="19">
        <f>JULIO!AA130</f>
        <v>1027184608</v>
      </c>
      <c r="Z130" s="364">
        <v>0</v>
      </c>
      <c r="AA130" s="18">
        <f t="shared" si="136"/>
        <v>1027184608</v>
      </c>
      <c r="AB130" s="19">
        <f>JULIO!AD130</f>
        <v>600543470</v>
      </c>
      <c r="AC130" s="364">
        <v>87433173</v>
      </c>
      <c r="AD130" s="18">
        <f t="shared" si="137"/>
        <v>687976643</v>
      </c>
      <c r="AE130" s="19">
        <f>JULIO!AG130</f>
        <v>425677124</v>
      </c>
      <c r="AF130" s="364">
        <v>0</v>
      </c>
      <c r="AG130" s="18">
        <f t="shared" si="138"/>
        <v>425677124</v>
      </c>
      <c r="AH130" s="19">
        <f t="shared" si="139"/>
        <v>8815392</v>
      </c>
      <c r="AI130" s="15">
        <f t="shared" si="140"/>
        <v>348023357</v>
      </c>
      <c r="AJ130" s="16">
        <f t="shared" si="141"/>
        <v>610322876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+IF(JULIO!S131=0,"",JULIO!S131)</f>
        <v>2010200-8</v>
      </c>
      <c r="T131" s="664" t="str">
        <f>+IF(JULIO!T131=0,"",JULIO!T131)</f>
        <v>Bienestar Social</v>
      </c>
      <c r="U131" s="27">
        <f>+ENERO!U131</f>
        <v>100000000</v>
      </c>
      <c r="V131" s="15">
        <f>JULIO!V131+AGOSTO!AL131</f>
        <v>0</v>
      </c>
      <c r="W131" s="15">
        <f>JULIO!W131+AGOSTO!AM131</f>
        <v>0</v>
      </c>
      <c r="X131" s="18">
        <f t="shared" si="135"/>
        <v>100000000</v>
      </c>
      <c r="Y131" s="19">
        <f>JULIO!AA131</f>
        <v>76306232</v>
      </c>
      <c r="Z131" s="364">
        <v>3754348</v>
      </c>
      <c r="AA131" s="18">
        <f t="shared" si="136"/>
        <v>80060580</v>
      </c>
      <c r="AB131" s="19">
        <f>JULIO!AD131</f>
        <v>6306232</v>
      </c>
      <c r="AC131" s="364">
        <v>3754348</v>
      </c>
      <c r="AD131" s="18">
        <f t="shared" si="137"/>
        <v>10060580</v>
      </c>
      <c r="AE131" s="19">
        <f>JULIO!AG131</f>
        <v>5106232</v>
      </c>
      <c r="AF131" s="364">
        <v>3754348</v>
      </c>
      <c r="AG131" s="18">
        <f t="shared" si="138"/>
        <v>8860580</v>
      </c>
      <c r="AH131" s="19">
        <f t="shared" si="139"/>
        <v>19939420</v>
      </c>
      <c r="AI131" s="15">
        <f t="shared" si="140"/>
        <v>89939420</v>
      </c>
      <c r="AJ131" s="16">
        <f t="shared" si="141"/>
        <v>91139420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+IF(JULIO!S132=0,"",JULIO!S132)</f>
        <v>2010200-9</v>
      </c>
      <c r="T132" s="664" t="str">
        <f>+IF(JULIO!T132=0,"",JULIO!T132)</f>
        <v>Capacitación, estimulos, incentivos, programa de calidad</v>
      </c>
      <c r="U132" s="27">
        <f>+ENERO!U132</f>
        <v>50000000</v>
      </c>
      <c r="V132" s="15">
        <f>JULIO!V132+AGOSTO!AL132</f>
        <v>0</v>
      </c>
      <c r="W132" s="15">
        <f>JULIO!W132+AGOSTO!AM132</f>
        <v>0</v>
      </c>
      <c r="X132" s="18">
        <f t="shared" si="135"/>
        <v>50000000</v>
      </c>
      <c r="Y132" s="19">
        <f>JULIO!AA132</f>
        <v>0</v>
      </c>
      <c r="Z132" s="364">
        <v>0</v>
      </c>
      <c r="AA132" s="18">
        <f t="shared" si="136"/>
        <v>0</v>
      </c>
      <c r="AB132" s="19">
        <f>JULIO!AD132</f>
        <v>0</v>
      </c>
      <c r="AC132" s="364">
        <v>0</v>
      </c>
      <c r="AD132" s="18">
        <f t="shared" si="137"/>
        <v>0</v>
      </c>
      <c r="AE132" s="19">
        <f>JULIO!AG132</f>
        <v>0</v>
      </c>
      <c r="AF132" s="364">
        <v>0</v>
      </c>
      <c r="AG132" s="18">
        <f t="shared" si="138"/>
        <v>0</v>
      </c>
      <c r="AH132" s="19">
        <f t="shared" si="139"/>
        <v>50000000</v>
      </c>
      <c r="AI132" s="15">
        <f t="shared" si="140"/>
        <v>50000000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+IF(JULIO!S133=0,"",JULIO!S133)</f>
        <v>2010200-10</v>
      </c>
      <c r="T133" s="664" t="str">
        <f>+IF(JULIO!T133=0,"",JULIO!T133)</f>
        <v>Pagos otras IPS</v>
      </c>
      <c r="U133" s="27">
        <f>+ENERO!U133</f>
        <v>0</v>
      </c>
      <c r="V133" s="15">
        <f>JULIO!V133+AGOSTO!AL133</f>
        <v>0</v>
      </c>
      <c r="W133" s="15">
        <f>JULIO!W133+AGOSTO!AM133</f>
        <v>0</v>
      </c>
      <c r="X133" s="18">
        <f t="shared" si="135"/>
        <v>0</v>
      </c>
      <c r="Y133" s="19">
        <f>JULIO!AA133</f>
        <v>0</v>
      </c>
      <c r="Z133" s="364">
        <v>0</v>
      </c>
      <c r="AA133" s="18">
        <f t="shared" si="136"/>
        <v>0</v>
      </c>
      <c r="AB133" s="19">
        <f>JULIO!AD133</f>
        <v>0</v>
      </c>
      <c r="AC133" s="364">
        <v>0</v>
      </c>
      <c r="AD133" s="18">
        <f t="shared" si="137"/>
        <v>0</v>
      </c>
      <c r="AE133" s="19">
        <f>JULIO!AG133</f>
        <v>0</v>
      </c>
      <c r="AF133" s="364">
        <v>0</v>
      </c>
      <c r="AG133" s="1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+IF(JULIO!S134=0,"",JULIO!S134)</f>
        <v>2010200-11</v>
      </c>
      <c r="T134" s="664" t="str">
        <f>+IF(JULIO!T134=0,"",JULIO!T134)</f>
        <v>Gastos financieros</v>
      </c>
      <c r="U134" s="27">
        <f>+ENERO!U134</f>
        <v>16000000</v>
      </c>
      <c r="V134" s="15">
        <f>JULIO!V134+AGOSTO!AL134</f>
        <v>5000000</v>
      </c>
      <c r="W134" s="15">
        <f>JULIO!W134+AGOSTO!AM134</f>
        <v>0</v>
      </c>
      <c r="X134" s="18">
        <f t="shared" si="135"/>
        <v>21000000</v>
      </c>
      <c r="Y134" s="19">
        <f>JULIO!AA134</f>
        <v>14979343</v>
      </c>
      <c r="Z134" s="364">
        <v>2825577</v>
      </c>
      <c r="AA134" s="18">
        <f t="shared" si="136"/>
        <v>17804920</v>
      </c>
      <c r="AB134" s="19">
        <f>JULIO!AD134</f>
        <v>14979343</v>
      </c>
      <c r="AC134" s="364">
        <v>2825577</v>
      </c>
      <c r="AD134" s="18">
        <f t="shared" si="137"/>
        <v>17804920</v>
      </c>
      <c r="AE134" s="19">
        <f>JULIO!AG134</f>
        <v>14979343</v>
      </c>
      <c r="AF134" s="364">
        <v>2825577</v>
      </c>
      <c r="AG134" s="18">
        <f t="shared" si="138"/>
        <v>17804920</v>
      </c>
      <c r="AH134" s="19">
        <f t="shared" si="139"/>
        <v>3195080</v>
      </c>
      <c r="AI134" s="15">
        <f t="shared" si="140"/>
        <v>3195080</v>
      </c>
      <c r="AJ134" s="16">
        <f t="shared" si="141"/>
        <v>3195080</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+IF(JULIO!S135=0,"",JULIO!S135)</f>
        <v>2010200-12</v>
      </c>
      <c r="T135" s="664" t="str">
        <f>+IF(JULIO!T135=0,"",JULIO!T135)</f>
        <v>Mantenimiento de software</v>
      </c>
      <c r="U135" s="27">
        <f>+ENERO!U135</f>
        <v>350000000</v>
      </c>
      <c r="V135" s="15">
        <f>JULIO!V135+AGOSTO!AL135</f>
        <v>0</v>
      </c>
      <c r="W135" s="15">
        <f>JULIO!W135+AGOSTO!AM135</f>
        <v>0</v>
      </c>
      <c r="X135" s="18">
        <f t="shared" si="135"/>
        <v>350000000</v>
      </c>
      <c r="Y135" s="19">
        <f>JULIO!AA135</f>
        <v>338498600</v>
      </c>
      <c r="Z135" s="364">
        <v>0</v>
      </c>
      <c r="AA135" s="18">
        <f t="shared" si="136"/>
        <v>338498600</v>
      </c>
      <c r="AB135" s="19">
        <f>JULIO!AD135</f>
        <v>277213600</v>
      </c>
      <c r="AC135" s="364">
        <v>0</v>
      </c>
      <c r="AD135" s="18">
        <f t="shared" si="137"/>
        <v>277213600</v>
      </c>
      <c r="AE135" s="19">
        <f>JULIO!AG135</f>
        <v>277213600</v>
      </c>
      <c r="AF135" s="364">
        <v>0</v>
      </c>
      <c r="AG135" s="18">
        <f t="shared" si="138"/>
        <v>277213600</v>
      </c>
      <c r="AH135" s="19">
        <f t="shared" si="139"/>
        <v>11501400</v>
      </c>
      <c r="AI135" s="15">
        <f t="shared" si="140"/>
        <v>72786400</v>
      </c>
      <c r="AJ135" s="16">
        <f t="shared" si="141"/>
        <v>72786400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+IF(JULIO!S136=0,"",JULIO!S136)</f>
        <v>2010200-13</v>
      </c>
      <c r="T136" s="664" t="str">
        <f>+IF(JULIO!T136=0,"",JULIO!T136)</f>
        <v/>
      </c>
      <c r="U136" s="27">
        <f>+ENERO!U136</f>
        <v>0</v>
      </c>
      <c r="V136" s="15">
        <f>JULIO!V136+AGOSTO!AL136</f>
        <v>0</v>
      </c>
      <c r="W136" s="15">
        <f>JULIO!W136+AGOSTO!AM136</f>
        <v>0</v>
      </c>
      <c r="X136" s="18">
        <f t="shared" si="135"/>
        <v>0</v>
      </c>
      <c r="Y136" s="19">
        <f>JULIO!AA136</f>
        <v>0</v>
      </c>
      <c r="Z136" s="364">
        <v>0</v>
      </c>
      <c r="AA136" s="18">
        <f t="shared" si="136"/>
        <v>0</v>
      </c>
      <c r="AB136" s="19">
        <f>JULIO!AD136</f>
        <v>0</v>
      </c>
      <c r="AC136" s="364">
        <v>0</v>
      </c>
      <c r="AD136" s="18">
        <f t="shared" si="137"/>
        <v>0</v>
      </c>
      <c r="AE136" s="19">
        <f>JULIO!AG136</f>
        <v>0</v>
      </c>
      <c r="AF136" s="364">
        <v>0</v>
      </c>
      <c r="AG136" s="1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+IF(JULIO!S137=0,"",JULIO!S137)</f>
        <v>2010020-14</v>
      </c>
      <c r="T137" s="664" t="str">
        <f>+IF(JULIO!T137=0,"",JULIO!T137)</f>
        <v/>
      </c>
      <c r="U137" s="27">
        <f>+ENERO!U137</f>
        <v>0</v>
      </c>
      <c r="V137" s="15">
        <f>JULIO!V137+AGOSTO!AL137</f>
        <v>0</v>
      </c>
      <c r="W137" s="15">
        <f>JULIO!W137+AGOSTO!AM137</f>
        <v>0</v>
      </c>
      <c r="X137" s="18">
        <f t="shared" si="135"/>
        <v>0</v>
      </c>
      <c r="Y137" s="19">
        <f>JULIO!AA137</f>
        <v>0</v>
      </c>
      <c r="Z137" s="364">
        <v>0</v>
      </c>
      <c r="AA137" s="18">
        <f t="shared" si="136"/>
        <v>0</v>
      </c>
      <c r="AB137" s="19">
        <f>JULIO!AD137</f>
        <v>0</v>
      </c>
      <c r="AC137" s="364">
        <v>0</v>
      </c>
      <c r="AD137" s="18">
        <f t="shared" si="137"/>
        <v>0</v>
      </c>
      <c r="AE137" s="19">
        <f>JULIO!AG137</f>
        <v>0</v>
      </c>
      <c r="AF137" s="364">
        <v>0</v>
      </c>
      <c r="AG137" s="1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+IF(JULIO!S138=0,"",JULIO!S138)</f>
        <v>2010200-15</v>
      </c>
      <c r="T138" s="664" t="str">
        <f>+IF(JULIO!T138=0,"",JULIO!T138)</f>
        <v/>
      </c>
      <c r="U138" s="27">
        <f>+ENERO!U138</f>
        <v>0</v>
      </c>
      <c r="V138" s="15">
        <f>JULIO!V138+AGOSTO!AL138</f>
        <v>0</v>
      </c>
      <c r="W138" s="15">
        <f>JULIO!W138+AGOSTO!AM138</f>
        <v>0</v>
      </c>
      <c r="X138" s="18">
        <f t="shared" si="135"/>
        <v>0</v>
      </c>
      <c r="Y138" s="19">
        <f>JULIO!AA138</f>
        <v>0</v>
      </c>
      <c r="Z138" s="364">
        <v>0</v>
      </c>
      <c r="AA138" s="18">
        <f t="shared" si="136"/>
        <v>0</v>
      </c>
      <c r="AB138" s="19">
        <f>JULIO!AD138</f>
        <v>0</v>
      </c>
      <c r="AC138" s="364">
        <v>0</v>
      </c>
      <c r="AD138" s="18">
        <f t="shared" si="137"/>
        <v>0</v>
      </c>
      <c r="AE138" s="19">
        <f>JULIO!AG138</f>
        <v>0</v>
      </c>
      <c r="AF138" s="364">
        <v>0</v>
      </c>
      <c r="AG138" s="1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+IF(JULIO!S139=0,"",JULIO!S139)</f>
        <v>2010299</v>
      </c>
      <c r="T139" s="664" t="str">
        <f>+IF(JULIO!T139=0,"",JULIO!T139)</f>
        <v>Vigencias Anteriores</v>
      </c>
      <c r="U139" s="27">
        <f>+ENERO!U139</f>
        <v>100000000</v>
      </c>
      <c r="V139" s="15">
        <f>JULIO!V139+AGOSTO!AL139</f>
        <v>110000000</v>
      </c>
      <c r="W139" s="15">
        <f>JULIO!W139+AGOSTO!AM139</f>
        <v>330000000</v>
      </c>
      <c r="X139" s="18">
        <f t="shared" si="135"/>
        <v>540000000</v>
      </c>
      <c r="Y139" s="19">
        <f>JULIO!AA139</f>
        <v>399382937</v>
      </c>
      <c r="Z139" s="364">
        <v>49510874</v>
      </c>
      <c r="AA139" s="18">
        <f t="shared" si="136"/>
        <v>448893811</v>
      </c>
      <c r="AB139" s="19">
        <f>JULIO!AD139</f>
        <v>399382937</v>
      </c>
      <c r="AC139" s="364">
        <v>49510874</v>
      </c>
      <c r="AD139" s="18">
        <f t="shared" si="137"/>
        <v>448893811</v>
      </c>
      <c r="AE139" s="19">
        <f>JULIO!AG139</f>
        <v>399382937</v>
      </c>
      <c r="AF139" s="364">
        <v>49510874</v>
      </c>
      <c r="AG139" s="18">
        <f t="shared" si="138"/>
        <v>448893811</v>
      </c>
      <c r="AH139" s="19">
        <f t="shared" si="139"/>
        <v>91106189</v>
      </c>
      <c r="AI139" s="15">
        <f t="shared" si="140"/>
        <v>91106189</v>
      </c>
      <c r="AJ139" s="16">
        <f t="shared" si="141"/>
        <v>91106189</v>
      </c>
      <c r="AK139" s="9"/>
      <c r="AL139" s="362">
        <v>60000000</v>
      </c>
      <c r="AM139" s="365">
        <v>80000000</v>
      </c>
      <c r="AN139" s="9"/>
      <c r="AO139" s="284"/>
      <c r="AP139" s="284"/>
      <c r="AQ139" s="284"/>
    </row>
    <row r="140" spans="1:52" s="372" customFormat="1" ht="24.95" customHeight="1">
      <c r="A140" s="734"/>
      <c r="B140" s="643"/>
      <c r="N140" s="9"/>
      <c r="R140" s="9"/>
      <c r="S140" s="356" t="str">
        <f>+IF(JULIO!S140=0,"",JULIO!S140)</f>
        <v/>
      </c>
      <c r="T140" s="678" t="str">
        <f>+IF(JULIO!T140=0,"",JULIO!T140)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+IF(JULIO!S141=0,"",JULIO!S141)</f>
        <v>2010300</v>
      </c>
      <c r="T141" s="663" t="str">
        <f>+IF(JULIO!T141=0,"",JULIO!T141)</f>
        <v>Impuestos y Multas</v>
      </c>
      <c r="U141" s="132">
        <f t="shared" ref="U141:AJ141" si="144">U142+U143</f>
        <v>527082264</v>
      </c>
      <c r="V141" s="122">
        <f t="shared" si="144"/>
        <v>0</v>
      </c>
      <c r="W141" s="122">
        <f t="shared" si="144"/>
        <v>0</v>
      </c>
      <c r="X141" s="129">
        <f t="shared" si="144"/>
        <v>527082264</v>
      </c>
      <c r="Y141" s="128">
        <f t="shared" si="144"/>
        <v>181218154</v>
      </c>
      <c r="Z141" s="122">
        <f t="shared" si="144"/>
        <v>16679498</v>
      </c>
      <c r="AA141" s="129">
        <f t="shared" si="144"/>
        <v>197897652</v>
      </c>
      <c r="AB141" s="128">
        <f t="shared" si="144"/>
        <v>181218154</v>
      </c>
      <c r="AC141" s="122">
        <f t="shared" si="144"/>
        <v>16679498</v>
      </c>
      <c r="AD141" s="129">
        <f t="shared" si="144"/>
        <v>197897652</v>
      </c>
      <c r="AE141" s="128">
        <f t="shared" si="144"/>
        <v>181218154</v>
      </c>
      <c r="AF141" s="122">
        <f t="shared" si="144"/>
        <v>16679498</v>
      </c>
      <c r="AG141" s="129">
        <f t="shared" si="144"/>
        <v>197897652</v>
      </c>
      <c r="AH141" s="128">
        <f t="shared" si="144"/>
        <v>329184612</v>
      </c>
      <c r="AI141" s="122">
        <f t="shared" si="144"/>
        <v>329184612</v>
      </c>
      <c r="AJ141" s="130">
        <f t="shared" si="144"/>
        <v>329184612</v>
      </c>
      <c r="AK141" s="10"/>
      <c r="AL141" s="128">
        <f>AL142+AL143</f>
        <v>0</v>
      </c>
      <c r="AM141" s="130">
        <f>AM142+AM143</f>
        <v>0</v>
      </c>
      <c r="AN141" s="9"/>
    </row>
    <row r="142" spans="1:52" s="372" customFormat="1" ht="24.95" customHeight="1">
      <c r="A142" s="734"/>
      <c r="B142" s="643"/>
      <c r="N142" s="9"/>
      <c r="R142" s="9"/>
      <c r="S142" s="688" t="str">
        <f>+IF(JULIO!S142=0,"",JULIO!S142)</f>
        <v>2010300-1</v>
      </c>
      <c r="T142" s="664" t="str">
        <f>+IF(JULIO!T142=0,"",JULIO!T142)</f>
        <v>Impuestos (Predial, Vehiculos, Otros)</v>
      </c>
      <c r="U142" s="27">
        <f>+ENERO!U142</f>
        <v>527082264</v>
      </c>
      <c r="V142" s="15">
        <f>JULIO!V142+AGOSTO!AL142</f>
        <v>0</v>
      </c>
      <c r="W142" s="15">
        <f>JULIO!W142+AGOSTO!AM142</f>
        <v>0</v>
      </c>
      <c r="X142" s="18">
        <f>SUM(U142:W142)</f>
        <v>527082264</v>
      </c>
      <c r="Y142" s="19">
        <f>JULIO!AA142</f>
        <v>181218154</v>
      </c>
      <c r="Z142" s="364">
        <v>16679498</v>
      </c>
      <c r="AA142" s="18">
        <f>SUM(Y142:Z142)</f>
        <v>197897652</v>
      </c>
      <c r="AB142" s="19">
        <f>JULIO!AD142</f>
        <v>181218154</v>
      </c>
      <c r="AC142" s="364">
        <v>16679498</v>
      </c>
      <c r="AD142" s="18">
        <f>SUM(AB142:AC142)</f>
        <v>197897652</v>
      </c>
      <c r="AE142" s="19">
        <f>JULIO!AG142</f>
        <v>181218154</v>
      </c>
      <c r="AF142" s="364">
        <v>16679498</v>
      </c>
      <c r="AG142" s="18">
        <f>SUM(AE142:AF142)</f>
        <v>197897652</v>
      </c>
      <c r="AH142" s="19">
        <f>X142-AA142</f>
        <v>329184612</v>
      </c>
      <c r="AI142" s="15">
        <f>X142-AD142</f>
        <v>329184612</v>
      </c>
      <c r="AJ142" s="16">
        <f>X142-AG142</f>
        <v>329184612</v>
      </c>
      <c r="AK142" s="9"/>
      <c r="AL142" s="362">
        <v>0</v>
      </c>
      <c r="AM142" s="365">
        <v>0</v>
      </c>
      <c r="AN142" s="9"/>
    </row>
    <row r="143" spans="1:52" s="372" customFormat="1" ht="24.95" customHeight="1">
      <c r="A143" s="734"/>
      <c r="B143" s="643"/>
      <c r="N143" s="9"/>
      <c r="R143" s="9"/>
      <c r="S143" s="688">
        <f>+IF(JULIO!S143=0,"",JULIO!S143)</f>
        <v>2010399</v>
      </c>
      <c r="T143" s="664" t="str">
        <f>+IF(JULIO!T143=0,"",JULIO!T143)</f>
        <v>Vigencias Anteriores</v>
      </c>
      <c r="U143" s="27">
        <f>+ENERO!U143</f>
        <v>0</v>
      </c>
      <c r="V143" s="15">
        <f>JULIO!V143+AGOSTO!AL143</f>
        <v>0</v>
      </c>
      <c r="W143" s="15">
        <f>JULIO!W143+AGOSTO!AM143</f>
        <v>0</v>
      </c>
      <c r="X143" s="18">
        <f>SUM(U143:W143)</f>
        <v>0</v>
      </c>
      <c r="Y143" s="19">
        <f>JULIO!AA143</f>
        <v>0</v>
      </c>
      <c r="Z143" s="364">
        <v>0</v>
      </c>
      <c r="AA143" s="18">
        <f>SUM(Y143:Z143)</f>
        <v>0</v>
      </c>
      <c r="AB143" s="19">
        <f>JULIO!AD143</f>
        <v>0</v>
      </c>
      <c r="AC143" s="364">
        <v>0</v>
      </c>
      <c r="AD143" s="18">
        <f>SUM(AB143:AC143)</f>
        <v>0</v>
      </c>
      <c r="AE143" s="19">
        <f>JULIO!AG143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+IF(JULIO!S144=0,"",JULIO!S144)</f>
        <v/>
      </c>
      <c r="T144" s="678" t="str">
        <f>+IF(JULIO!T144=0,"",JULIO!T144)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+IF(JULIO!S145=0,"",JULIO!S145)</f>
        <v>2020010</v>
      </c>
      <c r="T145" s="662" t="str">
        <f>+IF(JULIO!T145=0,"",JULIO!T145)</f>
        <v>Gastos de Operación</v>
      </c>
      <c r="U145" s="132">
        <f t="shared" ref="U145:AJ145" si="145">U147+U155</f>
        <v>5923637263</v>
      </c>
      <c r="V145" s="122">
        <f t="shared" si="145"/>
        <v>362000000</v>
      </c>
      <c r="W145" s="122">
        <f t="shared" si="145"/>
        <v>1380000000</v>
      </c>
      <c r="X145" s="129">
        <f t="shared" si="145"/>
        <v>7665637263</v>
      </c>
      <c r="Y145" s="128">
        <f t="shared" si="145"/>
        <v>6241508409</v>
      </c>
      <c r="Z145" s="122">
        <f t="shared" si="145"/>
        <v>454571949</v>
      </c>
      <c r="AA145" s="129">
        <f t="shared" si="145"/>
        <v>6696080358</v>
      </c>
      <c r="AB145" s="128">
        <f t="shared" si="145"/>
        <v>4574504572</v>
      </c>
      <c r="AC145" s="122">
        <f t="shared" si="145"/>
        <v>664435693</v>
      </c>
      <c r="AD145" s="129">
        <f t="shared" si="145"/>
        <v>5238940265</v>
      </c>
      <c r="AE145" s="128">
        <f t="shared" si="145"/>
        <v>3485959216</v>
      </c>
      <c r="AF145" s="122">
        <f t="shared" si="145"/>
        <v>585932227</v>
      </c>
      <c r="AG145" s="129">
        <f t="shared" si="145"/>
        <v>4071891443</v>
      </c>
      <c r="AH145" s="128">
        <f t="shared" si="145"/>
        <v>969556905</v>
      </c>
      <c r="AI145" s="122">
        <f t="shared" si="145"/>
        <v>2426696998</v>
      </c>
      <c r="AJ145" s="130">
        <f t="shared" si="145"/>
        <v>3593745820</v>
      </c>
      <c r="AK145" s="10"/>
      <c r="AL145" s="128">
        <f>AL147+AL155</f>
        <v>70000000</v>
      </c>
      <c r="AM145" s="130">
        <f>AM147+AM155</f>
        <v>80000000</v>
      </c>
      <c r="AN145" s="9"/>
    </row>
    <row r="146" spans="1:40" s="372" customFormat="1" ht="24.95" customHeight="1">
      <c r="A146" s="734"/>
      <c r="B146" s="643"/>
      <c r="N146" s="9"/>
      <c r="R146" s="9"/>
      <c r="S146" s="689" t="str">
        <f>+IF(JULIO!S146=0,"",JULIO!S146)</f>
        <v/>
      </c>
      <c r="T146" s="665" t="str">
        <f>+IF(JULIO!T146=0,"",JULIO!T146)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+IF(JULIO!S147=0,"",JULIO!S147)</f>
        <v>2020100</v>
      </c>
      <c r="T147" s="663" t="str">
        <f>+IF(JULIO!T147=0,"",JULIO!T147)</f>
        <v>Adquisición de bienes</v>
      </c>
      <c r="U147" s="132">
        <f t="shared" ref="U147:AJ147" si="146">SUM(U148:U149)+U153</f>
        <v>1211000000</v>
      </c>
      <c r="V147" s="122">
        <f t="shared" si="146"/>
        <v>-438000000</v>
      </c>
      <c r="W147" s="122">
        <f t="shared" si="146"/>
        <v>100000000</v>
      </c>
      <c r="X147" s="129">
        <f t="shared" si="146"/>
        <v>873000000</v>
      </c>
      <c r="Y147" s="128">
        <f t="shared" si="146"/>
        <v>429637323</v>
      </c>
      <c r="Z147" s="122">
        <f t="shared" si="146"/>
        <v>63084285</v>
      </c>
      <c r="AA147" s="129">
        <f t="shared" si="146"/>
        <v>492721608</v>
      </c>
      <c r="AB147" s="128">
        <f t="shared" si="146"/>
        <v>337735849</v>
      </c>
      <c r="AC147" s="122">
        <f t="shared" si="146"/>
        <v>56119235</v>
      </c>
      <c r="AD147" s="129">
        <f t="shared" si="146"/>
        <v>393855084</v>
      </c>
      <c r="AE147" s="128">
        <f t="shared" si="146"/>
        <v>282758588</v>
      </c>
      <c r="AF147" s="122">
        <f t="shared" si="146"/>
        <v>40324281</v>
      </c>
      <c r="AG147" s="129">
        <f t="shared" si="146"/>
        <v>323082869</v>
      </c>
      <c r="AH147" s="128">
        <f t="shared" si="146"/>
        <v>380278392</v>
      </c>
      <c r="AI147" s="122">
        <f t="shared" si="146"/>
        <v>479144916</v>
      </c>
      <c r="AJ147" s="130">
        <f t="shared" si="146"/>
        <v>549917131</v>
      </c>
      <c r="AK147" s="9"/>
      <c r="AL147" s="128">
        <f>SUM(AL148:AL149)+AL153</f>
        <v>-130000000</v>
      </c>
      <c r="AM147" s="130">
        <f>SUM(AM148:AM149)+AM153</f>
        <v>0</v>
      </c>
      <c r="AN147" s="9"/>
    </row>
    <row r="148" spans="1:40" s="372" customFormat="1" ht="24.95" customHeight="1">
      <c r="A148" s="734"/>
      <c r="B148" s="643"/>
      <c r="N148" s="9"/>
      <c r="R148" s="9"/>
      <c r="S148" s="688">
        <f>+IF(JULIO!S148=0,"",JULIO!S148)</f>
        <v>2020101</v>
      </c>
      <c r="T148" s="664" t="str">
        <f>+IF(JULIO!T148=0,"",JULIO!T148)</f>
        <v>Mantenimiento Hospitalario</v>
      </c>
      <c r="U148" s="27">
        <f>+ENERO!U148</f>
        <v>1000000000</v>
      </c>
      <c r="V148" s="15">
        <f>JULIO!V148+AGOSTO!AL148</f>
        <v>-438000000</v>
      </c>
      <c r="W148" s="15">
        <f>JULIO!W148+AGOSTO!AM148</f>
        <v>0</v>
      </c>
      <c r="X148" s="18">
        <f>SUM(U148:W148)</f>
        <v>562000000</v>
      </c>
      <c r="Y148" s="19">
        <f>JULIO!AA148</f>
        <v>203501796</v>
      </c>
      <c r="Z148" s="364">
        <v>61299285</v>
      </c>
      <c r="AA148" s="18">
        <f>SUM(Y148:Z148)</f>
        <v>264801081</v>
      </c>
      <c r="AB148" s="19">
        <f>JULIO!AD148</f>
        <v>111600322</v>
      </c>
      <c r="AC148" s="364">
        <v>54334235</v>
      </c>
      <c r="AD148" s="18">
        <f>SUM(AB148:AC148)</f>
        <v>165934557</v>
      </c>
      <c r="AE148" s="19">
        <f>JULIO!AG148</f>
        <v>94372741</v>
      </c>
      <c r="AF148" s="364">
        <v>20183031</v>
      </c>
      <c r="AG148" s="18">
        <f>SUM(AE148:AF148)</f>
        <v>114555772</v>
      </c>
      <c r="AH148" s="19">
        <f>X148-AA148</f>
        <v>297198919</v>
      </c>
      <c r="AI148" s="15">
        <f>X148-AD148</f>
        <v>396065443</v>
      </c>
      <c r="AJ148" s="16">
        <f>X148-AG148</f>
        <v>447444228</v>
      </c>
      <c r="AK148" s="9"/>
      <c r="AL148" s="362">
        <v>-130000000</v>
      </c>
      <c r="AM148" s="365">
        <v>0</v>
      </c>
      <c r="AN148" s="9"/>
    </row>
    <row r="149" spans="1:40" s="372" customFormat="1" ht="24.95" customHeight="1">
      <c r="A149" s="734"/>
      <c r="B149" s="643"/>
      <c r="N149" s="9"/>
      <c r="R149" s="9"/>
      <c r="S149" s="688">
        <f>+IF(JULIO!S149=0,"",JULIO!S149)</f>
        <v>2020102</v>
      </c>
      <c r="T149" s="664" t="str">
        <f>+IF(JULIO!T149=0,"",JULIO!T149)</f>
        <v>Otros</v>
      </c>
      <c r="U149" s="27">
        <f t="shared" ref="U149:AJ149" si="147">SUM(U150:U152)</f>
        <v>150000000</v>
      </c>
      <c r="V149" s="15">
        <f t="shared" si="147"/>
        <v>0</v>
      </c>
      <c r="W149" s="15">
        <f t="shared" si="147"/>
        <v>0</v>
      </c>
      <c r="X149" s="18">
        <f t="shared" si="147"/>
        <v>150000000</v>
      </c>
      <c r="Y149" s="19">
        <f t="shared" si="147"/>
        <v>78952121</v>
      </c>
      <c r="Z149" s="142">
        <f t="shared" si="147"/>
        <v>0</v>
      </c>
      <c r="AA149" s="18">
        <f t="shared" si="147"/>
        <v>78952121</v>
      </c>
      <c r="AB149" s="19">
        <f t="shared" si="147"/>
        <v>78952121</v>
      </c>
      <c r="AC149" s="142">
        <f t="shared" si="147"/>
        <v>0</v>
      </c>
      <c r="AD149" s="18">
        <f t="shared" si="147"/>
        <v>78952121</v>
      </c>
      <c r="AE149" s="19">
        <f t="shared" si="147"/>
        <v>41202441</v>
      </c>
      <c r="AF149" s="142">
        <f t="shared" si="147"/>
        <v>18356250</v>
      </c>
      <c r="AG149" s="18">
        <f t="shared" si="147"/>
        <v>59558691</v>
      </c>
      <c r="AH149" s="19">
        <f t="shared" si="147"/>
        <v>71047879</v>
      </c>
      <c r="AI149" s="15">
        <f t="shared" si="147"/>
        <v>71047879</v>
      </c>
      <c r="AJ149" s="16">
        <f t="shared" si="147"/>
        <v>90441309</v>
      </c>
      <c r="AK149" s="9"/>
      <c r="AL149" s="29">
        <f>SUM(AL150:AL152)</f>
        <v>0</v>
      </c>
      <c r="AM149" s="26">
        <f>SUM(AM150:AM152)</f>
        <v>0</v>
      </c>
      <c r="AN149" s="9"/>
    </row>
    <row r="150" spans="1:40" s="372" customFormat="1" ht="24.95" customHeight="1">
      <c r="A150" s="734"/>
      <c r="B150" s="643"/>
      <c r="N150" s="9"/>
      <c r="R150" s="9"/>
      <c r="S150" s="689" t="str">
        <f>+IF(JULIO!S150=0,"",JULIO!S150)</f>
        <v>2020102-1</v>
      </c>
      <c r="T150" s="664" t="str">
        <f>+IF(JULIO!T150=0,"",JULIO!T150)</f>
        <v>Compra de Equipo e Instr. Mco. y Laborat.</v>
      </c>
      <c r="U150" s="27">
        <f>+ENERO!U150</f>
        <v>150000000</v>
      </c>
      <c r="V150" s="15">
        <f>JULIO!V150+AGOSTO!AL150</f>
        <v>0</v>
      </c>
      <c r="W150" s="15">
        <f>JULIO!W150+AGOSTO!AM150</f>
        <v>0</v>
      </c>
      <c r="X150" s="18">
        <f>SUM(U150:W150)</f>
        <v>150000000</v>
      </c>
      <c r="Y150" s="19">
        <f>JULIO!AA150</f>
        <v>78952121</v>
      </c>
      <c r="Z150" s="364">
        <v>0</v>
      </c>
      <c r="AA150" s="18">
        <f>SUM(Y150:Z150)</f>
        <v>78952121</v>
      </c>
      <c r="AB150" s="19">
        <f>JULIO!AD150</f>
        <v>78952121</v>
      </c>
      <c r="AC150" s="364">
        <v>0</v>
      </c>
      <c r="AD150" s="18">
        <f>SUM(AB150:AC150)</f>
        <v>78952121</v>
      </c>
      <c r="AE150" s="19">
        <f>JULIO!AG150</f>
        <v>41202441</v>
      </c>
      <c r="AF150" s="364">
        <v>18356250</v>
      </c>
      <c r="AG150" s="18">
        <f>SUM(AE150:AF150)</f>
        <v>59558691</v>
      </c>
      <c r="AH150" s="19">
        <f>X150-AA150</f>
        <v>71047879</v>
      </c>
      <c r="AI150" s="15">
        <f>X150-AD150</f>
        <v>71047879</v>
      </c>
      <c r="AJ150" s="16">
        <f>X150-AG150</f>
        <v>90441309</v>
      </c>
      <c r="AK150" s="9"/>
      <c r="AL150" s="362">
        <v>0</v>
      </c>
      <c r="AM150" s="365">
        <v>0</v>
      </c>
      <c r="AN150" s="9"/>
    </row>
    <row r="151" spans="1:40" s="372" customFormat="1" ht="24.95" customHeight="1">
      <c r="A151" s="734"/>
      <c r="B151" s="643"/>
      <c r="N151" s="9"/>
      <c r="R151" s="9"/>
      <c r="S151" s="689" t="str">
        <f>+IF(JULIO!S151=0,"",JULIO!S151)</f>
        <v>2020102-2</v>
      </c>
      <c r="T151" s="664" t="str">
        <f>+IF(JULIO!T151=0,"",JULIO!T151)</f>
        <v>Materiales</v>
      </c>
      <c r="U151" s="27">
        <f>+ENERO!U151</f>
        <v>0</v>
      </c>
      <c r="V151" s="15">
        <f>JULIO!V151+AGOSTO!AL151</f>
        <v>0</v>
      </c>
      <c r="W151" s="15">
        <f>JULIO!W151+AGOSTO!AM151</f>
        <v>0</v>
      </c>
      <c r="X151" s="18">
        <f>SUM(U151:W151)</f>
        <v>0</v>
      </c>
      <c r="Y151" s="19">
        <f>JULIO!AA151</f>
        <v>0</v>
      </c>
      <c r="Z151" s="364">
        <v>0</v>
      </c>
      <c r="AA151" s="18">
        <f>SUM(Y151:Z151)</f>
        <v>0</v>
      </c>
      <c r="AB151" s="19">
        <f>JULIO!AD151</f>
        <v>0</v>
      </c>
      <c r="AC151" s="364">
        <v>0</v>
      </c>
      <c r="AD151" s="18">
        <f>SUM(AB151:AC151)</f>
        <v>0</v>
      </c>
      <c r="AE151" s="19">
        <f>JULIO!AG151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+IF(JULIO!S152=0,"",JULIO!S152)</f>
        <v>2020102-3</v>
      </c>
      <c r="T152" s="664" t="str">
        <f>+IF(JULIO!T152=0,"",JULIO!T152)</f>
        <v/>
      </c>
      <c r="U152" s="27">
        <f>+ENERO!U152</f>
        <v>0</v>
      </c>
      <c r="V152" s="15">
        <f>JULIO!V152+AGOSTO!AL152</f>
        <v>0</v>
      </c>
      <c r="W152" s="15">
        <f>JULIO!W152+AGOSTO!AM152</f>
        <v>0</v>
      </c>
      <c r="X152" s="18">
        <f>SUM(U152:W152)</f>
        <v>0</v>
      </c>
      <c r="Y152" s="19">
        <f>JULIO!AA152</f>
        <v>0</v>
      </c>
      <c r="Z152" s="364">
        <v>0</v>
      </c>
      <c r="AA152" s="18">
        <f>SUM(Y152:Z152)</f>
        <v>0</v>
      </c>
      <c r="AB152" s="19">
        <f>JULIO!AD152</f>
        <v>0</v>
      </c>
      <c r="AC152" s="364">
        <v>0</v>
      </c>
      <c r="AD152" s="18">
        <f>SUM(AB152:AC152)</f>
        <v>0</v>
      </c>
      <c r="AE152" s="19">
        <f>JULIO!AG152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+IF(JULIO!S153=0,"",JULIO!S153)</f>
        <v>2020199</v>
      </c>
      <c r="T153" s="664" t="str">
        <f>+IF(JULIO!T153=0,"",JULIO!T153)</f>
        <v>Vigencias Anteriores</v>
      </c>
      <c r="U153" s="27">
        <f>+ENERO!U153</f>
        <v>61000000</v>
      </c>
      <c r="V153" s="15">
        <f>JULIO!V153+AGOSTO!AL153</f>
        <v>0</v>
      </c>
      <c r="W153" s="15">
        <f>JULIO!W153+AGOSTO!AM153</f>
        <v>100000000</v>
      </c>
      <c r="X153" s="18">
        <f>SUM(U153:W153)</f>
        <v>161000000</v>
      </c>
      <c r="Y153" s="19">
        <f>JULIO!AA153</f>
        <v>147183406</v>
      </c>
      <c r="Z153" s="364">
        <v>1785000</v>
      </c>
      <c r="AA153" s="18">
        <f>SUM(Y153:Z153)</f>
        <v>148968406</v>
      </c>
      <c r="AB153" s="19">
        <f>JULIO!AD153</f>
        <v>147183406</v>
      </c>
      <c r="AC153" s="364">
        <v>1785000</v>
      </c>
      <c r="AD153" s="18">
        <f>SUM(AB153:AC153)</f>
        <v>148968406</v>
      </c>
      <c r="AE153" s="19">
        <f>JULIO!AG153</f>
        <v>147183406</v>
      </c>
      <c r="AF153" s="364">
        <v>1785000</v>
      </c>
      <c r="AG153" s="18">
        <f>SUM(AE153:AF153)</f>
        <v>148968406</v>
      </c>
      <c r="AH153" s="19">
        <f>X153-AA153</f>
        <v>12031594</v>
      </c>
      <c r="AI153" s="15">
        <f>X153-AD153</f>
        <v>12031594</v>
      </c>
      <c r="AJ153" s="16">
        <f>X153-AG153</f>
        <v>12031594</v>
      </c>
      <c r="AK153" s="9"/>
      <c r="AL153" s="362">
        <v>0</v>
      </c>
      <c r="AM153" s="365">
        <v>0</v>
      </c>
      <c r="AN153" s="9"/>
    </row>
    <row r="154" spans="1:40" s="372" customFormat="1" ht="24.95" customHeight="1">
      <c r="A154" s="734"/>
      <c r="B154" s="643"/>
      <c r="N154" s="9"/>
      <c r="R154" s="9"/>
      <c r="S154" s="356" t="str">
        <f>+IF(JULIO!S154=0,"",JULIO!S154)</f>
        <v/>
      </c>
      <c r="T154" s="678" t="str">
        <f>+IF(JULIO!T154=0,"",JULIO!T154)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+IF(JULIO!S155=0,"",JULIO!S155)</f>
        <v>2020200</v>
      </c>
      <c r="T155" s="663" t="str">
        <f>+IF(JULIO!T155=0,"",JULIO!T155)</f>
        <v>Adquisición de Servicios</v>
      </c>
      <c r="U155" s="132">
        <f t="shared" ref="U155:AJ155" si="148">SUM(U156:U157)+U168</f>
        <v>4712637263</v>
      </c>
      <c r="V155" s="122">
        <f t="shared" si="148"/>
        <v>800000000</v>
      </c>
      <c r="W155" s="122">
        <f t="shared" si="148"/>
        <v>1280000000</v>
      </c>
      <c r="X155" s="129">
        <f t="shared" si="148"/>
        <v>6792637263</v>
      </c>
      <c r="Y155" s="128">
        <f t="shared" si="148"/>
        <v>5811871086</v>
      </c>
      <c r="Z155" s="122">
        <f t="shared" si="148"/>
        <v>391487664</v>
      </c>
      <c r="AA155" s="129">
        <f t="shared" si="148"/>
        <v>6203358750</v>
      </c>
      <c r="AB155" s="128">
        <f t="shared" si="148"/>
        <v>4236768723</v>
      </c>
      <c r="AC155" s="122">
        <f t="shared" si="148"/>
        <v>608316458</v>
      </c>
      <c r="AD155" s="129">
        <f t="shared" si="148"/>
        <v>4845085181</v>
      </c>
      <c r="AE155" s="128">
        <f t="shared" si="148"/>
        <v>3203200628</v>
      </c>
      <c r="AF155" s="122">
        <f t="shared" si="148"/>
        <v>545607946</v>
      </c>
      <c r="AG155" s="129">
        <f t="shared" si="148"/>
        <v>3748808574</v>
      </c>
      <c r="AH155" s="128">
        <f t="shared" si="148"/>
        <v>589278513</v>
      </c>
      <c r="AI155" s="122">
        <f t="shared" si="148"/>
        <v>1947552082</v>
      </c>
      <c r="AJ155" s="130">
        <f t="shared" si="148"/>
        <v>3043828689</v>
      </c>
      <c r="AK155" s="9"/>
      <c r="AL155" s="128">
        <f>SUM(AL156:AL157)+AL168</f>
        <v>200000000</v>
      </c>
      <c r="AM155" s="130">
        <f>SUM(AM156:AM157)+AM168</f>
        <v>80000000</v>
      </c>
      <c r="AN155" s="9"/>
    </row>
    <row r="156" spans="1:40" s="372" customFormat="1" ht="24.95" customHeight="1">
      <c r="A156" s="734"/>
      <c r="B156" s="643"/>
      <c r="N156" s="9"/>
      <c r="P156" s="9"/>
      <c r="Q156" s="9"/>
      <c r="R156" s="9"/>
      <c r="S156" s="688">
        <f>+IF(JULIO!S156=0,"",JULIO!S156)</f>
        <v>2020201</v>
      </c>
      <c r="T156" s="664" t="str">
        <f>+IF(JULIO!T156=0,"",JULIO!T156)</f>
        <v>Mantenimiento Hospitalario</v>
      </c>
      <c r="U156" s="27">
        <f>+ENERO!U156</f>
        <v>2002025000</v>
      </c>
      <c r="V156" s="15">
        <f>JULIO!V156+AGOSTO!AL156</f>
        <v>630000000</v>
      </c>
      <c r="W156" s="15">
        <f>JULIO!W156+AGOSTO!AM156</f>
        <v>0</v>
      </c>
      <c r="X156" s="18">
        <f>SUM(U156:W156)</f>
        <v>2632025000</v>
      </c>
      <c r="Y156" s="19">
        <f>JULIO!AA156</f>
        <v>2385726279</v>
      </c>
      <c r="Z156" s="364">
        <v>137262403</v>
      </c>
      <c r="AA156" s="18">
        <f>SUM(Y156:Z156)</f>
        <v>2522988682</v>
      </c>
      <c r="AB156" s="19">
        <f>JULIO!AD156</f>
        <v>1641834329</v>
      </c>
      <c r="AC156" s="364">
        <v>171506737</v>
      </c>
      <c r="AD156" s="18">
        <f>SUM(AB156:AC156)</f>
        <v>1813341066</v>
      </c>
      <c r="AE156" s="19">
        <f>JULIO!AG156</f>
        <v>1365194849</v>
      </c>
      <c r="AF156" s="364">
        <v>154142514</v>
      </c>
      <c r="AG156" s="18">
        <f>SUM(AE156:AF156)</f>
        <v>1519337363</v>
      </c>
      <c r="AH156" s="19">
        <f>X156-AA156</f>
        <v>109036318</v>
      </c>
      <c r="AI156" s="15">
        <f>X156-AD156</f>
        <v>818683934</v>
      </c>
      <c r="AJ156" s="16">
        <f>X156-AG156</f>
        <v>1112687637</v>
      </c>
      <c r="AK156" s="9"/>
      <c r="AL156" s="362">
        <v>130000000</v>
      </c>
      <c r="AM156" s="365">
        <v>0</v>
      </c>
      <c r="AN156" s="9"/>
    </row>
    <row r="157" spans="1:40" s="372" customFormat="1" ht="24.95" customHeight="1">
      <c r="A157" s="734"/>
      <c r="B157" s="643"/>
      <c r="N157" s="9"/>
      <c r="P157" s="9"/>
      <c r="Q157" s="9"/>
      <c r="R157" s="9"/>
      <c r="S157" s="688">
        <f>+IF(JULIO!S157=0,"",JULIO!S157)</f>
        <v>2020202</v>
      </c>
      <c r="T157" s="664" t="str">
        <f>+IF(JULIO!T157=0,"",JULIO!T157)</f>
        <v>Otros</v>
      </c>
      <c r="U157" s="27">
        <f t="shared" ref="U157:AJ157" si="149">SUM(U158:U167)</f>
        <v>2609712263</v>
      </c>
      <c r="V157" s="15">
        <f t="shared" si="149"/>
        <v>0</v>
      </c>
      <c r="W157" s="15">
        <f t="shared" si="149"/>
        <v>500000000</v>
      </c>
      <c r="X157" s="18">
        <f t="shared" si="149"/>
        <v>3109712263</v>
      </c>
      <c r="Y157" s="19">
        <f t="shared" si="149"/>
        <v>2662885255</v>
      </c>
      <c r="Z157" s="142">
        <f t="shared" si="149"/>
        <v>82149253</v>
      </c>
      <c r="AA157" s="18">
        <f t="shared" si="149"/>
        <v>2745034508</v>
      </c>
      <c r="AB157" s="19">
        <f t="shared" si="149"/>
        <v>1831674842</v>
      </c>
      <c r="AC157" s="142">
        <f t="shared" si="149"/>
        <v>264733713</v>
      </c>
      <c r="AD157" s="18">
        <f t="shared" si="149"/>
        <v>2096408555</v>
      </c>
      <c r="AE157" s="19">
        <f t="shared" si="149"/>
        <v>1074746227</v>
      </c>
      <c r="AF157" s="142">
        <f t="shared" si="149"/>
        <v>219389424</v>
      </c>
      <c r="AG157" s="18">
        <f t="shared" si="149"/>
        <v>1294135651</v>
      </c>
      <c r="AH157" s="19">
        <f t="shared" si="149"/>
        <v>364677755</v>
      </c>
      <c r="AI157" s="15">
        <f t="shared" si="149"/>
        <v>1013303708</v>
      </c>
      <c r="AJ157" s="16">
        <f t="shared" si="149"/>
        <v>1815576612</v>
      </c>
      <c r="AK157" s="10"/>
      <c r="AL157" s="29">
        <f>SUM(AL158:AL167)</f>
        <v>0</v>
      </c>
      <c r="AM157" s="26">
        <f>SUM(AM158:AM167)</f>
        <v>0</v>
      </c>
      <c r="AN157" s="9"/>
    </row>
    <row r="158" spans="1:40" s="372" customFormat="1" ht="24.95" customHeight="1">
      <c r="A158" s="734"/>
      <c r="B158" s="643"/>
      <c r="N158" s="9"/>
      <c r="P158" s="9"/>
      <c r="Q158" s="9"/>
      <c r="R158" s="9"/>
      <c r="S158" s="689" t="str">
        <f>+IF(JULIO!S158=0,"",JULIO!S158)</f>
        <v>2020202-1</v>
      </c>
      <c r="T158" s="665" t="str">
        <f>+IF(JULIO!T158=0,"",JULIO!T158)</f>
        <v>Seguros</v>
      </c>
      <c r="U158" s="27">
        <f>+ENERO!U158</f>
        <v>200000000</v>
      </c>
      <c r="V158" s="15">
        <f>JULIO!V158+AGOSTO!AL158</f>
        <v>0</v>
      </c>
      <c r="W158" s="15">
        <f>JULIO!W158+AGOSTO!AM158</f>
        <v>0</v>
      </c>
      <c r="X158" s="18">
        <f t="shared" ref="X158:X168" si="150">SUM(U158:W158)</f>
        <v>200000000</v>
      </c>
      <c r="Y158" s="19">
        <f>JULIO!AA158</f>
        <v>137386382</v>
      </c>
      <c r="Z158" s="364">
        <v>61763800</v>
      </c>
      <c r="AA158" s="18">
        <f t="shared" ref="AA158:AA168" si="151">SUM(Y158:Z158)</f>
        <v>199150182</v>
      </c>
      <c r="AB158" s="19">
        <f>JULIO!AD158</f>
        <v>84016150</v>
      </c>
      <c r="AC158" s="364">
        <v>33343649</v>
      </c>
      <c r="AD158" s="18">
        <f t="shared" ref="AD158:AD168" si="152">SUM(AB158:AC158)</f>
        <v>117359799</v>
      </c>
      <c r="AE158" s="19">
        <f>JULIO!AG158</f>
        <v>71500303</v>
      </c>
      <c r="AF158" s="364">
        <v>25629496</v>
      </c>
      <c r="AG158" s="18">
        <f t="shared" ref="AG158:AG168" si="153">SUM(AE158:AF158)</f>
        <v>97129799</v>
      </c>
      <c r="AH158" s="19">
        <f t="shared" ref="AH158:AH168" si="154">X158-AA158</f>
        <v>849818</v>
      </c>
      <c r="AI158" s="15">
        <f t="shared" ref="AI158:AI168" si="155">X158-AD158</f>
        <v>82640201</v>
      </c>
      <c r="AJ158" s="16">
        <f t="shared" ref="AJ158:AJ168" si="156">X158-AG158</f>
        <v>102870201</v>
      </c>
      <c r="AK158" s="9"/>
      <c r="AL158" s="362">
        <v>0</v>
      </c>
      <c r="AM158" s="365">
        <v>0</v>
      </c>
      <c r="AN158" s="9"/>
    </row>
    <row r="159" spans="1:40" s="372" customFormat="1" ht="24.95" customHeight="1">
      <c r="A159" s="734"/>
      <c r="B159" s="643"/>
      <c r="N159" s="9"/>
      <c r="P159" s="9"/>
      <c r="Q159" s="9"/>
      <c r="R159" s="9"/>
      <c r="S159" s="689" t="str">
        <f>+IF(JULIO!S159=0,"",JULIO!S159)</f>
        <v>2020202-2</v>
      </c>
      <c r="T159" s="665" t="str">
        <f>+IF(JULIO!T159=0,"",JULIO!T159)</f>
        <v>Impresos y Publicaciones</v>
      </c>
      <c r="U159" s="27">
        <f>+ENERO!U159</f>
        <v>40000000</v>
      </c>
      <c r="V159" s="15">
        <f>JULIO!V159+AGOSTO!AL159</f>
        <v>0</v>
      </c>
      <c r="W159" s="15">
        <f>JULIO!W159+AGOSTO!AM159</f>
        <v>0</v>
      </c>
      <c r="X159" s="18">
        <f t="shared" si="150"/>
        <v>40000000</v>
      </c>
      <c r="Y159" s="19">
        <f>JULIO!AA159</f>
        <v>28411297</v>
      </c>
      <c r="Z159" s="364">
        <v>6588703</v>
      </c>
      <c r="AA159" s="18">
        <f t="shared" si="151"/>
        <v>35000000</v>
      </c>
      <c r="AB159" s="19">
        <f>JULIO!AD159</f>
        <v>28411297</v>
      </c>
      <c r="AC159" s="364">
        <v>6588703</v>
      </c>
      <c r="AD159" s="18">
        <f t="shared" si="152"/>
        <v>35000000</v>
      </c>
      <c r="AE159" s="19">
        <f>JULIO!AG159</f>
        <v>18120473</v>
      </c>
      <c r="AF159" s="364">
        <v>8788626</v>
      </c>
      <c r="AG159" s="18">
        <f t="shared" si="153"/>
        <v>26909099</v>
      </c>
      <c r="AH159" s="19">
        <f t="shared" si="154"/>
        <v>5000000</v>
      </c>
      <c r="AI159" s="15">
        <f t="shared" si="155"/>
        <v>5000000</v>
      </c>
      <c r="AJ159" s="16">
        <f t="shared" si="156"/>
        <v>13090901</v>
      </c>
      <c r="AK159" s="9"/>
      <c r="AL159" s="362">
        <v>0</v>
      </c>
      <c r="AM159" s="365">
        <v>0</v>
      </c>
      <c r="AN159" s="9"/>
    </row>
    <row r="160" spans="1:40" s="372" customFormat="1" ht="24.95" customHeight="1">
      <c r="A160" s="734"/>
      <c r="B160" s="643"/>
      <c r="N160" s="9"/>
      <c r="P160" s="9"/>
      <c r="Q160" s="9"/>
      <c r="R160" s="9"/>
      <c r="S160" s="689" t="str">
        <f>+IF(JULIO!S160=0,"",JULIO!S160)</f>
        <v>2020202-3</v>
      </c>
      <c r="T160" s="665" t="str">
        <f>+IF(JULIO!T160=0,"",JULIO!T160)</f>
        <v>Pago a otras IPS</v>
      </c>
      <c r="U160" s="27">
        <f>+ENERO!U160</f>
        <v>0</v>
      </c>
      <c r="V160" s="15">
        <f>JULIO!V160+AGOSTO!AL160</f>
        <v>0</v>
      </c>
      <c r="W160" s="15">
        <f>JULIO!W160+AGOSTO!AM160</f>
        <v>0</v>
      </c>
      <c r="X160" s="18">
        <f t="shared" si="150"/>
        <v>0</v>
      </c>
      <c r="Y160" s="19">
        <f>JULIO!AA160</f>
        <v>0</v>
      </c>
      <c r="Z160" s="364">
        <v>0</v>
      </c>
      <c r="AA160" s="18">
        <f t="shared" si="151"/>
        <v>0</v>
      </c>
      <c r="AB160" s="19">
        <f>JULIO!AD160</f>
        <v>0</v>
      </c>
      <c r="AC160" s="364">
        <v>0</v>
      </c>
      <c r="AD160" s="18">
        <f t="shared" si="152"/>
        <v>0</v>
      </c>
      <c r="AE160" s="19">
        <f>JULIO!AG160</f>
        <v>0</v>
      </c>
      <c r="AF160" s="364">
        <v>0</v>
      </c>
      <c r="AG160" s="18">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N161" s="9"/>
      <c r="P161" s="9"/>
      <c r="Q161" s="9"/>
      <c r="R161" s="9"/>
      <c r="S161" s="689" t="str">
        <f>+IF(JULIO!S161=0,"",JULIO!S161)</f>
        <v>2020202-4</v>
      </c>
      <c r="T161" s="665" t="str">
        <f>+IF(JULIO!T161=0,"",JULIO!T161)</f>
        <v>Comunicaciones y Transportes</v>
      </c>
      <c r="U161" s="27">
        <f>+ENERO!U161</f>
        <v>5000000</v>
      </c>
      <c r="V161" s="15">
        <f>JULIO!V161+AGOSTO!AL161</f>
        <v>0</v>
      </c>
      <c r="W161" s="15">
        <f>JULIO!W161+AGOSTO!AM161</f>
        <v>0</v>
      </c>
      <c r="X161" s="18">
        <f t="shared" si="150"/>
        <v>5000000</v>
      </c>
      <c r="Y161" s="19">
        <f>JULIO!AA161</f>
        <v>0</v>
      </c>
      <c r="Z161" s="364">
        <v>320000</v>
      </c>
      <c r="AA161" s="18">
        <f t="shared" si="151"/>
        <v>320000</v>
      </c>
      <c r="AB161" s="19">
        <f>JULIO!AD161</f>
        <v>0</v>
      </c>
      <c r="AC161" s="364">
        <v>320000</v>
      </c>
      <c r="AD161" s="18">
        <f t="shared" si="152"/>
        <v>320000</v>
      </c>
      <c r="AE161" s="19">
        <f>JULIO!AG161</f>
        <v>0</v>
      </c>
      <c r="AF161" s="364">
        <v>0</v>
      </c>
      <c r="AG161" s="18">
        <f t="shared" si="153"/>
        <v>0</v>
      </c>
      <c r="AH161" s="19">
        <f t="shared" si="154"/>
        <v>4680000</v>
      </c>
      <c r="AI161" s="15">
        <f t="shared" si="155"/>
        <v>4680000</v>
      </c>
      <c r="AJ161" s="16">
        <f t="shared" si="156"/>
        <v>5000000</v>
      </c>
      <c r="AK161" s="9"/>
      <c r="AL161" s="362">
        <v>0</v>
      </c>
      <c r="AM161" s="365">
        <v>0</v>
      </c>
      <c r="AN161" s="9"/>
    </row>
    <row r="162" spans="1:40" s="372" customFormat="1" ht="24.95" customHeight="1">
      <c r="A162" s="734"/>
      <c r="B162" s="643"/>
      <c r="N162" s="9"/>
      <c r="P162" s="9"/>
      <c r="Q162" s="9"/>
      <c r="R162" s="9"/>
      <c r="S162" s="689" t="str">
        <f>+IF(JULIO!S162=0,"",JULIO!S162)</f>
        <v>2020202-5</v>
      </c>
      <c r="T162" s="665" t="str">
        <f>+IF(JULIO!T162=0,"",JULIO!T162)</f>
        <v>Viáticos y Gastos de Viaje</v>
      </c>
      <c r="U162" s="27">
        <f>+ENERO!U162</f>
        <v>5000000</v>
      </c>
      <c r="V162" s="15">
        <f>JULIO!V162+AGOSTO!AL162</f>
        <v>0</v>
      </c>
      <c r="W162" s="15">
        <f>JULIO!W162+AGOSTO!AM162</f>
        <v>0</v>
      </c>
      <c r="X162" s="18">
        <f t="shared" si="150"/>
        <v>5000000</v>
      </c>
      <c r="Y162" s="19">
        <f>JULIO!AA162</f>
        <v>712500</v>
      </c>
      <c r="Z162" s="364">
        <v>0</v>
      </c>
      <c r="AA162" s="18">
        <f t="shared" si="151"/>
        <v>712500</v>
      </c>
      <c r="AB162" s="19">
        <f>JULIO!AD162</f>
        <v>712500</v>
      </c>
      <c r="AC162" s="364">
        <v>0</v>
      </c>
      <c r="AD162" s="18">
        <f t="shared" si="152"/>
        <v>712500</v>
      </c>
      <c r="AE162" s="19">
        <f>JULIO!AG162</f>
        <v>712500</v>
      </c>
      <c r="AF162" s="364">
        <v>0</v>
      </c>
      <c r="AG162" s="18">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N163" s="9"/>
      <c r="P163" s="9"/>
      <c r="Q163" s="9"/>
      <c r="R163" s="9"/>
      <c r="S163" s="689" t="str">
        <f>+IF(JULIO!S163=0,"",JULIO!S163)</f>
        <v>2020202-6</v>
      </c>
      <c r="T163" s="665" t="str">
        <f>+IF(JULIO!T163=0,"",JULIO!T163)</f>
        <v>Plan Integral de Manejo de Residuos Sólidos Hospitalarios</v>
      </c>
      <c r="U163" s="27">
        <f>+ENERO!U163</f>
        <v>300000000</v>
      </c>
      <c r="V163" s="15">
        <f>JULIO!V163+AGOSTO!AL163</f>
        <v>0</v>
      </c>
      <c r="W163" s="15">
        <f>JULIO!W163+AGOSTO!AM163</f>
        <v>0</v>
      </c>
      <c r="X163" s="18">
        <f t="shared" si="150"/>
        <v>300000000</v>
      </c>
      <c r="Y163" s="19">
        <f>JULIO!AA163</f>
        <v>185746081</v>
      </c>
      <c r="Z163" s="364">
        <v>13476750</v>
      </c>
      <c r="AA163" s="18">
        <f t="shared" si="151"/>
        <v>199222831</v>
      </c>
      <c r="AB163" s="19">
        <f>JULIO!AD163</f>
        <v>143934777</v>
      </c>
      <c r="AC163" s="364">
        <v>26334046</v>
      </c>
      <c r="AD163" s="18">
        <f t="shared" si="152"/>
        <v>170268823</v>
      </c>
      <c r="AE163" s="19">
        <f>JULIO!AG163</f>
        <v>115134374</v>
      </c>
      <c r="AF163" s="364">
        <v>6884984</v>
      </c>
      <c r="AG163" s="18">
        <f t="shared" si="153"/>
        <v>122019358</v>
      </c>
      <c r="AH163" s="19">
        <f t="shared" si="154"/>
        <v>100777169</v>
      </c>
      <c r="AI163" s="15">
        <f t="shared" si="155"/>
        <v>129731177</v>
      </c>
      <c r="AJ163" s="16">
        <f t="shared" si="156"/>
        <v>177980642</v>
      </c>
      <c r="AK163" s="9"/>
      <c r="AL163" s="362">
        <v>0</v>
      </c>
      <c r="AM163" s="365">
        <v>0</v>
      </c>
      <c r="AN163" s="9"/>
    </row>
    <row r="164" spans="1:40" s="372" customFormat="1" ht="24.95" customHeight="1">
      <c r="A164" s="734"/>
      <c r="B164" s="643"/>
      <c r="N164" s="9"/>
      <c r="P164" s="9"/>
      <c r="Q164" s="9"/>
      <c r="R164" s="9"/>
      <c r="S164" s="689" t="str">
        <f>+IF(JULIO!S164=0,"",JULIO!S164)</f>
        <v>2020202-7</v>
      </c>
      <c r="T164" s="665" t="str">
        <f>+IF(JULIO!T164=0,"",JULIO!T164)</f>
        <v>Servicios de Laboratorio contratados con terceros</v>
      </c>
      <c r="U164" s="27">
        <f>+ENERO!U164</f>
        <v>778712263</v>
      </c>
      <c r="V164" s="15">
        <f>JULIO!V164+AGOSTO!AL164</f>
        <v>0</v>
      </c>
      <c r="W164" s="15">
        <f>JULIO!W164+AGOSTO!AM164</f>
        <v>0</v>
      </c>
      <c r="X164" s="18">
        <f t="shared" si="150"/>
        <v>778712263</v>
      </c>
      <c r="Y164" s="19">
        <f>JULIO!AA164</f>
        <v>745815495</v>
      </c>
      <c r="Z164" s="364">
        <v>0</v>
      </c>
      <c r="AA164" s="18">
        <f t="shared" si="151"/>
        <v>745815495</v>
      </c>
      <c r="AB164" s="19">
        <f>JULIO!AD164</f>
        <v>620010184</v>
      </c>
      <c r="AC164" s="364">
        <v>34774503</v>
      </c>
      <c r="AD164" s="18">
        <f t="shared" si="152"/>
        <v>654784687</v>
      </c>
      <c r="AE164" s="19">
        <f>JULIO!AG164</f>
        <v>244922708</v>
      </c>
      <c r="AF164" s="364">
        <v>30000</v>
      </c>
      <c r="AG164" s="18">
        <f t="shared" si="153"/>
        <v>244952708</v>
      </c>
      <c r="AH164" s="19">
        <f t="shared" si="154"/>
        <v>32896768</v>
      </c>
      <c r="AI164" s="15">
        <f t="shared" si="155"/>
        <v>123927576</v>
      </c>
      <c r="AJ164" s="16">
        <f t="shared" si="156"/>
        <v>533759555</v>
      </c>
      <c r="AK164" s="9"/>
      <c r="AL164" s="362">
        <v>0</v>
      </c>
      <c r="AM164" s="365">
        <v>0</v>
      </c>
      <c r="AN164" s="9"/>
    </row>
    <row r="165" spans="1:40" s="372" customFormat="1" ht="24.95" customHeight="1">
      <c r="A165" s="734"/>
      <c r="B165" s="643"/>
      <c r="N165" s="9"/>
      <c r="P165" s="9"/>
      <c r="Q165" s="9"/>
      <c r="R165" s="9"/>
      <c r="S165" s="689" t="str">
        <f>+IF(JULIO!S165=0,"",JULIO!S165)</f>
        <v>2020202-8</v>
      </c>
      <c r="T165" s="665" t="str">
        <f>+IF(JULIO!T165=0,"",JULIO!T165)</f>
        <v>Servicios de Rayos X e Imaginología contratado con terceros</v>
      </c>
      <c r="U165" s="27">
        <f>+ENERO!U165</f>
        <v>1116000000</v>
      </c>
      <c r="V165" s="15">
        <f>JULIO!V165+AGOSTO!AL165</f>
        <v>0</v>
      </c>
      <c r="W165" s="15">
        <f>JULIO!W165+AGOSTO!AM165</f>
        <v>500000000</v>
      </c>
      <c r="X165" s="18">
        <f t="shared" si="150"/>
        <v>1616000000</v>
      </c>
      <c r="Y165" s="19">
        <f>JULIO!AA165</f>
        <v>1545000000</v>
      </c>
      <c r="Z165" s="364">
        <v>0</v>
      </c>
      <c r="AA165" s="18">
        <f t="shared" si="151"/>
        <v>1545000000</v>
      </c>
      <c r="AB165" s="19">
        <f>JULIO!AD165</f>
        <v>934776434</v>
      </c>
      <c r="AC165" s="364">
        <v>163372812</v>
      </c>
      <c r="AD165" s="18">
        <f t="shared" si="152"/>
        <v>1098149246</v>
      </c>
      <c r="AE165" s="19">
        <f>JULIO!AG165</f>
        <v>620607369</v>
      </c>
      <c r="AF165" s="364">
        <v>161991318</v>
      </c>
      <c r="AG165" s="18">
        <f t="shared" si="153"/>
        <v>782598687</v>
      </c>
      <c r="AH165" s="19">
        <f t="shared" si="154"/>
        <v>71000000</v>
      </c>
      <c r="AI165" s="15">
        <f t="shared" si="155"/>
        <v>517850754</v>
      </c>
      <c r="AJ165" s="16">
        <f t="shared" si="156"/>
        <v>833401313</v>
      </c>
      <c r="AK165" s="9"/>
      <c r="AL165" s="362">
        <v>0</v>
      </c>
      <c r="AM165" s="365">
        <v>0</v>
      </c>
      <c r="AN165" s="9"/>
    </row>
    <row r="166" spans="1:40" s="372" customFormat="1" ht="24.95" customHeight="1">
      <c r="A166" s="734"/>
      <c r="B166" s="643"/>
      <c r="N166" s="9"/>
      <c r="P166" s="9"/>
      <c r="Q166" s="9"/>
      <c r="R166" s="9"/>
      <c r="S166" s="689" t="str">
        <f>+IF(JULIO!S166=0,"",JULIO!S166)</f>
        <v>2020202-9</v>
      </c>
      <c r="T166" s="665" t="str">
        <f>+IF(JULIO!T166=0,"",JULIO!T166)</f>
        <v>Arrendamientos</v>
      </c>
      <c r="U166" s="27">
        <f>+ENERO!U166</f>
        <v>165000000</v>
      </c>
      <c r="V166" s="15">
        <f>JULIO!V166+AGOSTO!AL166</f>
        <v>0</v>
      </c>
      <c r="W166" s="15">
        <f>JULIO!W166+AGOSTO!AM166</f>
        <v>0</v>
      </c>
      <c r="X166" s="18">
        <f t="shared" si="150"/>
        <v>165000000</v>
      </c>
      <c r="Y166" s="19">
        <f>JULIO!AA166</f>
        <v>19813500</v>
      </c>
      <c r="Z166" s="364">
        <v>0</v>
      </c>
      <c r="AA166" s="18">
        <f t="shared" si="151"/>
        <v>19813500</v>
      </c>
      <c r="AB166" s="19">
        <f>JULIO!AD166</f>
        <v>19813500</v>
      </c>
      <c r="AC166" s="364">
        <v>0</v>
      </c>
      <c r="AD166" s="18">
        <f t="shared" si="152"/>
        <v>19813500</v>
      </c>
      <c r="AE166" s="19">
        <f>JULIO!AG166</f>
        <v>3748500</v>
      </c>
      <c r="AF166" s="364">
        <v>16065000</v>
      </c>
      <c r="AG166" s="18">
        <f t="shared" si="153"/>
        <v>19813500</v>
      </c>
      <c r="AH166" s="19">
        <f t="shared" si="154"/>
        <v>145186500</v>
      </c>
      <c r="AI166" s="15">
        <f t="shared" si="155"/>
        <v>145186500</v>
      </c>
      <c r="AJ166" s="16">
        <f t="shared" si="156"/>
        <v>145186500</v>
      </c>
      <c r="AK166" s="9"/>
      <c r="AL166" s="362">
        <v>0</v>
      </c>
      <c r="AM166" s="365">
        <v>0</v>
      </c>
      <c r="AN166" s="9"/>
    </row>
    <row r="167" spans="1:40" s="372" customFormat="1" ht="24.95" customHeight="1">
      <c r="A167" s="734"/>
      <c r="B167" s="643"/>
      <c r="N167" s="9"/>
      <c r="P167" s="9"/>
      <c r="Q167" s="9"/>
      <c r="R167" s="9"/>
      <c r="S167" s="689" t="str">
        <f>+IF(JULIO!S167=0,"",JULIO!S167)</f>
        <v>2020202-10</v>
      </c>
      <c r="T167" s="665" t="str">
        <f>+IF(JULIO!T167=0,"",JULIO!T167)</f>
        <v>Servicios Públicos</v>
      </c>
      <c r="U167" s="27">
        <f>+ENERO!U167</f>
        <v>0</v>
      </c>
      <c r="V167" s="15">
        <f>JULIO!V167+AGOSTO!AL167</f>
        <v>0</v>
      </c>
      <c r="W167" s="15">
        <f>JULIO!W167+AGOSTO!AM167</f>
        <v>0</v>
      </c>
      <c r="X167" s="18">
        <f>SUM(U167:W167)</f>
        <v>0</v>
      </c>
      <c r="Y167" s="19">
        <f>JULIO!AA167</f>
        <v>0</v>
      </c>
      <c r="Z167" s="364">
        <v>0</v>
      </c>
      <c r="AA167" s="18">
        <f>SUM(Y167:Z167)</f>
        <v>0</v>
      </c>
      <c r="AB167" s="19">
        <f>JULIO!AD167</f>
        <v>0</v>
      </c>
      <c r="AC167" s="364">
        <v>0</v>
      </c>
      <c r="AD167" s="18">
        <f>SUM(AB167:AC167)</f>
        <v>0</v>
      </c>
      <c r="AE167" s="19">
        <f>JULIO!AG167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+IF(JULIO!S168=0,"",JULIO!S168)</f>
        <v>2020299</v>
      </c>
      <c r="T168" s="664" t="str">
        <f>+IF(JULIO!T168=0,"",JULIO!T168)</f>
        <v>Vigencias Anteriores</v>
      </c>
      <c r="U168" s="27">
        <f>+ENERO!U168</f>
        <v>100900000</v>
      </c>
      <c r="V168" s="15">
        <f>JULIO!V168+AGOSTO!AL168</f>
        <v>170000000</v>
      </c>
      <c r="W168" s="15">
        <f>JULIO!W168+AGOSTO!AM168</f>
        <v>780000000</v>
      </c>
      <c r="X168" s="18">
        <f t="shared" si="150"/>
        <v>1050900000</v>
      </c>
      <c r="Y168" s="19">
        <f>JULIO!AA168</f>
        <v>763259552</v>
      </c>
      <c r="Z168" s="364">
        <v>172076008</v>
      </c>
      <c r="AA168" s="18">
        <f t="shared" si="151"/>
        <v>935335560</v>
      </c>
      <c r="AB168" s="19">
        <f>JULIO!AD168</f>
        <v>763259552</v>
      </c>
      <c r="AC168" s="364">
        <v>172076008</v>
      </c>
      <c r="AD168" s="18">
        <f t="shared" si="152"/>
        <v>935335560</v>
      </c>
      <c r="AE168" s="19">
        <f>JULIO!AG168</f>
        <v>763259552</v>
      </c>
      <c r="AF168" s="364">
        <v>172076008</v>
      </c>
      <c r="AG168" s="18">
        <f t="shared" si="153"/>
        <v>935335560</v>
      </c>
      <c r="AH168" s="19">
        <f t="shared" si="154"/>
        <v>115564440</v>
      </c>
      <c r="AI168" s="15">
        <f t="shared" si="155"/>
        <v>115564440</v>
      </c>
      <c r="AJ168" s="16">
        <f t="shared" si="156"/>
        <v>115564440</v>
      </c>
      <c r="AK168" s="9"/>
      <c r="AL168" s="362">
        <v>70000000</v>
      </c>
      <c r="AM168" s="365">
        <v>80000000</v>
      </c>
      <c r="AN168" s="9"/>
    </row>
    <row r="169" spans="1:40" s="372" customFormat="1" ht="24.95" customHeight="1">
      <c r="A169" s="734"/>
      <c r="B169" s="643"/>
      <c r="N169" s="9"/>
      <c r="P169" s="9"/>
      <c r="Q169" s="9"/>
      <c r="R169" s="9"/>
      <c r="S169" s="356" t="str">
        <f>+IF(JULIO!S169=0,"",JULIO!S169)</f>
        <v/>
      </c>
      <c r="T169" s="678" t="str">
        <f>+IF(JULIO!T169=0,"",JULIO!T169)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+IF(JULIO!S170=0,"",JULIO!S170)</f>
        <v>3000000</v>
      </c>
      <c r="T170" s="668" t="str">
        <f>+IF(JULIO!T170=0,"",JULIO!T170)</f>
        <v>TRANSFERENCIAS CORRIENTES</v>
      </c>
      <c r="U170" s="460">
        <f t="shared" ref="U170:AJ170" si="157">U172+U176+U185</f>
        <v>1240354144</v>
      </c>
      <c r="V170" s="461">
        <f t="shared" si="157"/>
        <v>52000000</v>
      </c>
      <c r="W170" s="461">
        <f t="shared" si="157"/>
        <v>0</v>
      </c>
      <c r="X170" s="462">
        <f t="shared" si="157"/>
        <v>1292354144</v>
      </c>
      <c r="Y170" s="369">
        <f t="shared" si="157"/>
        <v>645950110</v>
      </c>
      <c r="Z170" s="461">
        <f t="shared" si="157"/>
        <v>78230754</v>
      </c>
      <c r="AA170" s="462">
        <f t="shared" si="157"/>
        <v>724180864</v>
      </c>
      <c r="AB170" s="369">
        <f t="shared" si="157"/>
        <v>645950110</v>
      </c>
      <c r="AC170" s="461">
        <f t="shared" si="157"/>
        <v>78230754</v>
      </c>
      <c r="AD170" s="462">
        <f t="shared" si="157"/>
        <v>724180864</v>
      </c>
      <c r="AE170" s="369">
        <f t="shared" si="157"/>
        <v>641851280</v>
      </c>
      <c r="AF170" s="461">
        <f t="shared" si="157"/>
        <v>78230754</v>
      </c>
      <c r="AG170" s="462">
        <f t="shared" si="157"/>
        <v>720082034</v>
      </c>
      <c r="AH170" s="369">
        <f t="shared" si="157"/>
        <v>568173280</v>
      </c>
      <c r="AI170" s="461">
        <f t="shared" si="157"/>
        <v>568173280</v>
      </c>
      <c r="AJ170" s="370">
        <f t="shared" si="157"/>
        <v>572272110</v>
      </c>
      <c r="AK170" s="9"/>
      <c r="AL170" s="128">
        <f>AL172+AL176+AL185</f>
        <v>10000000</v>
      </c>
      <c r="AM170" s="130">
        <f>AM172+AM176+AM185</f>
        <v>0</v>
      </c>
      <c r="AN170" s="9"/>
    </row>
    <row r="171" spans="1:40" s="372" customFormat="1" ht="24.95" customHeight="1">
      <c r="A171" s="734"/>
      <c r="B171" s="643"/>
      <c r="N171" s="9"/>
      <c r="P171" s="9"/>
      <c r="Q171" s="9"/>
      <c r="R171" s="9"/>
      <c r="S171" s="356" t="str">
        <f>+IF(JULIO!S171=0,"",JULIO!S171)</f>
        <v/>
      </c>
      <c r="T171" s="678" t="str">
        <f>+IF(JULIO!T171=0,"",JULIO!T171)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+IF(JULIO!S172=0,"",JULIO!S172)</f>
        <v>3100000</v>
      </c>
      <c r="T172" s="663" t="str">
        <f>+IF(JULIO!T172=0,"",JULIO!T172)</f>
        <v>Transferencias al Sector Público</v>
      </c>
      <c r="U172" s="132">
        <f t="shared" ref="U172:AJ172" si="158">SUM(U173:U174)</f>
        <v>50000000</v>
      </c>
      <c r="V172" s="122">
        <f t="shared" si="158"/>
        <v>44000000</v>
      </c>
      <c r="W172" s="122">
        <f t="shared" si="158"/>
        <v>0</v>
      </c>
      <c r="X172" s="129">
        <f t="shared" si="158"/>
        <v>94000000</v>
      </c>
      <c r="Y172" s="128">
        <f t="shared" si="158"/>
        <v>82496056</v>
      </c>
      <c r="Z172" s="122">
        <f t="shared" si="158"/>
        <v>8857677</v>
      </c>
      <c r="AA172" s="129">
        <f t="shared" si="158"/>
        <v>91353733</v>
      </c>
      <c r="AB172" s="128">
        <f t="shared" si="158"/>
        <v>82496056</v>
      </c>
      <c r="AC172" s="122">
        <f t="shared" si="158"/>
        <v>8857677</v>
      </c>
      <c r="AD172" s="129">
        <f t="shared" si="158"/>
        <v>91353733</v>
      </c>
      <c r="AE172" s="128">
        <f t="shared" si="158"/>
        <v>82496056</v>
      </c>
      <c r="AF172" s="122">
        <f t="shared" si="158"/>
        <v>8857677</v>
      </c>
      <c r="AG172" s="129">
        <f t="shared" si="158"/>
        <v>91353733</v>
      </c>
      <c r="AH172" s="128">
        <f t="shared" si="158"/>
        <v>2646267</v>
      </c>
      <c r="AI172" s="122">
        <f t="shared" si="158"/>
        <v>2646267</v>
      </c>
      <c r="AJ172" s="130">
        <f t="shared" si="158"/>
        <v>2646267</v>
      </c>
      <c r="AK172" s="9"/>
      <c r="AL172" s="128">
        <f>SUM(AL173:AL174)</f>
        <v>10000000</v>
      </c>
      <c r="AM172" s="130">
        <f>SUM(AM173:AM174)</f>
        <v>0</v>
      </c>
      <c r="AN172" s="9"/>
    </row>
    <row r="173" spans="1:40" s="372" customFormat="1" ht="24.95" customHeight="1">
      <c r="A173" s="734"/>
      <c r="B173" s="643"/>
      <c r="N173" s="9"/>
      <c r="P173" s="9"/>
      <c r="Q173" s="9"/>
      <c r="R173" s="9"/>
      <c r="S173" s="688">
        <f>+IF(JULIO!S173=0,"",JULIO!S173)</f>
        <v>3100003</v>
      </c>
      <c r="T173" s="664" t="str">
        <f>+IF(JULIO!T173=0,"",JULIO!T173)</f>
        <v>Entidades Públicas (Contraloria, Supersalud,…)</v>
      </c>
      <c r="U173" s="27">
        <f>+ENERO!U173</f>
        <v>50000000</v>
      </c>
      <c r="V173" s="15">
        <f>JULIO!V173+AGOSTO!AL173</f>
        <v>44000000</v>
      </c>
      <c r="W173" s="15">
        <f>JULIO!W173+AGOSTO!AM173</f>
        <v>0</v>
      </c>
      <c r="X173" s="18">
        <f>SUM(U173:W173)</f>
        <v>94000000</v>
      </c>
      <c r="Y173" s="19">
        <f>JULIO!AA173</f>
        <v>82496056</v>
      </c>
      <c r="Z173" s="364">
        <v>8857677</v>
      </c>
      <c r="AA173" s="18">
        <f>SUM(Y173:Z173)</f>
        <v>91353733</v>
      </c>
      <c r="AB173" s="19">
        <f>JULIO!AD173</f>
        <v>82496056</v>
      </c>
      <c r="AC173" s="364">
        <v>8857677</v>
      </c>
      <c r="AD173" s="18">
        <f>SUM(AB173:AC173)</f>
        <v>91353733</v>
      </c>
      <c r="AE173" s="19">
        <f>JULIO!AG173</f>
        <v>82496056</v>
      </c>
      <c r="AF173" s="364">
        <v>8857677</v>
      </c>
      <c r="AG173" s="18">
        <f>SUM(AE173:AF173)</f>
        <v>91353733</v>
      </c>
      <c r="AH173" s="19">
        <f>X173-AA173</f>
        <v>2646267</v>
      </c>
      <c r="AI173" s="15">
        <f>X173-AD173</f>
        <v>2646267</v>
      </c>
      <c r="AJ173" s="16">
        <f>X173-AG173</f>
        <v>2646267</v>
      </c>
      <c r="AK173" s="9"/>
      <c r="AL173" s="362">
        <v>10000000</v>
      </c>
      <c r="AM173" s="365">
        <v>0</v>
      </c>
      <c r="AN173" s="9"/>
    </row>
    <row r="174" spans="1:40" s="372" customFormat="1" ht="24.95" customHeight="1">
      <c r="A174" s="734"/>
      <c r="B174" s="643"/>
      <c r="N174" s="9"/>
      <c r="P174" s="9"/>
      <c r="Q174" s="9"/>
      <c r="R174" s="9"/>
      <c r="S174" s="688">
        <f>+IF(JULIO!S174=0,"",JULIO!S174)</f>
        <v>3199999</v>
      </c>
      <c r="T174" s="664" t="str">
        <f>+IF(JULIO!T174=0,"",JULIO!T174)</f>
        <v>Vigencias Anteriores</v>
      </c>
      <c r="U174" s="27">
        <f>+ENERO!U174</f>
        <v>0</v>
      </c>
      <c r="V174" s="15">
        <f>JULIO!V174+AGOSTO!AL174</f>
        <v>0</v>
      </c>
      <c r="W174" s="15">
        <f>JULIO!W174+AGOSTO!AM174</f>
        <v>0</v>
      </c>
      <c r="X174" s="18">
        <f>SUM(U174:W174)</f>
        <v>0</v>
      </c>
      <c r="Y174" s="19">
        <f>JULIO!AA174</f>
        <v>0</v>
      </c>
      <c r="Z174" s="364">
        <v>0</v>
      </c>
      <c r="AA174" s="18">
        <f>SUM(Y174:Z174)</f>
        <v>0</v>
      </c>
      <c r="AB174" s="19">
        <f>JULIO!AD174</f>
        <v>0</v>
      </c>
      <c r="AC174" s="364">
        <v>0</v>
      </c>
      <c r="AD174" s="18">
        <f>SUM(AB174:AC174)</f>
        <v>0</v>
      </c>
      <c r="AE174" s="19">
        <f>JULIO!AG174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+IF(JULIO!S175=0,"",JULIO!S175)</f>
        <v/>
      </c>
      <c r="T175" s="678" t="str">
        <f>+IF(JULIO!T175=0,"",JULIO!T175)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+IF(JULIO!S176=0,"",JULIO!S176)</f>
        <v>320000</v>
      </c>
      <c r="T176" s="663" t="str">
        <f>+IF(JULIO!T176=0,"",JULIO!T176)</f>
        <v>Transf. Previsión y Seguridad Social</v>
      </c>
      <c r="U176" s="132">
        <f t="shared" ref="U176:AJ176" si="159">SUM(U177:U183)</f>
        <v>1110354144</v>
      </c>
      <c r="V176" s="122">
        <f t="shared" si="159"/>
        <v>0</v>
      </c>
      <c r="W176" s="122">
        <f t="shared" si="159"/>
        <v>0</v>
      </c>
      <c r="X176" s="129">
        <f t="shared" si="159"/>
        <v>1110354144</v>
      </c>
      <c r="Y176" s="128">
        <f t="shared" si="159"/>
        <v>541000074</v>
      </c>
      <c r="Z176" s="122">
        <f t="shared" si="159"/>
        <v>69373077</v>
      </c>
      <c r="AA176" s="129">
        <f t="shared" si="159"/>
        <v>610373151</v>
      </c>
      <c r="AB176" s="128">
        <f t="shared" si="159"/>
        <v>541000074</v>
      </c>
      <c r="AC176" s="122">
        <f t="shared" si="159"/>
        <v>69373077</v>
      </c>
      <c r="AD176" s="129">
        <f t="shared" si="159"/>
        <v>610373151</v>
      </c>
      <c r="AE176" s="128">
        <f t="shared" si="159"/>
        <v>536901244</v>
      </c>
      <c r="AF176" s="122">
        <f t="shared" si="159"/>
        <v>69373077</v>
      </c>
      <c r="AG176" s="129">
        <f t="shared" si="159"/>
        <v>606274321</v>
      </c>
      <c r="AH176" s="128">
        <f t="shared" si="159"/>
        <v>499980993</v>
      </c>
      <c r="AI176" s="122">
        <f t="shared" si="159"/>
        <v>499980993</v>
      </c>
      <c r="AJ176" s="130">
        <f t="shared" si="159"/>
        <v>504079823</v>
      </c>
      <c r="AK176" s="9"/>
      <c r="AL176" s="128">
        <f>SUM(AL177:AL183)</f>
        <v>0</v>
      </c>
      <c r="AM176" s="130">
        <f>SUM(AM177:AM183)</f>
        <v>0</v>
      </c>
      <c r="AN176" s="9"/>
    </row>
    <row r="177" spans="1:40" s="372" customFormat="1" ht="24.95" customHeight="1">
      <c r="A177" s="734"/>
      <c r="B177" s="643"/>
      <c r="N177" s="9"/>
      <c r="P177" s="9"/>
      <c r="Q177" s="9"/>
      <c r="R177" s="9"/>
      <c r="S177" s="688">
        <f>+IF(JULIO!S177=0,"",JULIO!S177)</f>
        <v>3200100</v>
      </c>
      <c r="T177" s="664" t="str">
        <f>+IF(JULIO!T177=0,"",JULIO!T177)</f>
        <v>Pensiones y Jubilaciones (Pago Directo)</v>
      </c>
      <c r="U177" s="27">
        <f>+ENERO!U177</f>
        <v>965336472</v>
      </c>
      <c r="V177" s="15">
        <f>JULIO!V177+AGOSTO!AL177</f>
        <v>0</v>
      </c>
      <c r="W177" s="15">
        <f>JULIO!W177+AGOSTO!AM177</f>
        <v>0</v>
      </c>
      <c r="X177" s="18">
        <f t="shared" ref="X177:X183" si="160">SUM(U177:W177)</f>
        <v>965336472</v>
      </c>
      <c r="Y177" s="19">
        <f>JULIO!AA177</f>
        <v>487754984</v>
      </c>
      <c r="Z177" s="364">
        <v>68138421</v>
      </c>
      <c r="AA177" s="18">
        <f t="shared" ref="AA177:AA183" si="161">SUM(Y177:Z177)</f>
        <v>555893405</v>
      </c>
      <c r="AB177" s="19">
        <f>JULIO!AD177</f>
        <v>487754984</v>
      </c>
      <c r="AC177" s="364">
        <v>68138421</v>
      </c>
      <c r="AD177" s="18">
        <f t="shared" ref="AD177:AD183" si="162">SUM(AB177:AC177)</f>
        <v>555893405</v>
      </c>
      <c r="AE177" s="19">
        <f>JULIO!AG177</f>
        <v>484076884</v>
      </c>
      <c r="AF177" s="364">
        <v>68138421</v>
      </c>
      <c r="AG177" s="18">
        <f t="shared" ref="AG177:AG183" si="163">SUM(AE177:AF177)</f>
        <v>552215305</v>
      </c>
      <c r="AH177" s="19">
        <f t="shared" ref="AH177:AH183" si="164">X177-AA177</f>
        <v>409443067</v>
      </c>
      <c r="AI177" s="15">
        <f t="shared" ref="AI177:AI183" si="165">X177-AD177</f>
        <v>409443067</v>
      </c>
      <c r="AJ177" s="16">
        <f t="shared" ref="AJ177:AJ183" si="166">X177-AG177</f>
        <v>413121167</v>
      </c>
      <c r="AK177" s="9"/>
      <c r="AL177" s="362">
        <v>0</v>
      </c>
      <c r="AM177" s="365">
        <v>0</v>
      </c>
      <c r="AN177" s="9"/>
    </row>
    <row r="178" spans="1:40" s="372" customFormat="1" ht="24.95" customHeight="1">
      <c r="A178" s="734"/>
      <c r="B178" s="643"/>
      <c r="N178" s="9"/>
      <c r="P178" s="9"/>
      <c r="Q178" s="9"/>
      <c r="R178" s="9"/>
      <c r="S178" s="688">
        <f>+IF(JULIO!S178=0,"",JULIO!S178)</f>
        <v>3200200</v>
      </c>
      <c r="T178" s="664" t="str">
        <f>+IF(JULIO!T178=0,"",JULIO!T178)</f>
        <v>Cesantías Pago Directo (Pago Directo)</v>
      </c>
      <c r="U178" s="27">
        <f>+ENERO!U178</f>
        <v>20000000</v>
      </c>
      <c r="V178" s="15">
        <f>JULIO!V178+AGOSTO!AL178</f>
        <v>20000000</v>
      </c>
      <c r="W178" s="15">
        <f>JULIO!W178+AGOSTO!AM178</f>
        <v>0</v>
      </c>
      <c r="X178" s="18">
        <f t="shared" si="160"/>
        <v>40000000</v>
      </c>
      <c r="Y178" s="19">
        <f>JULIO!AA178</f>
        <v>17106731</v>
      </c>
      <c r="Z178" s="364">
        <v>1154735</v>
      </c>
      <c r="AA178" s="18">
        <f t="shared" si="161"/>
        <v>18261466</v>
      </c>
      <c r="AB178" s="19">
        <f>JULIO!AD178</f>
        <v>17106731</v>
      </c>
      <c r="AC178" s="364">
        <v>1154735</v>
      </c>
      <c r="AD178" s="18">
        <f t="shared" si="162"/>
        <v>18261466</v>
      </c>
      <c r="AE178" s="19">
        <f>JULIO!AG178</f>
        <v>16694273</v>
      </c>
      <c r="AF178" s="364">
        <v>1154735</v>
      </c>
      <c r="AG178" s="18">
        <f t="shared" si="163"/>
        <v>17849008</v>
      </c>
      <c r="AH178" s="19">
        <f t="shared" si="164"/>
        <v>21738534</v>
      </c>
      <c r="AI178" s="15">
        <f t="shared" si="165"/>
        <v>21738534</v>
      </c>
      <c r="AJ178" s="16">
        <f t="shared" si="166"/>
        <v>22150992</v>
      </c>
      <c r="AK178" s="9"/>
      <c r="AL178" s="362">
        <v>0</v>
      </c>
      <c r="AM178" s="365">
        <v>0</v>
      </c>
      <c r="AN178" s="9"/>
    </row>
    <row r="179" spans="1:40" s="372" customFormat="1" ht="24.95" customHeight="1">
      <c r="A179" s="734"/>
      <c r="B179" s="643"/>
      <c r="N179" s="9"/>
      <c r="P179" s="9"/>
      <c r="Q179" s="9"/>
      <c r="R179" s="9"/>
      <c r="S179" s="688">
        <f>+IF(JULIO!S179=0,"",JULIO!S179)</f>
        <v>3200300</v>
      </c>
      <c r="T179" s="664" t="str">
        <f>+IF(JULIO!T179=0,"",JULIO!T179)</f>
        <v>Bonos, Cuotas de Bonos y cuotas partes jubilatorias</v>
      </c>
      <c r="U179" s="27">
        <f>+ENERO!U179</f>
        <v>20000000</v>
      </c>
      <c r="V179" s="15">
        <f>JULIO!V179+AGOSTO!AL179</f>
        <v>0</v>
      </c>
      <c r="W179" s="15">
        <f>JULIO!W179+AGOSTO!AM179</f>
        <v>0</v>
      </c>
      <c r="X179" s="18">
        <f t="shared" si="160"/>
        <v>20000000</v>
      </c>
      <c r="Y179" s="19">
        <f>JULIO!AA179</f>
        <v>0</v>
      </c>
      <c r="Z179" s="364">
        <v>0</v>
      </c>
      <c r="AA179" s="18">
        <f t="shared" si="161"/>
        <v>0</v>
      </c>
      <c r="AB179" s="19">
        <f>JULIO!AD179</f>
        <v>0</v>
      </c>
      <c r="AC179" s="364">
        <v>0</v>
      </c>
      <c r="AD179" s="18">
        <f t="shared" si="162"/>
        <v>0</v>
      </c>
      <c r="AE179" s="19">
        <f>JULIO!AG179</f>
        <v>0</v>
      </c>
      <c r="AF179" s="364">
        <v>0</v>
      </c>
      <c r="AG179" s="18">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N180" s="9"/>
      <c r="P180" s="9"/>
      <c r="Q180" s="9"/>
      <c r="R180" s="9"/>
      <c r="S180" s="688">
        <f>+IF(JULIO!S180=0,"",JULIO!S180)</f>
        <v>3200400</v>
      </c>
      <c r="T180" s="664" t="str">
        <f>+IF(JULIO!T180=0,"",JULIO!T180)</f>
        <v>Intereses a las cesantias</v>
      </c>
      <c r="U180" s="27">
        <f>+ENERO!U180</f>
        <v>105017672</v>
      </c>
      <c r="V180" s="15">
        <f>JULIO!V180+AGOSTO!AL180</f>
        <v>-20000000</v>
      </c>
      <c r="W180" s="15">
        <f>JULIO!W180+AGOSTO!AM180</f>
        <v>0</v>
      </c>
      <c r="X180" s="18">
        <f t="shared" si="160"/>
        <v>85017672</v>
      </c>
      <c r="Y180" s="19">
        <f>JULIO!AA180</f>
        <v>36138359</v>
      </c>
      <c r="Z180" s="364">
        <v>79921</v>
      </c>
      <c r="AA180" s="18">
        <f t="shared" si="161"/>
        <v>36218280</v>
      </c>
      <c r="AB180" s="19">
        <f>JULIO!AD180</f>
        <v>36138359</v>
      </c>
      <c r="AC180" s="364">
        <v>79921</v>
      </c>
      <c r="AD180" s="18">
        <f t="shared" si="162"/>
        <v>36218280</v>
      </c>
      <c r="AE180" s="19">
        <f>JULIO!AG180</f>
        <v>36130087</v>
      </c>
      <c r="AF180" s="364">
        <v>79921</v>
      </c>
      <c r="AG180" s="18">
        <f t="shared" si="163"/>
        <v>36210008</v>
      </c>
      <c r="AH180" s="19">
        <f t="shared" si="164"/>
        <v>48799392</v>
      </c>
      <c r="AI180" s="15">
        <f t="shared" si="165"/>
        <v>48799392</v>
      </c>
      <c r="AJ180" s="16">
        <f t="shared" si="166"/>
        <v>48807664</v>
      </c>
      <c r="AK180" s="9"/>
      <c r="AL180" s="362">
        <v>0</v>
      </c>
      <c r="AM180" s="365">
        <v>0</v>
      </c>
      <c r="AN180" s="9"/>
    </row>
    <row r="181" spans="1:40" s="372" customFormat="1" ht="24.95" customHeight="1">
      <c r="A181" s="734"/>
      <c r="B181" s="643"/>
      <c r="N181" s="9"/>
      <c r="P181" s="9"/>
      <c r="Q181" s="9"/>
      <c r="R181" s="9"/>
      <c r="S181" s="688">
        <f>+IF(JULIO!S181=0,"",JULIO!S181)</f>
        <v>3200500</v>
      </c>
      <c r="T181" s="664" t="str">
        <f>+IF(JULIO!T181=0,"",JULIO!T181)</f>
        <v/>
      </c>
      <c r="U181" s="27">
        <f>+ENERO!U181</f>
        <v>0</v>
      </c>
      <c r="V181" s="15">
        <f>JULIO!V181+AGOSTO!AL181</f>
        <v>0</v>
      </c>
      <c r="W181" s="15">
        <f>JULIO!W181+AGOSTO!AM181</f>
        <v>0</v>
      </c>
      <c r="X181" s="18">
        <f t="shared" si="160"/>
        <v>0</v>
      </c>
      <c r="Y181" s="19">
        <f>JULIO!AA181</f>
        <v>0</v>
      </c>
      <c r="Z181" s="364">
        <v>0</v>
      </c>
      <c r="AA181" s="18">
        <f t="shared" si="161"/>
        <v>0</v>
      </c>
      <c r="AB181" s="19">
        <f>JULIO!AD181</f>
        <v>0</v>
      </c>
      <c r="AC181" s="364">
        <v>0</v>
      </c>
      <c r="AD181" s="18">
        <f t="shared" si="162"/>
        <v>0</v>
      </c>
      <c r="AE181" s="19">
        <f>JULIO!AG181</f>
        <v>0</v>
      </c>
      <c r="AF181" s="364">
        <v>0</v>
      </c>
      <c r="AG181" s="18">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N182" s="9"/>
      <c r="P182" s="9"/>
      <c r="Q182" s="9"/>
      <c r="R182" s="9"/>
      <c r="S182" s="688">
        <f>+IF(JULIO!S182=0,"",JULIO!S182)</f>
        <v>3200600</v>
      </c>
      <c r="T182" s="664" t="str">
        <f>+IF(JULIO!T182=0,"",JULIO!T182)</f>
        <v/>
      </c>
      <c r="U182" s="27">
        <f>+ENERO!U182</f>
        <v>0</v>
      </c>
      <c r="V182" s="15">
        <f>JULIO!V182+AGOSTO!AL182</f>
        <v>0</v>
      </c>
      <c r="W182" s="15">
        <f>JULIO!W182+AGOSTO!AM182</f>
        <v>0</v>
      </c>
      <c r="X182" s="18">
        <f t="shared" si="160"/>
        <v>0</v>
      </c>
      <c r="Y182" s="19">
        <f>JULIO!AA182</f>
        <v>0</v>
      </c>
      <c r="Z182" s="364">
        <v>0</v>
      </c>
      <c r="AA182" s="18">
        <f t="shared" si="161"/>
        <v>0</v>
      </c>
      <c r="AB182" s="19">
        <f>JULIO!AD182</f>
        <v>0</v>
      </c>
      <c r="AC182" s="364">
        <v>0</v>
      </c>
      <c r="AD182" s="18">
        <f t="shared" si="162"/>
        <v>0</v>
      </c>
      <c r="AE182" s="19">
        <f>JULIO!AG182</f>
        <v>0</v>
      </c>
      <c r="AF182" s="364">
        <v>0</v>
      </c>
      <c r="AG182" s="18">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N183" s="9"/>
      <c r="P183" s="9"/>
      <c r="Q183" s="9"/>
      <c r="R183" s="9"/>
      <c r="S183" s="688">
        <f>+IF(JULIO!S183=0,"",JULIO!S183)</f>
        <v>3299999</v>
      </c>
      <c r="T183" s="664" t="str">
        <f>+IF(JULIO!T183=0,"",JULIO!T183)</f>
        <v>Vigencias Anteriores</v>
      </c>
      <c r="U183" s="27">
        <f>+ENERO!U183</f>
        <v>0</v>
      </c>
      <c r="V183" s="15">
        <f>JULIO!V183+AGOSTO!AL183</f>
        <v>0</v>
      </c>
      <c r="W183" s="15">
        <f>JULIO!W183+AGOSTO!AM183</f>
        <v>0</v>
      </c>
      <c r="X183" s="18">
        <f t="shared" si="160"/>
        <v>0</v>
      </c>
      <c r="Y183" s="19">
        <f>JULIO!AA183</f>
        <v>0</v>
      </c>
      <c r="Z183" s="364">
        <v>0</v>
      </c>
      <c r="AA183" s="18">
        <f t="shared" si="161"/>
        <v>0</v>
      </c>
      <c r="AB183" s="19">
        <f>JULIO!AD183</f>
        <v>0</v>
      </c>
      <c r="AC183" s="364">
        <v>0</v>
      </c>
      <c r="AD183" s="18">
        <f t="shared" si="162"/>
        <v>0</v>
      </c>
      <c r="AE183" s="19">
        <f>JULIO!AG183</f>
        <v>0</v>
      </c>
      <c r="AF183" s="364">
        <v>0</v>
      </c>
      <c r="AG183" s="18">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N184" s="9"/>
      <c r="P184" s="9"/>
      <c r="Q184" s="9"/>
      <c r="R184" s="9"/>
      <c r="S184" s="356" t="str">
        <f>+IF(JULIO!S184=0,"",JULIO!S184)</f>
        <v/>
      </c>
      <c r="T184" s="678" t="str">
        <f>+IF(JULIO!T184=0,"",JULIO!T184)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+IF(JULIO!S185=0,"",JULIO!S185)</f>
        <v>3300000</v>
      </c>
      <c r="T185" s="663" t="str">
        <f>+IF(JULIO!T185=0,"",JULIO!T185)</f>
        <v>Otras Transferencias</v>
      </c>
      <c r="U185" s="132">
        <f t="shared" ref="U185:AJ185" si="167">U186+U187+U191</f>
        <v>80000000</v>
      </c>
      <c r="V185" s="122">
        <f t="shared" si="167"/>
        <v>8000000</v>
      </c>
      <c r="W185" s="122">
        <f t="shared" si="167"/>
        <v>0</v>
      </c>
      <c r="X185" s="129">
        <f t="shared" si="167"/>
        <v>88000000</v>
      </c>
      <c r="Y185" s="128">
        <f t="shared" si="167"/>
        <v>22453980</v>
      </c>
      <c r="Z185" s="122">
        <f t="shared" si="167"/>
        <v>0</v>
      </c>
      <c r="AA185" s="129">
        <f t="shared" si="167"/>
        <v>22453980</v>
      </c>
      <c r="AB185" s="128">
        <f t="shared" si="167"/>
        <v>22453980</v>
      </c>
      <c r="AC185" s="122">
        <f t="shared" si="167"/>
        <v>0</v>
      </c>
      <c r="AD185" s="129">
        <f t="shared" si="167"/>
        <v>22453980</v>
      </c>
      <c r="AE185" s="128">
        <f t="shared" si="167"/>
        <v>22453980</v>
      </c>
      <c r="AF185" s="122">
        <f t="shared" si="167"/>
        <v>0</v>
      </c>
      <c r="AG185" s="129">
        <f t="shared" si="167"/>
        <v>22453980</v>
      </c>
      <c r="AH185" s="128">
        <f t="shared" si="167"/>
        <v>65546020</v>
      </c>
      <c r="AI185" s="122">
        <f t="shared" si="167"/>
        <v>65546020</v>
      </c>
      <c r="AJ185" s="130">
        <f t="shared" si="167"/>
        <v>65546020</v>
      </c>
      <c r="AK185" s="9"/>
      <c r="AL185" s="128">
        <f>AL186+AL187+AL191</f>
        <v>0</v>
      </c>
      <c r="AM185" s="130">
        <f>AM186+AM187+AM191</f>
        <v>0</v>
      </c>
      <c r="AN185" s="9"/>
    </row>
    <row r="186" spans="1:40" s="372" customFormat="1" ht="24.95" customHeight="1">
      <c r="A186" s="734"/>
      <c r="B186" s="643"/>
      <c r="N186" s="9"/>
      <c r="P186" s="9"/>
      <c r="Q186" s="9"/>
      <c r="R186" s="9"/>
      <c r="S186" s="688">
        <f>+IF(JULIO!S186=0,"",JULIO!S186)</f>
        <v>3300100</v>
      </c>
      <c r="T186" s="664" t="str">
        <f>+IF(JULIO!T186=0,"",JULIO!T186)</f>
        <v>Sentencias y Conciliaciones</v>
      </c>
      <c r="U186" s="27">
        <f>+ENERO!U186</f>
        <v>60000000</v>
      </c>
      <c r="V186" s="15">
        <f>JULIO!V186+AGOSTO!AL186</f>
        <v>0</v>
      </c>
      <c r="W186" s="15">
        <f>JULIO!W186+AGOSTO!AM186</f>
        <v>0</v>
      </c>
      <c r="X186" s="18">
        <f>SUM(U186:W186)</f>
        <v>60000000</v>
      </c>
      <c r="Y186" s="19">
        <f>JULIO!AA186</f>
        <v>0</v>
      </c>
      <c r="Z186" s="364">
        <v>0</v>
      </c>
      <c r="AA186" s="18">
        <f>SUM(Y186:Z186)</f>
        <v>0</v>
      </c>
      <c r="AB186" s="19">
        <f>JULIO!AD186</f>
        <v>0</v>
      </c>
      <c r="AC186" s="364">
        <v>0</v>
      </c>
      <c r="AD186" s="18">
        <f>SUM(AB186:AC186)</f>
        <v>0</v>
      </c>
      <c r="AE186" s="19">
        <f>JULIO!AG186</f>
        <v>0</v>
      </c>
      <c r="AF186" s="364">
        <v>0</v>
      </c>
      <c r="AG186" s="18">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N187" s="9"/>
      <c r="P187" s="9"/>
      <c r="Q187" s="9"/>
      <c r="R187" s="9"/>
      <c r="S187" s="688">
        <f>+IF(JULIO!S187=0,"",JULIO!S187)</f>
        <v>3300200</v>
      </c>
      <c r="T187" s="664" t="str">
        <f>+IF(JULIO!T187=0,"",JULIO!T187)</f>
        <v>Destinatarios de otras transferencias</v>
      </c>
      <c r="U187" s="27">
        <f t="shared" ref="U187:AM187" si="168">SUM(U188:U190)</f>
        <v>20000000</v>
      </c>
      <c r="V187" s="15">
        <f t="shared" si="168"/>
        <v>8000000</v>
      </c>
      <c r="W187" s="15">
        <f t="shared" si="168"/>
        <v>0</v>
      </c>
      <c r="X187" s="18">
        <f t="shared" si="168"/>
        <v>28000000</v>
      </c>
      <c r="Y187" s="19">
        <f t="shared" si="168"/>
        <v>22453980</v>
      </c>
      <c r="Z187" s="142">
        <f t="shared" si="168"/>
        <v>0</v>
      </c>
      <c r="AA187" s="18">
        <f t="shared" si="168"/>
        <v>22453980</v>
      </c>
      <c r="AB187" s="19">
        <f t="shared" si="168"/>
        <v>22453980</v>
      </c>
      <c r="AC187" s="142">
        <f t="shared" si="168"/>
        <v>0</v>
      </c>
      <c r="AD187" s="18">
        <f t="shared" si="168"/>
        <v>22453980</v>
      </c>
      <c r="AE187" s="19">
        <f t="shared" si="168"/>
        <v>22453980</v>
      </c>
      <c r="AF187" s="142">
        <f t="shared" si="168"/>
        <v>0</v>
      </c>
      <c r="AG187" s="18">
        <f t="shared" si="168"/>
        <v>22453980</v>
      </c>
      <c r="AH187" s="19">
        <f t="shared" si="168"/>
        <v>5546020</v>
      </c>
      <c r="AI187" s="15">
        <f t="shared" si="168"/>
        <v>5546020</v>
      </c>
      <c r="AJ187" s="16">
        <f t="shared" si="168"/>
        <v>5546020</v>
      </c>
      <c r="AK187" s="9"/>
      <c r="AL187" s="29">
        <f t="shared" si="168"/>
        <v>0</v>
      </c>
      <c r="AM187" s="26">
        <f t="shared" si="168"/>
        <v>0</v>
      </c>
      <c r="AN187" s="9"/>
    </row>
    <row r="188" spans="1:40" s="372" customFormat="1" ht="24.95" customHeight="1">
      <c r="A188" s="734"/>
      <c r="B188" s="644"/>
      <c r="N188" s="9"/>
      <c r="P188" s="9"/>
      <c r="Q188" s="9"/>
      <c r="R188" s="9"/>
      <c r="S188" s="689" t="str">
        <f>+IF(JULIO!S188=0,"",JULIO!S188)</f>
        <v>3300200-1</v>
      </c>
      <c r="T188" s="664" t="str">
        <f>+IF(JULIO!T188=0,"",JULIO!T188)</f>
        <v>COHAN</v>
      </c>
      <c r="U188" s="27">
        <f>+ENERO!U188</f>
        <v>10000000</v>
      </c>
      <c r="V188" s="15">
        <f>JULIO!V188+AGOSTO!AL188</f>
        <v>8000000</v>
      </c>
      <c r="W188" s="15">
        <f>JULIO!W188+AGOSTO!AM188</f>
        <v>0</v>
      </c>
      <c r="X188" s="18">
        <f>SUM(U188:W188)</f>
        <v>18000000</v>
      </c>
      <c r="Y188" s="19">
        <f>JULIO!AA188</f>
        <v>17803516</v>
      </c>
      <c r="Z188" s="364">
        <v>0</v>
      </c>
      <c r="AA188" s="18">
        <f>SUM(Y188:Z188)</f>
        <v>17803516</v>
      </c>
      <c r="AB188" s="19">
        <f>JULIO!AD188</f>
        <v>17803516</v>
      </c>
      <c r="AC188" s="364">
        <v>0</v>
      </c>
      <c r="AD188" s="18">
        <f>SUM(AB188:AC188)</f>
        <v>17803516</v>
      </c>
      <c r="AE188" s="19">
        <f>JULIO!AG188</f>
        <v>17803516</v>
      </c>
      <c r="AF188" s="364">
        <v>0</v>
      </c>
      <c r="AG188" s="18">
        <f>SUM(AE188:AF188)</f>
        <v>17803516</v>
      </c>
      <c r="AH188" s="19">
        <f>X188-AA188</f>
        <v>196484</v>
      </c>
      <c r="AI188" s="15">
        <f>X188-AD188</f>
        <v>196484</v>
      </c>
      <c r="AJ188" s="16">
        <f>X188-AG188</f>
        <v>196484</v>
      </c>
      <c r="AK188" s="9"/>
      <c r="AL188" s="362">
        <v>0</v>
      </c>
      <c r="AM188" s="365">
        <v>0</v>
      </c>
      <c r="AN188" s="9"/>
    </row>
    <row r="189" spans="1:40" s="372" customFormat="1" ht="24.95" customHeight="1">
      <c r="A189" s="734"/>
      <c r="B189" s="644"/>
      <c r="N189" s="9"/>
      <c r="P189" s="9"/>
      <c r="Q189" s="9"/>
      <c r="R189" s="9"/>
      <c r="S189" s="689" t="str">
        <f>+IF(JULIO!S189=0,"",JULIO!S189)</f>
        <v>3300200-2</v>
      </c>
      <c r="T189" s="664" t="str">
        <f>+IF(JULIO!T189=0,"",JULIO!T189)</f>
        <v>AESA</v>
      </c>
      <c r="U189" s="27">
        <f>+ENERO!U189</f>
        <v>5000000</v>
      </c>
      <c r="V189" s="15">
        <f>JULIO!V189+AGOSTO!AL189</f>
        <v>0</v>
      </c>
      <c r="W189" s="15">
        <f>JULIO!W189+AGOSTO!AM189</f>
        <v>0</v>
      </c>
      <c r="X189" s="18">
        <f>SUM(U189:W189)</f>
        <v>5000000</v>
      </c>
      <c r="Y189" s="19">
        <f>JULIO!AA189</f>
        <v>3312464</v>
      </c>
      <c r="Z189" s="364">
        <v>0</v>
      </c>
      <c r="AA189" s="18">
        <f>SUM(Y189:Z189)</f>
        <v>3312464</v>
      </c>
      <c r="AB189" s="19">
        <f>JULIO!AD189</f>
        <v>3312464</v>
      </c>
      <c r="AC189" s="364">
        <v>0</v>
      </c>
      <c r="AD189" s="18">
        <f>SUM(AB189:AC189)</f>
        <v>3312464</v>
      </c>
      <c r="AE189" s="19">
        <f>JULIO!AG189</f>
        <v>3312464</v>
      </c>
      <c r="AF189" s="364">
        <v>0</v>
      </c>
      <c r="AG189" s="18">
        <f>SUM(AE189:AF189)</f>
        <v>3312464</v>
      </c>
      <c r="AH189" s="19">
        <f>X189-AA189</f>
        <v>1687536</v>
      </c>
      <c r="AI189" s="15">
        <f>X189-AD189</f>
        <v>1687536</v>
      </c>
      <c r="AJ189" s="16">
        <f>X189-AG189</f>
        <v>1687536</v>
      </c>
      <c r="AK189" s="9"/>
      <c r="AL189" s="362">
        <v>0</v>
      </c>
      <c r="AM189" s="365">
        <v>0</v>
      </c>
      <c r="AN189" s="9"/>
    </row>
    <row r="190" spans="1:40" s="372" customFormat="1" ht="24.95" customHeight="1">
      <c r="A190" s="734"/>
      <c r="B190" s="644"/>
      <c r="N190" s="9"/>
      <c r="P190" s="9"/>
      <c r="Q190" s="9"/>
      <c r="R190" s="9"/>
      <c r="S190" s="689" t="str">
        <f>+IF(JULIO!S190=0,"",JULIO!S190)</f>
        <v>3300200-3</v>
      </c>
      <c r="T190" s="664" t="str">
        <f>+IF(JULIO!T190=0,"",JULIO!T190)</f>
        <v xml:space="preserve">OTRAS </v>
      </c>
      <c r="U190" s="27">
        <f>+ENERO!U190</f>
        <v>5000000</v>
      </c>
      <c r="V190" s="15">
        <f>JULIO!V190+AGOSTO!AL190</f>
        <v>0</v>
      </c>
      <c r="W190" s="15">
        <f>JULIO!W190+AGOSTO!AM190</f>
        <v>0</v>
      </c>
      <c r="X190" s="18">
        <f>SUM(U190:W190)</f>
        <v>5000000</v>
      </c>
      <c r="Y190" s="19">
        <f>JULIO!AA190</f>
        <v>1338000</v>
      </c>
      <c r="Z190" s="364">
        <v>0</v>
      </c>
      <c r="AA190" s="18">
        <f>SUM(Y190:Z190)</f>
        <v>1338000</v>
      </c>
      <c r="AB190" s="19">
        <f>JULIO!AD190</f>
        <v>1338000</v>
      </c>
      <c r="AC190" s="364">
        <v>0</v>
      </c>
      <c r="AD190" s="18">
        <f>SUM(AB190:AC190)</f>
        <v>1338000</v>
      </c>
      <c r="AE190" s="19">
        <f>JULIO!AG190</f>
        <v>1338000</v>
      </c>
      <c r="AF190" s="364">
        <v>0</v>
      </c>
      <c r="AG190" s="18">
        <f>SUM(AE190:AF190)</f>
        <v>1338000</v>
      </c>
      <c r="AH190" s="19">
        <f>X190-AA190</f>
        <v>3662000</v>
      </c>
      <c r="AI190" s="15">
        <f>X190-AD190</f>
        <v>3662000</v>
      </c>
      <c r="AJ190" s="16">
        <f>X190-AG190</f>
        <v>3662000</v>
      </c>
      <c r="AK190" s="9"/>
      <c r="AL190" s="362">
        <v>0</v>
      </c>
      <c r="AM190" s="365">
        <v>0</v>
      </c>
      <c r="AN190" s="9"/>
    </row>
    <row r="191" spans="1:40" s="372" customFormat="1" ht="24.95" customHeight="1">
      <c r="A191" s="734"/>
      <c r="B191" s="644"/>
      <c r="N191" s="9"/>
      <c r="P191" s="9"/>
      <c r="Q191" s="9"/>
      <c r="R191" s="9"/>
      <c r="S191" s="688">
        <f>+IF(JULIO!S191=0,"",JULIO!S191)</f>
        <v>3399999</v>
      </c>
      <c r="T191" s="664" t="str">
        <f>+IF(JULIO!T191=0,"",JULIO!T191)</f>
        <v>Vigencias Anteriores</v>
      </c>
      <c r="U191" s="27">
        <f>+ENERO!U191</f>
        <v>0</v>
      </c>
      <c r="V191" s="15">
        <f>JULIO!V191+AGOSTO!AL191</f>
        <v>0</v>
      </c>
      <c r="W191" s="15">
        <f>JULIO!W191+AGOSTO!AM191</f>
        <v>0</v>
      </c>
      <c r="X191" s="18">
        <f>SUM(U191:W191)</f>
        <v>0</v>
      </c>
      <c r="Y191" s="19">
        <f>JULIO!AA191</f>
        <v>0</v>
      </c>
      <c r="Z191" s="364">
        <v>0</v>
      </c>
      <c r="AA191" s="18">
        <f>SUM(Y191:Z191)</f>
        <v>0</v>
      </c>
      <c r="AB191" s="19">
        <f>JULIO!AD191</f>
        <v>0</v>
      </c>
      <c r="AC191" s="364">
        <v>0</v>
      </c>
      <c r="AD191" s="18">
        <f>SUM(AB191:AC191)</f>
        <v>0</v>
      </c>
      <c r="AE191" s="19">
        <f>JULIO!AG191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0.5" customHeight="1">
      <c r="A193" s="734"/>
      <c r="B193" s="644"/>
      <c r="N193" s="9"/>
      <c r="P193" s="9"/>
      <c r="Q193" s="9"/>
      <c r="R193" s="9"/>
      <c r="S193" s="483" t="s">
        <v>318</v>
      </c>
      <c r="T193" s="672" t="s">
        <v>561</v>
      </c>
      <c r="U193" s="460">
        <f>U195+U209</f>
        <v>10282942055</v>
      </c>
      <c r="V193" s="461">
        <f t="shared" ref="V193:AJ193" si="169">V195+V209</f>
        <v>5385317789</v>
      </c>
      <c r="W193" s="461">
        <f t="shared" si="169"/>
        <v>8759281439</v>
      </c>
      <c r="X193" s="370">
        <f t="shared" si="169"/>
        <v>24427541283</v>
      </c>
      <c r="Y193" s="369">
        <f t="shared" si="169"/>
        <v>20791864587</v>
      </c>
      <c r="Z193" s="484">
        <f t="shared" si="169"/>
        <v>1437116109</v>
      </c>
      <c r="AA193" s="370">
        <f t="shared" si="169"/>
        <v>22228980696</v>
      </c>
      <c r="AB193" s="460">
        <f t="shared" si="169"/>
        <v>18059374730</v>
      </c>
      <c r="AC193" s="484">
        <f t="shared" si="169"/>
        <v>1713225492</v>
      </c>
      <c r="AD193" s="462">
        <f t="shared" si="169"/>
        <v>19772600222</v>
      </c>
      <c r="AE193" s="369">
        <f t="shared" si="169"/>
        <v>12490057721</v>
      </c>
      <c r="AF193" s="484">
        <f t="shared" si="169"/>
        <v>784863294</v>
      </c>
      <c r="AG193" s="370">
        <f t="shared" si="169"/>
        <v>13274921015</v>
      </c>
      <c r="AH193" s="369">
        <f t="shared" si="169"/>
        <v>2198560587</v>
      </c>
      <c r="AI193" s="461">
        <f t="shared" si="169"/>
        <v>4654941061</v>
      </c>
      <c r="AJ193" s="370">
        <f t="shared" si="169"/>
        <v>11152620268</v>
      </c>
      <c r="AK193" s="9"/>
      <c r="AL193" s="369">
        <f>AL195+AL209</f>
        <v>660000000</v>
      </c>
      <c r="AM193" s="370">
        <f>AM195+AM209</f>
        <v>1600000000</v>
      </c>
      <c r="AN193" s="9"/>
    </row>
    <row r="194" spans="1:40" s="372" customFormat="1" ht="24.95" customHeight="1">
      <c r="A194" s="734"/>
      <c r="B194" s="644"/>
      <c r="N194" s="9"/>
      <c r="P194" s="9"/>
      <c r="Q194" s="9"/>
      <c r="R194" s="9"/>
      <c r="S194" s="356" t="str">
        <f>+IF(JULIO!S194=0,"",JULIO!S194)</f>
        <v/>
      </c>
      <c r="T194" s="678" t="str">
        <f>+IF(JULIO!T194=0,"",JULIO!T194)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+IF(JULIO!S195=0,"",JULIO!S195)</f>
        <v>4000000</v>
      </c>
      <c r="T195" s="668" t="str">
        <f>+IF(JULIO!T195=0,"",JULIO!T195)</f>
        <v>GASTOS  DE PRESTACION DE SERVICIOS</v>
      </c>
      <c r="U195" s="460">
        <f t="shared" ref="U195:AJ195" si="170">U196</f>
        <v>10282942055</v>
      </c>
      <c r="V195" s="461">
        <f t="shared" si="170"/>
        <v>5385317789</v>
      </c>
      <c r="W195" s="461">
        <f t="shared" si="170"/>
        <v>8759281439</v>
      </c>
      <c r="X195" s="462">
        <f t="shared" si="170"/>
        <v>24427541283</v>
      </c>
      <c r="Y195" s="369">
        <f t="shared" si="170"/>
        <v>20791864587</v>
      </c>
      <c r="Z195" s="461">
        <f t="shared" si="170"/>
        <v>1437116109</v>
      </c>
      <c r="AA195" s="462">
        <f t="shared" si="170"/>
        <v>22228980696</v>
      </c>
      <c r="AB195" s="369">
        <f t="shared" si="170"/>
        <v>18059374730</v>
      </c>
      <c r="AC195" s="461">
        <f t="shared" si="170"/>
        <v>1713225492</v>
      </c>
      <c r="AD195" s="462">
        <f t="shared" si="170"/>
        <v>19772600222</v>
      </c>
      <c r="AE195" s="369">
        <f t="shared" si="170"/>
        <v>12490057721</v>
      </c>
      <c r="AF195" s="461">
        <f t="shared" si="170"/>
        <v>784863294</v>
      </c>
      <c r="AG195" s="462">
        <f t="shared" si="170"/>
        <v>13274921015</v>
      </c>
      <c r="AH195" s="369">
        <f t="shared" si="170"/>
        <v>2198560587</v>
      </c>
      <c r="AI195" s="461">
        <f t="shared" si="170"/>
        <v>4654941061</v>
      </c>
      <c r="AJ195" s="370">
        <f t="shared" si="170"/>
        <v>11152620268</v>
      </c>
      <c r="AK195" s="9"/>
      <c r="AL195" s="128">
        <f>AL196</f>
        <v>660000000</v>
      </c>
      <c r="AM195" s="130">
        <f>AM196</f>
        <v>1600000000</v>
      </c>
      <c r="AN195" s="9"/>
    </row>
    <row r="196" spans="1:40" s="372" customFormat="1" ht="24.95" customHeight="1">
      <c r="A196" s="734"/>
      <c r="B196" s="644"/>
      <c r="N196" s="9"/>
      <c r="P196" s="9"/>
      <c r="Q196" s="9"/>
      <c r="R196" s="9"/>
      <c r="S196" s="687">
        <f>+IF(JULIO!S196=0,"",JULIO!S196)</f>
        <v>4100000</v>
      </c>
      <c r="T196" s="663" t="str">
        <f>+IF(JULIO!T196=0,"",JULIO!T196)</f>
        <v>Insumos y Suministros Hospitalarios</v>
      </c>
      <c r="U196" s="132">
        <f t="shared" ref="U196:AJ196" si="171">U197+U205+U207</f>
        <v>10282942055</v>
      </c>
      <c r="V196" s="122">
        <f t="shared" si="171"/>
        <v>5385317789</v>
      </c>
      <c r="W196" s="122">
        <f t="shared" si="171"/>
        <v>8759281439</v>
      </c>
      <c r="X196" s="129">
        <f t="shared" si="171"/>
        <v>24427541283</v>
      </c>
      <c r="Y196" s="128">
        <f t="shared" si="171"/>
        <v>20791864587</v>
      </c>
      <c r="Z196" s="122">
        <f t="shared" si="171"/>
        <v>1437116109</v>
      </c>
      <c r="AA196" s="129">
        <f t="shared" si="171"/>
        <v>22228980696</v>
      </c>
      <c r="AB196" s="128">
        <f t="shared" si="171"/>
        <v>18059374730</v>
      </c>
      <c r="AC196" s="122">
        <f t="shared" si="171"/>
        <v>1713225492</v>
      </c>
      <c r="AD196" s="129">
        <f t="shared" si="171"/>
        <v>19772600222</v>
      </c>
      <c r="AE196" s="128">
        <f t="shared" si="171"/>
        <v>12490057721</v>
      </c>
      <c r="AF196" s="122">
        <f t="shared" si="171"/>
        <v>784863294</v>
      </c>
      <c r="AG196" s="129">
        <f t="shared" si="171"/>
        <v>13274921015</v>
      </c>
      <c r="AH196" s="128">
        <f t="shared" si="171"/>
        <v>2198560587</v>
      </c>
      <c r="AI196" s="122">
        <f t="shared" si="171"/>
        <v>4654941061</v>
      </c>
      <c r="AJ196" s="130">
        <f t="shared" si="171"/>
        <v>11152620268</v>
      </c>
      <c r="AK196" s="10"/>
      <c r="AL196" s="128">
        <f>AL197+AL205+AL207</f>
        <v>660000000</v>
      </c>
      <c r="AM196" s="130">
        <f>AM197+AM205+AM207</f>
        <v>1600000000</v>
      </c>
      <c r="AN196" s="9"/>
    </row>
    <row r="197" spans="1:40" s="372" customFormat="1" ht="24.95" customHeight="1">
      <c r="A197" s="734"/>
      <c r="B197" s="644"/>
      <c r="N197" s="9"/>
      <c r="P197" s="9"/>
      <c r="Q197" s="9"/>
      <c r="R197" s="9"/>
      <c r="S197" s="688">
        <f>+IF(JULIO!S197=0,"",JULIO!S197)</f>
        <v>4100100</v>
      </c>
      <c r="T197" s="664" t="str">
        <f>+IF(JULIO!T197=0,"",JULIO!T197)</f>
        <v>Compra de Bienes para la Prestacion de servicios</v>
      </c>
      <c r="U197" s="27">
        <f t="shared" ref="U197:AJ197" si="172">SUM(U198:U204)</f>
        <v>8084311192</v>
      </c>
      <c r="V197" s="15">
        <f t="shared" si="172"/>
        <v>4020190078</v>
      </c>
      <c r="W197" s="15">
        <f t="shared" si="172"/>
        <v>4321407445</v>
      </c>
      <c r="X197" s="18">
        <f t="shared" si="172"/>
        <v>16425908715</v>
      </c>
      <c r="Y197" s="19">
        <f t="shared" si="172"/>
        <v>12983809929</v>
      </c>
      <c r="Z197" s="142">
        <f t="shared" si="172"/>
        <v>1433141509</v>
      </c>
      <c r="AA197" s="18">
        <f t="shared" si="172"/>
        <v>14416951438</v>
      </c>
      <c r="AB197" s="19">
        <f t="shared" si="172"/>
        <v>10738388936</v>
      </c>
      <c r="AC197" s="142">
        <f t="shared" si="172"/>
        <v>1619602900</v>
      </c>
      <c r="AD197" s="18">
        <f t="shared" si="172"/>
        <v>12357991836</v>
      </c>
      <c r="AE197" s="19">
        <f t="shared" si="172"/>
        <v>5271308737</v>
      </c>
      <c r="AF197" s="142">
        <f t="shared" si="172"/>
        <v>780888694</v>
      </c>
      <c r="AG197" s="18">
        <f t="shared" si="172"/>
        <v>6052197431</v>
      </c>
      <c r="AH197" s="19">
        <f t="shared" si="172"/>
        <v>2008957277</v>
      </c>
      <c r="AI197" s="15">
        <f t="shared" si="172"/>
        <v>4067916879</v>
      </c>
      <c r="AJ197" s="16">
        <f t="shared" si="172"/>
        <v>10373711284</v>
      </c>
      <c r="AK197" s="9"/>
      <c r="AL197" s="29">
        <f>SUM(AL198:AL204)</f>
        <v>660000000</v>
      </c>
      <c r="AM197" s="26">
        <f>SUM(AM198:AM204)</f>
        <v>1500000000</v>
      </c>
      <c r="AN197" s="9"/>
    </row>
    <row r="198" spans="1:40" s="372" customFormat="1" ht="24.95" customHeight="1">
      <c r="A198" s="734"/>
      <c r="B198" s="644"/>
      <c r="N198" s="9"/>
      <c r="P198" s="9"/>
      <c r="Q198" s="9"/>
      <c r="R198" s="9"/>
      <c r="S198" s="689" t="str">
        <f>+IF(JULIO!S198=0,"",JULIO!S198)</f>
        <v>4100100-1</v>
      </c>
      <c r="T198" s="665" t="str">
        <f>+IF(JULIO!T198=0,"",JULIO!T198)</f>
        <v>Productos Farmaceuticos</v>
      </c>
      <c r="U198" s="27">
        <f>+ENERO!U198</f>
        <v>4000000000</v>
      </c>
      <c r="V198" s="15">
        <f>JULIO!V198+AGOSTO!AL198</f>
        <v>1715190078</v>
      </c>
      <c r="W198" s="15">
        <f>JULIO!W198+AGOSTO!AM198</f>
        <v>1643274278</v>
      </c>
      <c r="X198" s="18">
        <f t="shared" ref="X198:X204" si="173">SUM(U198:W198)</f>
        <v>7358464356</v>
      </c>
      <c r="Y198" s="19">
        <f>JULIO!AA198</f>
        <v>5909123490</v>
      </c>
      <c r="Z198" s="364">
        <v>686160185</v>
      </c>
      <c r="AA198" s="18">
        <f t="shared" ref="AA198:AA204" si="174">SUM(Y198:Z198)</f>
        <v>6595283675</v>
      </c>
      <c r="AB198" s="19">
        <f>JULIO!AD198</f>
        <v>4975346138</v>
      </c>
      <c r="AC198" s="364">
        <v>787463929</v>
      </c>
      <c r="AD198" s="18">
        <f t="shared" ref="AD198:AD204" si="175">SUM(AB198:AC198)</f>
        <v>5762810067</v>
      </c>
      <c r="AE198" s="19">
        <f>JULIO!AG198</f>
        <v>1940853165</v>
      </c>
      <c r="AF198" s="364">
        <v>451552500</v>
      </c>
      <c r="AG198" s="18">
        <f t="shared" ref="AG198:AG204" si="176">SUM(AE198:AF198)</f>
        <v>2392405665</v>
      </c>
      <c r="AH198" s="19">
        <f t="shared" ref="AH198:AH204" si="177">X198-AA198</f>
        <v>763180681</v>
      </c>
      <c r="AI198" s="15">
        <f t="shared" ref="AI198:AI204" si="178">X198-AD198</f>
        <v>1595654289</v>
      </c>
      <c r="AJ198" s="16">
        <f t="shared" ref="AJ198:AJ204" si="179">X198-AG198</f>
        <v>4966058691</v>
      </c>
      <c r="AK198" s="9"/>
      <c r="AL198" s="362">
        <v>360000000</v>
      </c>
      <c r="AM198" s="365">
        <v>600000000</v>
      </c>
      <c r="AN198" s="9"/>
    </row>
    <row r="199" spans="1:40" s="372" customFormat="1" ht="24.95" customHeight="1">
      <c r="A199" s="734"/>
      <c r="B199" s="644"/>
      <c r="N199" s="9"/>
      <c r="P199" s="9"/>
      <c r="Q199" s="9"/>
      <c r="R199" s="9"/>
      <c r="S199" s="689" t="str">
        <f>+IF(JULIO!S199=0,"",JULIO!S199)</f>
        <v>4100100-2</v>
      </c>
      <c r="T199" s="665" t="str">
        <f>+IF(JULIO!T199=0,"",JULIO!T199)</f>
        <v>Material Médico Quirúrgico</v>
      </c>
      <c r="U199" s="27">
        <f>+ENERO!U199</f>
        <v>3244311192</v>
      </c>
      <c r="V199" s="15">
        <f>JULIO!V199+AGOSTO!AL199</f>
        <v>2305000000</v>
      </c>
      <c r="W199" s="15">
        <f>JULIO!W199+AGOSTO!AM199</f>
        <v>2678133167</v>
      </c>
      <c r="X199" s="18">
        <f t="shared" si="173"/>
        <v>8227444359</v>
      </c>
      <c r="Y199" s="19">
        <f>JULIO!AA199</f>
        <v>6616546812</v>
      </c>
      <c r="Z199" s="364">
        <v>677677425</v>
      </c>
      <c r="AA199" s="18">
        <f t="shared" si="174"/>
        <v>7294224237</v>
      </c>
      <c r="AB199" s="19">
        <f>JULIO!AD199</f>
        <v>5305569567</v>
      </c>
      <c r="AC199" s="364">
        <v>762963072</v>
      </c>
      <c r="AD199" s="18">
        <f t="shared" si="175"/>
        <v>6068532639</v>
      </c>
      <c r="AE199" s="19">
        <f>JULIO!AG199</f>
        <v>3049305970</v>
      </c>
      <c r="AF199" s="364">
        <v>297106697</v>
      </c>
      <c r="AG199" s="18">
        <f t="shared" si="176"/>
        <v>3346412667</v>
      </c>
      <c r="AH199" s="19">
        <f t="shared" si="177"/>
        <v>933220122</v>
      </c>
      <c r="AI199" s="15">
        <f t="shared" si="178"/>
        <v>2158911720</v>
      </c>
      <c r="AJ199" s="16">
        <f t="shared" si="179"/>
        <v>4881031692</v>
      </c>
      <c r="AK199" s="9"/>
      <c r="AL199" s="362">
        <v>300000000</v>
      </c>
      <c r="AM199" s="365">
        <v>900000000</v>
      </c>
      <c r="AN199" s="9"/>
    </row>
    <row r="200" spans="1:40" s="372" customFormat="1" ht="24.95" customHeight="1">
      <c r="A200" s="734"/>
      <c r="B200" s="644"/>
      <c r="N200" s="9"/>
      <c r="P200" s="9"/>
      <c r="Q200" s="9"/>
      <c r="R200" s="9"/>
      <c r="S200" s="689" t="str">
        <f>+IF(JULIO!S200=0,"",JULIO!S200)</f>
        <v>4100100-3</v>
      </c>
      <c r="T200" s="665" t="str">
        <f>+IF(JULIO!T200=0,"",JULIO!T200)</f>
        <v>Material de Laboratorio</v>
      </c>
      <c r="U200" s="27">
        <f>+ENERO!U200</f>
        <v>840000000</v>
      </c>
      <c r="V200" s="15">
        <f>JULIO!V200+AGOSTO!AL200</f>
        <v>0</v>
      </c>
      <c r="W200" s="15">
        <f>JULIO!W200+AGOSTO!AM200</f>
        <v>0</v>
      </c>
      <c r="X200" s="18">
        <f t="shared" si="173"/>
        <v>840000000</v>
      </c>
      <c r="Y200" s="19">
        <f>JULIO!AA200</f>
        <v>458139627</v>
      </c>
      <c r="Z200" s="364">
        <v>69303899</v>
      </c>
      <c r="AA200" s="18">
        <f t="shared" si="174"/>
        <v>527443526</v>
      </c>
      <c r="AB200" s="19">
        <f>JULIO!AD200</f>
        <v>457473231</v>
      </c>
      <c r="AC200" s="364">
        <v>69175899</v>
      </c>
      <c r="AD200" s="18">
        <f t="shared" si="175"/>
        <v>526649130</v>
      </c>
      <c r="AE200" s="19">
        <f>JULIO!AG200</f>
        <v>281149602</v>
      </c>
      <c r="AF200" s="364">
        <v>32229497</v>
      </c>
      <c r="AG200" s="18">
        <f t="shared" si="176"/>
        <v>313379099</v>
      </c>
      <c r="AH200" s="19">
        <f t="shared" si="177"/>
        <v>312556474</v>
      </c>
      <c r="AI200" s="15">
        <f t="shared" si="178"/>
        <v>313350870</v>
      </c>
      <c r="AJ200" s="16">
        <f t="shared" si="179"/>
        <v>526620901</v>
      </c>
      <c r="AK200" s="9"/>
      <c r="AL200" s="362">
        <v>0</v>
      </c>
      <c r="AM200" s="365">
        <v>0</v>
      </c>
      <c r="AN200" s="9"/>
    </row>
    <row r="201" spans="1:40" s="372" customFormat="1" ht="24.95" customHeight="1">
      <c r="A201" s="734"/>
      <c r="B201" s="644"/>
      <c r="N201" s="9"/>
      <c r="P201" s="9"/>
      <c r="Q201" s="9"/>
      <c r="R201" s="9"/>
      <c r="S201" s="689" t="str">
        <f>+IF(JULIO!S201=0,"",JULIO!S201)</f>
        <v>4100100-4</v>
      </c>
      <c r="T201" s="665" t="str">
        <f>+IF(JULIO!T201=0,"",JULIO!T201)</f>
        <v>Material para Odontologia</v>
      </c>
      <c r="U201" s="27">
        <f>+ENERO!U201</f>
        <v>0</v>
      </c>
      <c r="V201" s="15">
        <f>JULIO!V201+AGOSTO!AL201</f>
        <v>0</v>
      </c>
      <c r="W201" s="15">
        <f>JULIO!W201+AGOSTO!AM201</f>
        <v>0</v>
      </c>
      <c r="X201" s="18">
        <f t="shared" si="173"/>
        <v>0</v>
      </c>
      <c r="Y201" s="19">
        <f>JULIO!AA201</f>
        <v>0</v>
      </c>
      <c r="Z201" s="364">
        <v>0</v>
      </c>
      <c r="AA201" s="18">
        <f t="shared" si="174"/>
        <v>0</v>
      </c>
      <c r="AB201" s="19">
        <f>JULIO!AD201</f>
        <v>0</v>
      </c>
      <c r="AC201" s="364">
        <v>0</v>
      </c>
      <c r="AD201" s="18">
        <f t="shared" si="175"/>
        <v>0</v>
      </c>
      <c r="AE201" s="19">
        <f>JULIO!AG201</f>
        <v>0</v>
      </c>
      <c r="AF201" s="364">
        <v>0</v>
      </c>
      <c r="AG201" s="18">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N202" s="9"/>
      <c r="P202" s="9"/>
      <c r="Q202" s="9"/>
      <c r="R202" s="9"/>
      <c r="S202" s="689" t="str">
        <f>+IF(JULIO!S202=0,"",JULIO!S202)</f>
        <v>4100100-5</v>
      </c>
      <c r="T202" s="665" t="str">
        <f>+IF(JULIO!T202=0,"",JULIO!T202)</f>
        <v>Material para Rayos X</v>
      </c>
      <c r="U202" s="27">
        <f>+ENERO!U202</f>
        <v>0</v>
      </c>
      <c r="V202" s="15">
        <f>JULIO!V202+AGOSTO!AL202</f>
        <v>0</v>
      </c>
      <c r="W202" s="15">
        <f>JULIO!W202+AGOSTO!AM202</f>
        <v>0</v>
      </c>
      <c r="X202" s="18">
        <f t="shared" si="173"/>
        <v>0</v>
      </c>
      <c r="Y202" s="19">
        <f>JULIO!AA202</f>
        <v>0</v>
      </c>
      <c r="Z202" s="364">
        <v>0</v>
      </c>
      <c r="AA202" s="18">
        <f t="shared" si="174"/>
        <v>0</v>
      </c>
      <c r="AB202" s="19">
        <f>JULIO!AD202</f>
        <v>0</v>
      </c>
      <c r="AC202" s="364">
        <v>0</v>
      </c>
      <c r="AD202" s="18">
        <f t="shared" si="175"/>
        <v>0</v>
      </c>
      <c r="AE202" s="19">
        <f>JULIO!AG202</f>
        <v>0</v>
      </c>
      <c r="AF202" s="364">
        <v>0</v>
      </c>
      <c r="AG202" s="18">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N203" s="9"/>
      <c r="P203" s="9"/>
      <c r="Q203" s="9"/>
      <c r="R203" s="9"/>
      <c r="S203" s="689" t="str">
        <f>+IF(JULIO!S203=0,"",JULIO!S203)</f>
        <v>4100100-6</v>
      </c>
      <c r="T203" s="665" t="str">
        <f>+IF(JULIO!T203=0,"",JULIO!T203)</f>
        <v/>
      </c>
      <c r="U203" s="27">
        <f>+ENERO!U203</f>
        <v>0</v>
      </c>
      <c r="V203" s="15">
        <f>JULIO!V203+AGOSTO!AL203</f>
        <v>0</v>
      </c>
      <c r="W203" s="15">
        <f>JULIO!W203+AGOSTO!AM203</f>
        <v>0</v>
      </c>
      <c r="X203" s="18">
        <f t="shared" si="173"/>
        <v>0</v>
      </c>
      <c r="Y203" s="19">
        <f>JULIO!AA203</f>
        <v>0</v>
      </c>
      <c r="Z203" s="364">
        <v>0</v>
      </c>
      <c r="AA203" s="18">
        <f t="shared" si="174"/>
        <v>0</v>
      </c>
      <c r="AB203" s="19">
        <f>JULIO!AD203</f>
        <v>0</v>
      </c>
      <c r="AC203" s="364">
        <v>0</v>
      </c>
      <c r="AD203" s="18">
        <f t="shared" si="175"/>
        <v>0</v>
      </c>
      <c r="AE203" s="19">
        <f>JULIO!AG203</f>
        <v>0</v>
      </c>
      <c r="AF203" s="364">
        <v>0</v>
      </c>
      <c r="AG203" s="18">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N204" s="9"/>
      <c r="P204" s="9"/>
      <c r="Q204" s="9"/>
      <c r="R204" s="9"/>
      <c r="S204" s="689" t="str">
        <f>+IF(JULIO!S204=0,"",JULIO!S204)</f>
        <v>4100100-7</v>
      </c>
      <c r="T204" s="665" t="str">
        <f>+IF(JULIO!T204=0,"",JULIO!T204)</f>
        <v/>
      </c>
      <c r="U204" s="27">
        <f>+ENERO!U204</f>
        <v>0</v>
      </c>
      <c r="V204" s="15">
        <f>JULIO!V204+AGOSTO!AL204</f>
        <v>0</v>
      </c>
      <c r="W204" s="15">
        <f>JULIO!W204+AGOSTO!AM204</f>
        <v>0</v>
      </c>
      <c r="X204" s="18">
        <f t="shared" si="173"/>
        <v>0</v>
      </c>
      <c r="Y204" s="19">
        <f>JULIO!AA204</f>
        <v>0</v>
      </c>
      <c r="Z204" s="364">
        <v>0</v>
      </c>
      <c r="AA204" s="18">
        <f t="shared" si="174"/>
        <v>0</v>
      </c>
      <c r="AB204" s="19">
        <f>JULIO!AD204</f>
        <v>0</v>
      </c>
      <c r="AC204" s="364">
        <v>0</v>
      </c>
      <c r="AD204" s="18">
        <f t="shared" si="175"/>
        <v>0</v>
      </c>
      <c r="AE204" s="19">
        <f>JULIO!AG204</f>
        <v>0</v>
      </c>
      <c r="AF204" s="364">
        <v>0</v>
      </c>
      <c r="AG204" s="18">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N205" s="9"/>
      <c r="P205" s="9"/>
      <c r="Q205" s="9"/>
      <c r="R205" s="9"/>
      <c r="S205" s="688">
        <f>+IF(JULIO!S205=0,"",JULIO!S205)</f>
        <v>4100200</v>
      </c>
      <c r="T205" s="664" t="str">
        <f>+IF(JULIO!T205=0,"",JULIO!T205)</f>
        <v>Gastos Complementarios e Intermedios</v>
      </c>
      <c r="U205" s="27">
        <f t="shared" ref="U205:AJ205" si="180">U206</f>
        <v>1200000000</v>
      </c>
      <c r="V205" s="15">
        <f t="shared" si="180"/>
        <v>0</v>
      </c>
      <c r="W205" s="15">
        <f t="shared" si="180"/>
        <v>0</v>
      </c>
      <c r="X205" s="18">
        <f t="shared" si="180"/>
        <v>1200000000</v>
      </c>
      <c r="Y205" s="19">
        <f t="shared" si="180"/>
        <v>1152465740</v>
      </c>
      <c r="Z205" s="142">
        <f t="shared" si="180"/>
        <v>154700</v>
      </c>
      <c r="AA205" s="18">
        <f t="shared" si="180"/>
        <v>1152620440</v>
      </c>
      <c r="AB205" s="19">
        <f t="shared" si="180"/>
        <v>665396876</v>
      </c>
      <c r="AC205" s="142">
        <f t="shared" si="180"/>
        <v>89802692</v>
      </c>
      <c r="AD205" s="18">
        <f t="shared" si="180"/>
        <v>755199568</v>
      </c>
      <c r="AE205" s="19">
        <f t="shared" si="180"/>
        <v>563160066</v>
      </c>
      <c r="AF205" s="142">
        <f t="shared" si="180"/>
        <v>154700</v>
      </c>
      <c r="AG205" s="18">
        <f t="shared" si="180"/>
        <v>563314766</v>
      </c>
      <c r="AH205" s="19">
        <f t="shared" si="180"/>
        <v>47379560</v>
      </c>
      <c r="AI205" s="15">
        <f t="shared" si="180"/>
        <v>444800432</v>
      </c>
      <c r="AJ205" s="16">
        <f t="shared" si="180"/>
        <v>636685234</v>
      </c>
      <c r="AK205" s="9"/>
      <c r="AL205" s="29">
        <f>AL206</f>
        <v>0</v>
      </c>
      <c r="AM205" s="26">
        <f>AM206</f>
        <v>0</v>
      </c>
      <c r="AN205" s="9"/>
    </row>
    <row r="206" spans="1:40" s="372" customFormat="1" ht="24.95" customHeight="1">
      <c r="A206" s="734"/>
      <c r="B206" s="644"/>
      <c r="N206" s="9"/>
      <c r="P206" s="9"/>
      <c r="Q206" s="9"/>
      <c r="R206" s="9"/>
      <c r="S206" s="689" t="str">
        <f>+IF(JULIO!S206=0,"",JULIO!S206)</f>
        <v>4100200-1</v>
      </c>
      <c r="T206" s="665" t="str">
        <f>+IF(JULIO!T206=0,"",JULIO!T206)</f>
        <v>Alimentación</v>
      </c>
      <c r="U206" s="27">
        <f>+ENERO!U206</f>
        <v>1200000000</v>
      </c>
      <c r="V206" s="15">
        <f>JULIO!V206+AGOSTO!AL206</f>
        <v>0</v>
      </c>
      <c r="W206" s="15">
        <f>JULIO!W206+AGOSTO!AM206</f>
        <v>0</v>
      </c>
      <c r="X206" s="18">
        <f>SUM(U206:W206)</f>
        <v>1200000000</v>
      </c>
      <c r="Y206" s="19">
        <f>JULIO!AA206</f>
        <v>1152465740</v>
      </c>
      <c r="Z206" s="364">
        <v>154700</v>
      </c>
      <c r="AA206" s="18">
        <f>SUM(Y206:Z206)</f>
        <v>1152620440</v>
      </c>
      <c r="AB206" s="19">
        <f>JULIO!AD206</f>
        <v>665396876</v>
      </c>
      <c r="AC206" s="364">
        <v>89802692</v>
      </c>
      <c r="AD206" s="18">
        <f>SUM(AB206:AC206)</f>
        <v>755199568</v>
      </c>
      <c r="AE206" s="19">
        <f>JULIO!AG206</f>
        <v>563160066</v>
      </c>
      <c r="AF206" s="364">
        <v>154700</v>
      </c>
      <c r="AG206" s="18">
        <f>SUM(AE206:AF206)</f>
        <v>563314766</v>
      </c>
      <c r="AH206" s="19">
        <f>X206-AA206</f>
        <v>47379560</v>
      </c>
      <c r="AI206" s="15">
        <f>X206-AD206</f>
        <v>444800432</v>
      </c>
      <c r="AJ206" s="16">
        <f>X206-AG206</f>
        <v>636685234</v>
      </c>
      <c r="AK206" s="9"/>
      <c r="AL206" s="362">
        <v>0</v>
      </c>
      <c r="AM206" s="365">
        <v>0</v>
      </c>
      <c r="AN206" s="9"/>
    </row>
    <row r="207" spans="1:40" s="372" customFormat="1" ht="24.95" customHeight="1" thickBot="1">
      <c r="A207" s="734"/>
      <c r="B207" s="644"/>
      <c r="N207" s="9"/>
      <c r="P207" s="9"/>
      <c r="Q207" s="9"/>
      <c r="R207" s="9"/>
      <c r="S207" s="691">
        <f>+IF(JULIO!S207=0,"",JULIO!S207)</f>
        <v>4199999</v>
      </c>
      <c r="T207" s="670" t="str">
        <f>+IF(JULIO!T207=0,"",JULIO!T207)</f>
        <v>Vigencias Anteriores</v>
      </c>
      <c r="U207" s="133">
        <f>+ENERO!U207</f>
        <v>998630863</v>
      </c>
      <c r="V207" s="121">
        <f>JULIO!V207+AGOSTO!AL207</f>
        <v>1365127711</v>
      </c>
      <c r="W207" s="121">
        <f>JULIO!W207+AGOSTO!AM207</f>
        <v>4437873994</v>
      </c>
      <c r="X207" s="126">
        <f>SUM(U207:W207)</f>
        <v>6801632568</v>
      </c>
      <c r="Y207" s="124">
        <f>JULIO!AA207</f>
        <v>6655588918</v>
      </c>
      <c r="Z207" s="378">
        <v>3819900</v>
      </c>
      <c r="AA207" s="126">
        <f>SUM(Y207:Z207)</f>
        <v>6659408818</v>
      </c>
      <c r="AB207" s="124">
        <f>JULIO!AD207</f>
        <v>6655588918</v>
      </c>
      <c r="AC207" s="378">
        <v>3819900</v>
      </c>
      <c r="AD207" s="126">
        <f>SUM(AB207:AC207)</f>
        <v>6659408818</v>
      </c>
      <c r="AE207" s="124">
        <f>JULIO!AG207</f>
        <v>6655588918</v>
      </c>
      <c r="AF207" s="378">
        <v>3819900</v>
      </c>
      <c r="AG207" s="126">
        <f>SUM(AE207:AF207)</f>
        <v>6659408818</v>
      </c>
      <c r="AH207" s="124">
        <f>X207-AA207</f>
        <v>142223750</v>
      </c>
      <c r="AI207" s="121">
        <f>X207-AD207</f>
        <v>142223750</v>
      </c>
      <c r="AJ207" s="125">
        <f>X207-AG207</f>
        <v>142223750</v>
      </c>
      <c r="AK207" s="9"/>
      <c r="AL207" s="374">
        <v>0</v>
      </c>
      <c r="AM207" s="379">
        <v>100000000</v>
      </c>
      <c r="AN207" s="9"/>
    </row>
    <row r="208" spans="1:40" s="372" customFormat="1" ht="24.95" customHeight="1">
      <c r="A208" s="734"/>
      <c r="B208" s="644"/>
      <c r="N208" s="9"/>
      <c r="P208" s="9"/>
      <c r="Q208" s="9"/>
      <c r="R208" s="9"/>
      <c r="S208" s="479" t="str">
        <f>+IF(JULIO!S208=0,"",JULIO!S208)</f>
        <v/>
      </c>
      <c r="T208" s="671" t="str">
        <f>+IF(JULIO!T208=0,"",JULIO!T208)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+IF(JULIO!S209=0,"",JULIO!S209)</f>
        <v>5000000</v>
      </c>
      <c r="T209" s="708" t="str">
        <f>+IF(JULIO!T209=0,"",JULIO!T209)</f>
        <v>GASTOS DE COMERCIALIZACION</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462">
        <f t="shared" si="181"/>
        <v>0</v>
      </c>
      <c r="AE209" s="369">
        <f t="shared" si="181"/>
        <v>0</v>
      </c>
      <c r="AF209" s="461">
        <f t="shared" si="181"/>
        <v>0</v>
      </c>
      <c r="AG209" s="462">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N210" s="9"/>
      <c r="P210" s="9"/>
      <c r="Q210" s="9"/>
      <c r="R210" s="9"/>
      <c r="S210" s="687">
        <f>+IF(JULIO!S210=0,"",JULIO!S210)</f>
        <v>5100000</v>
      </c>
      <c r="T210" s="663" t="str">
        <f>+IF(JULIO!T210=0,"",JULIO!T210)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29">
        <f t="shared" si="182"/>
        <v>0</v>
      </c>
      <c r="AE210" s="128">
        <f t="shared" si="182"/>
        <v>0</v>
      </c>
      <c r="AF210" s="122">
        <f t="shared" si="182"/>
        <v>0</v>
      </c>
      <c r="AG210" s="129">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N211" s="9"/>
      <c r="P211" s="9"/>
      <c r="Q211" s="9"/>
      <c r="R211" s="9"/>
      <c r="S211" s="688">
        <f>+IF(JULIO!S211=0,"",JULIO!S211)</f>
        <v>5100100</v>
      </c>
      <c r="T211" s="664" t="str">
        <f>+IF(JULIO!T211=0,"",JULIO!T211)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8">
        <f t="shared" si="183"/>
        <v>0</v>
      </c>
      <c r="AE211" s="19">
        <f t="shared" si="183"/>
        <v>0</v>
      </c>
      <c r="AF211" s="142">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N212" s="9"/>
      <c r="P212" s="9"/>
      <c r="Q212" s="9"/>
      <c r="R212" s="9"/>
      <c r="S212" s="689" t="str">
        <f>+IF(JULIO!S212=0,"",JULIO!S212)</f>
        <v>5100100-1</v>
      </c>
      <c r="T212" s="665" t="str">
        <f>+IF(JULIO!T212=0,"",JULIO!T212)</f>
        <v>Productos Farmaceuticos</v>
      </c>
      <c r="U212" s="27">
        <f>+ENERO!U212</f>
        <v>0</v>
      </c>
      <c r="V212" s="15">
        <f>JULIO!V212+AGOSTO!AL212</f>
        <v>0</v>
      </c>
      <c r="W212" s="15">
        <f>JULIO!W212+AGOSTO!AM212</f>
        <v>0</v>
      </c>
      <c r="X212" s="18">
        <f t="shared" ref="X212:X218" si="184">SUM(U212:W212)</f>
        <v>0</v>
      </c>
      <c r="Y212" s="19">
        <f>JULIO!AA212</f>
        <v>0</v>
      </c>
      <c r="Z212" s="364">
        <v>0</v>
      </c>
      <c r="AA212" s="18">
        <f t="shared" ref="AA212:AA218" si="185">SUM(Y212:Z212)</f>
        <v>0</v>
      </c>
      <c r="AB212" s="19">
        <f>JULIO!AD212</f>
        <v>0</v>
      </c>
      <c r="AC212" s="364">
        <v>0</v>
      </c>
      <c r="AD212" s="18">
        <f t="shared" ref="AD212:AD218" si="186">SUM(AB212:AC212)</f>
        <v>0</v>
      </c>
      <c r="AE212" s="19">
        <f>JULIO!AG212</f>
        <v>0</v>
      </c>
      <c r="AF212" s="364">
        <v>0</v>
      </c>
      <c r="AG212" s="1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N213" s="9"/>
      <c r="P213" s="9"/>
      <c r="Q213" s="9"/>
      <c r="R213" s="9"/>
      <c r="S213" s="689" t="str">
        <f>+IF(JULIO!S213=0,"",JULIO!S213)</f>
        <v>5100100-2</v>
      </c>
      <c r="T213" s="665" t="str">
        <f>+IF(JULIO!T213=0,"",JULIO!T213)</f>
        <v>Material Médico Quirúrgico</v>
      </c>
      <c r="U213" s="27">
        <f>+ENERO!U213</f>
        <v>0</v>
      </c>
      <c r="V213" s="15">
        <f>JULIO!V213+AGOSTO!AL213</f>
        <v>0</v>
      </c>
      <c r="W213" s="15">
        <f>JULIO!W213+AGOSTO!AM213</f>
        <v>0</v>
      </c>
      <c r="X213" s="18">
        <f t="shared" si="184"/>
        <v>0</v>
      </c>
      <c r="Y213" s="19">
        <f>JULIO!AA213</f>
        <v>0</v>
      </c>
      <c r="Z213" s="364">
        <v>0</v>
      </c>
      <c r="AA213" s="18">
        <f t="shared" si="185"/>
        <v>0</v>
      </c>
      <c r="AB213" s="19">
        <f>JULIO!AD213</f>
        <v>0</v>
      </c>
      <c r="AC213" s="364">
        <v>0</v>
      </c>
      <c r="AD213" s="18">
        <f t="shared" si="186"/>
        <v>0</v>
      </c>
      <c r="AE213" s="19">
        <f>JULIO!AG213</f>
        <v>0</v>
      </c>
      <c r="AF213" s="364">
        <v>0</v>
      </c>
      <c r="AG213" s="18">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N214" s="9"/>
      <c r="P214" s="9"/>
      <c r="Q214" s="9"/>
      <c r="R214" s="9"/>
      <c r="S214" s="689" t="str">
        <f>+IF(JULIO!S214=0,"",JULIO!S214)</f>
        <v>5100100-3</v>
      </c>
      <c r="T214" s="665" t="str">
        <f>+IF(JULIO!T214=0,"",JULIO!T214)</f>
        <v>Material de Laboratorio</v>
      </c>
      <c r="U214" s="27">
        <f>+ENERO!U214</f>
        <v>0</v>
      </c>
      <c r="V214" s="15">
        <f>JULIO!V214+AGOSTO!AL214</f>
        <v>0</v>
      </c>
      <c r="W214" s="15">
        <f>JULIO!W214+AGOSTO!AM214</f>
        <v>0</v>
      </c>
      <c r="X214" s="18">
        <f t="shared" si="184"/>
        <v>0</v>
      </c>
      <c r="Y214" s="19">
        <f>JULIO!AA214</f>
        <v>0</v>
      </c>
      <c r="Z214" s="364">
        <v>0</v>
      </c>
      <c r="AA214" s="18">
        <f t="shared" si="185"/>
        <v>0</v>
      </c>
      <c r="AB214" s="19">
        <f>JULIO!AD214</f>
        <v>0</v>
      </c>
      <c r="AC214" s="364">
        <v>0</v>
      </c>
      <c r="AD214" s="18">
        <f t="shared" si="186"/>
        <v>0</v>
      </c>
      <c r="AE214" s="19">
        <f>JULIO!AG214</f>
        <v>0</v>
      </c>
      <c r="AF214" s="364">
        <v>0</v>
      </c>
      <c r="AG214" s="18">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N215" s="9"/>
      <c r="P215" s="9"/>
      <c r="Q215" s="9"/>
      <c r="R215" s="9"/>
      <c r="S215" s="689" t="str">
        <f>+IF(JULIO!S215=0,"",JULIO!S215)</f>
        <v>5100100-4</v>
      </c>
      <c r="T215" s="665" t="str">
        <f>+IF(JULIO!T215=0,"",JULIO!T215)</f>
        <v>Material para Odontologia</v>
      </c>
      <c r="U215" s="27">
        <f>+ENERO!U215</f>
        <v>0</v>
      </c>
      <c r="V215" s="15">
        <f>JULIO!V215+AGOSTO!AL215</f>
        <v>0</v>
      </c>
      <c r="W215" s="15">
        <f>JULIO!W215+AGOSTO!AM215</f>
        <v>0</v>
      </c>
      <c r="X215" s="18">
        <f t="shared" si="184"/>
        <v>0</v>
      </c>
      <c r="Y215" s="19">
        <f>JULIO!AA215</f>
        <v>0</v>
      </c>
      <c r="Z215" s="364">
        <v>0</v>
      </c>
      <c r="AA215" s="18">
        <f t="shared" si="185"/>
        <v>0</v>
      </c>
      <c r="AB215" s="19">
        <f>JULIO!AD215</f>
        <v>0</v>
      </c>
      <c r="AC215" s="364">
        <v>0</v>
      </c>
      <c r="AD215" s="18">
        <f t="shared" si="186"/>
        <v>0</v>
      </c>
      <c r="AE215" s="19">
        <f>JULIO!AG215</f>
        <v>0</v>
      </c>
      <c r="AF215" s="364">
        <v>0</v>
      </c>
      <c r="AG215" s="18">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N216" s="9"/>
      <c r="P216" s="9"/>
      <c r="Q216" s="9"/>
      <c r="R216" s="9"/>
      <c r="S216" s="689" t="str">
        <f>+IF(JULIO!S216=0,"",JULIO!S216)</f>
        <v>5100100-5</v>
      </c>
      <c r="T216" s="665" t="str">
        <f>+IF(JULIO!T216=0,"",JULIO!T216)</f>
        <v>Material para Rayos X</v>
      </c>
      <c r="U216" s="27">
        <f>+ENERO!U216</f>
        <v>0</v>
      </c>
      <c r="V216" s="15">
        <f>JULIO!V216+AGOSTO!AL216</f>
        <v>0</v>
      </c>
      <c r="W216" s="15">
        <f>JULIO!W216+AGOSTO!AM216</f>
        <v>0</v>
      </c>
      <c r="X216" s="18">
        <f t="shared" si="184"/>
        <v>0</v>
      </c>
      <c r="Y216" s="19">
        <f>JULIO!AA216</f>
        <v>0</v>
      </c>
      <c r="Z216" s="364">
        <v>0</v>
      </c>
      <c r="AA216" s="18">
        <f t="shared" si="185"/>
        <v>0</v>
      </c>
      <c r="AB216" s="19">
        <f>JULIO!AD216</f>
        <v>0</v>
      </c>
      <c r="AC216" s="364">
        <v>0</v>
      </c>
      <c r="AD216" s="18">
        <f t="shared" si="186"/>
        <v>0</v>
      </c>
      <c r="AE216" s="19">
        <f>JULIO!AG216</f>
        <v>0</v>
      </c>
      <c r="AF216" s="364">
        <v>0</v>
      </c>
      <c r="AG216" s="18">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N217" s="9"/>
      <c r="P217" s="9"/>
      <c r="Q217" s="9"/>
      <c r="R217" s="9"/>
      <c r="S217" s="689" t="str">
        <f>+IF(JULIO!S217=0,"",JULIO!S217)</f>
        <v>5100100-6</v>
      </c>
      <c r="T217" s="665" t="str">
        <f>+IF(JULIO!T217=0,"",JULIO!T217)</f>
        <v>Material aseo personal, etc.</v>
      </c>
      <c r="U217" s="27">
        <f>+ENERO!U217</f>
        <v>0</v>
      </c>
      <c r="V217" s="15">
        <f>JULIO!V217+AGOSTO!AL217</f>
        <v>0</v>
      </c>
      <c r="W217" s="15">
        <f>JULIO!W217+AGOSTO!AM217</f>
        <v>0</v>
      </c>
      <c r="X217" s="18">
        <f t="shared" si="184"/>
        <v>0</v>
      </c>
      <c r="Y217" s="19">
        <f>JULIO!AA217</f>
        <v>0</v>
      </c>
      <c r="Z217" s="364">
        <v>0</v>
      </c>
      <c r="AA217" s="18">
        <f t="shared" si="185"/>
        <v>0</v>
      </c>
      <c r="AB217" s="19">
        <f>JULIO!AD217</f>
        <v>0</v>
      </c>
      <c r="AC217" s="364">
        <v>0</v>
      </c>
      <c r="AD217" s="18">
        <f t="shared" si="186"/>
        <v>0</v>
      </c>
      <c r="AE217" s="19">
        <f>JULIO!AG217</f>
        <v>0</v>
      </c>
      <c r="AF217" s="364">
        <v>0</v>
      </c>
      <c r="AG217" s="18">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N218" s="9"/>
      <c r="P218" s="9"/>
      <c r="Q218" s="9"/>
      <c r="R218" s="9"/>
      <c r="S218" s="698">
        <f>+IF(JULIO!S218=0,"",JULIO!S218)</f>
        <v>5199999</v>
      </c>
      <c r="T218" s="680" t="str">
        <f>+IF(JULIO!T218=0,"",JULIO!T218)</f>
        <v>Vigencias Anteriores</v>
      </c>
      <c r="U218" s="133">
        <f>+ENERO!U218</f>
        <v>0</v>
      </c>
      <c r="V218" s="121">
        <f>JULIO!V218+AGOSTO!AL218</f>
        <v>0</v>
      </c>
      <c r="W218" s="121">
        <f>JULIO!W218+AGOSTO!AM218</f>
        <v>0</v>
      </c>
      <c r="X218" s="126">
        <f t="shared" si="184"/>
        <v>0</v>
      </c>
      <c r="Y218" s="124">
        <f>JULIO!AA218</f>
        <v>0</v>
      </c>
      <c r="Z218" s="378">
        <v>0</v>
      </c>
      <c r="AA218" s="126">
        <f t="shared" si="185"/>
        <v>0</v>
      </c>
      <c r="AB218" s="124">
        <f>JULIO!AD218</f>
        <v>0</v>
      </c>
      <c r="AC218" s="378">
        <v>0</v>
      </c>
      <c r="AD218" s="126">
        <f t="shared" si="186"/>
        <v>0</v>
      </c>
      <c r="AE218" s="124">
        <f>JULIO!AG218</f>
        <v>0</v>
      </c>
      <c r="AF218" s="378">
        <v>0</v>
      </c>
      <c r="AG218" s="126">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N219" s="9"/>
      <c r="P219" s="9"/>
      <c r="Q219" s="9"/>
      <c r="R219" s="9"/>
      <c r="S219" s="485" t="str">
        <f>+IF(JULIO!S219=0,"",JULIO!S219)</f>
        <v/>
      </c>
      <c r="T219" s="677" t="str">
        <f>+IF(JULIO!T219=0,"",JULIO!T219)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+IF(JULIO!S220=0,"",JULIO!S220)</f>
        <v>C</v>
      </c>
      <c r="T220" s="659" t="str">
        <f>+IF(JULIO!T220=0,"",JULIO!T220)</f>
        <v xml:space="preserve">SERVICIO DE LA DEUDA </v>
      </c>
      <c r="U220" s="348">
        <f t="shared" ref="U220:AJ220" si="191">U222+U227</f>
        <v>262344980</v>
      </c>
      <c r="V220" s="349">
        <f t="shared" si="191"/>
        <v>0</v>
      </c>
      <c r="W220" s="349">
        <f t="shared" si="191"/>
        <v>27000000</v>
      </c>
      <c r="X220" s="352">
        <f t="shared" si="191"/>
        <v>289344980</v>
      </c>
      <c r="Y220" s="351">
        <f t="shared" si="191"/>
        <v>206579010</v>
      </c>
      <c r="Z220" s="349">
        <f t="shared" si="191"/>
        <v>25261251</v>
      </c>
      <c r="AA220" s="352">
        <f t="shared" si="191"/>
        <v>231840261</v>
      </c>
      <c r="AB220" s="351">
        <f t="shared" si="191"/>
        <v>206579010</v>
      </c>
      <c r="AC220" s="349">
        <f t="shared" si="191"/>
        <v>25261251</v>
      </c>
      <c r="AD220" s="352">
        <f t="shared" si="191"/>
        <v>231840261</v>
      </c>
      <c r="AE220" s="351">
        <f t="shared" si="191"/>
        <v>181175131</v>
      </c>
      <c r="AF220" s="349">
        <f t="shared" si="191"/>
        <v>25403879</v>
      </c>
      <c r="AG220" s="352">
        <f t="shared" si="191"/>
        <v>206579010</v>
      </c>
      <c r="AH220" s="351">
        <f t="shared" si="191"/>
        <v>57504719</v>
      </c>
      <c r="AI220" s="349">
        <f t="shared" si="191"/>
        <v>57504719</v>
      </c>
      <c r="AJ220" s="350">
        <f t="shared" si="191"/>
        <v>82765970</v>
      </c>
      <c r="AK220" s="490"/>
      <c r="AL220" s="351">
        <f>AL222+AL227</f>
        <v>0</v>
      </c>
      <c r="AM220" s="350">
        <f>AM222+AM227</f>
        <v>0</v>
      </c>
      <c r="AN220" s="9"/>
    </row>
    <row r="221" spans="1:40" s="372" customFormat="1" ht="24.95" customHeight="1">
      <c r="A221" s="734"/>
      <c r="B221" s="644"/>
      <c r="N221" s="9"/>
      <c r="P221" s="9"/>
      <c r="Q221" s="9"/>
      <c r="R221" s="9"/>
      <c r="S221" s="356" t="str">
        <f>+IF(JULIO!S221=0,"",JULIO!S221)</f>
        <v/>
      </c>
      <c r="T221" s="678" t="str">
        <f>+IF(JULIO!T221=0,"",JULIO!T221)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+IF(JULIO!S222=0,"",JULIO!S222)</f>
        <v>7001000</v>
      </c>
      <c r="T222" s="663" t="str">
        <f>+IF(JULIO!T222=0,"",JULIO!T222)</f>
        <v>SERVICIO DE LA DEUDA INTERNA</v>
      </c>
      <c r="U222" s="132">
        <f t="shared" ref="U222:AJ222" si="192">SUM(U223:U225)</f>
        <v>262344980</v>
      </c>
      <c r="V222" s="122">
        <f t="shared" si="192"/>
        <v>0</v>
      </c>
      <c r="W222" s="122">
        <f t="shared" si="192"/>
        <v>27000000</v>
      </c>
      <c r="X222" s="129">
        <f t="shared" si="192"/>
        <v>289344980</v>
      </c>
      <c r="Y222" s="128">
        <f t="shared" si="192"/>
        <v>206579010</v>
      </c>
      <c r="Z222" s="122">
        <f t="shared" si="192"/>
        <v>25261251</v>
      </c>
      <c r="AA222" s="129">
        <f t="shared" si="192"/>
        <v>231840261</v>
      </c>
      <c r="AB222" s="128">
        <f t="shared" si="192"/>
        <v>206579010</v>
      </c>
      <c r="AC222" s="122">
        <f t="shared" si="192"/>
        <v>25261251</v>
      </c>
      <c r="AD222" s="129">
        <f t="shared" si="192"/>
        <v>231840261</v>
      </c>
      <c r="AE222" s="128">
        <f t="shared" si="192"/>
        <v>181175131</v>
      </c>
      <c r="AF222" s="122">
        <f t="shared" si="192"/>
        <v>25403879</v>
      </c>
      <c r="AG222" s="129">
        <f t="shared" si="192"/>
        <v>206579010</v>
      </c>
      <c r="AH222" s="128">
        <f t="shared" si="192"/>
        <v>57504719</v>
      </c>
      <c r="AI222" s="122">
        <f t="shared" si="192"/>
        <v>57504719</v>
      </c>
      <c r="AJ222" s="130">
        <f t="shared" si="192"/>
        <v>82765970</v>
      </c>
      <c r="AK222" s="9"/>
      <c r="AL222" s="128">
        <f>SUM(AL223:AL225)</f>
        <v>0</v>
      </c>
      <c r="AM222" s="130">
        <f>SUM(AM223:AM225)</f>
        <v>0</v>
      </c>
      <c r="AN222" s="9"/>
    </row>
    <row r="223" spans="1:40" s="372" customFormat="1" ht="24.95" customHeight="1">
      <c r="A223" s="734"/>
      <c r="B223" s="644"/>
      <c r="N223" s="9"/>
      <c r="P223" s="9"/>
      <c r="Q223" s="9"/>
      <c r="R223" s="9"/>
      <c r="S223" s="688">
        <f>+IF(JULIO!S223=0,"",JULIO!S223)</f>
        <v>7001100</v>
      </c>
      <c r="T223" s="664" t="str">
        <f>+IF(JULIO!T223=0,"",JULIO!T223)</f>
        <v>Amortización deuda Pública Interna</v>
      </c>
      <c r="U223" s="27">
        <f>+ENERO!U223</f>
        <v>250000000</v>
      </c>
      <c r="V223" s="15">
        <f>JULIO!V223+AGOSTO!AL223</f>
        <v>0</v>
      </c>
      <c r="W223" s="15">
        <f>JULIO!W223+AGOSTO!AM223</f>
        <v>0</v>
      </c>
      <c r="X223" s="18">
        <f>SUM(U223:W223)</f>
        <v>250000000</v>
      </c>
      <c r="Y223" s="19">
        <f>JULIO!AA223</f>
        <v>175000000</v>
      </c>
      <c r="Z223" s="364">
        <v>25000000</v>
      </c>
      <c r="AA223" s="18">
        <f>SUM(Y223:Z223)</f>
        <v>200000000</v>
      </c>
      <c r="AB223" s="19">
        <f>JULIO!AD223</f>
        <v>175000000</v>
      </c>
      <c r="AC223" s="364">
        <v>25000000</v>
      </c>
      <c r="AD223" s="18">
        <f>SUM(AB223:AC223)</f>
        <v>200000000</v>
      </c>
      <c r="AE223" s="19">
        <f>JULIO!AG223</f>
        <v>150000000</v>
      </c>
      <c r="AF223" s="364">
        <v>25000000</v>
      </c>
      <c r="AG223" s="18">
        <f>SUM(AE223:AF223)</f>
        <v>175000000</v>
      </c>
      <c r="AH223" s="19">
        <f>X223-AA223</f>
        <v>50000000</v>
      </c>
      <c r="AI223" s="15">
        <f>X223-AD223</f>
        <v>50000000</v>
      </c>
      <c r="AJ223" s="16">
        <f>X223-AG223</f>
        <v>75000000</v>
      </c>
      <c r="AK223" s="9"/>
      <c r="AL223" s="362">
        <v>0</v>
      </c>
      <c r="AM223" s="365">
        <v>0</v>
      </c>
      <c r="AN223" s="9"/>
    </row>
    <row r="224" spans="1:40" s="372" customFormat="1" ht="24.95" customHeight="1">
      <c r="A224" s="734"/>
      <c r="B224" s="644"/>
      <c r="N224" s="9"/>
      <c r="P224" s="9"/>
      <c r="Q224" s="9"/>
      <c r="R224" s="9"/>
      <c r="S224" s="688">
        <f>+IF(JULIO!S224=0,"",JULIO!S224)</f>
        <v>7001200</v>
      </c>
      <c r="T224" s="664" t="str">
        <f>+IF(JULIO!T224=0,"",JULIO!T224)</f>
        <v>Intereses Comisiones y gastos de la Deuda Pública</v>
      </c>
      <c r="U224" s="27">
        <f>+ENERO!U224</f>
        <v>12344980</v>
      </c>
      <c r="V224" s="15">
        <f>JULIO!V224+AGOSTO!AL224</f>
        <v>0</v>
      </c>
      <c r="W224" s="15">
        <f>JULIO!W224+AGOSTO!AM224</f>
        <v>0</v>
      </c>
      <c r="X224" s="18">
        <f>SUM(U224:W224)</f>
        <v>12344980</v>
      </c>
      <c r="Y224" s="19">
        <f>JULIO!AA224</f>
        <v>5306356</v>
      </c>
      <c r="Z224" s="364">
        <v>261251</v>
      </c>
      <c r="AA224" s="18">
        <f>SUM(Y224:Z224)</f>
        <v>5567607</v>
      </c>
      <c r="AB224" s="19">
        <f>JULIO!AD224</f>
        <v>5306356</v>
      </c>
      <c r="AC224" s="364">
        <v>261251</v>
      </c>
      <c r="AD224" s="18">
        <f>SUM(AB224:AC224)</f>
        <v>5567607</v>
      </c>
      <c r="AE224" s="19">
        <f>JULIO!AG224</f>
        <v>4902477</v>
      </c>
      <c r="AF224" s="364">
        <v>403879</v>
      </c>
      <c r="AG224" s="18">
        <f>SUM(AE224:AF224)</f>
        <v>5306356</v>
      </c>
      <c r="AH224" s="19">
        <f>X224-AA224</f>
        <v>6777373</v>
      </c>
      <c r="AI224" s="15">
        <f>X224-AD224</f>
        <v>6777373</v>
      </c>
      <c r="AJ224" s="16">
        <f>X224-AG224</f>
        <v>7038624</v>
      </c>
      <c r="AK224" s="9"/>
      <c r="AL224" s="362">
        <v>0</v>
      </c>
      <c r="AM224" s="365">
        <v>0</v>
      </c>
      <c r="AN224" s="9"/>
    </row>
    <row r="225" spans="1:64" s="372" customFormat="1" ht="24.95" customHeight="1">
      <c r="A225" s="734"/>
      <c r="B225" s="644"/>
      <c r="N225" s="9"/>
      <c r="P225" s="9"/>
      <c r="Q225" s="9"/>
      <c r="R225" s="9"/>
      <c r="S225" s="688">
        <f>+IF(JULIO!S225=0,"",JULIO!S225)</f>
        <v>7001999</v>
      </c>
      <c r="T225" s="664" t="str">
        <f>+IF(JULIO!T225=0,"",JULIO!T225)</f>
        <v>Vigencias Anteriores</v>
      </c>
      <c r="U225" s="27">
        <f>+ENERO!U225</f>
        <v>0</v>
      </c>
      <c r="V225" s="15">
        <f>JULIO!V225+AGOSTO!AL225</f>
        <v>0</v>
      </c>
      <c r="W225" s="15">
        <f>JULIO!W225+AGOSTO!AM225</f>
        <v>27000000</v>
      </c>
      <c r="X225" s="18">
        <f>SUM(U225:W225)</f>
        <v>27000000</v>
      </c>
      <c r="Y225" s="19">
        <f>JULIO!AA225</f>
        <v>26272654</v>
      </c>
      <c r="Z225" s="364">
        <v>0</v>
      </c>
      <c r="AA225" s="18">
        <f>SUM(Y225:Z225)</f>
        <v>26272654</v>
      </c>
      <c r="AB225" s="19">
        <f>JULIO!AD225</f>
        <v>26272654</v>
      </c>
      <c r="AC225" s="364">
        <v>0</v>
      </c>
      <c r="AD225" s="18">
        <f>SUM(AB225:AC225)</f>
        <v>26272654</v>
      </c>
      <c r="AE225" s="19">
        <f>JULIO!AG225</f>
        <v>26272654</v>
      </c>
      <c r="AF225" s="364">
        <v>0</v>
      </c>
      <c r="AG225" s="18">
        <f>SUM(AE225:AF225)</f>
        <v>26272654</v>
      </c>
      <c r="AH225" s="19">
        <f>X225-AA225</f>
        <v>727346</v>
      </c>
      <c r="AI225" s="15">
        <f>X225-AD225</f>
        <v>727346</v>
      </c>
      <c r="AJ225" s="16">
        <f>X225-AG225</f>
        <v>727346</v>
      </c>
      <c r="AK225" s="9"/>
      <c r="AL225" s="362">
        <v>0</v>
      </c>
      <c r="AM225" s="365">
        <v>0</v>
      </c>
      <c r="AN225" s="9"/>
    </row>
    <row r="226" spans="1:64" s="372" customFormat="1" ht="24.95" customHeight="1">
      <c r="A226" s="734"/>
      <c r="B226" s="644"/>
      <c r="N226" s="9"/>
      <c r="P226" s="9"/>
      <c r="Q226" s="9"/>
      <c r="R226" s="9"/>
      <c r="S226" s="356" t="str">
        <f>+IF(JULIO!S226=0,"",JULIO!S226)</f>
        <v/>
      </c>
      <c r="T226" s="678" t="str">
        <f>+IF(JULIO!T226=0,"",JULIO!T226)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+IF(JULIO!S227=0,"",JULIO!S227)</f>
        <v>7002001</v>
      </c>
      <c r="T227" s="663" t="str">
        <f>+IF(JULIO!T227=0,"",JULIO!T227)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row>
    <row r="228" spans="1:64" s="372" customFormat="1" ht="24.95" customHeight="1">
      <c r="A228" s="734"/>
      <c r="B228" s="644"/>
      <c r="N228" s="9"/>
      <c r="P228" s="9"/>
      <c r="Q228" s="9"/>
      <c r="R228" s="9"/>
      <c r="S228" s="688">
        <f>+IF(JULIO!S228=0,"",JULIO!S228)</f>
        <v>7002100</v>
      </c>
      <c r="T228" s="664" t="str">
        <f>+IF(JULIO!T228=0,"",JULIO!T228)</f>
        <v>Amortización deuda Pública Externa</v>
      </c>
      <c r="U228" s="27">
        <f>+ENERO!U228</f>
        <v>0</v>
      </c>
      <c r="V228" s="15">
        <f>JULIO!V228+AGOSTO!AL228</f>
        <v>0</v>
      </c>
      <c r="W228" s="15">
        <f>JULIO!W228+AGOSTO!AM228</f>
        <v>0</v>
      </c>
      <c r="X228" s="18">
        <f>SUM(U228:W228)</f>
        <v>0</v>
      </c>
      <c r="Y228" s="19">
        <f>JULIO!AA228</f>
        <v>0</v>
      </c>
      <c r="Z228" s="364">
        <v>0</v>
      </c>
      <c r="AA228" s="18">
        <f>SUM(Y228:Z228)</f>
        <v>0</v>
      </c>
      <c r="AB228" s="19">
        <f>JULIO!AD228</f>
        <v>0</v>
      </c>
      <c r="AC228" s="364">
        <v>0</v>
      </c>
      <c r="AD228" s="18">
        <f>SUM(AB228:AC228)</f>
        <v>0</v>
      </c>
      <c r="AE228" s="19">
        <f>JULIO!AG228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+IF(JULIO!S229=0,"",JULIO!S229)</f>
        <v>7002200</v>
      </c>
      <c r="T229" s="664" t="str">
        <f>+IF(JULIO!T229=0,"",JULIO!T229)</f>
        <v>Intereses Comisiones y gastos de la Deuda Pública</v>
      </c>
      <c r="U229" s="27">
        <f>+ENERO!U229</f>
        <v>0</v>
      </c>
      <c r="V229" s="15">
        <f>JULIO!V229+AGOSTO!AL229</f>
        <v>0</v>
      </c>
      <c r="W229" s="15">
        <f>JULIO!W229+AGOSTO!AM229</f>
        <v>0</v>
      </c>
      <c r="X229" s="18">
        <f>SUM(U229:W229)</f>
        <v>0</v>
      </c>
      <c r="Y229" s="19">
        <f>JULIO!AA229</f>
        <v>0</v>
      </c>
      <c r="Z229" s="364">
        <v>0</v>
      </c>
      <c r="AA229" s="18">
        <f>SUM(Y229:Z229)</f>
        <v>0</v>
      </c>
      <c r="AB229" s="19">
        <f>JULIO!AD229</f>
        <v>0</v>
      </c>
      <c r="AC229" s="364">
        <v>0</v>
      </c>
      <c r="AD229" s="18">
        <f>SUM(AB229:AC229)</f>
        <v>0</v>
      </c>
      <c r="AE229" s="19">
        <f>JULIO!AG229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+IF(JULIO!S230=0,"",JULIO!S230)</f>
        <v>7002999</v>
      </c>
      <c r="T230" s="670" t="str">
        <f>+IF(JULIO!T230=0,"",JULIO!T230)</f>
        <v>Vigencias Anteriores</v>
      </c>
      <c r="U230" s="133">
        <f>+ENERO!U230</f>
        <v>0</v>
      </c>
      <c r="V230" s="121">
        <f>JULIO!V230+AGOSTO!AL230</f>
        <v>0</v>
      </c>
      <c r="W230" s="121">
        <f>JULIO!W230+AGOSTO!AM230</f>
        <v>0</v>
      </c>
      <c r="X230" s="126">
        <f>SUM(U230:W230)</f>
        <v>0</v>
      </c>
      <c r="Y230" s="124">
        <f>JULIO!AA230</f>
        <v>0</v>
      </c>
      <c r="Z230" s="378">
        <v>0</v>
      </c>
      <c r="AA230" s="126">
        <f>SUM(Y230:Z230)</f>
        <v>0</v>
      </c>
      <c r="AB230" s="124">
        <f>JULIO!AD230</f>
        <v>0</v>
      </c>
      <c r="AC230" s="378">
        <v>0</v>
      </c>
      <c r="AD230" s="126">
        <f>SUM(AB230:AC230)</f>
        <v>0</v>
      </c>
      <c r="AE230" s="124">
        <f>JULIO!AG230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+IF(JULIO!S231=0,"",JULIO!S231)</f>
        <v/>
      </c>
      <c r="T231" s="671" t="str">
        <f>+IF(JULIO!T231=0,"",JULIO!T231)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+IF(JULIO!S232=0,"",JULIO!S232)</f>
        <v>D</v>
      </c>
      <c r="T232" s="679" t="str">
        <f>+IF(JULIO!T232=0,"",JULIO!T232)</f>
        <v>INVERSION</v>
      </c>
      <c r="U232" s="460">
        <f>U234+U243</f>
        <v>5765730053</v>
      </c>
      <c r="V232" s="461">
        <f t="shared" ref="V232:AJ232" si="194">V234+V243</f>
        <v>0</v>
      </c>
      <c r="W232" s="461">
        <f t="shared" si="194"/>
        <v>26572523310</v>
      </c>
      <c r="X232" s="462">
        <f t="shared" si="194"/>
        <v>32338253363</v>
      </c>
      <c r="Y232" s="369">
        <f t="shared" si="194"/>
        <v>19976085144</v>
      </c>
      <c r="Z232" s="461">
        <f t="shared" si="194"/>
        <v>4898136306</v>
      </c>
      <c r="AA232" s="462">
        <f t="shared" si="194"/>
        <v>24874221450</v>
      </c>
      <c r="AB232" s="369">
        <f t="shared" si="194"/>
        <v>12198442560</v>
      </c>
      <c r="AC232" s="461">
        <f t="shared" si="194"/>
        <v>1304415660</v>
      </c>
      <c r="AD232" s="462">
        <f t="shared" si="194"/>
        <v>13502858220</v>
      </c>
      <c r="AE232" s="369">
        <f t="shared" si="194"/>
        <v>11209109392</v>
      </c>
      <c r="AF232" s="461">
        <f t="shared" si="194"/>
        <v>305817927</v>
      </c>
      <c r="AG232" s="462">
        <f t="shared" si="194"/>
        <v>11514927319</v>
      </c>
      <c r="AH232" s="369">
        <f t="shared" si="194"/>
        <v>7464031913</v>
      </c>
      <c r="AI232" s="461">
        <f t="shared" si="194"/>
        <v>18835395143</v>
      </c>
      <c r="AJ232" s="370">
        <f t="shared" si="194"/>
        <v>20823326044</v>
      </c>
      <c r="AK232" s="490"/>
      <c r="AL232" s="369">
        <f>AL234+AL243</f>
        <v>0</v>
      </c>
      <c r="AM232" s="370">
        <f>AM234+AM243</f>
        <v>0</v>
      </c>
      <c r="AN232" s="9"/>
    </row>
    <row r="233" spans="1:64" s="372" customFormat="1" ht="24.95" customHeight="1">
      <c r="A233" s="734"/>
      <c r="B233" s="644"/>
      <c r="N233" s="9"/>
      <c r="P233" s="9"/>
      <c r="Q233" s="9"/>
      <c r="R233" s="9"/>
      <c r="S233" s="356" t="str">
        <f>+IF(JULIO!S233=0,"",JULIO!S233)</f>
        <v/>
      </c>
      <c r="T233" s="678" t="str">
        <f>+IF(JULIO!T233=0,"",JULIO!T233)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+IF(JULIO!S234=0,"",JULIO!S234)</f>
        <v>8000000</v>
      </c>
      <c r="T234" s="663" t="str">
        <f>+IF(JULIO!T234=0,"",JULIO!T234)</f>
        <v>Programas de Inversión</v>
      </c>
      <c r="U234" s="132">
        <f>U235</f>
        <v>5265730053</v>
      </c>
      <c r="V234" s="122">
        <f t="shared" ref="V234:AJ234" si="195">V235</f>
        <v>0</v>
      </c>
      <c r="W234" s="122">
        <f t="shared" si="195"/>
        <v>13752626782</v>
      </c>
      <c r="X234" s="129">
        <f t="shared" si="195"/>
        <v>19018356835</v>
      </c>
      <c r="Y234" s="128">
        <f t="shared" si="195"/>
        <v>14164128685</v>
      </c>
      <c r="Z234" s="122">
        <f t="shared" si="195"/>
        <v>4689780249</v>
      </c>
      <c r="AA234" s="129">
        <f t="shared" si="195"/>
        <v>18853908934</v>
      </c>
      <c r="AB234" s="128">
        <f t="shared" si="195"/>
        <v>7791847619</v>
      </c>
      <c r="AC234" s="122">
        <f t="shared" si="195"/>
        <v>873895965</v>
      </c>
      <c r="AD234" s="129">
        <f t="shared" si="195"/>
        <v>8665743584</v>
      </c>
      <c r="AE234" s="128">
        <f t="shared" si="195"/>
        <v>7433493783</v>
      </c>
      <c r="AF234" s="122">
        <f t="shared" si="195"/>
        <v>62146512</v>
      </c>
      <c r="AG234" s="129">
        <f t="shared" si="195"/>
        <v>7495640295</v>
      </c>
      <c r="AH234" s="128">
        <f t="shared" si="195"/>
        <v>164447901</v>
      </c>
      <c r="AI234" s="122">
        <f t="shared" si="195"/>
        <v>10352613251</v>
      </c>
      <c r="AJ234" s="130">
        <f t="shared" si="195"/>
        <v>11522716540</v>
      </c>
      <c r="AK234" s="9"/>
      <c r="AL234" s="128">
        <f>AL235</f>
        <v>0</v>
      </c>
      <c r="AM234" s="130">
        <f>AM235</f>
        <v>0</v>
      </c>
      <c r="AN234" s="9"/>
    </row>
    <row r="235" spans="1:64" s="372" customFormat="1" ht="24.95" customHeight="1">
      <c r="A235" s="734"/>
      <c r="B235" s="644"/>
      <c r="N235" s="9"/>
      <c r="P235" s="9"/>
      <c r="Q235" s="9"/>
      <c r="R235" s="9"/>
      <c r="S235" s="688">
        <f>+IF(JULIO!S235=0,"",JULIO!S235)</f>
        <v>8001000</v>
      </c>
      <c r="T235" s="664" t="str">
        <f>+IF(JULIO!T235=0,"",JULIO!T235)</f>
        <v>Formación Bruta del Capital</v>
      </c>
      <c r="U235" s="27">
        <f t="shared" ref="U235:AJ235" si="196">SUM(U236:U241)</f>
        <v>5265730053</v>
      </c>
      <c r="V235" s="15">
        <f t="shared" si="196"/>
        <v>0</v>
      </c>
      <c r="W235" s="15">
        <f t="shared" si="196"/>
        <v>13752626782</v>
      </c>
      <c r="X235" s="18">
        <f t="shared" si="196"/>
        <v>19018356835</v>
      </c>
      <c r="Y235" s="19">
        <f t="shared" si="196"/>
        <v>14164128685</v>
      </c>
      <c r="Z235" s="142">
        <f t="shared" si="196"/>
        <v>4689780249</v>
      </c>
      <c r="AA235" s="18">
        <f t="shared" si="196"/>
        <v>18853908934</v>
      </c>
      <c r="AB235" s="19">
        <f t="shared" si="196"/>
        <v>7791847619</v>
      </c>
      <c r="AC235" s="142">
        <f t="shared" si="196"/>
        <v>873895965</v>
      </c>
      <c r="AD235" s="18">
        <f t="shared" si="196"/>
        <v>8665743584</v>
      </c>
      <c r="AE235" s="19">
        <f t="shared" si="196"/>
        <v>7433493783</v>
      </c>
      <c r="AF235" s="142">
        <f t="shared" si="196"/>
        <v>62146512</v>
      </c>
      <c r="AG235" s="18">
        <f t="shared" si="196"/>
        <v>7495640295</v>
      </c>
      <c r="AH235" s="19">
        <f t="shared" si="196"/>
        <v>164447901</v>
      </c>
      <c r="AI235" s="15">
        <f t="shared" si="196"/>
        <v>10352613251</v>
      </c>
      <c r="AJ235" s="16">
        <f t="shared" si="196"/>
        <v>11522716540</v>
      </c>
      <c r="AK235" s="9"/>
      <c r="AL235" s="29">
        <f>SUM(AL236:AL241)</f>
        <v>0</v>
      </c>
      <c r="AM235" s="26">
        <f>SUM(AM236:AM241)</f>
        <v>0</v>
      </c>
      <c r="AN235" s="9"/>
    </row>
    <row r="236" spans="1:64" s="372" customFormat="1" ht="24.95" customHeight="1">
      <c r="A236" s="734"/>
      <c r="B236" s="644"/>
      <c r="N236" s="9"/>
      <c r="P236" s="9"/>
      <c r="Q236" s="9"/>
      <c r="R236" s="9"/>
      <c r="S236" s="689" t="str">
        <f>+IF(JULIO!S236=0,"",JULIO!S236)</f>
        <v>8001000-1</v>
      </c>
      <c r="T236" s="665" t="str">
        <f>+IF(JULIO!T236=0,"",JULIO!T236)</f>
        <v>Subprogr.Construc. Remodelac. Adecuación y Apliac.1</v>
      </c>
      <c r="U236" s="27">
        <f>+ENERO!U236</f>
        <v>4765730053</v>
      </c>
      <c r="V236" s="15">
        <f>JULIO!V236+AGOSTO!AL236</f>
        <v>0</v>
      </c>
      <c r="W236" s="15">
        <f>JULIO!W236+AGOSTO!AM236</f>
        <v>8000000000</v>
      </c>
      <c r="X236" s="18">
        <f t="shared" ref="X236:X241" si="197">SUM(U236:W236)</f>
        <v>12765730053</v>
      </c>
      <c r="Y236" s="19">
        <f>JULIO!AA236</f>
        <v>12715773638</v>
      </c>
      <c r="Z236" s="364">
        <v>0</v>
      </c>
      <c r="AA236" s="18">
        <f t="shared" ref="AA236:AA241" si="198">SUM(Y236:Z236)</f>
        <v>12715773638</v>
      </c>
      <c r="AB236" s="19">
        <f>JULIO!AD236</f>
        <v>7255393465</v>
      </c>
      <c r="AC236" s="364">
        <v>177528292</v>
      </c>
      <c r="AD236" s="18">
        <f t="shared" ref="AD236:AD241" si="199">SUM(AB236:AC236)</f>
        <v>7432921757</v>
      </c>
      <c r="AE236" s="19">
        <f>JULIO!AG236</f>
        <v>7204421953</v>
      </c>
      <c r="AF236" s="364">
        <v>62146512</v>
      </c>
      <c r="AG236" s="18">
        <f t="shared" ref="AG236:AG241" si="200">SUM(AE236:AF236)</f>
        <v>7266568465</v>
      </c>
      <c r="AH236" s="19">
        <f t="shared" ref="AH236:AH241" si="201">X236-AA236</f>
        <v>49956415</v>
      </c>
      <c r="AI236" s="15">
        <f t="shared" ref="AI236:AI241" si="202">X236-AD236</f>
        <v>5332808296</v>
      </c>
      <c r="AJ236" s="16">
        <f t="shared" ref="AJ236:AJ241" si="203">X236-AG236</f>
        <v>5499161588</v>
      </c>
      <c r="AK236" s="9"/>
      <c r="AL236" s="362">
        <v>0</v>
      </c>
      <c r="AM236" s="365">
        <v>0</v>
      </c>
      <c r="AN236" s="9"/>
    </row>
    <row r="237" spans="1:64" s="372" customFormat="1" ht="24.95" customHeight="1">
      <c r="A237" s="734"/>
      <c r="B237" s="644"/>
      <c r="N237" s="9"/>
      <c r="P237" s="9"/>
      <c r="Q237" s="9"/>
      <c r="R237" s="9"/>
      <c r="S237" s="689" t="str">
        <f>+IF(JULIO!S237=0,"",JULIO!S237)</f>
        <v>8001000-2</v>
      </c>
      <c r="T237" s="665" t="str">
        <f>+IF(JULIO!T237=0,"",JULIO!T237)</f>
        <v>Subprogr.Construc. Remodelac. Adecuación y Apliac.2</v>
      </c>
      <c r="U237" s="27">
        <f>+ENERO!U237</f>
        <v>500000000</v>
      </c>
      <c r="V237" s="15">
        <f>JULIO!V237+AGOSTO!AL237</f>
        <v>0</v>
      </c>
      <c r="W237" s="15">
        <f>JULIO!W237+AGOSTO!AM237</f>
        <v>719283217</v>
      </c>
      <c r="X237" s="18">
        <f t="shared" si="197"/>
        <v>1219283217</v>
      </c>
      <c r="Y237" s="19">
        <f>JULIO!AA237</f>
        <v>1219283217</v>
      </c>
      <c r="Z237" s="364">
        <v>0</v>
      </c>
      <c r="AA237" s="18">
        <f t="shared" si="198"/>
        <v>1219283217</v>
      </c>
      <c r="AB237" s="19">
        <f>JULIO!AD237</f>
        <v>307382324</v>
      </c>
      <c r="AC237" s="364">
        <v>0</v>
      </c>
      <c r="AD237" s="18">
        <f t="shared" si="199"/>
        <v>307382324</v>
      </c>
      <c r="AE237" s="19">
        <f>JULIO!AG237</f>
        <v>0</v>
      </c>
      <c r="AF237" s="364">
        <v>0</v>
      </c>
      <c r="AG237" s="18">
        <f t="shared" si="200"/>
        <v>0</v>
      </c>
      <c r="AH237" s="19">
        <f t="shared" si="201"/>
        <v>0</v>
      </c>
      <c r="AI237" s="15">
        <f t="shared" si="202"/>
        <v>911900893</v>
      </c>
      <c r="AJ237" s="16">
        <f t="shared" si="203"/>
        <v>1219283217</v>
      </c>
      <c r="AK237" s="9"/>
      <c r="AL237" s="362">
        <v>0</v>
      </c>
      <c r="AM237" s="365">
        <v>0</v>
      </c>
      <c r="AN237" s="9"/>
    </row>
    <row r="238" spans="1:64" s="372" customFormat="1" ht="24.95" customHeight="1">
      <c r="A238" s="734"/>
      <c r="B238" s="644"/>
      <c r="N238" s="9"/>
      <c r="P238" s="9"/>
      <c r="Q238" s="9"/>
      <c r="R238" s="9"/>
      <c r="S238" s="689" t="str">
        <f>+IF(JULIO!S238=0,"",JULIO!S238)</f>
        <v>8001000-3</v>
      </c>
      <c r="T238" s="665" t="str">
        <f>+IF(JULIO!T238=0,"",JULIO!T238)</f>
        <v>Subprogr.Construc. Remodelac. Adecuación y Apliac.3</v>
      </c>
      <c r="U238" s="27">
        <f>+ENERO!U238</f>
        <v>0</v>
      </c>
      <c r="V238" s="15">
        <f>JULIO!V238+AGOSTO!AL238</f>
        <v>0</v>
      </c>
      <c r="W238" s="15">
        <f>JULIO!W238+AGOSTO!AM238</f>
        <v>0</v>
      </c>
      <c r="X238" s="18">
        <f t="shared" si="197"/>
        <v>0</v>
      </c>
      <c r="Y238" s="19">
        <f>JULIO!AA238</f>
        <v>0</v>
      </c>
      <c r="Z238" s="364">
        <v>0</v>
      </c>
      <c r="AA238" s="18">
        <f t="shared" si="198"/>
        <v>0</v>
      </c>
      <c r="AB238" s="19">
        <f>JULIO!AD238</f>
        <v>0</v>
      </c>
      <c r="AC238" s="364">
        <v>0</v>
      </c>
      <c r="AD238" s="18">
        <f t="shared" si="199"/>
        <v>0</v>
      </c>
      <c r="AE238" s="19">
        <f>JULIO!AG238</f>
        <v>0</v>
      </c>
      <c r="AF238" s="364">
        <v>0</v>
      </c>
      <c r="AG238" s="18">
        <f t="shared" si="200"/>
        <v>0</v>
      </c>
      <c r="AH238" s="19">
        <f t="shared" si="201"/>
        <v>0</v>
      </c>
      <c r="AI238" s="15">
        <f t="shared" si="202"/>
        <v>0</v>
      </c>
      <c r="AJ238" s="16">
        <f t="shared" si="203"/>
        <v>0</v>
      </c>
      <c r="AK238" s="9"/>
      <c r="AL238" s="362">
        <v>0</v>
      </c>
      <c r="AM238" s="365">
        <v>0</v>
      </c>
      <c r="AN238" s="9"/>
    </row>
    <row r="239" spans="1:64" s="372" customFormat="1" ht="24.95" customHeight="1">
      <c r="A239" s="734"/>
      <c r="B239" s="644"/>
      <c r="N239" s="9"/>
      <c r="P239" s="9"/>
      <c r="Q239" s="9"/>
      <c r="S239" s="689" t="str">
        <f>+IF(JULIO!S239=0,"",JULIO!S239)</f>
        <v>8001000-4</v>
      </c>
      <c r="T239" s="665" t="str">
        <f>+IF(JULIO!T239=0,"",JULIO!T239)</f>
        <v>Subprogr.Construc. Remodelac. Adecuación y Apliac.4</v>
      </c>
      <c r="U239" s="27">
        <f>+ENERO!U239</f>
        <v>0</v>
      </c>
      <c r="V239" s="15">
        <f>JULIO!V239+AGOSTO!AL239</f>
        <v>0</v>
      </c>
      <c r="W239" s="15">
        <f>JULIO!W239+AGOSTO!AM239</f>
        <v>0</v>
      </c>
      <c r="X239" s="18">
        <f t="shared" si="197"/>
        <v>0</v>
      </c>
      <c r="Y239" s="19">
        <f>JULIO!AA239</f>
        <v>0</v>
      </c>
      <c r="Z239" s="364">
        <v>0</v>
      </c>
      <c r="AA239" s="18">
        <f t="shared" si="198"/>
        <v>0</v>
      </c>
      <c r="AB239" s="19">
        <f>JULIO!AD239</f>
        <v>0</v>
      </c>
      <c r="AC239" s="364">
        <v>0</v>
      </c>
      <c r="AD239" s="18">
        <f t="shared" si="199"/>
        <v>0</v>
      </c>
      <c r="AE239" s="19">
        <f>JULIO!AG239</f>
        <v>0</v>
      </c>
      <c r="AF239" s="364">
        <v>0</v>
      </c>
      <c r="AG239" s="18">
        <f t="shared" si="200"/>
        <v>0</v>
      </c>
      <c r="AH239" s="19">
        <f t="shared" si="201"/>
        <v>0</v>
      </c>
      <c r="AI239" s="15">
        <f t="shared" si="202"/>
        <v>0</v>
      </c>
      <c r="AJ239" s="16">
        <f t="shared" si="203"/>
        <v>0</v>
      </c>
      <c r="AK239" s="9"/>
      <c r="AL239" s="362">
        <v>0</v>
      </c>
      <c r="AM239" s="365">
        <v>0</v>
      </c>
      <c r="AN239" s="9"/>
    </row>
    <row r="240" spans="1:64" s="372" customFormat="1" ht="24.95" customHeight="1">
      <c r="A240" s="734"/>
      <c r="B240" s="644"/>
      <c r="N240" s="9"/>
      <c r="P240" s="9"/>
      <c r="Q240" s="9"/>
      <c r="S240" s="689" t="str">
        <f>+IF(JULIO!S240=0,"",JULIO!S240)</f>
        <v>8001000-5</v>
      </c>
      <c r="T240" s="665" t="str">
        <f>+IF(JULIO!T240=0,"",JULIO!T240)</f>
        <v>Subprogr.Construc. Remodelac. Adecuación y Apliac.5</v>
      </c>
      <c r="U240" s="27">
        <f>+ENERO!U240</f>
        <v>0</v>
      </c>
      <c r="V240" s="15">
        <f>JULIO!V240+AGOSTO!AL240</f>
        <v>0</v>
      </c>
      <c r="W240" s="15">
        <f>JULIO!W240+AGOSTO!AM240</f>
        <v>0</v>
      </c>
      <c r="X240" s="18">
        <f t="shared" si="197"/>
        <v>0</v>
      </c>
      <c r="Y240" s="19">
        <f>JULIO!AA240</f>
        <v>0</v>
      </c>
      <c r="Z240" s="364">
        <v>0</v>
      </c>
      <c r="AA240" s="18">
        <f t="shared" si="198"/>
        <v>0</v>
      </c>
      <c r="AB240" s="19">
        <f>JULIO!AD240</f>
        <v>0</v>
      </c>
      <c r="AC240" s="364">
        <v>0</v>
      </c>
      <c r="AD240" s="18">
        <f t="shared" si="199"/>
        <v>0</v>
      </c>
      <c r="AE240" s="19">
        <f>JULIO!AG240</f>
        <v>0</v>
      </c>
      <c r="AF240" s="364">
        <v>0</v>
      </c>
      <c r="AG240" s="18">
        <f t="shared" si="200"/>
        <v>0</v>
      </c>
      <c r="AH240" s="19">
        <f t="shared" si="201"/>
        <v>0</v>
      </c>
      <c r="AI240" s="15">
        <f t="shared" si="202"/>
        <v>0</v>
      </c>
      <c r="AJ240" s="16">
        <f t="shared" si="203"/>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+IF(JULIO!S241=0,"",JULIO!S241)</f>
        <v>8001999</v>
      </c>
      <c r="T241" s="665" t="str">
        <f>+IF(JULIO!T241=0,"",JULIO!T241)</f>
        <v>Vigencias Anteriores</v>
      </c>
      <c r="U241" s="27">
        <f>+ENERO!U241</f>
        <v>0</v>
      </c>
      <c r="V241" s="15">
        <f>JULIO!V241+AGOSTO!AL241</f>
        <v>0</v>
      </c>
      <c r="W241" s="15">
        <f>JULIO!W241+AGOSTO!AM241</f>
        <v>5033343565</v>
      </c>
      <c r="X241" s="18">
        <f t="shared" si="197"/>
        <v>5033343565</v>
      </c>
      <c r="Y241" s="19">
        <f>JULIO!AA241</f>
        <v>229071830</v>
      </c>
      <c r="Z241" s="364">
        <v>4689780249</v>
      </c>
      <c r="AA241" s="18">
        <f t="shared" si="198"/>
        <v>4918852079</v>
      </c>
      <c r="AB241" s="19">
        <f>JULIO!AD241</f>
        <v>229071830</v>
      </c>
      <c r="AC241" s="364">
        <v>696367673</v>
      </c>
      <c r="AD241" s="18">
        <f t="shared" si="199"/>
        <v>925439503</v>
      </c>
      <c r="AE241" s="19">
        <f>JULIO!AG241</f>
        <v>229071830</v>
      </c>
      <c r="AF241" s="364">
        <v>0</v>
      </c>
      <c r="AG241" s="18">
        <f t="shared" si="200"/>
        <v>229071830</v>
      </c>
      <c r="AH241" s="19">
        <f t="shared" si="201"/>
        <v>114491486</v>
      </c>
      <c r="AI241" s="15">
        <f t="shared" si="202"/>
        <v>4107904062</v>
      </c>
      <c r="AJ241" s="16">
        <f t="shared" si="203"/>
        <v>4804271735</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+IF(JULIO!S242=0,"",JULIO!S242)</f>
        <v/>
      </c>
      <c r="T242" s="678" t="str">
        <f>+IF(JULIO!T242=0,"",JULIO!T242)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+IF(JULIO!S243=0,"",JULIO!S243)</f>
        <v>8002001</v>
      </c>
      <c r="T243" s="663" t="str">
        <f>+IF(JULIO!T243=0,"",JULIO!T243)</f>
        <v>Gastos Operativos de Inversion   (Programas Especiales)</v>
      </c>
      <c r="U243" s="132">
        <f t="shared" ref="U243:AJ243" si="204">SUM(U244:U256)</f>
        <v>500000000</v>
      </c>
      <c r="V243" s="122">
        <f t="shared" si="204"/>
        <v>0</v>
      </c>
      <c r="W243" s="122">
        <f t="shared" si="204"/>
        <v>12819896528</v>
      </c>
      <c r="X243" s="129">
        <f t="shared" si="204"/>
        <v>13319896528</v>
      </c>
      <c r="Y243" s="128">
        <f t="shared" si="204"/>
        <v>5811956459</v>
      </c>
      <c r="Z243" s="122">
        <f t="shared" si="204"/>
        <v>208356057</v>
      </c>
      <c r="AA243" s="129">
        <f t="shared" si="204"/>
        <v>6020312516</v>
      </c>
      <c r="AB243" s="128">
        <f t="shared" si="204"/>
        <v>4406594941</v>
      </c>
      <c r="AC243" s="122">
        <f t="shared" si="204"/>
        <v>430519695</v>
      </c>
      <c r="AD243" s="129">
        <f t="shared" si="204"/>
        <v>4837114636</v>
      </c>
      <c r="AE243" s="128">
        <f t="shared" si="204"/>
        <v>3775615609</v>
      </c>
      <c r="AF243" s="122">
        <f t="shared" si="204"/>
        <v>243671415</v>
      </c>
      <c r="AG243" s="129">
        <f t="shared" si="204"/>
        <v>4019287024</v>
      </c>
      <c r="AH243" s="128">
        <f t="shared" si="204"/>
        <v>7299584012</v>
      </c>
      <c r="AI243" s="122">
        <f t="shared" si="204"/>
        <v>8482781892</v>
      </c>
      <c r="AJ243" s="130">
        <f t="shared" si="204"/>
        <v>9300609504</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+IF(JULIO!S244=0,"",JULIO!S244)</f>
        <v>8002100-1</v>
      </c>
      <c r="T244" s="665" t="str">
        <f>+IF(JULIO!T244=0,"",JULIO!T244)</f>
        <v>Fondo de la Vivienda</v>
      </c>
      <c r="U244" s="27">
        <f>+ENERO!U244</f>
        <v>0</v>
      </c>
      <c r="V244" s="15">
        <f>JULIO!V244+AGOSTO!AL244</f>
        <v>0</v>
      </c>
      <c r="W244" s="15">
        <f>JULIO!W244+AGOSTO!AM244</f>
        <v>0</v>
      </c>
      <c r="X244" s="18">
        <f t="shared" ref="X244:X256" si="205">SUM(U244:W244)</f>
        <v>0</v>
      </c>
      <c r="Y244" s="19">
        <f>JULIO!AA244</f>
        <v>0</v>
      </c>
      <c r="Z244" s="364">
        <v>0</v>
      </c>
      <c r="AA244" s="18">
        <f t="shared" ref="AA244:AA256" si="206">SUM(Y244:Z244)</f>
        <v>0</v>
      </c>
      <c r="AB244" s="19">
        <f>JULIO!AD244</f>
        <v>0</v>
      </c>
      <c r="AC244" s="364">
        <v>0</v>
      </c>
      <c r="AD244" s="18">
        <f t="shared" ref="AD244:AD256" si="207">SUM(AB244:AC244)</f>
        <v>0</v>
      </c>
      <c r="AE244" s="19">
        <f>JULIO!AG244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+IF(JULIO!S245=0,"",JULIO!S245)</f>
        <v>8002100-2</v>
      </c>
      <c r="T245" s="665" t="str">
        <f>+IF(JULIO!T245=0,"",JULIO!T245)</f>
        <v>Programas Especial 01</v>
      </c>
      <c r="U245" s="27">
        <f>+ENERO!U245</f>
        <v>0</v>
      </c>
      <c r="V245" s="15">
        <f>JULIO!V245+AGOSTO!AL245</f>
        <v>0</v>
      </c>
      <c r="W245" s="15">
        <f>JULIO!W245+AGOSTO!AM245</f>
        <v>152517826</v>
      </c>
      <c r="X245" s="18">
        <f t="shared" si="205"/>
        <v>152517826</v>
      </c>
      <c r="Y245" s="19">
        <f>JULIO!AA245</f>
        <v>0</v>
      </c>
      <c r="Z245" s="364">
        <v>0</v>
      </c>
      <c r="AA245" s="18">
        <f t="shared" si="206"/>
        <v>0</v>
      </c>
      <c r="AB245" s="19">
        <f>JULIO!AD245</f>
        <v>0</v>
      </c>
      <c r="AC245" s="364">
        <v>0</v>
      </c>
      <c r="AD245" s="18">
        <f t="shared" si="207"/>
        <v>0</v>
      </c>
      <c r="AE245" s="19">
        <f>JULIO!AG245</f>
        <v>0</v>
      </c>
      <c r="AF245" s="364">
        <v>0</v>
      </c>
      <c r="AG245" s="18">
        <f t="shared" si="208"/>
        <v>0</v>
      </c>
      <c r="AH245" s="19">
        <f t="shared" si="209"/>
        <v>152517826</v>
      </c>
      <c r="AI245" s="15">
        <f t="shared" si="210"/>
        <v>152517826</v>
      </c>
      <c r="AJ245" s="16">
        <f t="shared" si="211"/>
        <v>152517826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+IF(JULIO!S246=0,"",JULIO!S246)</f>
        <v>8002100-3</v>
      </c>
      <c r="T246" s="665" t="str">
        <f>+IF(JULIO!T246=0,"",JULIO!T246)</f>
        <v>Programas Especial 02</v>
      </c>
      <c r="U246" s="27">
        <f>+ENERO!U246</f>
        <v>0</v>
      </c>
      <c r="V246" s="15">
        <f>JULIO!V246+AGOSTO!AL246</f>
        <v>0</v>
      </c>
      <c r="W246" s="15">
        <f>JULIO!W246+AGOSTO!AM246</f>
        <v>0</v>
      </c>
      <c r="X246" s="18">
        <f t="shared" si="205"/>
        <v>0</v>
      </c>
      <c r="Y246" s="19">
        <f>JULIO!AA246</f>
        <v>0</v>
      </c>
      <c r="Z246" s="364">
        <v>0</v>
      </c>
      <c r="AA246" s="18">
        <f t="shared" si="206"/>
        <v>0</v>
      </c>
      <c r="AB246" s="19">
        <f>JULIO!AD246</f>
        <v>0</v>
      </c>
      <c r="AC246" s="364">
        <v>0</v>
      </c>
      <c r="AD246" s="18">
        <f t="shared" si="207"/>
        <v>0</v>
      </c>
      <c r="AE246" s="19">
        <f>JULIO!AG246</f>
        <v>0</v>
      </c>
      <c r="AF246" s="364">
        <v>0</v>
      </c>
      <c r="AG246" s="18">
        <f t="shared" si="208"/>
        <v>0</v>
      </c>
      <c r="AH246" s="19">
        <f t="shared" si="209"/>
        <v>0</v>
      </c>
      <c r="AI246" s="15">
        <f t="shared" si="210"/>
        <v>0</v>
      </c>
      <c r="AJ246" s="16">
        <f t="shared" si="211"/>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+IF(JULIO!S247=0,"",JULIO!S247)</f>
        <v>8002100-4</v>
      </c>
      <c r="T247" s="665" t="str">
        <f>+IF(JULIO!T247=0,"",JULIO!T247)</f>
        <v>Programas Especial 03</v>
      </c>
      <c r="U247" s="27">
        <f>+ENERO!U247</f>
        <v>0</v>
      </c>
      <c r="V247" s="15">
        <f>JULIO!V247+AGOSTO!AL247</f>
        <v>0</v>
      </c>
      <c r="W247" s="15">
        <f>JULIO!W247+AGOSTO!AM247</f>
        <v>193911300</v>
      </c>
      <c r="X247" s="18">
        <f t="shared" si="205"/>
        <v>193911300</v>
      </c>
      <c r="Y247" s="19">
        <f>JULIO!AA247</f>
        <v>133179600</v>
      </c>
      <c r="Z247" s="364">
        <v>2171440</v>
      </c>
      <c r="AA247" s="18">
        <f t="shared" si="206"/>
        <v>135351040</v>
      </c>
      <c r="AB247" s="19">
        <f>JULIO!AD247</f>
        <v>90846600</v>
      </c>
      <c r="AC247" s="364">
        <v>16282440</v>
      </c>
      <c r="AD247" s="18">
        <f t="shared" si="207"/>
        <v>107129040</v>
      </c>
      <c r="AE247" s="19">
        <f>JULIO!AG247</f>
        <v>90846600</v>
      </c>
      <c r="AF247" s="364">
        <v>0</v>
      </c>
      <c r="AG247" s="18">
        <f t="shared" si="208"/>
        <v>90846600</v>
      </c>
      <c r="AH247" s="19">
        <f t="shared" si="209"/>
        <v>58560260</v>
      </c>
      <c r="AI247" s="15">
        <f t="shared" si="210"/>
        <v>86782260</v>
      </c>
      <c r="AJ247" s="16">
        <f t="shared" si="211"/>
        <v>103064700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+IF(JULIO!S248=0,"",JULIO!S248)</f>
        <v>8002100-5</v>
      </c>
      <c r="T248" s="665" t="str">
        <f>+IF(JULIO!T248=0,"",JULIO!T248)</f>
        <v>Programas Especial 04</v>
      </c>
      <c r="U248" s="27">
        <f>+ENERO!U248</f>
        <v>500000000</v>
      </c>
      <c r="V248" s="15">
        <f>JULIO!V248+AGOSTO!AL248</f>
        <v>0</v>
      </c>
      <c r="W248" s="15">
        <f>JULIO!W248+AGOSTO!AM248</f>
        <v>2619976000</v>
      </c>
      <c r="X248" s="18">
        <f t="shared" si="205"/>
        <v>3119976000</v>
      </c>
      <c r="Y248" s="19">
        <f>JULIO!AA248</f>
        <v>2183689603</v>
      </c>
      <c r="Z248" s="364">
        <v>0</v>
      </c>
      <c r="AA248" s="18">
        <f t="shared" si="206"/>
        <v>2183689603</v>
      </c>
      <c r="AB248" s="19">
        <f>JULIO!AD248</f>
        <v>2183095998</v>
      </c>
      <c r="AC248" s="364">
        <v>0</v>
      </c>
      <c r="AD248" s="18">
        <f t="shared" si="207"/>
        <v>2183095998</v>
      </c>
      <c r="AE248" s="19">
        <f>JULIO!AG248</f>
        <v>2181820003</v>
      </c>
      <c r="AF248" s="364">
        <v>1275995</v>
      </c>
      <c r="AG248" s="18">
        <f t="shared" si="208"/>
        <v>2183095998</v>
      </c>
      <c r="AH248" s="19">
        <f t="shared" si="209"/>
        <v>936286397</v>
      </c>
      <c r="AI248" s="15">
        <f t="shared" si="210"/>
        <v>936880002</v>
      </c>
      <c r="AJ248" s="16">
        <f t="shared" si="211"/>
        <v>936880002</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+IF(JULIO!S249=0,"",JULIO!S249)</f>
        <v>8002100-6</v>
      </c>
      <c r="T249" s="665" t="str">
        <f>+IF(JULIO!T249=0,"",JULIO!T249)</f>
        <v>Programas Especial 05</v>
      </c>
      <c r="U249" s="27">
        <f>+ENERO!U249</f>
        <v>0</v>
      </c>
      <c r="V249" s="15">
        <f>JULIO!V249+AGOSTO!AL249</f>
        <v>0</v>
      </c>
      <c r="W249" s="15">
        <f>JULIO!W249+AGOSTO!AM249</f>
        <v>20000000</v>
      </c>
      <c r="X249" s="18">
        <f t="shared" si="205"/>
        <v>20000000</v>
      </c>
      <c r="Y249" s="19">
        <f>JULIO!AA249</f>
        <v>0</v>
      </c>
      <c r="Z249" s="364">
        <v>0</v>
      </c>
      <c r="AA249" s="18">
        <f t="shared" si="206"/>
        <v>0</v>
      </c>
      <c r="AB249" s="19">
        <f>JULIO!AD249</f>
        <v>0</v>
      </c>
      <c r="AC249" s="364">
        <v>0</v>
      </c>
      <c r="AD249" s="18">
        <f t="shared" si="207"/>
        <v>0</v>
      </c>
      <c r="AE249" s="19">
        <f>JULIO!AG249</f>
        <v>0</v>
      </c>
      <c r="AF249" s="364">
        <v>0</v>
      </c>
      <c r="AG249" s="1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+IF(JULIO!S250=0,"",JULIO!S250)</f>
        <v>8002100-7</v>
      </c>
      <c r="T250" s="665" t="str">
        <f>+IF(JULIO!T250=0,"",JULIO!T250)</f>
        <v>Programas Especial 06</v>
      </c>
      <c r="U250" s="27">
        <f>+ENERO!U250</f>
        <v>0</v>
      </c>
      <c r="V250" s="15">
        <f>JULIO!V250+AGOSTO!AL250</f>
        <v>0</v>
      </c>
      <c r="W250" s="15">
        <f>JULIO!W250+AGOSTO!AM250</f>
        <v>9358200000</v>
      </c>
      <c r="X250" s="18">
        <f>SUM(U250:W250)</f>
        <v>9358200000</v>
      </c>
      <c r="Y250" s="19">
        <f>JULIO!AA250</f>
        <v>3028547772</v>
      </c>
      <c r="Z250" s="364">
        <v>206184617</v>
      </c>
      <c r="AA250" s="18">
        <f>SUM(Y250:Z250)</f>
        <v>3234732389</v>
      </c>
      <c r="AB250" s="19">
        <f>JULIO!AD250</f>
        <v>1666112859</v>
      </c>
      <c r="AC250" s="364">
        <v>414237255</v>
      </c>
      <c r="AD250" s="18">
        <f>SUM(AB250:AC250)</f>
        <v>2080350114</v>
      </c>
      <c r="AE250" s="19">
        <f>JULIO!AG250</f>
        <v>1036409522</v>
      </c>
      <c r="AF250" s="364">
        <v>242395420</v>
      </c>
      <c r="AG250" s="18">
        <f>SUM(AE250:AF250)</f>
        <v>1278804942</v>
      </c>
      <c r="AH250" s="19">
        <f>X250-AA250</f>
        <v>6123467611</v>
      </c>
      <c r="AI250" s="15">
        <f>X250-AD250</f>
        <v>7277849886</v>
      </c>
      <c r="AJ250" s="16">
        <f>X250-AG250</f>
        <v>8079395058</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+IF(JULIO!S251=0,"",JULIO!S251)</f>
        <v>8002100-8</v>
      </c>
      <c r="T251" s="665" t="str">
        <f>+IF(JULIO!T251=0,"",JULIO!T251)</f>
        <v>Programas Especial 07</v>
      </c>
      <c r="U251" s="27">
        <f>+ENERO!U251</f>
        <v>0</v>
      </c>
      <c r="V251" s="15">
        <f>JULIO!V251+AGOSTO!AL251</f>
        <v>0</v>
      </c>
      <c r="W251" s="15">
        <f>JULIO!W251+AGOSTO!AM251</f>
        <v>0</v>
      </c>
      <c r="X251" s="18">
        <f>SUM(U251:W251)</f>
        <v>0</v>
      </c>
      <c r="Y251" s="19">
        <f>JULIO!AA251</f>
        <v>0</v>
      </c>
      <c r="Z251" s="364">
        <v>0</v>
      </c>
      <c r="AA251" s="18">
        <f>SUM(Y251:Z251)</f>
        <v>0</v>
      </c>
      <c r="AB251" s="19">
        <f>JULIO!AD251</f>
        <v>0</v>
      </c>
      <c r="AC251" s="364">
        <v>0</v>
      </c>
      <c r="AD251" s="18">
        <f>SUM(AB251:AC251)</f>
        <v>0</v>
      </c>
      <c r="AE251" s="19">
        <f>JULIO!AG251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+IF(JULIO!S252=0,"",JULIO!S252)</f>
        <v>8002100-9</v>
      </c>
      <c r="T252" s="665" t="str">
        <f>+IF(JULIO!T252=0,"",JULIO!T252)</f>
        <v>Programas Especial 08</v>
      </c>
      <c r="U252" s="27">
        <f>+ENERO!U252</f>
        <v>0</v>
      </c>
      <c r="V252" s="15">
        <f>JULIO!V252+AGOSTO!AL252</f>
        <v>0</v>
      </c>
      <c r="W252" s="15">
        <f>JULIO!W252+AGOSTO!AM252</f>
        <v>0</v>
      </c>
      <c r="X252" s="18">
        <f>SUM(U252:W252)</f>
        <v>0</v>
      </c>
      <c r="Y252" s="19">
        <f>JULIO!AA252</f>
        <v>0</v>
      </c>
      <c r="Z252" s="364">
        <v>0</v>
      </c>
      <c r="AA252" s="18">
        <f>SUM(Y252:Z252)</f>
        <v>0</v>
      </c>
      <c r="AB252" s="19">
        <f>JULIO!AD252</f>
        <v>0</v>
      </c>
      <c r="AC252" s="364">
        <v>0</v>
      </c>
      <c r="AD252" s="18">
        <f>SUM(AB252:AC252)</f>
        <v>0</v>
      </c>
      <c r="AE252" s="19">
        <f>JULIO!AG252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+IF(JULIO!S253=0,"",JULIO!S253)</f>
        <v>8002100-10</v>
      </c>
      <c r="T253" s="665" t="str">
        <f>+IF(JULIO!T253=0,"",JULIO!T253)</f>
        <v>Programas Especial 09</v>
      </c>
      <c r="U253" s="27">
        <f>+ENERO!U253</f>
        <v>0</v>
      </c>
      <c r="V253" s="15">
        <f>JULIO!V253+AGOSTO!AL253</f>
        <v>0</v>
      </c>
      <c r="W253" s="15">
        <f>JULIO!W253+AGOSTO!AM253</f>
        <v>0</v>
      </c>
      <c r="X253" s="18">
        <f>SUM(U253:W253)</f>
        <v>0</v>
      </c>
      <c r="Y253" s="19">
        <f>JULIO!AA253</f>
        <v>0</v>
      </c>
      <c r="Z253" s="364">
        <v>0</v>
      </c>
      <c r="AA253" s="18">
        <f>SUM(Y253:Z253)</f>
        <v>0</v>
      </c>
      <c r="AB253" s="19">
        <f>JULIO!AD253</f>
        <v>0</v>
      </c>
      <c r="AC253" s="364">
        <v>0</v>
      </c>
      <c r="AD253" s="18">
        <f>SUM(AB253:AC253)</f>
        <v>0</v>
      </c>
      <c r="AE253" s="19">
        <f>JULIO!AG253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+IF(JULIO!S254=0,"",JULIO!S254)</f>
        <v>8002100-11</v>
      </c>
      <c r="T254" s="665" t="str">
        <f>+IF(JULIO!T254=0,"",JULIO!T254)</f>
        <v>Programas Especial 10</v>
      </c>
      <c r="U254" s="27">
        <f>+ENERO!U254</f>
        <v>0</v>
      </c>
      <c r="V254" s="15">
        <f>JULIO!V254+AGOSTO!AL254</f>
        <v>0</v>
      </c>
      <c r="W254" s="15">
        <f>JULIO!W254+AGOSTO!AM254</f>
        <v>0</v>
      </c>
      <c r="X254" s="18">
        <f>SUM(U254:W254)</f>
        <v>0</v>
      </c>
      <c r="Y254" s="19">
        <f>JULIO!AA254</f>
        <v>0</v>
      </c>
      <c r="Z254" s="364">
        <v>0</v>
      </c>
      <c r="AA254" s="18">
        <f>SUM(Y254:Z254)</f>
        <v>0</v>
      </c>
      <c r="AB254" s="19">
        <f>JULIO!AD254</f>
        <v>0</v>
      </c>
      <c r="AC254" s="364">
        <v>0</v>
      </c>
      <c r="AD254" s="18">
        <f>SUM(AB254:AC254)</f>
        <v>0</v>
      </c>
      <c r="AE254" s="19">
        <f>JULIO!AG254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+IF(JULIO!S255=0,"",JULIO!S255)</f>
        <v>8002100-12</v>
      </c>
      <c r="T255" s="665" t="str">
        <f>+IF(JULIO!T255=0,"",JULIO!T255)</f>
        <v>Programas Especial 11</v>
      </c>
      <c r="U255" s="27">
        <f>+ENERO!U255</f>
        <v>0</v>
      </c>
      <c r="V255" s="15">
        <f>JULIO!V255+AGOSTO!AL255</f>
        <v>0</v>
      </c>
      <c r="W255" s="15">
        <f>JULIO!W255+AGOSTO!AM255</f>
        <v>0</v>
      </c>
      <c r="X255" s="18">
        <f t="shared" si="205"/>
        <v>0</v>
      </c>
      <c r="Y255" s="19">
        <f>JULIO!AA255</f>
        <v>0</v>
      </c>
      <c r="Z255" s="364">
        <v>0</v>
      </c>
      <c r="AA255" s="18">
        <f t="shared" si="206"/>
        <v>0</v>
      </c>
      <c r="AB255" s="19">
        <f>JULIO!AD255</f>
        <v>0</v>
      </c>
      <c r="AC255" s="364">
        <v>0</v>
      </c>
      <c r="AD255" s="18">
        <f t="shared" si="207"/>
        <v>0</v>
      </c>
      <c r="AE255" s="19">
        <f>JULIO!AG255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+IF(JULIO!S256=0,"",JULIO!S256)</f>
        <v>8002999</v>
      </c>
      <c r="T256" s="680" t="str">
        <f>+IF(JULIO!T256=0,"",JULIO!T256)</f>
        <v>Vigencias Anteriores</v>
      </c>
      <c r="U256" s="133">
        <f>+ENERO!U256</f>
        <v>0</v>
      </c>
      <c r="V256" s="121">
        <f>JULIO!V256+AGOSTO!AL256</f>
        <v>0</v>
      </c>
      <c r="W256" s="121">
        <f>JULIO!W256+AGOSTO!AM256</f>
        <v>475291402</v>
      </c>
      <c r="X256" s="126">
        <f t="shared" si="205"/>
        <v>475291402</v>
      </c>
      <c r="Y256" s="124">
        <f>JULIO!AA256</f>
        <v>466539484</v>
      </c>
      <c r="Z256" s="378">
        <v>0</v>
      </c>
      <c r="AA256" s="126">
        <f t="shared" si="206"/>
        <v>466539484</v>
      </c>
      <c r="AB256" s="124">
        <f>JULIO!AD256</f>
        <v>466539484</v>
      </c>
      <c r="AC256" s="378">
        <v>0</v>
      </c>
      <c r="AD256" s="126">
        <f t="shared" si="207"/>
        <v>466539484</v>
      </c>
      <c r="AE256" s="124">
        <f>JULIO!AG256</f>
        <v>466539484</v>
      </c>
      <c r="AF256" s="378">
        <v>0</v>
      </c>
      <c r="AG256" s="126">
        <f t="shared" si="208"/>
        <v>466539484</v>
      </c>
      <c r="AH256" s="124">
        <f t="shared" si="209"/>
        <v>8751918</v>
      </c>
      <c r="AI256" s="121">
        <f t="shared" si="210"/>
        <v>8751918</v>
      </c>
      <c r="AJ256" s="125">
        <f t="shared" si="211"/>
        <v>8751918</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+IF(JULIO!S257=0,"",JULIO!S257)</f>
        <v/>
      </c>
      <c r="T257" s="677" t="str">
        <f>+IF(JULIO!T257=0,"",JULIO!T257)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2">+(D10+D17+D113)-(V10+V193+V220+V232)</f>
        <v>0</v>
      </c>
      <c r="W258" s="330">
        <f t="shared" si="212"/>
        <v>0</v>
      </c>
      <c r="X258" s="330">
        <f t="shared" si="212"/>
        <v>0</v>
      </c>
      <c r="Y258" s="330">
        <f t="shared" si="212"/>
        <v>-4509761968</v>
      </c>
      <c r="Z258" s="330">
        <f t="shared" si="212"/>
        <v>-1860856878</v>
      </c>
      <c r="AA258" s="330">
        <f t="shared" si="212"/>
        <v>-6370618846</v>
      </c>
      <c r="AB258" s="330">
        <f t="shared" si="212"/>
        <v>-2547624583.2400055</v>
      </c>
      <c r="AC258" s="330">
        <f t="shared" si="212"/>
        <v>-2917269535</v>
      </c>
      <c r="AD258" s="330">
        <f t="shared" si="212"/>
        <v>-5464894118.2400055</v>
      </c>
      <c r="AE258" s="330">
        <f t="shared" si="212"/>
        <v>-23266186968</v>
      </c>
      <c r="AF258" s="330">
        <f t="shared" si="212"/>
        <v>40617111265.239998</v>
      </c>
      <c r="AG258" s="330">
        <f t="shared" si="212"/>
        <v>-49486461902</v>
      </c>
      <c r="AH258" s="330">
        <f t="shared" si="212"/>
        <v>-15801890568</v>
      </c>
      <c r="AI258" s="330">
        <f t="shared" si="212"/>
        <v>-37133379664</v>
      </c>
      <c r="AJ258" s="768">
        <f t="shared" si="212"/>
        <v>-56676803258</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2723206006</v>
      </c>
    </row>
    <row r="260" spans="1:39" ht="24.95" customHeight="1" thickBot="1">
      <c r="S260" s="785" t="s">
        <v>562</v>
      </c>
      <c r="T260" s="786"/>
      <c r="U260" s="761">
        <f>+U8-U262</f>
        <v>62391028787</v>
      </c>
      <c r="V260" s="761">
        <f t="shared" ref="V260:AJ260" si="213">+V8-V262</f>
        <v>-3165127711</v>
      </c>
      <c r="W260" s="761">
        <f t="shared" si="213"/>
        <v>26526213520</v>
      </c>
      <c r="X260" s="761">
        <f t="shared" si="213"/>
        <v>85752114596</v>
      </c>
      <c r="Y260" s="761">
        <f t="shared" si="213"/>
        <v>67472914955</v>
      </c>
      <c r="Z260" s="761">
        <f t="shared" si="213"/>
        <v>3002206542</v>
      </c>
      <c r="AA260" s="761">
        <f t="shared" si="213"/>
        <v>70475121497</v>
      </c>
      <c r="AB260" s="761">
        <f t="shared" si="213"/>
        <v>45464107832</v>
      </c>
      <c r="AC260" s="761">
        <f t="shared" si="213"/>
        <v>5606334142</v>
      </c>
      <c r="AD260" s="761">
        <f t="shared" si="213"/>
        <v>51070441974</v>
      </c>
      <c r="AE260" s="761">
        <f t="shared" si="213"/>
        <v>30920834173</v>
      </c>
      <c r="AF260" s="761">
        <f t="shared" si="213"/>
        <v>3369154883</v>
      </c>
      <c r="AG260" s="761">
        <f t="shared" si="213"/>
        <v>34289989056</v>
      </c>
      <c r="AH260" s="761">
        <f t="shared" si="213"/>
        <v>15276993099</v>
      </c>
      <c r="AI260" s="761">
        <f t="shared" si="213"/>
        <v>34681672622</v>
      </c>
      <c r="AJ260" s="762">
        <f t="shared" si="213"/>
        <v>51462125540</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563</v>
      </c>
      <c r="T262" s="788"/>
      <c r="U262" s="765">
        <f>+SUMIF($T$8:$T$256,$T$33,U8:U256)</f>
        <v>4029331818</v>
      </c>
      <c r="V262" s="765">
        <f t="shared" ref="V262:AJ262" si="214">+SUMIF($T$8:$T$256,$T$33,V8:V256)</f>
        <v>3165127711</v>
      </c>
      <c r="W262" s="765">
        <f t="shared" si="214"/>
        <v>13216691035</v>
      </c>
      <c r="X262" s="765">
        <f t="shared" si="214"/>
        <v>20411150564</v>
      </c>
      <c r="Y262" s="765">
        <f t="shared" si="214"/>
        <v>14517862209</v>
      </c>
      <c r="Z262" s="765">
        <f t="shared" si="214"/>
        <v>5368390886</v>
      </c>
      <c r="AA262" s="765">
        <f t="shared" si="214"/>
        <v>19886253095</v>
      </c>
      <c r="AB262" s="765">
        <f t="shared" si="214"/>
        <v>14517862209</v>
      </c>
      <c r="AC262" s="765">
        <f t="shared" si="214"/>
        <v>1374978310</v>
      </c>
      <c r="AD262" s="765">
        <f t="shared" si="214"/>
        <v>15892840519</v>
      </c>
      <c r="AE262" s="765">
        <f t="shared" si="214"/>
        <v>14517862209</v>
      </c>
      <c r="AF262" s="765">
        <f t="shared" si="214"/>
        <v>678610637</v>
      </c>
      <c r="AG262" s="765">
        <f t="shared" si="214"/>
        <v>15196472846</v>
      </c>
      <c r="AH262" s="765">
        <f t="shared" si="214"/>
        <v>524897469</v>
      </c>
      <c r="AI262" s="765">
        <f t="shared" si="214"/>
        <v>4518310045</v>
      </c>
      <c r="AJ262" s="789">
        <f t="shared" si="214"/>
        <v>5214677718</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39742904555</v>
      </c>
      <c r="X264" s="783">
        <f t="shared" si="215"/>
        <v>106163265160</v>
      </c>
      <c r="Y264" s="783">
        <f t="shared" si="215"/>
        <v>81990777164</v>
      </c>
      <c r="Z264" s="783">
        <f t="shared" si="215"/>
        <v>8370597428</v>
      </c>
      <c r="AA264" s="783">
        <f t="shared" si="215"/>
        <v>90361374592</v>
      </c>
      <c r="AB264" s="783">
        <f t="shared" si="215"/>
        <v>59981970041</v>
      </c>
      <c r="AC264" s="783">
        <f t="shared" si="215"/>
        <v>6981312452</v>
      </c>
      <c r="AD264" s="783">
        <f t="shared" si="215"/>
        <v>66963282493</v>
      </c>
      <c r="AE264" s="783">
        <f t="shared" si="215"/>
        <v>45438696382</v>
      </c>
      <c r="AF264" s="783">
        <f t="shared" si="215"/>
        <v>4047765520</v>
      </c>
      <c r="AG264" s="783">
        <f t="shared" si="215"/>
        <v>49486461902</v>
      </c>
      <c r="AH264" s="783">
        <f t="shared" si="215"/>
        <v>15801890568</v>
      </c>
      <c r="AI264" s="783">
        <f t="shared" si="215"/>
        <v>39199982667</v>
      </c>
      <c r="AJ264" s="784">
        <f t="shared" si="215"/>
        <v>56676803258</v>
      </c>
    </row>
  </sheetData>
  <sheetProtection password="E5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4"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FFFF00"/>
  </sheetPr>
  <dimension ref="A1:BS264"/>
  <sheetViews>
    <sheetView showGridLines="0" topLeftCell="A64" zoomScale="80" zoomScaleNormal="80" workbookViewId="0">
      <selection activeCell="AF25" sqref="AF25"/>
    </sheetView>
  </sheetViews>
  <sheetFormatPr baseColWidth="10" defaultColWidth="0" defaultRowHeight="24.95" customHeight="1"/>
  <cols>
    <col min="1" max="1" width="14.5703125" style="735" customWidth="1"/>
    <col min="2" max="2" width="51" style="645" customWidth="1"/>
    <col min="3" max="3" width="17.140625" style="262" bestFit="1" customWidth="1"/>
    <col min="4" max="4" width="16.140625" style="262" customWidth="1"/>
    <col min="5" max="7" width="14.42578125" style="262" customWidth="1"/>
    <col min="8" max="8" width="15.5703125" style="262" customWidth="1"/>
    <col min="9" max="9" width="14.42578125" style="508" customWidth="1"/>
    <col min="10" max="10" width="14.42578125" style="262" customWidth="1"/>
    <col min="11" max="11" width="15.140625" style="262" bestFit="1" customWidth="1"/>
    <col min="12" max="12" width="14.42578125" style="508"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140625" style="681" customWidth="1"/>
    <col min="20" max="20" width="75.140625" style="657" bestFit="1" customWidth="1"/>
    <col min="21" max="21" width="17.7109375" style="262" customWidth="1"/>
    <col min="22" max="22" width="17.28515625" style="262" bestFit="1" customWidth="1"/>
    <col min="23" max="23" width="17.7109375" style="262" bestFit="1" customWidth="1"/>
    <col min="24" max="24" width="17.85546875" style="262" bestFit="1" customWidth="1"/>
    <col min="25" max="25" width="17.7109375" style="262" bestFit="1" customWidth="1"/>
    <col min="26" max="26" width="16.28515625" style="262" bestFit="1" customWidth="1"/>
    <col min="27" max="28" width="17.7109375" style="262" bestFit="1" customWidth="1"/>
    <col min="29" max="29" width="17" style="262" bestFit="1" customWidth="1"/>
    <col min="30" max="30" width="17.7109375" style="262" bestFit="1" customWidth="1"/>
    <col min="31" max="31" width="18.7109375" style="262" bestFit="1" customWidth="1"/>
    <col min="32" max="32" width="17.140625" style="262" bestFit="1" customWidth="1"/>
    <col min="33" max="33" width="18.7109375" style="262" bestFit="1" customWidth="1"/>
    <col min="34" max="35" width="18" style="262" bestFit="1" customWidth="1"/>
    <col min="36" max="36" width="17.140625" style="262" bestFit="1" customWidth="1"/>
    <col min="37" max="37" width="8.85546875" style="1" customWidth="1"/>
    <col min="38" max="38" width="27.42578125" style="262" bestFit="1" customWidth="1"/>
    <col min="39" max="39" width="22.85546875" style="262" bestFit="1" customWidth="1"/>
    <col min="40" max="40" width="4.85546875" style="262" customWidth="1"/>
    <col min="41" max="41" width="12.28515625" style="262" customWidth="1"/>
    <col min="42" max="42" width="52.710937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2.7109375" style="262" customWidth="1"/>
    <col min="60" max="63" width="17.5703125" style="262" customWidth="1"/>
    <col min="64" max="64" width="31.5703125" style="262" customWidth="1"/>
    <col min="65" max="65" width="76" style="262" customWidth="1"/>
    <col min="66" max="66" width="17.140625" style="262" customWidth="1"/>
    <col min="67" max="67" width="14.7109375" style="262" customWidth="1"/>
    <col min="68" max="68" width="17" style="262" customWidth="1"/>
    <col min="69" max="69" width="22"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82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9</v>
      </c>
      <c r="AP2" s="270" t="s">
        <v>7</v>
      </c>
      <c r="AQ2" s="271"/>
      <c r="AR2" s="3"/>
      <c r="AS2" s="3"/>
      <c r="AT2" s="3"/>
      <c r="AU2" s="3"/>
      <c r="AV2" s="3"/>
      <c r="AW2" s="3"/>
      <c r="AX2" s="3"/>
      <c r="AY2" s="3"/>
      <c r="AZ2" s="4"/>
      <c r="BB2" s="941" t="s">
        <v>588</v>
      </c>
      <c r="BC2" s="958"/>
      <c r="BD2" s="51" t="s">
        <v>380</v>
      </c>
      <c r="BE2" s="268" t="str">
        <f>+L3</f>
        <v>SEPTIEMBRE</v>
      </c>
      <c r="BF2" s="263"/>
      <c r="BG2" s="941" t="s">
        <v>589</v>
      </c>
      <c r="BH2" s="958"/>
      <c r="BI2" s="958"/>
      <c r="BJ2" s="51" t="s">
        <v>380</v>
      </c>
      <c r="BK2" s="268" t="str">
        <f>+BE2</f>
        <v>SEPTIEMBRE</v>
      </c>
      <c r="BM2" s="941" t="s">
        <v>589</v>
      </c>
      <c r="BN2" s="958"/>
      <c r="BO2" s="958"/>
      <c r="BP2" s="51" t="s">
        <v>380</v>
      </c>
      <c r="BQ2" s="268" t="str">
        <f>+BK2</f>
        <v>SEPTIEMBRE</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365</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SEPTIEMBRE</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2" customHeight="1" thickTop="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1002" t="s">
        <v>358</v>
      </c>
      <c r="BG5" s="502" t="s">
        <v>32</v>
      </c>
      <c r="BH5" s="966" t="str">
        <f>+CONCATENATE("ACUMULADO ",N3)</f>
        <v>ACUMULADO 2019</v>
      </c>
      <c r="BI5" s="967"/>
      <c r="BJ5" s="967"/>
      <c r="BK5" s="999"/>
      <c r="BL5" s="1000" t="s">
        <v>359</v>
      </c>
      <c r="BM5" s="964" t="s">
        <v>32</v>
      </c>
      <c r="BN5" s="298" t="str">
        <f>+CONCATENATE("ACUMULADO ",BQ3)</f>
        <v>ACUMULADO 2019</v>
      </c>
      <c r="BO5" s="299"/>
      <c r="BP5" s="300"/>
      <c r="BQ5" s="503"/>
    </row>
    <row r="6" spans="1:69" ht="24.95" customHeight="1" thickBot="1">
      <c r="A6" s="994"/>
      <c r="B6" s="996"/>
      <c r="C6" s="127" t="s">
        <v>33</v>
      </c>
      <c r="D6" s="119" t="s">
        <v>34</v>
      </c>
      <c r="E6" s="119" t="s">
        <v>35</v>
      </c>
      <c r="F6" s="120" t="s">
        <v>36</v>
      </c>
      <c r="G6" s="127" t="s">
        <v>37</v>
      </c>
      <c r="H6" s="119" t="s">
        <v>38</v>
      </c>
      <c r="I6" s="827" t="s">
        <v>39</v>
      </c>
      <c r="J6" s="127" t="s">
        <v>37</v>
      </c>
      <c r="K6" s="119" t="s">
        <v>38</v>
      </c>
      <c r="L6" s="827"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SEPTIEMBRE</v>
      </c>
      <c r="AS6" s="306" t="str">
        <f>AR6</f>
        <v>SEPTIEMBRE</v>
      </c>
      <c r="AT6" s="306" t="str">
        <f>AR6</f>
        <v>SEPTIEMBRE</v>
      </c>
      <c r="AU6" s="306" t="s">
        <v>14</v>
      </c>
      <c r="AV6" s="306" t="s">
        <v>29</v>
      </c>
      <c r="AW6" s="306"/>
      <c r="AX6" s="306"/>
      <c r="AY6" s="306" t="s">
        <v>14</v>
      </c>
      <c r="AZ6" s="307" t="s">
        <v>29</v>
      </c>
      <c r="BB6" s="308"/>
      <c r="BC6" s="309" t="s">
        <v>45</v>
      </c>
      <c r="BD6" s="310" t="s">
        <v>46</v>
      </c>
      <c r="BE6" s="311" t="s">
        <v>47</v>
      </c>
      <c r="BF6" s="1003"/>
      <c r="BG6" s="504"/>
      <c r="BH6" s="505" t="s">
        <v>45</v>
      </c>
      <c r="BI6" s="505" t="s">
        <v>48</v>
      </c>
      <c r="BJ6" s="505" t="s">
        <v>49</v>
      </c>
      <c r="BK6" s="506" t="s">
        <v>50</v>
      </c>
      <c r="BL6" s="1001"/>
      <c r="BM6" s="965"/>
      <c r="BN6" s="315" t="s">
        <v>45</v>
      </c>
      <c r="BO6" s="313" t="s">
        <v>48</v>
      </c>
      <c r="BP6" s="313" t="s">
        <v>49</v>
      </c>
      <c r="BQ6" s="314" t="s">
        <v>50</v>
      </c>
    </row>
    <row r="7" spans="1:69" s="9" customFormat="1" ht="24.95" customHeight="1" thickBot="1">
      <c r="A7" s="500"/>
      <c r="B7" s="501"/>
      <c r="C7" s="164"/>
      <c r="D7" s="164"/>
      <c r="E7" s="164"/>
      <c r="F7" s="164"/>
      <c r="G7" s="164"/>
      <c r="H7" s="164"/>
      <c r="I7" s="828"/>
      <c r="J7" s="164"/>
      <c r="K7" s="164"/>
      <c r="L7" s="828"/>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3813382589</v>
      </c>
      <c r="AR7" s="317">
        <f>I22</f>
        <v>3144912312</v>
      </c>
      <c r="AS7" s="317">
        <f>L22</f>
        <v>1616269339</v>
      </c>
      <c r="AT7" s="13"/>
      <c r="AU7" s="318">
        <f t="shared" ref="AU7:AU17" si="0">IF(AQ7=0," ",AR7/AQ7)</f>
        <v>0.82470411468068938</v>
      </c>
      <c r="AV7" s="318">
        <f t="shared" ref="AV7:AV17" si="1">IF(AQ7=0," ",AS7/AQ7)</f>
        <v>0.42384138000269239</v>
      </c>
      <c r="AW7" s="317">
        <f>I23/AO$2*12+I24</f>
        <v>3918983839.3333335</v>
      </c>
      <c r="AX7" s="317">
        <f>L23/AO$2*12+L24</f>
        <v>1880793208.6666667</v>
      </c>
      <c r="AY7" s="317">
        <f t="shared" ref="AY7:AY16" si="2">AW7-AQ7</f>
        <v>105601250.33333349</v>
      </c>
      <c r="AZ7" s="319">
        <f t="shared" ref="AZ7:AZ16" si="3">AX7-AQ7</f>
        <v>-1932589380.3333333</v>
      </c>
      <c r="BB7" s="320" t="s">
        <v>53</v>
      </c>
      <c r="BC7" s="54">
        <f>F10</f>
        <v>10176865038</v>
      </c>
      <c r="BD7" s="55">
        <f>I10</f>
        <v>10176865038</v>
      </c>
      <c r="BE7" s="56">
        <f>K10</f>
        <v>0</v>
      </c>
      <c r="BF7" s="53">
        <f>+BE7+AGOSTO!BE7+JULIO!BE7+JUNIO!BF7</f>
        <v>10176865038</v>
      </c>
      <c r="BG7" s="91" t="s">
        <v>54</v>
      </c>
      <c r="BH7" s="116">
        <f>+SUM(BH8:BH11)</f>
        <v>41034242505</v>
      </c>
      <c r="BI7" s="116">
        <f>+SUM(BI8:BI11)</f>
        <v>35974301936</v>
      </c>
      <c r="BJ7" s="116">
        <f>+SUM(BJ8:BJ11)</f>
        <v>28760473123</v>
      </c>
      <c r="BK7" s="116">
        <f>+SUM(BK8:BK11)</f>
        <v>3346224277</v>
      </c>
      <c r="BL7" s="40">
        <f>+BK7+AGOSTO!BK7+JULIO!BK7+JUNIO!BL7</f>
        <v>20021078775</v>
      </c>
      <c r="BM7" s="61" t="s">
        <v>54</v>
      </c>
      <c r="BN7" s="62">
        <f>BN8+BN15+BN22</f>
        <v>41034242505</v>
      </c>
      <c r="BO7" s="63">
        <f>BO8+BO15+BO22</f>
        <v>35974301936</v>
      </c>
      <c r="BP7" s="63">
        <f>BP8+BP15+BP22</f>
        <v>28760473123</v>
      </c>
      <c r="BQ7" s="64">
        <f>BQ8+BQ15+BQ22</f>
        <v>3346224277</v>
      </c>
    </row>
    <row r="8" spans="1:69" s="9" customFormat="1" ht="24.95" customHeight="1" thickBot="1">
      <c r="A8" s="711">
        <f>+IF(AGOSTO!A8=0,"",AGOSTO!A8)</f>
        <v>1</v>
      </c>
      <c r="B8" s="618" t="str">
        <f>+IF(AGOSTO!B8=0,"",AGOSTO!B8)</f>
        <v>INGRESOS</v>
      </c>
      <c r="C8" s="321">
        <f>C10+C17+C113</f>
        <v>66420360605</v>
      </c>
      <c r="D8" s="321">
        <f>D10+D17+D113</f>
        <v>0</v>
      </c>
      <c r="E8" s="321">
        <f t="shared" ref="E8:Q8" si="4">E10+E17+E113</f>
        <v>39742904555</v>
      </c>
      <c r="F8" s="321">
        <f t="shared" si="4"/>
        <v>106163265160</v>
      </c>
      <c r="G8" s="321">
        <f t="shared" si="4"/>
        <v>83990755746</v>
      </c>
      <c r="H8" s="321">
        <f t="shared" si="4"/>
        <v>8466978046</v>
      </c>
      <c r="I8" s="829">
        <f t="shared" si="4"/>
        <v>92457733792</v>
      </c>
      <c r="J8" s="321">
        <f t="shared" si="4"/>
        <v>61498388374.759995</v>
      </c>
      <c r="K8" s="321">
        <f t="shared" si="4"/>
        <v>4854035088</v>
      </c>
      <c r="L8" s="829">
        <f t="shared" si="4"/>
        <v>66352423462.760002</v>
      </c>
      <c r="M8" s="321">
        <f t="shared" si="4"/>
        <v>13705531368</v>
      </c>
      <c r="N8" s="321">
        <f t="shared" si="4"/>
        <v>39810841697.240005</v>
      </c>
      <c r="O8" s="323"/>
      <c r="P8" s="324">
        <f t="shared" si="4"/>
        <v>0</v>
      </c>
      <c r="Q8" s="322">
        <f t="shared" si="4"/>
        <v>0</v>
      </c>
      <c r="S8" s="684" t="str">
        <f>+IF(AGOSTO!S8=0,"",AGOSTO!S8)</f>
        <v/>
      </c>
      <c r="T8" s="658" t="str">
        <f>+IF(AGOSTO!T8=0,"",AGOSTO!T8)</f>
        <v>GASTOS</v>
      </c>
      <c r="U8" s="325">
        <f>U10+U193+U220+U232</f>
        <v>66420360605</v>
      </c>
      <c r="V8" s="326">
        <f t="shared" ref="V8:AJ8" si="5">V10+V193+V220+V232</f>
        <v>0</v>
      </c>
      <c r="W8" s="326">
        <f t="shared" si="5"/>
        <v>39742904555</v>
      </c>
      <c r="X8" s="327">
        <f t="shared" si="5"/>
        <v>106163265160</v>
      </c>
      <c r="Y8" s="328">
        <f t="shared" si="5"/>
        <v>90361374592</v>
      </c>
      <c r="Z8" s="326">
        <f t="shared" si="5"/>
        <v>2732327627</v>
      </c>
      <c r="AA8" s="327">
        <f t="shared" si="5"/>
        <v>93093702219</v>
      </c>
      <c r="AB8" s="328">
        <f t="shared" si="5"/>
        <v>66963282493</v>
      </c>
      <c r="AC8" s="326">
        <f t="shared" si="5"/>
        <v>7004284386</v>
      </c>
      <c r="AD8" s="327">
        <f t="shared" si="5"/>
        <v>73967566879</v>
      </c>
      <c r="AE8" s="328">
        <f t="shared" si="5"/>
        <v>49486461902</v>
      </c>
      <c r="AF8" s="326">
        <f t="shared" si="5"/>
        <v>5441901547</v>
      </c>
      <c r="AG8" s="327">
        <f t="shared" si="5"/>
        <v>54928363449</v>
      </c>
      <c r="AH8" s="328">
        <f t="shared" si="5"/>
        <v>13069562941</v>
      </c>
      <c r="AI8" s="326">
        <f t="shared" si="5"/>
        <v>32195698281</v>
      </c>
      <c r="AJ8" s="329">
        <f t="shared" si="5"/>
        <v>51234901711</v>
      </c>
      <c r="AL8" s="330">
        <f>AL10+AL193+AL220+AL232</f>
        <v>0</v>
      </c>
      <c r="AM8" s="331">
        <f>AM10+AM193+AM220+AM232</f>
        <v>0</v>
      </c>
      <c r="AO8" s="21"/>
      <c r="AP8" s="11" t="s">
        <v>56</v>
      </c>
      <c r="AQ8" s="12">
        <f>F25</f>
        <v>40107663996</v>
      </c>
      <c r="AR8" s="12">
        <f>I25</f>
        <v>35519858695</v>
      </c>
      <c r="AS8" s="12">
        <f>L25</f>
        <v>24334177138</v>
      </c>
      <c r="AT8" s="13"/>
      <c r="AU8" s="332">
        <f t="shared" si="0"/>
        <v>0.88561275217979418</v>
      </c>
      <c r="AV8" s="332">
        <f t="shared" si="1"/>
        <v>0.60672137725166153</v>
      </c>
      <c r="AW8" s="12">
        <f>I26/AO$2*12+I27</f>
        <v>44321623162</v>
      </c>
      <c r="AX8" s="12">
        <f>L26/AO$2*12+L27</f>
        <v>29407381086</v>
      </c>
      <c r="AY8" s="12">
        <f t="shared" si="2"/>
        <v>4213959166</v>
      </c>
      <c r="AZ8" s="333">
        <f t="shared" si="3"/>
        <v>-10700282910</v>
      </c>
      <c r="BB8" s="140" t="s">
        <v>57</v>
      </c>
      <c r="BC8" s="65">
        <f>BC9+BC19</f>
        <v>81682102558</v>
      </c>
      <c r="BD8" s="66">
        <f>BD9+BD19</f>
        <v>65534520940</v>
      </c>
      <c r="BE8" s="67">
        <f>BE9+BE19</f>
        <v>2803003725</v>
      </c>
      <c r="BF8" s="53">
        <f>+BE8+AGOSTO!BE8+JULIO!BE8+JUNIO!BF8</f>
        <v>39429210611.07</v>
      </c>
      <c r="BG8" s="68" t="s">
        <v>58</v>
      </c>
      <c r="BH8" s="69">
        <f>BN9+BN13</f>
        <v>6202597719</v>
      </c>
      <c r="BI8" s="69">
        <f>BO9+BO13</f>
        <v>3881259295</v>
      </c>
      <c r="BJ8" s="69">
        <f>BP9+BP13</f>
        <v>3881259295</v>
      </c>
      <c r="BK8" s="69">
        <f>BQ9+BQ13</f>
        <v>420350230</v>
      </c>
      <c r="BL8" s="40">
        <f>+BK8+AGOSTO!BK8+JULIO!BK8+JUNIO!BL8</f>
        <v>3777246421</v>
      </c>
      <c r="BM8" s="71" t="s">
        <v>59</v>
      </c>
      <c r="BN8" s="72">
        <f>BN9+BN14+BN13</f>
        <v>28776754105</v>
      </c>
      <c r="BO8" s="69">
        <f>BO9+BO14+BO13</f>
        <v>26056521577</v>
      </c>
      <c r="BP8" s="69">
        <f>BP9+BP14+BP13</f>
        <v>20449079082</v>
      </c>
      <c r="BQ8" s="70">
        <f>BQ9+BQ14+BQ13</f>
        <v>2640165133</v>
      </c>
    </row>
    <row r="9" spans="1:69" s="9" customFormat="1" ht="24.95" customHeight="1" thickBot="1">
      <c r="A9" s="652"/>
      <c r="B9" s="619"/>
      <c r="C9" s="334"/>
      <c r="D9" s="334"/>
      <c r="E9" s="334"/>
      <c r="F9" s="334"/>
      <c r="G9" s="334"/>
      <c r="H9" s="334"/>
      <c r="I9" s="830"/>
      <c r="J9" s="334"/>
      <c r="K9" s="334"/>
      <c r="L9" s="830"/>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12106629837</v>
      </c>
      <c r="AR9" s="12">
        <f>I28+I75</f>
        <v>13993025694</v>
      </c>
      <c r="AS9" s="12">
        <f>L28+L75</f>
        <v>5597077697</v>
      </c>
      <c r="AT9" s="13"/>
      <c r="AU9" s="340">
        <f t="shared" si="0"/>
        <v>1.1558151097702551</v>
      </c>
      <c r="AV9" s="340">
        <f t="shared" si="1"/>
        <v>0.46231509283403888</v>
      </c>
      <c r="AW9" s="341">
        <f>(I30+I33+I36+I76)/AO$2*12+I31+I34+I37+I38+I39+I40+I77</f>
        <v>16986621977.666666</v>
      </c>
      <c r="AX9" s="341">
        <f>(L30+L33+L36+L76)/AO$2*12+L31+L34+L37+L38+L39+L40+L77</f>
        <v>5792024648.333333</v>
      </c>
      <c r="AY9" s="341">
        <f t="shared" si="2"/>
        <v>4879992140.666666</v>
      </c>
      <c r="AZ9" s="342">
        <f t="shared" si="3"/>
        <v>-6314605188.666667</v>
      </c>
      <c r="BB9" s="343" t="s">
        <v>412</v>
      </c>
      <c r="BC9" s="73">
        <f>BC10+BC18</f>
        <v>81581724495</v>
      </c>
      <c r="BD9" s="74">
        <f>BD10+BD18</f>
        <v>65422678340</v>
      </c>
      <c r="BE9" s="75">
        <f>BE10+BE18</f>
        <v>2799349033</v>
      </c>
      <c r="BF9" s="53">
        <f>+BE9+AGOSTO!BE9+JULIO!BE9+JUNIO!BF9</f>
        <v>39374626918.07</v>
      </c>
      <c r="BG9" s="77" t="s">
        <v>62</v>
      </c>
      <c r="BH9" s="78">
        <f t="shared" ref="BH9:BK10" si="6">BN14</f>
        <v>22574156386</v>
      </c>
      <c r="BI9" s="78">
        <f t="shared" si="6"/>
        <v>22175262282</v>
      </c>
      <c r="BJ9" s="78">
        <f t="shared" si="6"/>
        <v>16567819787</v>
      </c>
      <c r="BK9" s="78">
        <f t="shared" si="6"/>
        <v>2219814903</v>
      </c>
      <c r="BL9" s="40">
        <f>+BK9+AGOSTO!BK9+JULIO!BK9+JUNIO!BL9</f>
        <v>9781628983</v>
      </c>
      <c r="BM9" s="137" t="s">
        <v>63</v>
      </c>
      <c r="BN9" s="80">
        <f>SUM(BN10:BN12)</f>
        <v>4548685503</v>
      </c>
      <c r="BO9" s="78">
        <f>SUM(BO10:BO12)</f>
        <v>2975652760</v>
      </c>
      <c r="BP9" s="78">
        <f>SUM(BP10:BP12)</f>
        <v>2975652760</v>
      </c>
      <c r="BQ9" s="79">
        <f>SUM(BQ10:BQ12)</f>
        <v>305655341</v>
      </c>
    </row>
    <row r="10" spans="1:69" s="9" customFormat="1" ht="24.95" customHeight="1">
      <c r="A10" s="712">
        <f>+IF(AGOSTO!A10=0,"",AGOSTO!A10)</f>
        <v>10</v>
      </c>
      <c r="B10" s="620" t="str">
        <f>+IF(AGOSTO!B10=0,"",AGOSTO!B10)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831">
        <f t="shared" si="7"/>
        <v>10176865038</v>
      </c>
      <c r="J10" s="174">
        <f t="shared" si="7"/>
        <v>10176865038</v>
      </c>
      <c r="K10" s="344">
        <f t="shared" si="7"/>
        <v>0</v>
      </c>
      <c r="L10" s="840">
        <f t="shared" si="7"/>
        <v>10176865038</v>
      </c>
      <c r="M10" s="174">
        <f t="shared" si="7"/>
        <v>0</v>
      </c>
      <c r="N10" s="175">
        <f t="shared" si="7"/>
        <v>0</v>
      </c>
      <c r="O10" s="13"/>
      <c r="P10" s="174">
        <f>SUM(P12:P15)</f>
        <v>0</v>
      </c>
      <c r="Q10" s="175">
        <f>SUM(Q12:Q15)</f>
        <v>0</v>
      </c>
      <c r="S10" s="347" t="str">
        <f>+IF(AGOSTO!S10=0,"",AGOSTO!S10)</f>
        <v>A</v>
      </c>
      <c r="T10" s="659" t="str">
        <f>+IF(AGOSTO!T10=0,"",AGOSTO!T10)</f>
        <v>GASTOS DE FUNCIONAMIENTO</v>
      </c>
      <c r="U10" s="348">
        <f>U12+U110+U170</f>
        <v>50109343517</v>
      </c>
      <c r="V10" s="349">
        <f t="shared" ref="V10:AJ10" si="8">V12+V110+V170</f>
        <v>-5385317789</v>
      </c>
      <c r="W10" s="349">
        <f t="shared" si="8"/>
        <v>4384099806</v>
      </c>
      <c r="X10" s="352">
        <f t="shared" si="8"/>
        <v>49108125534</v>
      </c>
      <c r="Y10" s="351">
        <f t="shared" si="8"/>
        <v>43026332185</v>
      </c>
      <c r="Z10" s="349">
        <f t="shared" si="8"/>
        <v>840564647</v>
      </c>
      <c r="AA10" s="352">
        <f t="shared" si="8"/>
        <v>43866896832</v>
      </c>
      <c r="AB10" s="351">
        <f t="shared" si="8"/>
        <v>33455983790</v>
      </c>
      <c r="AC10" s="349">
        <f t="shared" si="8"/>
        <v>3197084229</v>
      </c>
      <c r="AD10" s="352">
        <f t="shared" si="8"/>
        <v>36653068019</v>
      </c>
      <c r="AE10" s="351">
        <f t="shared" si="8"/>
        <v>24490034558</v>
      </c>
      <c r="AF10" s="349">
        <f t="shared" si="8"/>
        <v>3423639113</v>
      </c>
      <c r="AG10" s="352">
        <f t="shared" si="8"/>
        <v>27913673671</v>
      </c>
      <c r="AH10" s="351">
        <f t="shared" si="8"/>
        <v>5241228702</v>
      </c>
      <c r="AI10" s="349">
        <f t="shared" si="8"/>
        <v>12455057515</v>
      </c>
      <c r="AJ10" s="350">
        <f t="shared" si="8"/>
        <v>21194451863</v>
      </c>
      <c r="AL10" s="353">
        <f>AL12+AL110+AL170</f>
        <v>0</v>
      </c>
      <c r="AM10" s="354">
        <f>AM12+AM110+AM170</f>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65598825422</v>
      </c>
      <c r="BD10" s="74">
        <f>BD11+BD12+BD13+BD14+BD16+BD17+BD15</f>
        <v>50610189986</v>
      </c>
      <c r="BE10" s="75">
        <f>BE11+BE12+BE13+BE14+BE16+BE17+BE15</f>
        <v>2799349033</v>
      </c>
      <c r="BF10" s="53">
        <f>+BE10+AGOSTO!BE10+JULIO!BE10+JUNIO!BF10</f>
        <v>24562138564.07</v>
      </c>
      <c r="BG10" s="68" t="s">
        <v>66</v>
      </c>
      <c r="BH10" s="81">
        <f t="shared" si="6"/>
        <v>10965134256</v>
      </c>
      <c r="BI10" s="81">
        <f t="shared" si="6"/>
        <v>9131922372</v>
      </c>
      <c r="BJ10" s="81">
        <f t="shared" si="6"/>
        <v>7525536054</v>
      </c>
      <c r="BK10" s="81">
        <f t="shared" si="6"/>
        <v>644744113</v>
      </c>
      <c r="BL10" s="40">
        <f>+BK10+AGOSTO!BK10+JULIO!BK10+JUNIO!BL10</f>
        <v>5680806306</v>
      </c>
      <c r="BM10" s="134" t="s">
        <v>425</v>
      </c>
      <c r="BN10" s="83">
        <f>X17+X66</f>
        <v>3049004812</v>
      </c>
      <c r="BO10" s="81">
        <f>AA17+AA66</f>
        <v>2524943468</v>
      </c>
      <c r="BP10" s="81">
        <f>AD17+AD66</f>
        <v>2524943468</v>
      </c>
      <c r="BQ10" s="82">
        <f>AF17+AF66</f>
        <v>281327867</v>
      </c>
    </row>
    <row r="11" spans="1:69" s="9" customFormat="1" ht="24.95" customHeight="1">
      <c r="A11" s="652"/>
      <c r="B11" s="619"/>
      <c r="C11" s="334"/>
      <c r="D11" s="334"/>
      <c r="E11" s="334"/>
      <c r="F11" s="334"/>
      <c r="G11" s="334"/>
      <c r="H11" s="334"/>
      <c r="I11" s="830"/>
      <c r="J11" s="334"/>
      <c r="K11" s="334"/>
      <c r="L11" s="830"/>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222386275</v>
      </c>
      <c r="AR11" s="12">
        <f>I88</f>
        <v>167923219</v>
      </c>
      <c r="AS11" s="12">
        <f>L88</f>
        <v>167923219</v>
      </c>
      <c r="AT11" s="361">
        <f>AO2/12</f>
        <v>0.75</v>
      </c>
      <c r="AU11" s="340">
        <f t="shared" si="0"/>
        <v>0.75509704454557725</v>
      </c>
      <c r="AV11" s="340">
        <f t="shared" si="1"/>
        <v>0.75509704454557725</v>
      </c>
      <c r="AW11" s="341">
        <f>I88</f>
        <v>167923219</v>
      </c>
      <c r="AX11" s="341">
        <f>L88</f>
        <v>167923219</v>
      </c>
      <c r="AY11" s="341">
        <f t="shared" si="2"/>
        <v>-54463056</v>
      </c>
      <c r="AZ11" s="342">
        <f t="shared" si="3"/>
        <v>-54463056</v>
      </c>
      <c r="BB11" s="355" t="s">
        <v>414</v>
      </c>
      <c r="BC11" s="73">
        <f>F26</f>
        <v>32167564656</v>
      </c>
      <c r="BD11" s="74">
        <f>I26</f>
        <v>26405293401</v>
      </c>
      <c r="BE11" s="75">
        <f>K26</f>
        <v>1816217328</v>
      </c>
      <c r="BF11" s="53">
        <f>+BE11+AGOSTO!BE11+JULIO!BE11+JUNIO!BF11</f>
        <v>15219611844</v>
      </c>
      <c r="BG11" s="68" t="s">
        <v>67</v>
      </c>
      <c r="BH11" s="84">
        <f>BN22</f>
        <v>1292354144</v>
      </c>
      <c r="BI11" s="84">
        <f>BO22</f>
        <v>785857987</v>
      </c>
      <c r="BJ11" s="84">
        <f>BP22</f>
        <v>785857987</v>
      </c>
      <c r="BK11" s="84">
        <f>BQ22</f>
        <v>61315031</v>
      </c>
      <c r="BL11" s="40">
        <f>+BK11+AGOSTO!BK11+JULIO!BK11+JUNIO!BL11</f>
        <v>781397065</v>
      </c>
      <c r="BM11" s="135" t="s">
        <v>426</v>
      </c>
      <c r="BN11" s="86">
        <f>X18+X67</f>
        <v>276902465</v>
      </c>
      <c r="BO11" s="84">
        <f>AA18+AA67</f>
        <v>102327837</v>
      </c>
      <c r="BP11" s="84">
        <f>AD18+AD67</f>
        <v>102327837</v>
      </c>
      <c r="BQ11" s="85">
        <f>AF18+AF67</f>
        <v>14349921</v>
      </c>
    </row>
    <row r="12" spans="1:69" s="9" customFormat="1" ht="24.95" customHeight="1">
      <c r="A12" s="593">
        <f>+IF(AGOSTO!A12=0,"",AGOSTO!A12)</f>
        <v>1001</v>
      </c>
      <c r="B12" s="621" t="str">
        <f>+IF(AGOSTO!B12=0,"",AGOSTO!B12)</f>
        <v>Bienestar Social (Caja, Bancos, Inversiones Tempor.) a Dic-31-2018</v>
      </c>
      <c r="C12" s="655">
        <f>+ENERO!C12</f>
        <v>0</v>
      </c>
      <c r="D12" s="363">
        <f>AGOSTO!D12+SEPTIEMBRE!P12</f>
        <v>0</v>
      </c>
      <c r="E12" s="363">
        <f>AGOSTO!E12+SEPTIEMBRE!Q12</f>
        <v>0</v>
      </c>
      <c r="F12" s="143">
        <f>SUM(C12:E12)</f>
        <v>0</v>
      </c>
      <c r="G12" s="216">
        <f>AGOSTO!I12</f>
        <v>0</v>
      </c>
      <c r="H12" s="364">
        <v>0</v>
      </c>
      <c r="I12" s="455">
        <f>SUM(G12:H12)</f>
        <v>0</v>
      </c>
      <c r="J12" s="216">
        <f>AGOSTO!L12</f>
        <v>0</v>
      </c>
      <c r="K12" s="131">
        <v>0</v>
      </c>
      <c r="L12" s="455">
        <f>SUM(J12:K12)</f>
        <v>0</v>
      </c>
      <c r="M12" s="216">
        <f>F12-I12</f>
        <v>0</v>
      </c>
      <c r="N12" s="143">
        <f>F12-L12</f>
        <v>0</v>
      </c>
      <c r="O12" s="284"/>
      <c r="P12" s="362">
        <v>0</v>
      </c>
      <c r="Q12" s="365">
        <v>0</v>
      </c>
      <c r="S12" s="685">
        <f>+IF(AGOSTO!S12=0,"",AGOSTO!S12)</f>
        <v>1000000</v>
      </c>
      <c r="T12" s="661" t="str">
        <f>+IF(AGOSTO!T12=0,"",AGOSTO!T12)</f>
        <v>GASTOS DE PERSONAL</v>
      </c>
      <c r="U12" s="366">
        <f t="shared" ref="U12:AJ12" si="9">U14+U63</f>
        <v>36893269846</v>
      </c>
      <c r="V12" s="367">
        <f t="shared" si="9"/>
        <v>-4294317789</v>
      </c>
      <c r="W12" s="367">
        <f t="shared" si="9"/>
        <v>1979785077</v>
      </c>
      <c r="X12" s="368">
        <f t="shared" si="9"/>
        <v>34578737134</v>
      </c>
      <c r="Y12" s="353">
        <f t="shared" si="9"/>
        <v>31383483482</v>
      </c>
      <c r="Z12" s="367">
        <f t="shared" si="9"/>
        <v>439357541</v>
      </c>
      <c r="AA12" s="368">
        <f t="shared" si="9"/>
        <v>31822841023</v>
      </c>
      <c r="AB12" s="353">
        <f t="shared" si="9"/>
        <v>24011017022</v>
      </c>
      <c r="AC12" s="367">
        <f t="shared" si="9"/>
        <v>2204381506</v>
      </c>
      <c r="AD12" s="368">
        <f t="shared" si="9"/>
        <v>26215398528</v>
      </c>
      <c r="AE12" s="353">
        <f t="shared" si="9"/>
        <v>16685029717</v>
      </c>
      <c r="AF12" s="367">
        <f t="shared" si="9"/>
        <v>2640165133</v>
      </c>
      <c r="AG12" s="368">
        <f t="shared" si="9"/>
        <v>19325194850</v>
      </c>
      <c r="AH12" s="353">
        <f t="shared" si="9"/>
        <v>2755896111</v>
      </c>
      <c r="AI12" s="367">
        <f t="shared" si="9"/>
        <v>8363338606</v>
      </c>
      <c r="AJ12" s="354">
        <f t="shared" si="9"/>
        <v>15253542284</v>
      </c>
      <c r="AK12" s="10"/>
      <c r="AL12" s="369">
        <f>AL14+AL63</f>
        <v>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3087894380</v>
      </c>
      <c r="BD12" s="74">
        <f>I23</f>
        <v>2322214582</v>
      </c>
      <c r="BE12" s="75">
        <f>K23</f>
        <v>58301683</v>
      </c>
      <c r="BF12" s="53">
        <f>+BE12+AGOSTO!BE12+JULIO!BE12+JUNIO!BF12</f>
        <v>793571609</v>
      </c>
      <c r="BG12" s="371" t="s">
        <v>383</v>
      </c>
      <c r="BH12" s="84">
        <f>BN25</f>
        <v>17615908715</v>
      </c>
      <c r="BI12" s="84">
        <f>BO25</f>
        <v>16979678939</v>
      </c>
      <c r="BJ12" s="84">
        <f>BP25</f>
        <v>14701256156</v>
      </c>
      <c r="BK12" s="84">
        <f>BQ25</f>
        <v>742774995</v>
      </c>
      <c r="BL12" s="40">
        <f>+BK12+AGOSTO!BK12+JULIO!BK12+JUNIO!BL12</f>
        <v>7358287192</v>
      </c>
      <c r="BM12" s="136" t="s">
        <v>427</v>
      </c>
      <c r="BN12" s="86">
        <f>X16+X65-X81-X33-BN10-BN11</f>
        <v>1222778226</v>
      </c>
      <c r="BO12" s="84">
        <f>AA16+AA65-AA81-AA33-BO10-BO11</f>
        <v>348381455</v>
      </c>
      <c r="BP12" s="84">
        <f>AD16+AD65-AD81-AD33-BP10-BP11</f>
        <v>348381455</v>
      </c>
      <c r="BQ12" s="85">
        <f>AF16+AF65-AF81-AF33-BQ10-BQ11</f>
        <v>9977553</v>
      </c>
    </row>
    <row r="13" spans="1:69" s="9" customFormat="1" ht="24.95" customHeight="1">
      <c r="A13" s="593">
        <f>+IF(AGOSTO!A13=0,"",AGOSTO!A13)</f>
        <v>1002</v>
      </c>
      <c r="B13" s="621" t="str">
        <f>+IF(AGOSTO!B13=0,"",AGOSTO!B13)</f>
        <v>Fondo Vivienda (Caja, Bancos, Inversiones Tempor.) a Dic-31-2018</v>
      </c>
      <c r="C13" s="655">
        <f>+ENERO!C13</f>
        <v>0</v>
      </c>
      <c r="D13" s="363">
        <f>AGOSTO!D13+SEPTIEMBRE!P13</f>
        <v>0</v>
      </c>
      <c r="E13" s="363">
        <f>AGOSTO!E13+SEPTIEMBRE!Q13</f>
        <v>0</v>
      </c>
      <c r="F13" s="143">
        <f>SUM(C13:E13)</f>
        <v>0</v>
      </c>
      <c r="G13" s="216">
        <f>AGOSTO!I13</f>
        <v>0</v>
      </c>
      <c r="H13" s="364">
        <v>0</v>
      </c>
      <c r="I13" s="455">
        <f>SUM(G13:H13)</f>
        <v>0</v>
      </c>
      <c r="J13" s="216">
        <f>AGOSTO!L13</f>
        <v>0</v>
      </c>
      <c r="K13" s="131">
        <v>0</v>
      </c>
      <c r="L13" s="455">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9579366614</v>
      </c>
      <c r="BE13" s="89">
        <f>+K30+K33+K36+K38+K39+K40</f>
        <v>110582566</v>
      </c>
      <c r="BF13" s="53">
        <f>+BE13+AGOSTO!BE13+JULIO!BE13+JUNIO!BF13</f>
        <v>1292250451</v>
      </c>
      <c r="BG13" s="91" t="s">
        <v>70</v>
      </c>
      <c r="BH13" s="84">
        <f t="shared" ref="BH13:BK15" si="10">BN29</f>
        <v>26829618396</v>
      </c>
      <c r="BI13" s="84">
        <f t="shared" si="10"/>
        <v>19800822194</v>
      </c>
      <c r="BJ13" s="84">
        <f t="shared" si="10"/>
        <v>12672741105</v>
      </c>
      <c r="BK13" s="84">
        <f t="shared" si="10"/>
        <v>405519828</v>
      </c>
      <c r="BL13" s="40">
        <f>+BK13+AGOSTO!BK13+JULIO!BK13+JUNIO!BL13</f>
        <v>11224835833</v>
      </c>
      <c r="BM13" s="139" t="s">
        <v>428</v>
      </c>
      <c r="BN13" s="83">
        <f>X43-X55+X57-X61+X90-X102+X104-X108</f>
        <v>1653912216</v>
      </c>
      <c r="BO13" s="81">
        <f>AA43-AA55+AA57-AA61+AA90-AA102+AA104-AA108</f>
        <v>905606535</v>
      </c>
      <c r="BP13" s="81">
        <f>AD43-AD55+AD57-AD61+AD90-AD102+AD104-AD108</f>
        <v>905606535</v>
      </c>
      <c r="BQ13" s="82">
        <f>AF43-AF55+AF57-AF61+AF90-AF102+AF104-AF108</f>
        <v>114694889</v>
      </c>
    </row>
    <row r="14" spans="1:69" s="9" customFormat="1" ht="24.95" customHeight="1">
      <c r="A14" s="593">
        <f>+IF(AGOSTO!A14=0,"",AGOSTO!A14)</f>
        <v>1003</v>
      </c>
      <c r="B14" s="621" t="str">
        <f>+IF(AGOSTO!B14=0,"",AGOSTO!B14)</f>
        <v>Fondos Comunes y Especiales (Caja, Bancos, Invers. Tempor.) a Dic-31-2018</v>
      </c>
      <c r="C14" s="655">
        <f>+ENERO!C14</f>
        <v>4565434734</v>
      </c>
      <c r="D14" s="363">
        <f>AGOSTO!D14+SEPTIEMBRE!P14</f>
        <v>0</v>
      </c>
      <c r="E14" s="363">
        <f>AGOSTO!E14+SEPTIEMBRE!Q14</f>
        <v>5318248230</v>
      </c>
      <c r="F14" s="143">
        <f>SUM(C14:E14)</f>
        <v>9883682964</v>
      </c>
      <c r="G14" s="216">
        <f>AGOSTO!I14</f>
        <v>9883682964</v>
      </c>
      <c r="H14" s="364">
        <v>0</v>
      </c>
      <c r="I14" s="455">
        <f>SUM(G14:H14)</f>
        <v>9883682964</v>
      </c>
      <c r="J14" s="216">
        <f>AGOSTO!L14</f>
        <v>9883682964</v>
      </c>
      <c r="K14" s="131">
        <v>0</v>
      </c>
      <c r="L14" s="455">
        <f>SUM(J14:K14)</f>
        <v>9883682964</v>
      </c>
      <c r="M14" s="216">
        <f>F14-I14</f>
        <v>0</v>
      </c>
      <c r="N14" s="143">
        <f>F14-L14</f>
        <v>0</v>
      </c>
      <c r="O14" s="372"/>
      <c r="P14" s="362">
        <v>0</v>
      </c>
      <c r="Q14" s="365">
        <v>0</v>
      </c>
      <c r="S14" s="686">
        <f>+IF(AGOSTO!S14=0,"",AGOSTO!S14)</f>
        <v>1010000</v>
      </c>
      <c r="T14" s="662" t="str">
        <f>+IF(AGOSTO!T14=0,"",AGOSTO!T14)</f>
        <v>Gastos de Administración</v>
      </c>
      <c r="U14" s="132">
        <f t="shared" ref="U14:AJ14" si="11">U16+U35+U43+U57</f>
        <v>6899222078</v>
      </c>
      <c r="V14" s="122">
        <f t="shared" si="11"/>
        <v>-478979942</v>
      </c>
      <c r="W14" s="122">
        <f t="shared" si="11"/>
        <v>270000000</v>
      </c>
      <c r="X14" s="129">
        <f t="shared" si="11"/>
        <v>6690242136</v>
      </c>
      <c r="Y14" s="128">
        <f t="shared" si="11"/>
        <v>5749554935</v>
      </c>
      <c r="Z14" s="122">
        <f t="shared" si="11"/>
        <v>146433678</v>
      </c>
      <c r="AA14" s="129">
        <f t="shared" si="11"/>
        <v>5895988613</v>
      </c>
      <c r="AB14" s="128">
        <f t="shared" si="11"/>
        <v>4592621281</v>
      </c>
      <c r="AC14" s="122">
        <f t="shared" si="11"/>
        <v>488279509</v>
      </c>
      <c r="AD14" s="129">
        <f t="shared" si="11"/>
        <v>5080900790</v>
      </c>
      <c r="AE14" s="128">
        <f t="shared" si="11"/>
        <v>4007025071</v>
      </c>
      <c r="AF14" s="122">
        <f t="shared" si="11"/>
        <v>526836726</v>
      </c>
      <c r="AG14" s="129">
        <f t="shared" si="11"/>
        <v>4533861797</v>
      </c>
      <c r="AH14" s="128">
        <f t="shared" si="11"/>
        <v>794253523</v>
      </c>
      <c r="AI14" s="122">
        <f t="shared" si="11"/>
        <v>1609341346</v>
      </c>
      <c r="AJ14" s="130">
        <f t="shared" si="11"/>
        <v>2156380339</v>
      </c>
      <c r="AK14" s="10"/>
      <c r="AL14" s="128">
        <f>AL16+AL35+AL43+AL57</f>
        <v>0</v>
      </c>
      <c r="AM14" s="130">
        <f>AM16+AM35+AM43+AM57</f>
        <v>0</v>
      </c>
      <c r="AO14" s="21"/>
      <c r="AP14" s="11" t="s">
        <v>73</v>
      </c>
      <c r="AQ14" s="12">
        <f>F19-AQ7-AQ8-AQ9-AQ10-AQ11-AQ12-AQ13</f>
        <v>22866996186</v>
      </c>
      <c r="AR14" s="12">
        <f>I19-AR7-AR8-AR9-AR10-AR11-AR12-AR13</f>
        <v>13927781827</v>
      </c>
      <c r="AS14" s="12">
        <f>L19-AS7-AS8-AS9-AS10-AS11-AS12-AS13</f>
        <v>8990002931.7600021</v>
      </c>
      <c r="AT14" s="372"/>
      <c r="AU14" s="340">
        <f t="shared" si="0"/>
        <v>0.60907789172270432</v>
      </c>
      <c r="AV14" s="340">
        <f t="shared" si="1"/>
        <v>0.39314315088153146</v>
      </c>
      <c r="AW14" s="341">
        <f>(I41+I46+I49+I52+I55+I58+I61+I64+I67+I70+I73+I78+I81+I82+I83+I85+I94+I104)/AO$2*12+I47+I50+I53+I56+I59+I62+I65+I68+I71+I74</f>
        <v>38007571681</v>
      </c>
      <c r="AX14" s="341">
        <f>(L41+L46+L49+L52+L55+L58+L61+L64+L67+L70+L73+L78+L81+L82+L83+L85+L94+L104)/AO$2*12+L47+L50+L53+L56+L59+L62+L65+L68+L71+L74</f>
        <v>31347521278.116665</v>
      </c>
      <c r="AY14" s="341">
        <f t="shared" si="2"/>
        <v>15140575495</v>
      </c>
      <c r="AZ14" s="342">
        <f t="shared" si="3"/>
        <v>8480525092.1166649</v>
      </c>
      <c r="BB14" s="373" t="s">
        <v>417</v>
      </c>
      <c r="BC14" s="92">
        <f>+F64</f>
        <v>8371510292</v>
      </c>
      <c r="BD14" s="93">
        <f>+I64</f>
        <v>4189105134</v>
      </c>
      <c r="BE14" s="94">
        <f>K64</f>
        <v>228542050</v>
      </c>
      <c r="BF14" s="53">
        <f>+BE14+AGOSTO!BE14+JULIO!BE14+JUNIO!BF14</f>
        <v>2154481431.0699997</v>
      </c>
      <c r="BG14" s="91" t="s">
        <v>74</v>
      </c>
      <c r="BH14" s="81">
        <f t="shared" si="10"/>
        <v>262344980</v>
      </c>
      <c r="BI14" s="81">
        <f t="shared" si="10"/>
        <v>226892532</v>
      </c>
      <c r="BJ14" s="81">
        <f t="shared" si="10"/>
        <v>226892532</v>
      </c>
      <c r="BK14" s="81">
        <f t="shared" si="10"/>
        <v>25261251</v>
      </c>
      <c r="BL14" s="40">
        <f>+BK14+AGOSTO!BK14+JULIO!BK14+JUNIO!BL14</f>
        <v>205567607</v>
      </c>
      <c r="BM14" s="138" t="s">
        <v>424</v>
      </c>
      <c r="BN14" s="86">
        <f>X35-X41+X83-X88</f>
        <v>22574156386</v>
      </c>
      <c r="BO14" s="84">
        <f>AA35-AA41+AA83-AA88</f>
        <v>22175262282</v>
      </c>
      <c r="BP14" s="84">
        <f>AD35-AD41+AD83-AD88</f>
        <v>16567819787</v>
      </c>
      <c r="BQ14" s="85">
        <f>AF35-AF41+AF83-AF88</f>
        <v>2219814903</v>
      </c>
    </row>
    <row r="15" spans="1:69" s="9" customFormat="1" ht="24.95" customHeight="1" thickBot="1">
      <c r="A15" s="594">
        <f>+IF(AGOSTO!A15=0,"",AGOSTO!A15)</f>
        <v>1004</v>
      </c>
      <c r="B15" s="621" t="str">
        <f>+IF(AGOSTO!B15=0,"",AGOSTO!B15)</f>
        <v>Cesantias Ley 50/1990 a Dic-31-2018</v>
      </c>
      <c r="C15" s="759">
        <f>+ENERO!C15</f>
        <v>280000000</v>
      </c>
      <c r="D15" s="375">
        <f>AGOSTO!D15+SEPTIEMBRE!P15</f>
        <v>0</v>
      </c>
      <c r="E15" s="375">
        <f>AGOSTO!E15+SEPTIEMBRE!Q15</f>
        <v>13182074</v>
      </c>
      <c r="F15" s="376">
        <f>SUM(C15:E15)</f>
        <v>293182074</v>
      </c>
      <c r="G15" s="377">
        <f>AGOSTO!I15</f>
        <v>293182074</v>
      </c>
      <c r="H15" s="378">
        <v>0</v>
      </c>
      <c r="I15" s="823">
        <f>SUM(G15:H15)</f>
        <v>293182074</v>
      </c>
      <c r="J15" s="377">
        <f>AGOSTO!L15</f>
        <v>293182074</v>
      </c>
      <c r="K15" s="165">
        <v>0</v>
      </c>
      <c r="L15" s="823">
        <f>SUM(J15:K15)</f>
        <v>293182074</v>
      </c>
      <c r="M15" s="377">
        <f>F15-I15</f>
        <v>0</v>
      </c>
      <c r="N15" s="376">
        <f>F15-L15</f>
        <v>0</v>
      </c>
      <c r="O15" s="372"/>
      <c r="P15" s="374">
        <v>0</v>
      </c>
      <c r="Q15" s="379">
        <v>0</v>
      </c>
      <c r="S15" s="356" t="str">
        <f>+IF(AGOSTO!S15=0,"",AGOSTO!S15)</f>
        <v/>
      </c>
      <c r="T15" s="678" t="str">
        <f>+IF(AGOSTO!T15=0,"",AGOSTO!T15)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786064103</v>
      </c>
      <c r="AR15" s="12">
        <f>I113</f>
        <v>603036053</v>
      </c>
      <c r="AS15" s="12">
        <f>L113</f>
        <v>603036053</v>
      </c>
      <c r="AT15" s="13"/>
      <c r="AU15" s="332">
        <f t="shared" si="0"/>
        <v>0.76715887508222724</v>
      </c>
      <c r="AV15" s="340">
        <f t="shared" si="1"/>
        <v>0.76715887508222724</v>
      </c>
      <c r="AW15" s="12">
        <f>+AR15</f>
        <v>603036053</v>
      </c>
      <c r="AX15" s="12">
        <f>+AS15</f>
        <v>603036053</v>
      </c>
      <c r="AY15" s="12">
        <f t="shared" si="2"/>
        <v>-183028050</v>
      </c>
      <c r="AZ15" s="333">
        <f t="shared" si="3"/>
        <v>-183028050</v>
      </c>
      <c r="BA15" s="372"/>
      <c r="BB15" s="373" t="s">
        <v>77</v>
      </c>
      <c r="BC15" s="92">
        <f>F46+F49</f>
        <v>130489617</v>
      </c>
      <c r="BD15" s="93">
        <f>I46+I49</f>
        <v>807895424</v>
      </c>
      <c r="BE15" s="94">
        <f>K46+K49</f>
        <v>0</v>
      </c>
      <c r="BF15" s="53">
        <f>+BE15+AGOSTO!BE15+JULIO!BE15+JUNIO!BF15</f>
        <v>0</v>
      </c>
      <c r="BG15" s="91" t="s">
        <v>78</v>
      </c>
      <c r="BH15" s="81">
        <f t="shared" si="10"/>
        <v>20421150564</v>
      </c>
      <c r="BI15" s="81">
        <f t="shared" si="10"/>
        <v>20112006618</v>
      </c>
      <c r="BJ15" s="81">
        <f t="shared" si="10"/>
        <v>17606203963</v>
      </c>
      <c r="BK15" s="81">
        <f t="shared" si="10"/>
        <v>922121196</v>
      </c>
      <c r="BL15" s="40">
        <f>+BK15+AGOSTO!BK15+JULIO!BK15+JUNIO!BL15</f>
        <v>16118594042</v>
      </c>
      <c r="BM15" s="71" t="s">
        <v>66</v>
      </c>
      <c r="BN15" s="83">
        <f>SUM(BN16:BN21)</f>
        <v>10965134256</v>
      </c>
      <c r="BO15" s="81">
        <f>SUM(BO16:BO21)</f>
        <v>9131922372</v>
      </c>
      <c r="BP15" s="81">
        <f>SUM(BP16:BP21)</f>
        <v>7525536054</v>
      </c>
      <c r="BQ15" s="82">
        <f>SUM(BQ16:BQ21)</f>
        <v>644744113</v>
      </c>
    </row>
    <row r="16" spans="1:69" s="9" customFormat="1" ht="24.95" customHeight="1" thickBot="1">
      <c r="A16" s="713" t="str">
        <f>+IF(AGOSTO!A16=0,"",AGOSTO!A16)</f>
        <v/>
      </c>
      <c r="B16" s="622" t="str">
        <f>+IF(AGOSTO!B16=0,"",AGOSTO!B16)</f>
        <v/>
      </c>
      <c r="C16" s="380"/>
      <c r="D16" s="380"/>
      <c r="E16" s="380"/>
      <c r="F16" s="380"/>
      <c r="G16" s="380"/>
      <c r="H16" s="380"/>
      <c r="I16" s="832"/>
      <c r="J16" s="380"/>
      <c r="K16" s="380"/>
      <c r="L16" s="832"/>
      <c r="M16" s="380"/>
      <c r="N16" s="381"/>
      <c r="O16" s="372"/>
      <c r="P16" s="382"/>
      <c r="Q16" s="383"/>
      <c r="S16" s="687">
        <f>+IF(AGOSTO!S16=0,"",AGOSTO!S16)</f>
        <v>1010100</v>
      </c>
      <c r="T16" s="663" t="str">
        <f>+IF(AGOSTO!T16=0,"",AGOSTO!T16)</f>
        <v>Servicios Personales Asociados a Nómina</v>
      </c>
      <c r="U16" s="132">
        <f t="shared" ref="U16:AJ16" si="12">SUM(U17:U20)+U33</f>
        <v>1868719642</v>
      </c>
      <c r="V16" s="122">
        <f t="shared" si="12"/>
        <v>-315000000</v>
      </c>
      <c r="W16" s="122">
        <f t="shared" si="12"/>
        <v>120000000</v>
      </c>
      <c r="X16" s="129">
        <f t="shared" si="12"/>
        <v>1673719642</v>
      </c>
      <c r="Y16" s="128">
        <f t="shared" si="12"/>
        <v>979092981</v>
      </c>
      <c r="Z16" s="122">
        <f t="shared" si="12"/>
        <v>112313024</v>
      </c>
      <c r="AA16" s="129">
        <f t="shared" si="12"/>
        <v>1091406005</v>
      </c>
      <c r="AB16" s="128">
        <f t="shared" si="12"/>
        <v>979092981</v>
      </c>
      <c r="AC16" s="122">
        <f t="shared" si="12"/>
        <v>112313024</v>
      </c>
      <c r="AD16" s="129">
        <f t="shared" si="12"/>
        <v>1091406005</v>
      </c>
      <c r="AE16" s="128">
        <f t="shared" si="12"/>
        <v>979092981</v>
      </c>
      <c r="AF16" s="122">
        <f t="shared" si="12"/>
        <v>112313024</v>
      </c>
      <c r="AG16" s="129">
        <f t="shared" si="12"/>
        <v>1091406005</v>
      </c>
      <c r="AH16" s="128">
        <f t="shared" si="12"/>
        <v>582313637</v>
      </c>
      <c r="AI16" s="122">
        <f t="shared" si="12"/>
        <v>582313637</v>
      </c>
      <c r="AJ16" s="130">
        <f t="shared" si="12"/>
        <v>582313637</v>
      </c>
      <c r="AK16" s="10"/>
      <c r="AL16" s="128">
        <f>SUM(AL17:AL20)+AL33</f>
        <v>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53">
        <f>+BE16+AGOSTO!BE16+JULIO!BE16+JUNIO!BF16</f>
        <v>0</v>
      </c>
      <c r="BG16" s="91" t="s">
        <v>82</v>
      </c>
      <c r="BH16" s="96">
        <f>BH7+BH12+BH13+BH14+BH15</f>
        <v>106163265160</v>
      </c>
      <c r="BI16" s="96">
        <f>BI7+BI12+BI13+BI14+BI15</f>
        <v>93093702219</v>
      </c>
      <c r="BJ16" s="96">
        <f>BJ7+BJ12+BJ13+BJ14+BJ15</f>
        <v>73967566879</v>
      </c>
      <c r="BK16" s="96">
        <f>BK7+BK12+BK13+BK14+BK15</f>
        <v>5441901547</v>
      </c>
      <c r="BL16" s="40">
        <f>+BK16+AGOSTO!BK16+JULIO!BK16+JUNIO!BL16</f>
        <v>54928363449</v>
      </c>
      <c r="BM16" s="137" t="s">
        <v>83</v>
      </c>
      <c r="BN16" s="83">
        <f>X114-X121+X147-X148-X153</f>
        <v>1474314729</v>
      </c>
      <c r="BO16" s="81">
        <f>AA114-AA121+AA147-AA148-AA153</f>
        <v>1021288524</v>
      </c>
      <c r="BP16" s="81">
        <f>AD114-AD121+AD147-AD148-AD153</f>
        <v>798263698</v>
      </c>
      <c r="BQ16" s="82">
        <f>AF114-AF121+AF147-AF148-AF153</f>
        <v>30116809</v>
      </c>
    </row>
    <row r="17" spans="1:70" s="372" customFormat="1" ht="24.95" customHeight="1" thickBot="1">
      <c r="A17" s="712">
        <f>+IF(AGOSTO!A17=0,"",AGOSTO!A17)</f>
        <v>11</v>
      </c>
      <c r="B17" s="623" t="str">
        <f>+IF(AGOSTO!B17=0,"",AGOSTO!B17)</f>
        <v>INGRESOS  CORRIENTES</v>
      </c>
      <c r="C17" s="324">
        <f>C19+C94+C104</f>
        <v>61374630552</v>
      </c>
      <c r="D17" s="321">
        <f t="shared" ref="D17:Q17" si="13">D19+D94+D104</f>
        <v>0</v>
      </c>
      <c r="E17" s="321">
        <f t="shared" si="13"/>
        <v>33825705467</v>
      </c>
      <c r="F17" s="321">
        <f t="shared" si="13"/>
        <v>95200336019</v>
      </c>
      <c r="G17" s="321">
        <f t="shared" si="13"/>
        <v>73219646035</v>
      </c>
      <c r="H17" s="321">
        <f t="shared" si="13"/>
        <v>8458186666</v>
      </c>
      <c r="I17" s="829">
        <f t="shared" si="13"/>
        <v>81677832701</v>
      </c>
      <c r="J17" s="321">
        <f t="shared" si="13"/>
        <v>50727278663.759995</v>
      </c>
      <c r="K17" s="321">
        <f t="shared" si="13"/>
        <v>4845243708</v>
      </c>
      <c r="L17" s="829">
        <f t="shared" si="13"/>
        <v>55572522371.760002</v>
      </c>
      <c r="M17" s="321">
        <f t="shared" si="13"/>
        <v>13522503318</v>
      </c>
      <c r="N17" s="322">
        <f t="shared" si="13"/>
        <v>39627813647.240005</v>
      </c>
      <c r="P17" s="174">
        <f t="shared" si="13"/>
        <v>0</v>
      </c>
      <c r="Q17" s="175">
        <f t="shared" si="13"/>
        <v>0</v>
      </c>
      <c r="R17" s="9"/>
      <c r="S17" s="688">
        <f>+IF(AGOSTO!S17=0,"",AGOSTO!S17)</f>
        <v>1010101</v>
      </c>
      <c r="T17" s="664" t="str">
        <f>+IF(AGOSTO!T17=0,"",AGOSTO!T17)</f>
        <v>Sueldos del Personal de nómina</v>
      </c>
      <c r="U17" s="27">
        <f>+ENERO!U17</f>
        <v>1519896974</v>
      </c>
      <c r="V17" s="15">
        <f>AGOSTO!V17+SEPTIEMBRE!AL17</f>
        <v>-200000000</v>
      </c>
      <c r="W17" s="15">
        <f>AGOSTO!W17+SEPTIEMBRE!AM17</f>
        <v>0</v>
      </c>
      <c r="X17" s="18">
        <f>SUM(U17:W17)</f>
        <v>1319896974</v>
      </c>
      <c r="Y17" s="19">
        <f>AGOSTO!AA17</f>
        <v>861792155</v>
      </c>
      <c r="Z17" s="364">
        <v>105420922</v>
      </c>
      <c r="AA17" s="18">
        <f>SUM(Y17:Z17)</f>
        <v>967213077</v>
      </c>
      <c r="AB17" s="19">
        <f>AGOSTO!AD17</f>
        <v>861792155</v>
      </c>
      <c r="AC17" s="364">
        <v>105420922</v>
      </c>
      <c r="AD17" s="18">
        <f>SUM(AB17:AC17)</f>
        <v>967213077</v>
      </c>
      <c r="AE17" s="19">
        <f>AGOSTO!AG17</f>
        <v>861792155</v>
      </c>
      <c r="AF17" s="364">
        <v>105420922</v>
      </c>
      <c r="AG17" s="18">
        <f>SUM(AE17:AF17)</f>
        <v>967213077</v>
      </c>
      <c r="AH17" s="19">
        <f>X17-AA17</f>
        <v>352683897</v>
      </c>
      <c r="AI17" s="15">
        <f>X17-AD17</f>
        <v>352683897</v>
      </c>
      <c r="AJ17" s="16">
        <f>X17-AG17</f>
        <v>352683897</v>
      </c>
      <c r="AK17" s="9"/>
      <c r="AL17" s="362">
        <v>0</v>
      </c>
      <c r="AM17" s="365">
        <v>0</v>
      </c>
      <c r="AN17" s="9"/>
      <c r="AO17" s="339"/>
      <c r="AP17" s="389" t="s">
        <v>85</v>
      </c>
      <c r="AQ17" s="390">
        <f>SUM(AQ7:AQ16)</f>
        <v>90079988024</v>
      </c>
      <c r="AR17" s="391">
        <f>SUM(AR7:AR16)</f>
        <v>77533402838</v>
      </c>
      <c r="AS17" s="392">
        <f>SUM(AS7:AS16)</f>
        <v>51485351415.760002</v>
      </c>
      <c r="AT17" s="393"/>
      <c r="AU17" s="391">
        <f t="shared" si="0"/>
        <v>0.86071728625610811</v>
      </c>
      <c r="AV17" s="391">
        <f t="shared" si="1"/>
        <v>0.57155149046026477</v>
      </c>
      <c r="AW17" s="394">
        <f>SUM(AX7:AX16)</f>
        <v>79375544531.116669</v>
      </c>
      <c r="AX17" s="394">
        <f>SUM(AX7:AX16)</f>
        <v>79375544531.116669</v>
      </c>
      <c r="AY17" s="394">
        <f>SUM(AY7:AY16)</f>
        <v>24102636946</v>
      </c>
      <c r="AZ17" s="395">
        <f>SUM(AZ7:AZ16)</f>
        <v>-10704443492.883335</v>
      </c>
      <c r="BA17" s="9"/>
      <c r="BB17" s="355" t="s">
        <v>419</v>
      </c>
      <c r="BC17" s="73">
        <f>F41+F52+F55+F58+F61+F67+F70+F73+F76+F79+F82+F86+F87+F88+F89+F90+F91</f>
        <v>12889005337</v>
      </c>
      <c r="BD17" s="74">
        <f>I41+I52+I55+I58+I61+I67+I70+I73+I76+I79+I82+I86+I87+I88+I89+I90+I91</f>
        <v>7306314831</v>
      </c>
      <c r="BE17" s="75">
        <f>K41+K52+K55+K58+K61+K67+K70+K73+K76+K79+K82+K86+K87+K88+K89+K90+K91</f>
        <v>585705406</v>
      </c>
      <c r="BF17" s="53">
        <f>+BE17+AGOSTO!BE17+JULIO!BE17+JUNIO!BF17</f>
        <v>5102223229</v>
      </c>
      <c r="BG17" s="98" t="s">
        <v>86</v>
      </c>
      <c r="BH17" s="99">
        <f>BC23-BH16</f>
        <v>-106163265160</v>
      </c>
      <c r="BI17" s="99"/>
      <c r="BJ17" s="99"/>
      <c r="BK17" s="99"/>
      <c r="BL17" s="40">
        <f>+BK17+AGOSTO!BK17+JULIO!BK17+JUNIO!BL17</f>
        <v>0</v>
      </c>
      <c r="BM17" s="137" t="s">
        <v>434</v>
      </c>
      <c r="BN17" s="83">
        <f>X123-X126-X139+X155-X156-X167-X168</f>
        <v>5029712263</v>
      </c>
      <c r="BO17" s="81">
        <f>AA123-AA126-AA139+AA155-AA156-AA167-AA168</f>
        <v>4540517770</v>
      </c>
      <c r="BP17" s="81">
        <f>AD123-AD126-AD139+AD155-AD156-AD167-AD168</f>
        <v>3594119142</v>
      </c>
      <c r="BQ17" s="82">
        <f>AF123-AF126-AF139+AF155-AF156-AF167-AF168</f>
        <v>287664924</v>
      </c>
      <c r="BR17" s="9"/>
    </row>
    <row r="18" spans="1:70" s="9" customFormat="1" ht="24.95" customHeight="1" thickBot="1">
      <c r="A18" s="593" t="str">
        <f>+IF(AGOSTO!A18=0,"",AGOSTO!A18)</f>
        <v/>
      </c>
      <c r="B18" s="624" t="str">
        <f>+IF(AGOSTO!B18=0,"",AGOSTO!B18)</f>
        <v/>
      </c>
      <c r="C18" s="284"/>
      <c r="D18" s="284"/>
      <c r="E18" s="284"/>
      <c r="F18" s="284"/>
      <c r="G18" s="284"/>
      <c r="H18" s="284"/>
      <c r="I18" s="450"/>
      <c r="J18" s="284"/>
      <c r="K18" s="284"/>
      <c r="L18" s="450"/>
      <c r="M18" s="284"/>
      <c r="N18" s="453"/>
      <c r="P18" s="397"/>
      <c r="Q18" s="396"/>
      <c r="S18" s="688">
        <f>+IF(AGOSTO!S18=0,"",AGOSTO!S18)</f>
        <v>1010102</v>
      </c>
      <c r="T18" s="664" t="str">
        <f>+IF(AGOSTO!T18=0,"",AGOSTO!T18)</f>
        <v>Horas Extras,Dominic.,Festivos y Rec. Nocturnos</v>
      </c>
      <c r="U18" s="27">
        <f>+ENERO!U18</f>
        <v>7017105</v>
      </c>
      <c r="V18" s="15">
        <f>AGOSTO!V18+SEPTIEMBRE!AL18</f>
        <v>5000000</v>
      </c>
      <c r="W18" s="15">
        <f>AGOSTO!W18+SEPTIEMBRE!AM18</f>
        <v>0</v>
      </c>
      <c r="X18" s="18">
        <f>SUM(U18:W18)</f>
        <v>12017105</v>
      </c>
      <c r="Y18" s="19">
        <f>AGOSTO!AA18</f>
        <v>6200673</v>
      </c>
      <c r="Z18" s="364">
        <v>1429281</v>
      </c>
      <c r="AA18" s="18">
        <f>SUM(Y18:Z18)</f>
        <v>7629954</v>
      </c>
      <c r="AB18" s="19">
        <f>AGOSTO!AD18</f>
        <v>6200673</v>
      </c>
      <c r="AC18" s="364">
        <v>1429281</v>
      </c>
      <c r="AD18" s="18">
        <f>SUM(AB18:AC18)</f>
        <v>7629954</v>
      </c>
      <c r="AE18" s="19">
        <f>AGOSTO!AG18</f>
        <v>6200673</v>
      </c>
      <c r="AF18" s="364">
        <v>1429281</v>
      </c>
      <c r="AG18" s="18">
        <f>SUM(AE18:AF18)</f>
        <v>7629954</v>
      </c>
      <c r="AH18" s="19">
        <f>X18-AA18</f>
        <v>4387151</v>
      </c>
      <c r="AI18" s="15">
        <f>X18-AD18</f>
        <v>4387151</v>
      </c>
      <c r="AJ18" s="16">
        <f>X18-AG18</f>
        <v>4387151</v>
      </c>
      <c r="AL18" s="362">
        <v>0</v>
      </c>
      <c r="AM18" s="365">
        <v>0</v>
      </c>
      <c r="AO18" s="21"/>
      <c r="AP18" s="284" t="s">
        <v>51</v>
      </c>
      <c r="AQ18" s="284"/>
      <c r="AR18" s="284"/>
      <c r="AS18" s="284"/>
      <c r="AT18" s="284"/>
      <c r="AU18" s="284"/>
      <c r="AV18" s="284"/>
      <c r="AW18" s="284"/>
      <c r="AX18" s="284"/>
      <c r="AY18" s="284"/>
      <c r="AZ18" s="284"/>
      <c r="BA18" s="372"/>
      <c r="BB18" s="373" t="s">
        <v>420</v>
      </c>
      <c r="BC18" s="73">
        <f>+F95+F96+F97+F99</f>
        <v>15982899073</v>
      </c>
      <c r="BD18" s="74">
        <f>+I95+I96+I97+I99</f>
        <v>14812488354</v>
      </c>
      <c r="BE18" s="75">
        <f>+K95+K96+K97+K99</f>
        <v>0</v>
      </c>
      <c r="BF18" s="53">
        <f>+BE18+AGOSTO!BE18+JULIO!BE18+JUNIO!BF18</f>
        <v>14812488354</v>
      </c>
      <c r="BM18" s="137" t="s">
        <v>87</v>
      </c>
      <c r="BN18" s="83">
        <f>X148+X156</f>
        <v>3194025000</v>
      </c>
      <c r="BO18" s="81">
        <f>AA148+AA156</f>
        <v>2807905822</v>
      </c>
      <c r="BP18" s="81">
        <f>AD148+AD156</f>
        <v>2371965958</v>
      </c>
      <c r="BQ18" s="82">
        <f>AF148+AF156</f>
        <v>253852161</v>
      </c>
      <c r="BR18" s="372"/>
    </row>
    <row r="19" spans="1:70" s="9" customFormat="1" ht="24.95" customHeight="1" thickBot="1">
      <c r="A19" s="714">
        <f>+IF(AGOSTO!A19=0,"",AGOSTO!A19)</f>
        <v>113</v>
      </c>
      <c r="B19" s="625" t="str">
        <f>+IF(AGOSTO!B19=0,"",AGOSTO!B19)</f>
        <v>VENTA DE SERVICIOS</v>
      </c>
      <c r="C19" s="324">
        <f t="shared" ref="C19:N19" si="14">C21+C85</f>
        <v>53293559356</v>
      </c>
      <c r="D19" s="321">
        <f t="shared" si="14"/>
        <v>0</v>
      </c>
      <c r="E19" s="321">
        <f t="shared" si="14"/>
        <v>25823499527</v>
      </c>
      <c r="F19" s="322">
        <f t="shared" si="14"/>
        <v>79117058883</v>
      </c>
      <c r="G19" s="324">
        <f t="shared" si="14"/>
        <v>58300263398</v>
      </c>
      <c r="H19" s="321">
        <f t="shared" si="14"/>
        <v>8453238349</v>
      </c>
      <c r="I19" s="833">
        <f t="shared" si="14"/>
        <v>66753501747</v>
      </c>
      <c r="J19" s="324">
        <f t="shared" si="14"/>
        <v>35863861308.759995</v>
      </c>
      <c r="K19" s="321">
        <f t="shared" si="14"/>
        <v>4841589016</v>
      </c>
      <c r="L19" s="833">
        <f t="shared" si="14"/>
        <v>40705450324.760002</v>
      </c>
      <c r="M19" s="324">
        <f t="shared" si="14"/>
        <v>12363557136</v>
      </c>
      <c r="N19" s="322">
        <f t="shared" si="14"/>
        <v>38411608558.240005</v>
      </c>
      <c r="O19" s="372"/>
      <c r="P19" s="43">
        <f>P21+P85</f>
        <v>0</v>
      </c>
      <c r="Q19" s="45">
        <f>Q21+Q85</f>
        <v>0</v>
      </c>
      <c r="S19" s="688">
        <f>+IF(AGOSTO!S19=0,"",AGOSTO!S19)</f>
        <v>1010103</v>
      </c>
      <c r="T19" s="664" t="str">
        <f>+IF(AGOSTO!T19=0,"",AGOSTO!T19)</f>
        <v>Prima Técnica</v>
      </c>
      <c r="U19" s="27">
        <f>+ENERO!U19</f>
        <v>0</v>
      </c>
      <c r="V19" s="15">
        <f>AGOSTO!V19+SEPTIEMBRE!AL19</f>
        <v>0</v>
      </c>
      <c r="W19" s="15">
        <f>AGOSTO!W19+SEPTIEMBRE!AM19</f>
        <v>0</v>
      </c>
      <c r="X19" s="18">
        <f>SUM(U19:W19)</f>
        <v>0</v>
      </c>
      <c r="Y19" s="19">
        <f>AGOSTO!AA19</f>
        <v>0</v>
      </c>
      <c r="Z19" s="364">
        <v>0</v>
      </c>
      <c r="AA19" s="18">
        <f>SUM(Y19:Z19)</f>
        <v>0</v>
      </c>
      <c r="AB19" s="19">
        <f>AGOSTO!AD19</f>
        <v>0</v>
      </c>
      <c r="AC19" s="364">
        <v>0</v>
      </c>
      <c r="AD19" s="18">
        <f>SUM(AB19:AC19)</f>
        <v>0</v>
      </c>
      <c r="AE19" s="19">
        <f>AGOSTO!AG19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100378063</v>
      </c>
      <c r="BD19" s="93">
        <f>+I105+I106+I107+I108+I109+I110+I98+I100+I101</f>
        <v>111842600</v>
      </c>
      <c r="BE19" s="94">
        <f>+K105+K106+K107+K108+K109+K110+K98+K100+K101</f>
        <v>3654692</v>
      </c>
      <c r="BF19" s="53">
        <f>+BE19+AGOSTO!BE19+JULIO!BE19+JUNIO!BF19</f>
        <v>54583693</v>
      </c>
      <c r="BG19" s="372"/>
      <c r="BH19" s="372">
        <f>BN33</f>
        <v>0</v>
      </c>
      <c r="BI19" s="372"/>
      <c r="BJ19" s="372"/>
      <c r="BK19" s="372"/>
      <c r="BM19" s="137" t="s">
        <v>94</v>
      </c>
      <c r="BN19" s="83">
        <f>X126+X167</f>
        <v>740000000</v>
      </c>
      <c r="BO19" s="81">
        <f>AA126+AA167</f>
        <v>546882547</v>
      </c>
      <c r="BP19" s="81">
        <f>AD126+AD167</f>
        <v>546882547</v>
      </c>
      <c r="BQ19" s="82">
        <f>AF126+AF167</f>
        <v>56703162</v>
      </c>
    </row>
    <row r="20" spans="1:70" s="412" customFormat="1" ht="24.95" customHeight="1" thickBot="1">
      <c r="A20" s="593" t="str">
        <f>+IF(AGOSTO!A20=0,"",AGOSTO!A20)</f>
        <v/>
      </c>
      <c r="B20" s="626" t="str">
        <f>+IF(AGOSTO!B20=0,"",AGOSTO!B20)</f>
        <v/>
      </c>
      <c r="C20" s="284"/>
      <c r="D20" s="284"/>
      <c r="E20" s="284"/>
      <c r="F20" s="284"/>
      <c r="G20" s="284"/>
      <c r="H20" s="284"/>
      <c r="I20" s="450"/>
      <c r="J20" s="284"/>
      <c r="K20" s="284"/>
      <c r="L20" s="450"/>
      <c r="M20" s="284"/>
      <c r="N20" s="453"/>
      <c r="O20" s="9"/>
      <c r="P20" s="397"/>
      <c r="Q20" s="396"/>
      <c r="R20" s="9"/>
      <c r="S20" s="688">
        <f>+IF(AGOSTO!S20=0,"",AGOSTO!S20)</f>
        <v>1010104</v>
      </c>
      <c r="T20" s="664" t="str">
        <f>+IF(AGOSTO!T20=0,"",AGOSTO!T20)</f>
        <v>Otros</v>
      </c>
      <c r="U20" s="27">
        <f t="shared" ref="U20:AJ20" si="15">SUM(U21:U32)</f>
        <v>341805563</v>
      </c>
      <c r="V20" s="15">
        <f t="shared" si="15"/>
        <v>0</v>
      </c>
      <c r="W20" s="15">
        <f t="shared" si="15"/>
        <v>0</v>
      </c>
      <c r="X20" s="18">
        <f t="shared" si="15"/>
        <v>341805563</v>
      </c>
      <c r="Y20" s="19">
        <f t="shared" si="15"/>
        <v>111100153</v>
      </c>
      <c r="Z20" s="142">
        <f t="shared" si="15"/>
        <v>5462821</v>
      </c>
      <c r="AA20" s="18">
        <f t="shared" si="15"/>
        <v>116562974</v>
      </c>
      <c r="AB20" s="19">
        <f t="shared" si="15"/>
        <v>111100153</v>
      </c>
      <c r="AC20" s="142">
        <f t="shared" si="15"/>
        <v>5462821</v>
      </c>
      <c r="AD20" s="18">
        <f t="shared" si="15"/>
        <v>116562974</v>
      </c>
      <c r="AE20" s="19">
        <f t="shared" si="15"/>
        <v>111100153</v>
      </c>
      <c r="AF20" s="142">
        <f t="shared" si="15"/>
        <v>5462821</v>
      </c>
      <c r="AG20" s="18">
        <f t="shared" si="15"/>
        <v>116562974</v>
      </c>
      <c r="AH20" s="19">
        <f t="shared" si="15"/>
        <v>225242589</v>
      </c>
      <c r="AI20" s="15">
        <f t="shared" si="15"/>
        <v>225242589</v>
      </c>
      <c r="AJ20" s="16">
        <f t="shared" si="15"/>
        <v>225242589</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786064103</v>
      </c>
      <c r="BD20" s="66">
        <f>+I115+I117+I119+I120+I121+I123+I124</f>
        <v>603036053</v>
      </c>
      <c r="BE20" s="67">
        <f>+K115+K117+K119+K120+K121+K123+K124</f>
        <v>8791380</v>
      </c>
      <c r="BF20" s="53">
        <f>+BE20+AGOSTO!BE20+JULIO!BE20+JUNIO!BF20</f>
        <v>603036053</v>
      </c>
      <c r="BG20" s="372"/>
      <c r="BH20" s="372">
        <f>BH19-BH16</f>
        <v>-106163265160</v>
      </c>
      <c r="BI20" s="372"/>
      <c r="BJ20" s="372"/>
      <c r="BK20" s="372"/>
      <c r="BL20" s="372"/>
      <c r="BM20" s="139" t="s">
        <v>429</v>
      </c>
      <c r="BN20" s="83">
        <f>+X141-X143</f>
        <v>527082264</v>
      </c>
      <c r="BO20" s="81">
        <f>+AA141-AA143</f>
        <v>215327709</v>
      </c>
      <c r="BP20" s="81">
        <f>+AD141-AD143</f>
        <v>214304709</v>
      </c>
      <c r="BQ20" s="82">
        <f>+AF141-AF143</f>
        <v>16407057</v>
      </c>
      <c r="BR20" s="9"/>
    </row>
    <row r="21" spans="1:70" s="412" customFormat="1" ht="24.95" customHeight="1" thickBot="1">
      <c r="A21" s="715">
        <f>+IF(AGOSTO!A21=0,"",AGOSTO!A21)</f>
        <v>11301</v>
      </c>
      <c r="B21" s="627" t="str">
        <f>+IF(AGOSTO!B21=0,"",AGOSTO!B21)</f>
        <v>Venta de Servicios de Salud</v>
      </c>
      <c r="C21" s="174">
        <f t="shared" ref="C21:N21" si="16">C22+C25+C28+C41+C42+C45+C48+C51+C54+C57+C60+C63+C66+C69+C72+C75+C78+C81</f>
        <v>53293559356</v>
      </c>
      <c r="D21" s="344">
        <f t="shared" si="16"/>
        <v>0</v>
      </c>
      <c r="E21" s="344">
        <f t="shared" si="16"/>
        <v>13622937252</v>
      </c>
      <c r="F21" s="344">
        <f t="shared" si="16"/>
        <v>66916496608</v>
      </c>
      <c r="G21" s="344">
        <f t="shared" si="16"/>
        <v>52841387782</v>
      </c>
      <c r="H21" s="344">
        <f t="shared" si="16"/>
        <v>7355143599</v>
      </c>
      <c r="I21" s="834">
        <f t="shared" si="16"/>
        <v>60196531381</v>
      </c>
      <c r="J21" s="344">
        <f t="shared" si="16"/>
        <v>31867181529.759998</v>
      </c>
      <c r="K21" s="344">
        <f t="shared" si="16"/>
        <v>4311048636</v>
      </c>
      <c r="L21" s="834">
        <f t="shared" si="16"/>
        <v>36178230165.760002</v>
      </c>
      <c r="M21" s="344">
        <f t="shared" si="16"/>
        <v>6719965227</v>
      </c>
      <c r="N21" s="175">
        <f t="shared" si="16"/>
        <v>30738266442.240002</v>
      </c>
      <c r="O21" s="372"/>
      <c r="P21" s="43">
        <f>P22+P25+P28+P41+P42+P45+P48+P51+P54+P57+P60+P63+P66+P69+P72+P75+P78+P81</f>
        <v>0</v>
      </c>
      <c r="Q21" s="45">
        <f>Q22+Q25+Q28+Q41+Q42+Q45+Q48+Q51+Q54+Q57+Q60+Q63+Q66+Q69+Q72+Q75+Q78+Q81</f>
        <v>0</v>
      </c>
      <c r="R21" s="9"/>
      <c r="S21" s="689" t="str">
        <f>+IF(AGOSTO!S21=0,"",AGOSTO!S21)</f>
        <v>1010104-1</v>
      </c>
      <c r="T21" s="665" t="str">
        <f>+IF(AGOSTO!T21=0,"",AGOSTO!T21)</f>
        <v xml:space="preserve">Prima de Navidad </v>
      </c>
      <c r="U21" s="27">
        <f>+ENERO!U21</f>
        <v>142096948</v>
      </c>
      <c r="V21" s="15">
        <f>AGOSTO!V21+SEPTIEMBRE!AL21</f>
        <v>0</v>
      </c>
      <c r="W21" s="15">
        <f>AGOSTO!W21+SEPTIEMBRE!AM21</f>
        <v>0</v>
      </c>
      <c r="X21" s="18">
        <f t="shared" ref="X21:X33" si="17">SUM(U21:W21)</f>
        <v>142096948</v>
      </c>
      <c r="Y21" s="19">
        <f>AGOSTO!AA21</f>
        <v>4580537</v>
      </c>
      <c r="Z21" s="364">
        <v>0</v>
      </c>
      <c r="AA21" s="18">
        <f t="shared" ref="AA21:AA33" si="18">SUM(Y21:Z21)</f>
        <v>4580537</v>
      </c>
      <c r="AB21" s="19">
        <f>AGOSTO!AD21</f>
        <v>4580537</v>
      </c>
      <c r="AC21" s="364">
        <v>0</v>
      </c>
      <c r="AD21" s="18">
        <f t="shared" ref="AD21:AD33" si="19">SUM(AB21:AC21)</f>
        <v>4580537</v>
      </c>
      <c r="AE21" s="19">
        <f>AGOSTO!AG21</f>
        <v>4580537</v>
      </c>
      <c r="AF21" s="364">
        <v>0</v>
      </c>
      <c r="AG21" s="18">
        <f t="shared" ref="AG21:AG33" si="20">SUM(AE21:AF21)</f>
        <v>4580537</v>
      </c>
      <c r="AH21" s="19">
        <f t="shared" ref="AH21:AH33" si="21">X21-AA21</f>
        <v>137516411</v>
      </c>
      <c r="AI21" s="15">
        <f t="shared" ref="AI21:AI33" si="22">X21-AD21</f>
        <v>137516411</v>
      </c>
      <c r="AJ21" s="16">
        <f t="shared" ref="AJ21:AJ33" si="23">X21-AG21</f>
        <v>137516411</v>
      </c>
      <c r="AK21" s="9"/>
      <c r="AL21" s="362">
        <v>0</v>
      </c>
      <c r="AM21" s="365">
        <v>0</v>
      </c>
      <c r="AN21" s="9"/>
      <c r="AO21" s="339"/>
      <c r="AP21" s="413"/>
      <c r="AQ21" s="414"/>
      <c r="AR21" s="415" t="str">
        <f>AR6</f>
        <v>SEPTIEMBRE</v>
      </c>
      <c r="AS21" s="416" t="str">
        <f>AR6</f>
        <v>SEPTIEMBRE</v>
      </c>
      <c r="AT21" s="415" t="str">
        <f>AR6</f>
        <v>SEPTIEMBRE</v>
      </c>
      <c r="AU21" s="415" t="s">
        <v>44</v>
      </c>
      <c r="AV21" s="415" t="s">
        <v>22</v>
      </c>
      <c r="AW21" s="417"/>
      <c r="AX21" s="417"/>
      <c r="AY21" s="415" t="s">
        <v>44</v>
      </c>
      <c r="AZ21" s="418" t="s">
        <v>22</v>
      </c>
      <c r="BA21" s="9"/>
      <c r="BB21" s="101" t="s">
        <v>422</v>
      </c>
      <c r="BC21" s="65">
        <f>SUMIF($B8:B122,$B24,F8:F122)+F122</f>
        <v>13518233461</v>
      </c>
      <c r="BD21" s="66">
        <f>SUMIF($B8:B122,$B24,I8:I122)+I122</f>
        <v>16143311761</v>
      </c>
      <c r="BE21" s="67">
        <f>SUMIF($B8:B122,$B24,K8:K122)+K122</f>
        <v>2042239983</v>
      </c>
      <c r="BF21" s="53">
        <f>+BE21+AGOSTO!BE21+JULIO!BE21+JUNIO!BF21</f>
        <v>16143311760.690001</v>
      </c>
      <c r="BG21" s="372"/>
      <c r="BH21" s="372"/>
      <c r="BI21" s="372"/>
      <c r="BJ21" s="372"/>
      <c r="BK21" s="372"/>
      <c r="BL21" s="372"/>
      <c r="BM21" s="137" t="s">
        <v>99</v>
      </c>
      <c r="BN21" s="83">
        <v>0</v>
      </c>
      <c r="BO21" s="81">
        <v>0</v>
      </c>
      <c r="BP21" s="81">
        <v>0</v>
      </c>
      <c r="BQ21" s="82">
        <v>0</v>
      </c>
      <c r="BR21" s="372"/>
    </row>
    <row r="22" spans="1:70" s="9" customFormat="1" ht="24.95" customHeight="1" thickBot="1">
      <c r="A22" s="714">
        <f>+IF(AGOSTO!A22=0,"",AGOSTO!A22)</f>
        <v>1130101</v>
      </c>
      <c r="B22" s="628" t="str">
        <f>+IF(AGOSTO!B22=0,"",AGOSTO!B22)</f>
        <v>EPS - REGIMEN CONTRIBUTIVO</v>
      </c>
      <c r="C22" s="43">
        <f t="shared" ref="C22:N22" si="24">SUM(C23:C24)</f>
        <v>3087894380</v>
      </c>
      <c r="D22" s="44">
        <f t="shared" si="24"/>
        <v>0</v>
      </c>
      <c r="E22" s="44">
        <f t="shared" si="24"/>
        <v>725488209</v>
      </c>
      <c r="F22" s="44">
        <f t="shared" si="24"/>
        <v>3813382589</v>
      </c>
      <c r="G22" s="44">
        <f t="shared" si="24"/>
        <v>2852959583</v>
      </c>
      <c r="H22" s="44">
        <f t="shared" si="24"/>
        <v>291952729</v>
      </c>
      <c r="I22" s="835">
        <f t="shared" si="24"/>
        <v>3144912312</v>
      </c>
      <c r="J22" s="44">
        <f t="shared" si="24"/>
        <v>1479155226</v>
      </c>
      <c r="K22" s="44">
        <f t="shared" si="24"/>
        <v>137114113</v>
      </c>
      <c r="L22" s="835">
        <f t="shared" si="24"/>
        <v>1616269339</v>
      </c>
      <c r="M22" s="44">
        <f t="shared" si="24"/>
        <v>668470277</v>
      </c>
      <c r="N22" s="45">
        <f t="shared" si="24"/>
        <v>2197113250</v>
      </c>
      <c r="P22" s="43">
        <f>SUM(P23:P24)</f>
        <v>0</v>
      </c>
      <c r="Q22" s="45">
        <f>SUM(Q23:Q24)</f>
        <v>0</v>
      </c>
      <c r="S22" s="689" t="str">
        <f>+IF(AGOSTO!S22=0,"",AGOSTO!S22)</f>
        <v>1010104-2</v>
      </c>
      <c r="T22" s="665" t="str">
        <f>+IF(AGOSTO!T22=0,"",AGOSTO!T22)</f>
        <v>Prima de Vacaciones</v>
      </c>
      <c r="U22" s="27">
        <f>+ENERO!U22</f>
        <v>72708845</v>
      </c>
      <c r="V22" s="15">
        <f>AGOSTO!V22+SEPTIEMBRE!AL22</f>
        <v>0</v>
      </c>
      <c r="W22" s="15">
        <f>AGOSTO!W22+SEPTIEMBRE!AM22</f>
        <v>0</v>
      </c>
      <c r="X22" s="18">
        <f t="shared" si="17"/>
        <v>72708845</v>
      </c>
      <c r="Y22" s="19">
        <f>AGOSTO!AA22</f>
        <v>28251642</v>
      </c>
      <c r="Z22" s="364">
        <v>1086818</v>
      </c>
      <c r="AA22" s="18">
        <f t="shared" si="18"/>
        <v>29338460</v>
      </c>
      <c r="AB22" s="19">
        <f>AGOSTO!AD22</f>
        <v>28251642</v>
      </c>
      <c r="AC22" s="364">
        <v>1086818</v>
      </c>
      <c r="AD22" s="18">
        <f t="shared" si="19"/>
        <v>29338460</v>
      </c>
      <c r="AE22" s="19">
        <f>AGOSTO!AG22</f>
        <v>28251642</v>
      </c>
      <c r="AF22" s="364">
        <v>1086818</v>
      </c>
      <c r="AG22" s="18">
        <f t="shared" si="20"/>
        <v>29338460</v>
      </c>
      <c r="AH22" s="19">
        <f t="shared" si="21"/>
        <v>43370385</v>
      </c>
      <c r="AI22" s="15">
        <f t="shared" si="22"/>
        <v>43370385</v>
      </c>
      <c r="AJ22" s="16">
        <f t="shared" si="23"/>
        <v>43370385</v>
      </c>
      <c r="AL22" s="362">
        <v>0</v>
      </c>
      <c r="AM22" s="365">
        <v>0</v>
      </c>
      <c r="AO22" s="21"/>
      <c r="AP22" s="419" t="s">
        <v>104</v>
      </c>
      <c r="AQ22" s="420">
        <f>X17+X66</f>
        <v>3049004812</v>
      </c>
      <c r="AR22" s="420">
        <f>AD17+AD66</f>
        <v>2524943468</v>
      </c>
      <c r="AS22" s="420">
        <f>AG17+AG66</f>
        <v>2524360845</v>
      </c>
      <c r="AT22" s="421"/>
      <c r="AU22" s="422">
        <f t="shared" ref="AU22:AU32" si="25">IF(AQ22=0," ",AR22/AQ22)</f>
        <v>0.8281205257737061</v>
      </c>
      <c r="AV22" s="422">
        <f t="shared" ref="AV22:AV32" si="26">IF(AQ22=0," ",AS22/AQ22)</f>
        <v>0.82792943948951692</v>
      </c>
      <c r="AW22" s="423">
        <f>AR22/$AO$2*12</f>
        <v>3366591290.6666665</v>
      </c>
      <c r="AX22" s="423">
        <f>AS22/$AO$2*12</f>
        <v>3365814460</v>
      </c>
      <c r="AY22" s="423">
        <f t="shared" ref="AY22:AY31" si="27">AW22-AQ22</f>
        <v>317586478.66666651</v>
      </c>
      <c r="AZ22" s="424">
        <f t="shared" ref="AZ22:AZ31" si="28">AQ22-AX22</f>
        <v>-316809648</v>
      </c>
      <c r="BA22" s="372"/>
      <c r="BB22" s="102" t="s">
        <v>109</v>
      </c>
      <c r="BC22" s="103">
        <f>BC7+BC8+BC20+BC21</f>
        <v>106163265160</v>
      </c>
      <c r="BD22" s="104">
        <f>BD7+BD8+BD20+BD21</f>
        <v>92457733792</v>
      </c>
      <c r="BE22" s="105">
        <f>BE7+BE8+BE20+BE21</f>
        <v>4854035088</v>
      </c>
      <c r="BF22" s="53">
        <f>+BE22+AGOSTO!BE22+JULIO!BE22+JUNIO!BF22</f>
        <v>66352423462.760002</v>
      </c>
      <c r="BG22" s="372"/>
      <c r="BH22" s="372"/>
      <c r="BI22" s="372"/>
      <c r="BJ22" s="372"/>
      <c r="BK22" s="372"/>
      <c r="BM22" s="71" t="s">
        <v>67</v>
      </c>
      <c r="BN22" s="83">
        <f>BN23+BN24</f>
        <v>1292354144</v>
      </c>
      <c r="BO22" s="81">
        <f>BO23+BO24</f>
        <v>785857987</v>
      </c>
      <c r="BP22" s="81">
        <f>BP23+BP24</f>
        <v>785857987</v>
      </c>
      <c r="BQ22" s="82">
        <f>BQ23+BQ24</f>
        <v>61315031</v>
      </c>
      <c r="BR22" s="372"/>
    </row>
    <row r="23" spans="1:70" s="412" customFormat="1" ht="24.95" customHeight="1">
      <c r="A23" s="593" t="str">
        <f>+IF(AGOSTO!A23=0,"",AGOSTO!A23)</f>
        <v>1130101-1</v>
      </c>
      <c r="B23" s="629" t="str">
        <f>+CONCATENATE("Vigencia ",INSTRUCCIONES!$F$3)</f>
        <v>Vigencia 2019</v>
      </c>
      <c r="C23" s="655">
        <f>+ENERO!C23</f>
        <v>3087894380</v>
      </c>
      <c r="D23" s="363">
        <f>AGOSTO!D23+SEPTIEMBRE!P23</f>
        <v>0</v>
      </c>
      <c r="E23" s="363">
        <f>AGOSTO!E23+SEPTIEMBRE!Q23</f>
        <v>0</v>
      </c>
      <c r="F23" s="363">
        <f>SUM(C23:E23)</f>
        <v>3087894380</v>
      </c>
      <c r="G23" s="363">
        <f>AGOSTO!I23</f>
        <v>2109074283</v>
      </c>
      <c r="H23" s="364">
        <v>213140299</v>
      </c>
      <c r="I23" s="454">
        <f>SUM(G23:H23)</f>
        <v>2322214582</v>
      </c>
      <c r="J23" s="363">
        <f>AGOSTO!L23</f>
        <v>735269926</v>
      </c>
      <c r="K23" s="364">
        <v>58301683</v>
      </c>
      <c r="L23" s="454">
        <f>SUM(J23:K23)</f>
        <v>793571609</v>
      </c>
      <c r="M23" s="363">
        <f>F23-I23</f>
        <v>765679798</v>
      </c>
      <c r="N23" s="143">
        <f>F23-L23</f>
        <v>2294322771</v>
      </c>
      <c r="O23" s="9"/>
      <c r="P23" s="362">
        <v>0</v>
      </c>
      <c r="Q23" s="365">
        <v>0</v>
      </c>
      <c r="R23" s="9"/>
      <c r="S23" s="689" t="str">
        <f>+IF(AGOSTO!S23=0,"",AGOSTO!S23)</f>
        <v>1010104-3</v>
      </c>
      <c r="T23" s="665" t="str">
        <f>+IF(AGOSTO!T23=0,"",AGOSTO!T23)</f>
        <v>Bonificación  por servicios prestados</v>
      </c>
      <c r="U23" s="27">
        <f>+ENERO!U23</f>
        <v>44330324</v>
      </c>
      <c r="V23" s="15">
        <f>AGOSTO!V23+SEPTIEMBRE!AL23</f>
        <v>0</v>
      </c>
      <c r="W23" s="15">
        <f>AGOSTO!W23+SEPTIEMBRE!AM23</f>
        <v>0</v>
      </c>
      <c r="X23" s="18">
        <f t="shared" si="17"/>
        <v>44330324</v>
      </c>
      <c r="Y23" s="19">
        <f>AGOSTO!AA23</f>
        <v>20338863</v>
      </c>
      <c r="Z23" s="364">
        <v>4143944</v>
      </c>
      <c r="AA23" s="18">
        <f t="shared" si="18"/>
        <v>24482807</v>
      </c>
      <c r="AB23" s="19">
        <f>AGOSTO!AD23</f>
        <v>20338863</v>
      </c>
      <c r="AC23" s="364">
        <v>4143944</v>
      </c>
      <c r="AD23" s="18">
        <f t="shared" si="19"/>
        <v>24482807</v>
      </c>
      <c r="AE23" s="19">
        <f>AGOSTO!AG23</f>
        <v>20338863</v>
      </c>
      <c r="AF23" s="364">
        <v>4143944</v>
      </c>
      <c r="AG23" s="18">
        <f t="shared" si="20"/>
        <v>24482807</v>
      </c>
      <c r="AH23" s="19">
        <f t="shared" si="21"/>
        <v>19847517</v>
      </c>
      <c r="AI23" s="15">
        <f t="shared" si="22"/>
        <v>19847517</v>
      </c>
      <c r="AJ23" s="16">
        <f t="shared" si="23"/>
        <v>19847517</v>
      </c>
      <c r="AK23" s="9"/>
      <c r="AL23" s="362">
        <v>0</v>
      </c>
      <c r="AM23" s="365">
        <v>0</v>
      </c>
      <c r="AN23" s="9"/>
      <c r="AO23" s="360"/>
      <c r="AP23" s="425" t="s">
        <v>108</v>
      </c>
      <c r="AQ23" s="426">
        <f>X16+X65-AQ22</f>
        <v>1499680691</v>
      </c>
      <c r="AR23" s="426">
        <f>AD16+AD65-AR22</f>
        <v>450709292</v>
      </c>
      <c r="AS23" s="426">
        <f>AG16+AG65-AS22</f>
        <v>449378272</v>
      </c>
      <c r="AT23" s="317"/>
      <c r="AU23" s="332">
        <f t="shared" si="25"/>
        <v>0.30053683741134463</v>
      </c>
      <c r="AV23" s="332">
        <f t="shared" si="26"/>
        <v>0.29964930181260835</v>
      </c>
      <c r="AW23" s="426">
        <f>(AR23-AD21-AD22-AD23-AD25-AD30-AD33-AD70-AD71-AD72-AD74-AD78-AD81)/$AO$2*12+AX22/12*2.5+AD30+AD33+AD78+AD81</f>
        <v>1042198727.5</v>
      </c>
      <c r="AX23" s="426">
        <f>(AS23-AG21-AG22-AG23-AG25-AG30-AG33-AG70-AG71-AG72-AG74-AG78-AG81)/$AO$2*12+AX22/12*2.5+AG30+AG33+AG78+AG81</f>
        <v>1041960715.8333333</v>
      </c>
      <c r="AY23" s="426">
        <f t="shared" si="27"/>
        <v>-457481963.5</v>
      </c>
      <c r="AZ23" s="46">
        <f t="shared" si="28"/>
        <v>457719975.16666675</v>
      </c>
      <c r="BA23" s="372"/>
      <c r="BF23" s="372"/>
      <c r="BG23" s="372"/>
      <c r="BH23" s="372"/>
      <c r="BI23" s="372"/>
      <c r="BJ23" s="372"/>
      <c r="BK23" s="372"/>
      <c r="BL23" s="372"/>
      <c r="BM23" s="137" t="s">
        <v>105</v>
      </c>
      <c r="BN23" s="83">
        <f>X177</f>
        <v>965336472</v>
      </c>
      <c r="BO23" s="81">
        <f>AA177</f>
        <v>617208436</v>
      </c>
      <c r="BP23" s="81">
        <f>AD177</f>
        <v>617208436</v>
      </c>
      <c r="BQ23" s="82">
        <f>AF177</f>
        <v>61315031</v>
      </c>
      <c r="BR23" s="9"/>
    </row>
    <row r="24" spans="1:70" s="412" customFormat="1" ht="24.95" customHeight="1">
      <c r="A24" s="593" t="str">
        <f>+IF(AGOSTO!A24=0,"",AGOSTO!A24)</f>
        <v>1130101-2</v>
      </c>
      <c r="B24" s="629" t="str">
        <f>+IF(AGOSTO!B24=0,"",AGOSTO!B24)</f>
        <v>Vigencia Anterior</v>
      </c>
      <c r="C24" s="655">
        <f>+ENERO!C24</f>
        <v>0</v>
      </c>
      <c r="D24" s="363">
        <f>AGOSTO!D24+SEPTIEMBRE!P24</f>
        <v>0</v>
      </c>
      <c r="E24" s="363">
        <f>AGOSTO!E24+SEPTIEMBRE!Q24</f>
        <v>725488209</v>
      </c>
      <c r="F24" s="363">
        <f>SUM(C24:E24)</f>
        <v>725488209</v>
      </c>
      <c r="G24" s="363">
        <f>AGOSTO!I24</f>
        <v>743885300</v>
      </c>
      <c r="H24" s="364">
        <v>78812430</v>
      </c>
      <c r="I24" s="454">
        <f>SUM(G24:H24)</f>
        <v>822697730</v>
      </c>
      <c r="J24" s="363">
        <f>AGOSTO!L24</f>
        <v>743885300</v>
      </c>
      <c r="K24" s="364">
        <v>78812430</v>
      </c>
      <c r="L24" s="454">
        <f>SUM(J24:K24)</f>
        <v>822697730</v>
      </c>
      <c r="M24" s="363">
        <f>F24-I24</f>
        <v>-97209521</v>
      </c>
      <c r="N24" s="841">
        <f>F24-L24</f>
        <v>-97209521</v>
      </c>
      <c r="O24" s="372"/>
      <c r="P24" s="362">
        <v>0</v>
      </c>
      <c r="Q24" s="365">
        <v>0</v>
      </c>
      <c r="R24" s="9"/>
      <c r="S24" s="689" t="str">
        <f>+IF(AGOSTO!S24=0,"",AGOSTO!S24)</f>
        <v>1010104-4</v>
      </c>
      <c r="T24" s="665" t="str">
        <f>+IF(AGOSTO!T24=0,"",AGOSTO!T24)</f>
        <v>Prima de Servicios</v>
      </c>
      <c r="U24" s="27">
        <f>+ENERO!U24</f>
        <v>67115850</v>
      </c>
      <c r="V24" s="15">
        <f>AGOSTO!V24+SEPTIEMBRE!AL24</f>
        <v>0</v>
      </c>
      <c r="W24" s="15">
        <f>AGOSTO!W24+SEPTIEMBRE!AM24</f>
        <v>0</v>
      </c>
      <c r="X24" s="18">
        <f t="shared" si="17"/>
        <v>67115850</v>
      </c>
      <c r="Y24" s="19">
        <f>AGOSTO!AA24</f>
        <v>53399562</v>
      </c>
      <c r="Z24" s="364">
        <v>0</v>
      </c>
      <c r="AA24" s="18">
        <f t="shared" si="18"/>
        <v>53399562</v>
      </c>
      <c r="AB24" s="19">
        <f>AGOSTO!AD24</f>
        <v>53399562</v>
      </c>
      <c r="AC24" s="364">
        <v>0</v>
      </c>
      <c r="AD24" s="18">
        <f t="shared" si="19"/>
        <v>53399562</v>
      </c>
      <c r="AE24" s="19">
        <f>AGOSTO!AG24</f>
        <v>53399562</v>
      </c>
      <c r="AF24" s="364">
        <v>0</v>
      </c>
      <c r="AG24" s="18">
        <f t="shared" si="20"/>
        <v>53399562</v>
      </c>
      <c r="AH24" s="19">
        <f t="shared" si="21"/>
        <v>13716288</v>
      </c>
      <c r="AI24" s="15">
        <f t="shared" si="22"/>
        <v>13716288</v>
      </c>
      <c r="AJ24" s="16">
        <f t="shared" si="23"/>
        <v>13716288</v>
      </c>
      <c r="AK24" s="9"/>
      <c r="AL24" s="362">
        <v>0</v>
      </c>
      <c r="AM24" s="365">
        <v>0</v>
      </c>
      <c r="AN24" s="9"/>
      <c r="AO24" s="360"/>
      <c r="AP24" s="405" t="s">
        <v>113</v>
      </c>
      <c r="AQ24" s="421">
        <f>X35+X83</f>
        <v>28082957341</v>
      </c>
      <c r="AR24" s="421">
        <f>AD35+AD83</f>
        <v>22040957159</v>
      </c>
      <c r="AS24" s="421">
        <f>AG35+AG83</f>
        <v>15254766355</v>
      </c>
      <c r="AT24" s="421"/>
      <c r="AU24" s="363">
        <f t="shared" si="25"/>
        <v>0.78485171242350182</v>
      </c>
      <c r="AV24" s="363">
        <f t="shared" si="26"/>
        <v>0.54320370072736779</v>
      </c>
      <c r="AW24" s="363">
        <f>(AR24-AD41-AD88)/$AO$2*12+AD41+AD88</f>
        <v>27563563754.666668</v>
      </c>
      <c r="AX24" s="363">
        <f>(AS24-AG41-AG88)/$AO$2*12+AG41+AG88</f>
        <v>18515309349.333332</v>
      </c>
      <c r="AY24" s="363">
        <f t="shared" si="27"/>
        <v>-519393586.33333206</v>
      </c>
      <c r="AZ24" s="143">
        <f t="shared" si="28"/>
        <v>9567647991.6666679</v>
      </c>
      <c r="BA24" s="9"/>
      <c r="BB24" s="427"/>
      <c r="BC24" s="372"/>
      <c r="BD24" s="372"/>
      <c r="BE24" s="372"/>
      <c r="BF24" s="372"/>
      <c r="BG24" s="372"/>
      <c r="BH24" s="372"/>
      <c r="BI24" s="372"/>
      <c r="BJ24" s="372"/>
      <c r="BK24" s="372"/>
      <c r="BL24" s="372"/>
      <c r="BM24" s="137" t="s">
        <v>110</v>
      </c>
      <c r="BN24" s="83">
        <f>X170-X177-X174-X183-X191</f>
        <v>327017672</v>
      </c>
      <c r="BO24" s="81">
        <f>AA170-AA177-AA174-AA183-AA191</f>
        <v>168649551</v>
      </c>
      <c r="BP24" s="81">
        <f>AD170-AD177-AD174-AD183-AD191</f>
        <v>168649551</v>
      </c>
      <c r="BQ24" s="82">
        <f>AF170-AF177-AF174-AF183-AF191</f>
        <v>0</v>
      </c>
      <c r="BR24" s="372"/>
    </row>
    <row r="25" spans="1:70" s="372" customFormat="1" ht="24.95" customHeight="1">
      <c r="A25" s="714">
        <f>+IF(AGOSTO!A25=0,"",AGOSTO!A25)</f>
        <v>1130102</v>
      </c>
      <c r="B25" s="628" t="str">
        <f>+IF(AGOSTO!B25=0,"",AGOSTO!B25)</f>
        <v>ARS - REGIMEN SUBSIDIADO</v>
      </c>
      <c r="C25" s="43">
        <f t="shared" ref="C25:N25" si="29">SUM(C26:C27)</f>
        <v>32167564656</v>
      </c>
      <c r="D25" s="44">
        <f t="shared" si="29"/>
        <v>0</v>
      </c>
      <c r="E25" s="44">
        <f t="shared" si="29"/>
        <v>7940099340</v>
      </c>
      <c r="F25" s="44">
        <f t="shared" si="29"/>
        <v>40107663996</v>
      </c>
      <c r="G25" s="44">
        <f t="shared" si="29"/>
        <v>30968383975</v>
      </c>
      <c r="H25" s="44">
        <f t="shared" si="29"/>
        <v>4551474720</v>
      </c>
      <c r="I25" s="835">
        <f t="shared" si="29"/>
        <v>35519858695</v>
      </c>
      <c r="J25" s="44">
        <f t="shared" si="29"/>
        <v>21345300964</v>
      </c>
      <c r="K25" s="44">
        <f t="shared" si="29"/>
        <v>2988876174</v>
      </c>
      <c r="L25" s="835">
        <f t="shared" si="29"/>
        <v>24334177138</v>
      </c>
      <c r="M25" s="44">
        <f t="shared" si="29"/>
        <v>4587805301</v>
      </c>
      <c r="N25" s="45">
        <f t="shared" si="29"/>
        <v>15773486858</v>
      </c>
      <c r="P25" s="43">
        <f>SUM(P26:P27)</f>
        <v>0</v>
      </c>
      <c r="Q25" s="45">
        <f>SUM(Q26:Q27)</f>
        <v>0</v>
      </c>
      <c r="R25" s="9"/>
      <c r="S25" s="689" t="str">
        <f>+IF(AGOSTO!S25=0,"",AGOSTO!S25)</f>
        <v>1010104-5</v>
      </c>
      <c r="T25" s="665" t="str">
        <f>+IF(AGOSTO!T25=0,"",AGOSTO!T25)</f>
        <v>Bonificación Convencional</v>
      </c>
      <c r="U25" s="27">
        <f>+ENERO!U25</f>
        <v>0</v>
      </c>
      <c r="V25" s="15">
        <f>AGOSTO!V25+SEPTIEMBRE!AL25</f>
        <v>0</v>
      </c>
      <c r="W25" s="15">
        <f>AGOSTO!W25+SEPTIEMBRE!AM25</f>
        <v>0</v>
      </c>
      <c r="X25" s="18">
        <f t="shared" si="17"/>
        <v>0</v>
      </c>
      <c r="Y25" s="19">
        <f>AGOSTO!AA25</f>
        <v>0</v>
      </c>
      <c r="Z25" s="364">
        <v>0</v>
      </c>
      <c r="AA25" s="18">
        <f t="shared" si="18"/>
        <v>0</v>
      </c>
      <c r="AB25" s="19">
        <f>AGOSTO!AD25</f>
        <v>0</v>
      </c>
      <c r="AC25" s="364">
        <v>0</v>
      </c>
      <c r="AD25" s="18">
        <f t="shared" si="19"/>
        <v>0</v>
      </c>
      <c r="AE25" s="19">
        <f>AGOSTO!AG25</f>
        <v>0</v>
      </c>
      <c r="AF25" s="364">
        <v>0</v>
      </c>
      <c r="AG25" s="18">
        <f t="shared" si="20"/>
        <v>0</v>
      </c>
      <c r="AH25" s="19">
        <f t="shared" si="21"/>
        <v>0</v>
      </c>
      <c r="AI25" s="15">
        <f t="shared" si="22"/>
        <v>0</v>
      </c>
      <c r="AJ25" s="16">
        <f t="shared" si="23"/>
        <v>0</v>
      </c>
      <c r="AK25" s="9"/>
      <c r="AL25" s="362">
        <v>0</v>
      </c>
      <c r="AM25" s="365">
        <v>0</v>
      </c>
      <c r="AN25" s="9"/>
      <c r="AO25" s="21"/>
      <c r="AP25" s="428" t="s">
        <v>116</v>
      </c>
      <c r="AQ25" s="363">
        <f>X43+X57+X90+X104</f>
        <v>1947094290</v>
      </c>
      <c r="AR25" s="363">
        <f>AD43+AD57+AD90+AD104</f>
        <v>1198788609</v>
      </c>
      <c r="AS25" s="363">
        <f>AG43+AG57+AG90+AG104</f>
        <v>1096689378</v>
      </c>
      <c r="AT25" s="421"/>
      <c r="AU25" s="363">
        <f t="shared" si="25"/>
        <v>0.61568081995659285</v>
      </c>
      <c r="AV25" s="363">
        <f t="shared" si="26"/>
        <v>0.56324410360219379</v>
      </c>
      <c r="AW25" s="363">
        <f>(AR25-AD55-AD61-AD102-AD108)/$AO$2*12+AD55+AD61+AD102+AD108</f>
        <v>1500657454</v>
      </c>
      <c r="AX25" s="363">
        <f>(AS25-AG55-AG61-AG102-AG108)/$AO$2*12+AG55+AG61+AG102+AG108</f>
        <v>1364525146</v>
      </c>
      <c r="AY25" s="363">
        <f t="shared" si="27"/>
        <v>-446436836</v>
      </c>
      <c r="AZ25" s="143">
        <f t="shared" si="28"/>
        <v>582569144</v>
      </c>
      <c r="BM25" s="140" t="s">
        <v>430</v>
      </c>
      <c r="BN25" s="106">
        <f>+SUM(BN26:BN28)</f>
        <v>17615908715</v>
      </c>
      <c r="BO25" s="107">
        <f>+SUM(BO26:BO28)</f>
        <v>16979678939</v>
      </c>
      <c r="BP25" s="107">
        <f>+SUM(BP26:BP28)</f>
        <v>14701256156</v>
      </c>
      <c r="BQ25" s="108">
        <f>+SUM(BQ26:BQ28)</f>
        <v>742774995</v>
      </c>
    </row>
    <row r="26" spans="1:70" s="9" customFormat="1" ht="24.95" customHeight="1">
      <c r="A26" s="593" t="str">
        <f>+IF(AGOSTO!A26=0,"",AGOSTO!A26)</f>
        <v>1130102-1</v>
      </c>
      <c r="B26" s="629" t="str">
        <f>+CONCATENATE("Vigencia ",INSTRUCCIONES!$F$3)</f>
        <v>Vigencia 2019</v>
      </c>
      <c r="C26" s="655">
        <f>+ENERO!C26</f>
        <v>32167564656</v>
      </c>
      <c r="D26" s="363">
        <f>AGOSTO!D26+SEPTIEMBRE!P26</f>
        <v>0</v>
      </c>
      <c r="E26" s="363">
        <f>AGOSTO!E26+SEPTIEMBRE!Q26</f>
        <v>0</v>
      </c>
      <c r="F26" s="363">
        <f>SUM(C26:E26)</f>
        <v>32167564656</v>
      </c>
      <c r="G26" s="363">
        <f>AGOSTO!I26</f>
        <v>23026477527</v>
      </c>
      <c r="H26" s="364">
        <v>3378815874</v>
      </c>
      <c r="I26" s="454">
        <f>SUM(G26:H26)</f>
        <v>26405293401</v>
      </c>
      <c r="J26" s="363">
        <f>AGOSTO!L26</f>
        <v>13403394516</v>
      </c>
      <c r="K26" s="364">
        <v>1816217328</v>
      </c>
      <c r="L26" s="454">
        <f>SUM(J26:K26)</f>
        <v>15219611844</v>
      </c>
      <c r="M26" s="363">
        <f>F26-I26</f>
        <v>5762271255</v>
      </c>
      <c r="N26" s="143">
        <f>F26-L26</f>
        <v>16947952812</v>
      </c>
      <c r="P26" s="362">
        <v>0</v>
      </c>
      <c r="Q26" s="365">
        <v>0</v>
      </c>
      <c r="S26" s="689" t="str">
        <f>+IF(AGOSTO!S26=0,"",AGOSTO!S26)</f>
        <v>1010104-6</v>
      </c>
      <c r="T26" s="665" t="str">
        <f>+IF(AGOSTO!T26=0,"",AGOSTO!T26)</f>
        <v>Auxilio de Transporte</v>
      </c>
      <c r="U26" s="27">
        <f>+ENERO!U26</f>
        <v>7017105</v>
      </c>
      <c r="V26" s="15">
        <f>AGOSTO!V26+SEPTIEMBRE!AL26</f>
        <v>0</v>
      </c>
      <c r="W26" s="15">
        <f>AGOSTO!W26+SEPTIEMBRE!AM26</f>
        <v>0</v>
      </c>
      <c r="X26" s="18">
        <f t="shared" si="17"/>
        <v>7017105</v>
      </c>
      <c r="Y26" s="19">
        <f>AGOSTO!AA26</f>
        <v>701865</v>
      </c>
      <c r="Z26" s="364">
        <v>97032</v>
      </c>
      <c r="AA26" s="18">
        <f t="shared" si="18"/>
        <v>798897</v>
      </c>
      <c r="AB26" s="19">
        <f>AGOSTO!AD26</f>
        <v>701865</v>
      </c>
      <c r="AC26" s="364">
        <v>97032</v>
      </c>
      <c r="AD26" s="18">
        <f t="shared" si="19"/>
        <v>798897</v>
      </c>
      <c r="AE26" s="19">
        <f>AGOSTO!AG26</f>
        <v>701865</v>
      </c>
      <c r="AF26" s="364">
        <v>97032</v>
      </c>
      <c r="AG26" s="18">
        <f t="shared" si="20"/>
        <v>798897</v>
      </c>
      <c r="AH26" s="19">
        <f t="shared" si="21"/>
        <v>6218208</v>
      </c>
      <c r="AI26" s="15">
        <f t="shared" si="22"/>
        <v>6218208</v>
      </c>
      <c r="AJ26" s="16">
        <f t="shared" si="23"/>
        <v>6218208</v>
      </c>
      <c r="AL26" s="362">
        <v>0</v>
      </c>
      <c r="AM26" s="365">
        <v>0</v>
      </c>
      <c r="AO26" s="21"/>
      <c r="AP26" s="429" t="s">
        <v>120</v>
      </c>
      <c r="AQ26" s="317">
        <f>X110</f>
        <v>13237034256</v>
      </c>
      <c r="AR26" s="317">
        <f>AD110</f>
        <v>9651811504</v>
      </c>
      <c r="AS26" s="317">
        <f>AG110</f>
        <v>7807081756</v>
      </c>
      <c r="AT26" s="361">
        <f>AO2/12</f>
        <v>0.75</v>
      </c>
      <c r="AU26" s="332">
        <f t="shared" si="25"/>
        <v>0.72915211348229969</v>
      </c>
      <c r="AV26" s="332">
        <f t="shared" si="26"/>
        <v>0.58979085533915987</v>
      </c>
      <c r="AW26" s="426">
        <f>(AR26-AD121-AD139-AD143-AD153-AD168)/$AO$2*12+AD121+AD139+AD143+AD153+AD168</f>
        <v>12160323522</v>
      </c>
      <c r="AX26" s="426">
        <f>(AS26-AG121-AG139-AG143-AG153-AG168)/$AO$2*12+AG121+AG139+AG143+AG153+AG168</f>
        <v>9700683858</v>
      </c>
      <c r="AY26" s="426">
        <f t="shared" si="27"/>
        <v>-1076710734</v>
      </c>
      <c r="AZ26" s="46">
        <f t="shared" si="28"/>
        <v>3536350398</v>
      </c>
      <c r="BA26" s="372"/>
      <c r="BB26" s="372"/>
      <c r="BC26" s="372"/>
      <c r="BD26" s="372"/>
      <c r="BE26" s="372"/>
      <c r="BF26" s="372"/>
      <c r="BG26" s="372"/>
      <c r="BH26" s="372"/>
      <c r="BI26" s="372"/>
      <c r="BJ26" s="372"/>
      <c r="BK26" s="372"/>
      <c r="BM26" s="109" t="s">
        <v>431</v>
      </c>
      <c r="BN26" s="86">
        <f>+X198+X212</f>
        <v>7348464356</v>
      </c>
      <c r="BO26" s="84">
        <f>+AA198+AA212</f>
        <v>7159874627</v>
      </c>
      <c r="BP26" s="84">
        <f>+AD198+AD212</f>
        <v>6423972217</v>
      </c>
      <c r="BQ26" s="85">
        <f>+AF198+AF212</f>
        <v>308067202</v>
      </c>
      <c r="BR26" s="372"/>
    </row>
    <row r="27" spans="1:70" s="412" customFormat="1" ht="24.95" customHeight="1">
      <c r="A27" s="593" t="str">
        <f>+IF(AGOSTO!A27=0,"",AGOSTO!A27)</f>
        <v>1130102-2</v>
      </c>
      <c r="B27" s="629" t="str">
        <f>+IF(AGOSTO!B27=0,"",AGOSTO!B27)</f>
        <v>Vigencia Anterior</v>
      </c>
      <c r="C27" s="655">
        <f>+ENERO!C27</f>
        <v>0</v>
      </c>
      <c r="D27" s="363">
        <f>AGOSTO!D27+SEPTIEMBRE!P27</f>
        <v>0</v>
      </c>
      <c r="E27" s="363">
        <f>AGOSTO!E27+SEPTIEMBRE!Q27</f>
        <v>7940099340</v>
      </c>
      <c r="F27" s="363">
        <f>SUM(C27:E27)</f>
        <v>7940099340</v>
      </c>
      <c r="G27" s="363">
        <f>AGOSTO!I27</f>
        <v>7941906448</v>
      </c>
      <c r="H27" s="364">
        <v>1172658846</v>
      </c>
      <c r="I27" s="454">
        <f>SUM(G27:H27)</f>
        <v>9114565294</v>
      </c>
      <c r="J27" s="363">
        <f>AGOSTO!L27</f>
        <v>7941906448</v>
      </c>
      <c r="K27" s="364">
        <v>1172658846</v>
      </c>
      <c r="L27" s="454">
        <f>SUM(J27:K27)</f>
        <v>9114565294</v>
      </c>
      <c r="M27" s="363">
        <f>F27-I27</f>
        <v>-1174465954</v>
      </c>
      <c r="N27" s="841">
        <f>F27-L27</f>
        <v>-1174465954</v>
      </c>
      <c r="O27" s="372"/>
      <c r="P27" s="362">
        <v>0</v>
      </c>
      <c r="Q27" s="365">
        <v>0</v>
      </c>
      <c r="R27" s="9"/>
      <c r="S27" s="689" t="str">
        <f>+IF(AGOSTO!S27=0,"",AGOSTO!S27)</f>
        <v>1010104-7</v>
      </c>
      <c r="T27" s="665" t="str">
        <f>+IF(AGOSTO!T27=0,"",AGOSTO!T27)</f>
        <v>Auxilio de Alimentación</v>
      </c>
      <c r="U27" s="27">
        <f>+ENERO!U27</f>
        <v>92622</v>
      </c>
      <c r="V27" s="15">
        <f>AGOSTO!V27+SEPTIEMBRE!AL27</f>
        <v>0</v>
      </c>
      <c r="W27" s="15">
        <f>AGOSTO!W27+SEPTIEMBRE!AM27</f>
        <v>0</v>
      </c>
      <c r="X27" s="18">
        <f t="shared" si="17"/>
        <v>92622</v>
      </c>
      <c r="Y27" s="19">
        <f>AGOSTO!AA27</f>
        <v>0</v>
      </c>
      <c r="Z27" s="364">
        <v>0</v>
      </c>
      <c r="AA27" s="18">
        <f t="shared" si="18"/>
        <v>0</v>
      </c>
      <c r="AB27" s="19">
        <f>AGOSTO!AD27</f>
        <v>0</v>
      </c>
      <c r="AC27" s="364">
        <v>0</v>
      </c>
      <c r="AD27" s="18">
        <f t="shared" si="19"/>
        <v>0</v>
      </c>
      <c r="AE27" s="19">
        <f>AGOSTO!AG27</f>
        <v>0</v>
      </c>
      <c r="AF27" s="364">
        <v>0</v>
      </c>
      <c r="AG27" s="18">
        <f t="shared" si="20"/>
        <v>0</v>
      </c>
      <c r="AH27" s="19">
        <f t="shared" si="21"/>
        <v>92622</v>
      </c>
      <c r="AI27" s="15">
        <f t="shared" si="22"/>
        <v>92622</v>
      </c>
      <c r="AJ27" s="16">
        <f t="shared" si="23"/>
        <v>92622</v>
      </c>
      <c r="AK27" s="9"/>
      <c r="AL27" s="362">
        <v>0</v>
      </c>
      <c r="AM27" s="365">
        <v>0</v>
      </c>
      <c r="AN27" s="9"/>
      <c r="AO27" s="339"/>
      <c r="AP27" s="428" t="s">
        <v>123</v>
      </c>
      <c r="AQ27" s="363">
        <f>X170</f>
        <v>1292354144</v>
      </c>
      <c r="AR27" s="363">
        <f>AD170</f>
        <v>785857987</v>
      </c>
      <c r="AS27" s="363">
        <f>AG170</f>
        <v>781397065</v>
      </c>
      <c r="AT27" s="421"/>
      <c r="AU27" s="363">
        <f t="shared" si="25"/>
        <v>0.60808253732035855</v>
      </c>
      <c r="AV27" s="363">
        <f t="shared" si="26"/>
        <v>0.60463075746519213</v>
      </c>
      <c r="AW27" s="363">
        <f>(AR27-AD174-AD183-AD191)/$AO$2*12+AD174+AD183+AD191</f>
        <v>1047810649.3333333</v>
      </c>
      <c r="AX27" s="363">
        <f>(AS27-AG174-AG183-AG191)/$AO$2*12+AG174+AG183+AG191</f>
        <v>1041862753.3333333</v>
      </c>
      <c r="AY27" s="363">
        <f t="shared" si="27"/>
        <v>-244543494.66666675</v>
      </c>
      <c r="AZ27" s="143">
        <f t="shared" si="28"/>
        <v>250491390.66666675</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+IF(AGOSTO!A28=0,"",AGOSTO!A28)</f>
        <v>1130103</v>
      </c>
      <c r="B28" s="605" t="str">
        <f>+IF(AGOSTO!B28=0,"",AGOSTO!B28)</f>
        <v>SUBSIDIO A LA OFERTA- ATENCION PERSONAS POBRES NO CUBIERTOS CON SUBSIDIO A LA DEMANDA</v>
      </c>
      <c r="C28" s="43">
        <f>C29+C32+C35+C38+C39+C40</f>
        <v>8952361140</v>
      </c>
      <c r="D28" s="44">
        <f>+D29+D32+D35+D38+D39+D40</f>
        <v>0</v>
      </c>
      <c r="E28" s="44">
        <f>+E29+E32+E35+E38+E39+E40</f>
        <v>2802589107</v>
      </c>
      <c r="F28" s="44">
        <f>+F29+F32+F35+F38+F39+F40</f>
        <v>11754950247</v>
      </c>
      <c r="G28" s="44">
        <f t="shared" ref="G28:N28" si="30">G29+G32+G35+G38+G39+G40</f>
        <v>11824931357</v>
      </c>
      <c r="H28" s="44">
        <f t="shared" si="30"/>
        <v>1882342849</v>
      </c>
      <c r="I28" s="835">
        <f t="shared" si="30"/>
        <v>13707274206</v>
      </c>
      <c r="J28" s="44">
        <f t="shared" si="30"/>
        <v>4543922792</v>
      </c>
      <c r="K28" s="44">
        <f t="shared" si="30"/>
        <v>876235251</v>
      </c>
      <c r="L28" s="835">
        <f t="shared" si="30"/>
        <v>5420158043</v>
      </c>
      <c r="M28" s="44">
        <f t="shared" si="30"/>
        <v>-1952323959</v>
      </c>
      <c r="N28" s="45">
        <f t="shared" si="30"/>
        <v>6334792204</v>
      </c>
      <c r="O28" s="372"/>
      <c r="P28" s="43">
        <f>P29+P32+P35+P38+P39+P940</f>
        <v>0</v>
      </c>
      <c r="Q28" s="45">
        <f>Q29+Q32+Q35+Q38+Q39+Q40</f>
        <v>0</v>
      </c>
      <c r="R28" s="9"/>
      <c r="S28" s="689" t="str">
        <f>+IF(AGOSTO!S28=0,"",AGOSTO!S28)</f>
        <v>1010104-8</v>
      </c>
      <c r="T28" s="665" t="str">
        <f>+IF(AGOSTO!T28=0,"",AGOSTO!T28)</f>
        <v>Indemnizaciones por Vacaciones o Supresión de Cargos por Reestructuración</v>
      </c>
      <c r="U28" s="27">
        <f>+ENERO!U28</f>
        <v>0</v>
      </c>
      <c r="V28" s="15">
        <f>AGOSTO!V28+SEPTIEMBRE!AL28</f>
        <v>0</v>
      </c>
      <c r="W28" s="15">
        <f>AGOSTO!W28+SEPTIEMBRE!AM28</f>
        <v>0</v>
      </c>
      <c r="X28" s="18">
        <f t="shared" si="17"/>
        <v>0</v>
      </c>
      <c r="Y28" s="19">
        <f>AGOSTO!AA28</f>
        <v>0</v>
      </c>
      <c r="Z28" s="364">
        <v>0</v>
      </c>
      <c r="AA28" s="18">
        <f t="shared" si="18"/>
        <v>0</v>
      </c>
      <c r="AB28" s="19">
        <f>AGOSTO!AD28</f>
        <v>0</v>
      </c>
      <c r="AC28" s="364">
        <v>0</v>
      </c>
      <c r="AD28" s="18">
        <f t="shared" si="19"/>
        <v>0</v>
      </c>
      <c r="AE28" s="19">
        <f>AGOSTO!AG28</f>
        <v>0</v>
      </c>
      <c r="AF28" s="364">
        <v>0</v>
      </c>
      <c r="AG28" s="18">
        <f t="shared" si="20"/>
        <v>0</v>
      </c>
      <c r="AH28" s="19">
        <f t="shared" si="21"/>
        <v>0</v>
      </c>
      <c r="AI28" s="15">
        <f t="shared" si="22"/>
        <v>0</v>
      </c>
      <c r="AJ28" s="16">
        <f t="shared" si="23"/>
        <v>0</v>
      </c>
      <c r="AK28" s="9"/>
      <c r="AL28" s="362">
        <v>0</v>
      </c>
      <c r="AM28" s="365">
        <v>0</v>
      </c>
      <c r="AN28" s="9"/>
      <c r="AO28" s="339"/>
      <c r="AP28" s="777" t="s">
        <v>566</v>
      </c>
      <c r="AQ28" s="363">
        <f>X195</f>
        <v>24427541283</v>
      </c>
      <c r="AR28" s="363">
        <f>AD195</f>
        <v>21509003661</v>
      </c>
      <c r="AS28" s="363">
        <f>AG195</f>
        <v>14166034697</v>
      </c>
      <c r="AT28" s="421"/>
      <c r="AU28" s="363">
        <f t="shared" si="25"/>
        <v>0.88052266136047364</v>
      </c>
      <c r="AV28" s="363">
        <f t="shared" si="26"/>
        <v>0.57992061226639502</v>
      </c>
      <c r="AW28" s="363">
        <f>(AR28-AD207)/$AO$2*12+AD207</f>
        <v>26409422379.666668</v>
      </c>
      <c r="AX28" s="363">
        <f>(AS28-AG207)/$AO$2*12+AG207</f>
        <v>16618797094.333334</v>
      </c>
      <c r="AY28" s="363">
        <f t="shared" si="27"/>
        <v>1981881096.6666679</v>
      </c>
      <c r="AZ28" s="143">
        <f t="shared" si="28"/>
        <v>7808744188.666666</v>
      </c>
      <c r="BA28" s="372"/>
      <c r="BB28" s="372"/>
      <c r="BC28" s="372"/>
      <c r="BD28" s="372"/>
      <c r="BE28" s="372"/>
      <c r="BF28" s="372"/>
      <c r="BG28" s="372"/>
      <c r="BH28" s="372"/>
      <c r="BI28" s="372"/>
      <c r="BJ28" s="372"/>
      <c r="BK28" s="372"/>
      <c r="BL28" s="372"/>
      <c r="BM28" s="71" t="s">
        <v>433</v>
      </c>
      <c r="BN28" s="83">
        <f>+X196-X198-X207</f>
        <v>10267444359</v>
      </c>
      <c r="BO28" s="81">
        <f>+AA196-AA198-AA207</f>
        <v>9819804312</v>
      </c>
      <c r="BP28" s="81">
        <f>+AD196-AD198-AD207</f>
        <v>8277283939</v>
      </c>
      <c r="BQ28" s="82">
        <f>+AF196-AF198-AF207</f>
        <v>434707793</v>
      </c>
      <c r="BR28" s="9"/>
    </row>
    <row r="29" spans="1:70" s="9" customFormat="1" ht="24.95" customHeight="1">
      <c r="A29" s="593" t="str">
        <f>+IF(AGOSTO!A29=0,"",AGOSTO!A29)</f>
        <v>1130103-1</v>
      </c>
      <c r="B29" s="630" t="str">
        <f>+IF(AGOSTO!B29=0,"",AGOSTO!B29)</f>
        <v>Prestación de Servicios de salud  1er Nivel</v>
      </c>
      <c r="C29" s="19">
        <f t="shared" ref="C29:N29" si="31">SUM(C30:C31)</f>
        <v>0</v>
      </c>
      <c r="D29" s="15">
        <f t="shared" si="31"/>
        <v>0</v>
      </c>
      <c r="E29" s="15">
        <f t="shared" si="31"/>
        <v>0</v>
      </c>
      <c r="F29" s="15">
        <f t="shared" si="31"/>
        <v>0</v>
      </c>
      <c r="G29" s="15">
        <f t="shared" si="31"/>
        <v>0</v>
      </c>
      <c r="H29" s="15">
        <f t="shared" si="31"/>
        <v>0</v>
      </c>
      <c r="I29" s="822">
        <f t="shared" si="31"/>
        <v>0</v>
      </c>
      <c r="J29" s="15">
        <f t="shared" si="31"/>
        <v>0</v>
      </c>
      <c r="K29" s="15">
        <f t="shared" si="31"/>
        <v>0</v>
      </c>
      <c r="L29" s="822">
        <f t="shared" si="31"/>
        <v>0</v>
      </c>
      <c r="M29" s="15">
        <f t="shared" si="31"/>
        <v>0</v>
      </c>
      <c r="N29" s="16">
        <f t="shared" si="31"/>
        <v>0</v>
      </c>
      <c r="O29" s="372"/>
      <c r="P29" s="144">
        <f>SUM(P30:P31)</f>
        <v>0</v>
      </c>
      <c r="Q29" s="145">
        <f>SUM(Q30:Q31)</f>
        <v>0</v>
      </c>
      <c r="S29" s="689" t="str">
        <f>+IF(AGOSTO!S29=0,"",AGOSTO!S29)</f>
        <v>1010104-9</v>
      </c>
      <c r="T29" s="665" t="str">
        <f>+IF(AGOSTO!T29=0,"",AGOSTO!T29)</f>
        <v>Bonificación Especial por Recreación</v>
      </c>
      <c r="U29" s="27">
        <f>+ENERO!U29</f>
        <v>8443869</v>
      </c>
      <c r="V29" s="15">
        <f>AGOSTO!V29+SEPTIEMBRE!AL29</f>
        <v>0</v>
      </c>
      <c r="W29" s="15">
        <f>AGOSTO!W29+SEPTIEMBRE!AM29</f>
        <v>0</v>
      </c>
      <c r="X29" s="18">
        <f t="shared" si="17"/>
        <v>8443869</v>
      </c>
      <c r="Y29" s="19">
        <f>AGOSTO!AA29</f>
        <v>3827684</v>
      </c>
      <c r="Z29" s="364">
        <v>135027</v>
      </c>
      <c r="AA29" s="18">
        <f t="shared" si="18"/>
        <v>3962711</v>
      </c>
      <c r="AB29" s="19">
        <f>AGOSTO!AD29</f>
        <v>3827684</v>
      </c>
      <c r="AC29" s="364">
        <v>135027</v>
      </c>
      <c r="AD29" s="18">
        <f t="shared" si="19"/>
        <v>3962711</v>
      </c>
      <c r="AE29" s="19">
        <f>AGOSTO!AG29</f>
        <v>3827684</v>
      </c>
      <c r="AF29" s="364">
        <v>135027</v>
      </c>
      <c r="AG29" s="18">
        <f t="shared" si="20"/>
        <v>3962711</v>
      </c>
      <c r="AH29" s="19">
        <f t="shared" si="21"/>
        <v>4481158</v>
      </c>
      <c r="AI29" s="15">
        <f t="shared" si="22"/>
        <v>4481158</v>
      </c>
      <c r="AJ29" s="16">
        <f t="shared" si="23"/>
        <v>4481158</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26829618396</v>
      </c>
      <c r="BO29" s="107">
        <f>AA232-AA256-AA241</f>
        <v>19800822194</v>
      </c>
      <c r="BP29" s="107">
        <f>AD232-AD256-AD241</f>
        <v>12672741105</v>
      </c>
      <c r="BQ29" s="108">
        <f>AF232-AF256-AF241</f>
        <v>405519828</v>
      </c>
      <c r="BR29" s="372"/>
    </row>
    <row r="30" spans="1:70" s="412" customFormat="1" ht="24.95" customHeight="1">
      <c r="A30" s="593" t="str">
        <f>+IF(AGOSTO!A30=0,"",AGOSTO!A30)</f>
        <v>1130103-1-1</v>
      </c>
      <c r="B30" s="629" t="str">
        <f>+CONCATENATE("Vigencia ",INSTRUCCIONES!$F$3)</f>
        <v>Vigencia 2019</v>
      </c>
      <c r="C30" s="655">
        <f>+ENERO!C30</f>
        <v>0</v>
      </c>
      <c r="D30" s="363">
        <f>AGOSTO!D30+SEPTIEMBRE!P30</f>
        <v>0</v>
      </c>
      <c r="E30" s="363">
        <f>AGOSTO!E30+SEPTIEMBRE!Q30</f>
        <v>0</v>
      </c>
      <c r="F30" s="363">
        <f>SUM(C30:E30)</f>
        <v>0</v>
      </c>
      <c r="G30" s="363">
        <f>AGOSTO!I30</f>
        <v>0</v>
      </c>
      <c r="H30" s="364">
        <v>0</v>
      </c>
      <c r="I30" s="454">
        <f>SUM(G30:H30)</f>
        <v>0</v>
      </c>
      <c r="J30" s="363">
        <f>AGOSTO!L30</f>
        <v>0</v>
      </c>
      <c r="K30" s="364">
        <v>0</v>
      </c>
      <c r="L30" s="454">
        <f>SUM(J30:K30)</f>
        <v>0</v>
      </c>
      <c r="M30" s="363">
        <f>F30-I30</f>
        <v>0</v>
      </c>
      <c r="N30" s="143">
        <f>F30-L30</f>
        <v>0</v>
      </c>
      <c r="O30" s="9"/>
      <c r="P30" s="362">
        <v>0</v>
      </c>
      <c r="Q30" s="365">
        <v>0</v>
      </c>
      <c r="R30" s="9"/>
      <c r="S30" s="689" t="str">
        <f>+IF(AGOSTO!S30=0,"",AGOSTO!S30)</f>
        <v>1010104-10</v>
      </c>
      <c r="T30" s="665" t="str">
        <f>+IF(AGOSTO!T30=0,"",AGOSTO!T30)</f>
        <v>Gastos de Representación</v>
      </c>
      <c r="U30" s="27">
        <f>+ENERO!U30</f>
        <v>0</v>
      </c>
      <c r="V30" s="15">
        <f>AGOSTO!V30+SEPTIEMBRE!AL30</f>
        <v>0</v>
      </c>
      <c r="W30" s="15">
        <f>AGOSTO!W30+SEPTIEMBRE!AM30</f>
        <v>0</v>
      </c>
      <c r="X30" s="18">
        <f t="shared" si="17"/>
        <v>0</v>
      </c>
      <c r="Y30" s="19">
        <f>AGOSTO!AA30</f>
        <v>0</v>
      </c>
      <c r="Z30" s="364">
        <v>0</v>
      </c>
      <c r="AA30" s="18">
        <f t="shared" si="18"/>
        <v>0</v>
      </c>
      <c r="AB30" s="19">
        <f>AGOSTO!AD30</f>
        <v>0</v>
      </c>
      <c r="AC30" s="364">
        <v>0</v>
      </c>
      <c r="AD30" s="18">
        <f t="shared" si="19"/>
        <v>0</v>
      </c>
      <c r="AE30" s="19">
        <f>AGOSTO!AG30</f>
        <v>0</v>
      </c>
      <c r="AF30" s="364">
        <v>0</v>
      </c>
      <c r="AG30" s="18">
        <f t="shared" si="20"/>
        <v>0</v>
      </c>
      <c r="AH30" s="19">
        <f t="shared" si="21"/>
        <v>0</v>
      </c>
      <c r="AI30" s="15">
        <f t="shared" si="22"/>
        <v>0</v>
      </c>
      <c r="AJ30" s="16">
        <f t="shared" si="23"/>
        <v>0</v>
      </c>
      <c r="AK30" s="9"/>
      <c r="AL30" s="362">
        <v>0</v>
      </c>
      <c r="AM30" s="365">
        <v>0</v>
      </c>
      <c r="AN30" s="9"/>
      <c r="AO30" s="360" t="s">
        <v>51</v>
      </c>
      <c r="AP30" s="428" t="s">
        <v>130</v>
      </c>
      <c r="AQ30" s="363">
        <f>X220+X232</f>
        <v>32627598343</v>
      </c>
      <c r="AR30" s="363">
        <f>AD220+AD232</f>
        <v>15805495199</v>
      </c>
      <c r="AS30" s="363">
        <f>AG220+AG232</f>
        <v>12848655081</v>
      </c>
      <c r="AT30" s="421"/>
      <c r="AU30" s="363">
        <f t="shared" si="25"/>
        <v>0.48442104235940331</v>
      </c>
      <c r="AV30" s="363">
        <f t="shared" si="26"/>
        <v>0.39379714516304815</v>
      </c>
      <c r="AW30" s="363">
        <f>(AR30-AD225-AD230-AD241-AD256)/$AO$2*12+AD225+AD230+AD241+AD256</f>
        <v>20105373078</v>
      </c>
      <c r="AX30" s="363">
        <f>(AS30-AG225-AG230-AG241-AG256)/$AO$2*12+AG225+AG230+AG241+AG256</f>
        <v>16658789561</v>
      </c>
      <c r="AY30" s="363">
        <f t="shared" si="27"/>
        <v>-12522225265</v>
      </c>
      <c r="AZ30" s="143">
        <f t="shared" si="28"/>
        <v>15968808782</v>
      </c>
      <c r="BA30" s="372"/>
      <c r="BG30" s="372"/>
      <c r="BH30" s="372"/>
      <c r="BI30" s="372"/>
      <c r="BJ30" s="372"/>
      <c r="BK30" s="372"/>
      <c r="BL30" s="372"/>
      <c r="BM30" s="110" t="s">
        <v>74</v>
      </c>
      <c r="BN30" s="106">
        <f>X220-X225-X230</f>
        <v>262344980</v>
      </c>
      <c r="BO30" s="107">
        <f>AA220-AA225-AA230</f>
        <v>226892532</v>
      </c>
      <c r="BP30" s="107">
        <f>AD220-AD225-AD230</f>
        <v>226892532</v>
      </c>
      <c r="BQ30" s="108">
        <f>AF220-AF225-AF230</f>
        <v>25261251</v>
      </c>
      <c r="BR30" s="372"/>
    </row>
    <row r="31" spans="1:70" s="412" customFormat="1" ht="24.95" customHeight="1">
      <c r="A31" s="593" t="str">
        <f>+IF(AGOSTO!A31=0,"",AGOSTO!A31)</f>
        <v>1130103-1-2</v>
      </c>
      <c r="B31" s="629" t="str">
        <f>+IF(AGOSTO!B31=0,"",AGOSTO!B31)</f>
        <v>Vigencia Anterior</v>
      </c>
      <c r="C31" s="655">
        <f>+ENERO!C31</f>
        <v>0</v>
      </c>
      <c r="D31" s="363">
        <f>AGOSTO!D31+SEPTIEMBRE!P31</f>
        <v>0</v>
      </c>
      <c r="E31" s="363">
        <f>AGOSTO!E31+SEPTIEMBRE!Q31</f>
        <v>0</v>
      </c>
      <c r="F31" s="363">
        <f>SUM(C31:E31)</f>
        <v>0</v>
      </c>
      <c r="G31" s="363">
        <f>AGOSTO!I31</f>
        <v>0</v>
      </c>
      <c r="H31" s="364">
        <v>0</v>
      </c>
      <c r="I31" s="454">
        <f>SUM(G31:H31)</f>
        <v>0</v>
      </c>
      <c r="J31" s="363">
        <f>AGOSTO!L31</f>
        <v>0</v>
      </c>
      <c r="K31" s="364">
        <v>0</v>
      </c>
      <c r="L31" s="454">
        <f>SUM(J31:K31)</f>
        <v>0</v>
      </c>
      <c r="M31" s="363">
        <f>F31-I31</f>
        <v>0</v>
      </c>
      <c r="N31" s="143">
        <f>F31-L31</f>
        <v>0</v>
      </c>
      <c r="O31" s="372"/>
      <c r="P31" s="362">
        <v>0</v>
      </c>
      <c r="Q31" s="365">
        <v>0</v>
      </c>
      <c r="R31" s="9"/>
      <c r="S31" s="689" t="str">
        <f>+IF(AGOSTO!S31=0,"",AGOSTO!S31)</f>
        <v>1010104-11</v>
      </c>
      <c r="T31" s="665" t="str">
        <f>+IF(AGOSTO!T31=0,"",AGOSTO!T31)</f>
        <v/>
      </c>
      <c r="U31" s="27">
        <f>+ENERO!U31</f>
        <v>0</v>
      </c>
      <c r="V31" s="15">
        <f>AGOSTO!V31+SEPTIEMBRE!AL31</f>
        <v>0</v>
      </c>
      <c r="W31" s="15">
        <f>AGOSTO!W31+SEPTIEMBRE!AM31</f>
        <v>0</v>
      </c>
      <c r="X31" s="18">
        <f t="shared" si="17"/>
        <v>0</v>
      </c>
      <c r="Y31" s="19">
        <f>AGOSTO!AA31</f>
        <v>0</v>
      </c>
      <c r="Z31" s="364">
        <v>0</v>
      </c>
      <c r="AA31" s="18">
        <f t="shared" si="18"/>
        <v>0</v>
      </c>
      <c r="AB31" s="19">
        <f>AGOSTO!AD31</f>
        <v>0</v>
      </c>
      <c r="AC31" s="364">
        <v>0</v>
      </c>
      <c r="AD31" s="18">
        <f t="shared" si="19"/>
        <v>0</v>
      </c>
      <c r="AE31" s="19">
        <f>AGOSTO!AG31</f>
        <v>0</v>
      </c>
      <c r="AF31" s="364">
        <v>0</v>
      </c>
      <c r="AG31" s="18">
        <f t="shared" si="20"/>
        <v>0</v>
      </c>
      <c r="AH31" s="19">
        <f t="shared" si="21"/>
        <v>0</v>
      </c>
      <c r="AI31" s="15">
        <f t="shared" si="22"/>
        <v>0</v>
      </c>
      <c r="AJ31" s="16">
        <f t="shared" si="23"/>
        <v>0</v>
      </c>
      <c r="AK31" s="9"/>
      <c r="AL31" s="362">
        <v>0</v>
      </c>
      <c r="AM31" s="365">
        <v>0</v>
      </c>
      <c r="AN31" s="9"/>
      <c r="AO31" s="339"/>
      <c r="AP31" s="405" t="s">
        <v>133</v>
      </c>
      <c r="AQ31" s="421">
        <f>X258</f>
        <v>0</v>
      </c>
      <c r="AR31" s="421">
        <f>AD258</f>
        <v>-7615143416.2399979</v>
      </c>
      <c r="AS31" s="421">
        <f>AG258</f>
        <v>-54928363449</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20421150564</v>
      </c>
      <c r="BO31" s="107">
        <f>AA33+AA41+AA55+AA61+AA81+AA88+AA102+AA108+AA121+AA139+AA143+AA153+AA168+AA174+AA183+AA191+AA207+AA218+AA230+AA241+AA256+AA225</f>
        <v>20112006618</v>
      </c>
      <c r="BP31" s="107">
        <f>AD33+AD41+AD55+AD61+AD81+AD88+AD102+AD108+AD121+AD139+AD143+AD153+AD168+AD174+AD183+AD191+AD207+AD218+AD230+AD241+AD256+AD225</f>
        <v>17606203963</v>
      </c>
      <c r="BQ31" s="108">
        <f>AF33+AF41+AF55+AF61+AF81+AF88+AF102+AF108+AF121+AF139+AF143+AF153+AF168+AF174+AF183+AF191+AF207+AF218+AF230+AF241+AF256+AF225</f>
        <v>922121196</v>
      </c>
      <c r="BR31" s="9"/>
    </row>
    <row r="32" spans="1:70" s="9" customFormat="1" ht="24.95" customHeight="1" thickBot="1">
      <c r="A32" s="593" t="str">
        <f>+IF(AGOSTO!A32=0,"",AGOSTO!A32)</f>
        <v>1130103-2</v>
      </c>
      <c r="B32" s="630" t="str">
        <f>+IF(AGOSTO!B32=0,"",AGOSTO!B32)</f>
        <v>Prestación de Servicios de salud  2o. Nivel</v>
      </c>
      <c r="C32" s="19">
        <f t="shared" ref="C32:N32" si="32">SUM(C33:C34)</f>
        <v>0</v>
      </c>
      <c r="D32" s="15">
        <f t="shared" si="32"/>
        <v>0</v>
      </c>
      <c r="E32" s="15">
        <f t="shared" si="32"/>
        <v>0</v>
      </c>
      <c r="F32" s="15">
        <f t="shared" si="32"/>
        <v>0</v>
      </c>
      <c r="G32" s="15">
        <f t="shared" si="32"/>
        <v>0</v>
      </c>
      <c r="H32" s="15">
        <f t="shared" si="32"/>
        <v>0</v>
      </c>
      <c r="I32" s="822">
        <f t="shared" si="32"/>
        <v>0</v>
      </c>
      <c r="J32" s="15">
        <f t="shared" si="32"/>
        <v>0</v>
      </c>
      <c r="K32" s="15">
        <f t="shared" si="32"/>
        <v>0</v>
      </c>
      <c r="L32" s="822">
        <f t="shared" si="32"/>
        <v>0</v>
      </c>
      <c r="M32" s="15">
        <f t="shared" si="32"/>
        <v>0</v>
      </c>
      <c r="N32" s="16">
        <f t="shared" si="32"/>
        <v>0</v>
      </c>
      <c r="O32" s="372"/>
      <c r="P32" s="144">
        <f>SUM(P33:P34)</f>
        <v>0</v>
      </c>
      <c r="Q32" s="145">
        <f>SUM(Q33:Q34)</f>
        <v>0</v>
      </c>
      <c r="S32" s="689" t="str">
        <f>+IF(AGOSTO!S32=0,"",AGOSTO!S32)</f>
        <v>1010104-12</v>
      </c>
      <c r="T32" s="665" t="str">
        <f>+IF(AGOSTO!T32=0,"",AGOSTO!T32)</f>
        <v/>
      </c>
      <c r="U32" s="27">
        <f>+ENERO!U32</f>
        <v>0</v>
      </c>
      <c r="V32" s="15">
        <f>AGOSTO!V32+SEPTIEMBRE!AL32</f>
        <v>0</v>
      </c>
      <c r="W32" s="15">
        <f>AGOSTO!W32+SEPTIEMBRE!AM32</f>
        <v>0</v>
      </c>
      <c r="X32" s="18">
        <f t="shared" si="17"/>
        <v>0</v>
      </c>
      <c r="Y32" s="19">
        <f>AGOSTO!AA32</f>
        <v>0</v>
      </c>
      <c r="Z32" s="364">
        <v>0</v>
      </c>
      <c r="AA32" s="18">
        <f t="shared" si="18"/>
        <v>0</v>
      </c>
      <c r="AB32" s="19">
        <f>AGOSTO!AD32</f>
        <v>0</v>
      </c>
      <c r="AC32" s="364">
        <v>0</v>
      </c>
      <c r="AD32" s="18">
        <f t="shared" si="19"/>
        <v>0</v>
      </c>
      <c r="AE32" s="19">
        <f>AGOSTO!AG32</f>
        <v>0</v>
      </c>
      <c r="AF32" s="364">
        <v>0</v>
      </c>
      <c r="AG32" s="18">
        <f t="shared" si="20"/>
        <v>0</v>
      </c>
      <c r="AH32" s="19">
        <f t="shared" si="21"/>
        <v>0</v>
      </c>
      <c r="AI32" s="15">
        <f t="shared" si="22"/>
        <v>0</v>
      </c>
      <c r="AJ32" s="16">
        <f t="shared" si="23"/>
        <v>0</v>
      </c>
      <c r="AL32" s="362">
        <v>0</v>
      </c>
      <c r="AM32" s="365">
        <v>0</v>
      </c>
      <c r="AO32" s="21"/>
      <c r="AP32" s="430" t="s">
        <v>138</v>
      </c>
      <c r="AQ32" s="385">
        <f>SUM(AQ22:AQ31)</f>
        <v>106163265160</v>
      </c>
      <c r="AR32" s="385">
        <f>SUM(AR22:AR31)</f>
        <v>66352423462.760002</v>
      </c>
      <c r="AS32" s="385">
        <f>SUM(AS22:AS31)</f>
        <v>0</v>
      </c>
      <c r="AT32" s="431"/>
      <c r="AU32" s="432">
        <f t="shared" si="25"/>
        <v>0.62500360518075082</v>
      </c>
      <c r="AV32" s="432">
        <f t="shared" si="26"/>
        <v>0</v>
      </c>
      <c r="AW32" s="341">
        <f>SUM(AW22:AW31)</f>
        <v>93195940855.833344</v>
      </c>
      <c r="AX32" s="341">
        <f>SUM(AX22:AX31)</f>
        <v>68307742937.833336</v>
      </c>
      <c r="AY32" s="341">
        <f>SUM(AY22:AY31)</f>
        <v>-12967324304.166664</v>
      </c>
      <c r="AZ32" s="342">
        <f>SUM(AZ22:AZ31)</f>
        <v>37855522222.166664</v>
      </c>
      <c r="BA32" s="372"/>
      <c r="BB32" s="412"/>
      <c r="BC32" s="412"/>
      <c r="BD32" s="412"/>
      <c r="BE32" s="412"/>
      <c r="BF32" s="412"/>
      <c r="BG32" s="372"/>
      <c r="BH32" s="372"/>
      <c r="BI32" s="372"/>
      <c r="BJ32" s="372"/>
      <c r="BK32" s="372"/>
      <c r="BM32" s="110" t="s">
        <v>134</v>
      </c>
      <c r="BN32" s="106">
        <f>+BN7+BN25+BN29+BN30+BN31</f>
        <v>106163265160</v>
      </c>
      <c r="BO32" s="107">
        <f>+BO7+BO25+BO29+BO30+BO31</f>
        <v>93093702219</v>
      </c>
      <c r="BP32" s="107">
        <f>+BP7+BP25+BP29+BP30+BP31</f>
        <v>73967566879</v>
      </c>
      <c r="BQ32" s="108">
        <f>+BQ7+BQ25+BQ29+BQ30+BQ31</f>
        <v>5441901547</v>
      </c>
      <c r="BR32" s="372"/>
    </row>
    <row r="33" spans="1:70" s="412" customFormat="1" ht="24.95" customHeight="1" thickBot="1">
      <c r="A33" s="593" t="str">
        <f>+IF(AGOSTO!A33=0,"",AGOSTO!A33)</f>
        <v>1130103-2-1</v>
      </c>
      <c r="B33" s="629" t="str">
        <f>+CONCATENATE("Vigencia ",INSTRUCCIONES!$F$3)</f>
        <v>Vigencia 2019</v>
      </c>
      <c r="C33" s="655">
        <f>+ENERO!C33</f>
        <v>0</v>
      </c>
      <c r="D33" s="363">
        <f>AGOSTO!D33+SEPTIEMBRE!P33</f>
        <v>0</v>
      </c>
      <c r="E33" s="363">
        <f>AGOSTO!E33+SEPTIEMBRE!Q33</f>
        <v>0</v>
      </c>
      <c r="F33" s="363">
        <f>SUM(C33:E33)</f>
        <v>0</v>
      </c>
      <c r="G33" s="363">
        <f>AGOSTO!I33</f>
        <v>0</v>
      </c>
      <c r="H33" s="364">
        <v>0</v>
      </c>
      <c r="I33" s="454">
        <f>SUM(G33:H33)</f>
        <v>0</v>
      </c>
      <c r="J33" s="363">
        <f>AGOSTO!L33</f>
        <v>0</v>
      </c>
      <c r="K33" s="364">
        <v>0</v>
      </c>
      <c r="L33" s="454">
        <f>SUM(J33:K33)</f>
        <v>0</v>
      </c>
      <c r="M33" s="363">
        <f>F33-I33</f>
        <v>0</v>
      </c>
      <c r="N33" s="143">
        <f>F33-L33</f>
        <v>0</v>
      </c>
      <c r="O33" s="9"/>
      <c r="P33" s="362">
        <v>0</v>
      </c>
      <c r="Q33" s="365">
        <v>0</v>
      </c>
      <c r="R33" s="9"/>
      <c r="S33" s="688">
        <f>+IF(AGOSTO!S33=0,"",AGOSTO!S33)</f>
        <v>1010199</v>
      </c>
      <c r="T33" s="664" t="str">
        <f>+IF(AGOSTO!T33=0,"",AGOSTO!T33)</f>
        <v>Vigencias Anteriores</v>
      </c>
      <c r="U33" s="27">
        <f>+ENERO!U33</f>
        <v>0</v>
      </c>
      <c r="V33" s="15">
        <f>AGOSTO!V33+SEPTIEMBRE!AL33</f>
        <v>-120000000</v>
      </c>
      <c r="W33" s="15">
        <f>AGOSTO!W33+SEPTIEMBRE!AM33</f>
        <v>120000000</v>
      </c>
      <c r="X33" s="18">
        <f t="shared" si="17"/>
        <v>0</v>
      </c>
      <c r="Y33" s="19">
        <f>AGOSTO!AA33</f>
        <v>0</v>
      </c>
      <c r="Z33" s="364">
        <v>0</v>
      </c>
      <c r="AA33" s="18">
        <f t="shared" si="18"/>
        <v>0</v>
      </c>
      <c r="AB33" s="19">
        <f>AGOSTO!AD33</f>
        <v>0</v>
      </c>
      <c r="AC33" s="364">
        <v>0</v>
      </c>
      <c r="AD33" s="18">
        <f t="shared" si="19"/>
        <v>0</v>
      </c>
      <c r="AE33" s="19">
        <f>AGOSTO!AG33</f>
        <v>0</v>
      </c>
      <c r="AF33" s="364">
        <v>0</v>
      </c>
      <c r="AG33" s="1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-635968427</v>
      </c>
      <c r="BP33" s="113">
        <f>AD258</f>
        <v>-7615143416.2399979</v>
      </c>
      <c r="BQ33" s="114">
        <f>AF258</f>
        <v>34368940150.240005</v>
      </c>
      <c r="BR33" s="372"/>
    </row>
    <row r="34" spans="1:70" s="412" customFormat="1" ht="24.95" customHeight="1" thickBot="1">
      <c r="A34" s="593" t="str">
        <f>+IF(AGOSTO!A34=0,"",AGOSTO!A34)</f>
        <v>1130103-2-2</v>
      </c>
      <c r="B34" s="629" t="str">
        <f>+IF(AGOSTO!B34=0,"",AGOSTO!B34)</f>
        <v>Vigencia Anterior</v>
      </c>
      <c r="C34" s="655">
        <f>+ENERO!C34</f>
        <v>0</v>
      </c>
      <c r="D34" s="363">
        <f>AGOSTO!D34+SEPTIEMBRE!P34</f>
        <v>0</v>
      </c>
      <c r="E34" s="363">
        <f>AGOSTO!E34+SEPTIEMBRE!Q34</f>
        <v>0</v>
      </c>
      <c r="F34" s="363">
        <f>SUM(C34:E34)</f>
        <v>0</v>
      </c>
      <c r="G34" s="363">
        <f>AGOSTO!I34</f>
        <v>0</v>
      </c>
      <c r="H34" s="364">
        <v>0</v>
      </c>
      <c r="I34" s="454">
        <f>SUM(G34:H34)</f>
        <v>0</v>
      </c>
      <c r="J34" s="363">
        <f>AGOSTO!L34</f>
        <v>0</v>
      </c>
      <c r="K34" s="364">
        <v>0</v>
      </c>
      <c r="L34" s="454">
        <f>SUM(J34:K34)</f>
        <v>0</v>
      </c>
      <c r="M34" s="363">
        <f>F34-I34</f>
        <v>0</v>
      </c>
      <c r="N34" s="143">
        <f>F34-L34</f>
        <v>0</v>
      </c>
      <c r="O34" s="372"/>
      <c r="P34" s="362">
        <v>0</v>
      </c>
      <c r="Q34" s="365">
        <v>0</v>
      </c>
      <c r="R34" s="9"/>
      <c r="S34" s="356" t="str">
        <f>+IF(AGOSTO!S34=0,"",AGOSTO!S34)</f>
        <v/>
      </c>
      <c r="T34" s="678" t="str">
        <f>+IF(AGOSTO!T34=0,"",AGOSTO!T34)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+IF(AGOSTO!A35=0,"",AGOSTO!A35)</f>
        <v>1130103-3</v>
      </c>
      <c r="B35" s="630" t="str">
        <f>+IF(AGOSTO!B35=0,"",AGOSTO!B35)</f>
        <v>Prestación de Servicios de salud  3o. Nivel</v>
      </c>
      <c r="C35" s="19">
        <f t="shared" ref="C35:N35" si="33">SUM(C36:C37)</f>
        <v>7627600802</v>
      </c>
      <c r="D35" s="15">
        <f t="shared" si="33"/>
        <v>0</v>
      </c>
      <c r="E35" s="15">
        <f t="shared" si="33"/>
        <v>2802589107</v>
      </c>
      <c r="F35" s="15">
        <f t="shared" si="33"/>
        <v>10430189909</v>
      </c>
      <c r="G35" s="15">
        <f t="shared" si="33"/>
        <v>11052154492</v>
      </c>
      <c r="H35" s="15">
        <f t="shared" si="33"/>
        <v>1771946154</v>
      </c>
      <c r="I35" s="822">
        <f t="shared" si="33"/>
        <v>12824100646</v>
      </c>
      <c r="J35" s="15">
        <f t="shared" si="33"/>
        <v>3771145927</v>
      </c>
      <c r="K35" s="15">
        <f t="shared" si="33"/>
        <v>765838556</v>
      </c>
      <c r="L35" s="822">
        <f t="shared" si="33"/>
        <v>4536984483</v>
      </c>
      <c r="M35" s="15">
        <f t="shared" si="33"/>
        <v>-2393910737</v>
      </c>
      <c r="N35" s="16">
        <f t="shared" si="33"/>
        <v>5893205426</v>
      </c>
      <c r="P35" s="144">
        <f>SUM(P36:P37)</f>
        <v>0</v>
      </c>
      <c r="Q35" s="145">
        <f>SUM(Q36:Q37)</f>
        <v>0</v>
      </c>
      <c r="R35" s="9"/>
      <c r="S35" s="687">
        <f>+IF(AGOSTO!S35=0,"",AGOSTO!S35)</f>
        <v>1010200</v>
      </c>
      <c r="T35" s="663" t="str">
        <f>+IF(AGOSTO!T35=0,"",AGOSTO!T35)</f>
        <v>Servicios Personales Indirectos</v>
      </c>
      <c r="U35" s="132">
        <f t="shared" ref="U35:AJ35" si="34">SUM(U36:U41)</f>
        <v>4253886796</v>
      </c>
      <c r="V35" s="122">
        <f t="shared" si="34"/>
        <v>190000000</v>
      </c>
      <c r="W35" s="122">
        <f t="shared" si="34"/>
        <v>150000000</v>
      </c>
      <c r="X35" s="129">
        <f t="shared" si="34"/>
        <v>4593886796</v>
      </c>
      <c r="Y35" s="128">
        <f t="shared" si="34"/>
        <v>4467647525</v>
      </c>
      <c r="Z35" s="122">
        <f t="shared" si="34"/>
        <v>9450000</v>
      </c>
      <c r="AA35" s="129">
        <f t="shared" si="34"/>
        <v>4477097525</v>
      </c>
      <c r="AB35" s="128">
        <f t="shared" si="34"/>
        <v>3310713871</v>
      </c>
      <c r="AC35" s="122">
        <f t="shared" si="34"/>
        <v>351295831</v>
      </c>
      <c r="AD35" s="129">
        <f t="shared" si="34"/>
        <v>3662009702</v>
      </c>
      <c r="AE35" s="128">
        <f t="shared" si="34"/>
        <v>2753581691</v>
      </c>
      <c r="AF35" s="122">
        <f t="shared" si="34"/>
        <v>386059942</v>
      </c>
      <c r="AG35" s="129">
        <f t="shared" si="34"/>
        <v>3139641633</v>
      </c>
      <c r="AH35" s="128">
        <f t="shared" si="34"/>
        <v>116789271</v>
      </c>
      <c r="AI35" s="122">
        <f t="shared" si="34"/>
        <v>931877094</v>
      </c>
      <c r="AJ35" s="130">
        <f t="shared" si="34"/>
        <v>1454245163</v>
      </c>
      <c r="AK35" s="9"/>
      <c r="AL35" s="128">
        <f>SUM(AL36:AL41)</f>
        <v>0</v>
      </c>
      <c r="AM35" s="130">
        <f>SUM(AM36:AM41)</f>
        <v>0</v>
      </c>
      <c r="AN35" s="9"/>
      <c r="AO35" s="339"/>
      <c r="AP35" s="440"/>
      <c r="AQ35" s="282"/>
      <c r="AR35" s="441"/>
      <c r="AS35" s="441"/>
      <c r="AT35" s="441"/>
      <c r="AU35" s="442">
        <f>AR17-AR32</f>
        <v>11180979375.239998</v>
      </c>
      <c r="AV35" s="443">
        <f>AS17-AR32</f>
        <v>-14867072047</v>
      </c>
      <c r="AW35" s="443" t="s">
        <v>151</v>
      </c>
      <c r="AX35" s="444"/>
      <c r="AY35" s="443">
        <f>AY17+AY32</f>
        <v>11135312641.833336</v>
      </c>
      <c r="AZ35" s="445">
        <f>AZ17+AY32</f>
        <v>-23671767797.049999</v>
      </c>
      <c r="BB35" s="412"/>
      <c r="BC35" s="412"/>
      <c r="BD35" s="412"/>
      <c r="BE35" s="412"/>
      <c r="BF35" s="412"/>
    </row>
    <row r="36" spans="1:70" s="372" customFormat="1" ht="24.95" customHeight="1" thickBot="1">
      <c r="A36" s="593" t="str">
        <f>+IF(AGOSTO!A36=0,"",AGOSTO!A36)</f>
        <v>1130103-3-1</v>
      </c>
      <c r="B36" s="629" t="str">
        <f>+CONCATENATE("Vigencia ",INSTRUCCIONES!$F$3)</f>
        <v>Vigencia 2019</v>
      </c>
      <c r="C36" s="655">
        <f>+ENERO!C36</f>
        <v>7627600802</v>
      </c>
      <c r="D36" s="363">
        <f>AGOSTO!D36+SEPTIEMBRE!P36</f>
        <v>0</v>
      </c>
      <c r="E36" s="363">
        <f>AGOSTO!E36+SEPTIEMBRE!Q36</f>
        <v>0</v>
      </c>
      <c r="F36" s="363">
        <f t="shared" ref="F36:F41" si="35">SUM(C36:E36)</f>
        <v>7627600802</v>
      </c>
      <c r="G36" s="363">
        <f>AGOSTO!I36</f>
        <v>7689899585</v>
      </c>
      <c r="H36" s="364">
        <v>1006293469</v>
      </c>
      <c r="I36" s="454">
        <f t="shared" ref="I36:I41" si="36">SUM(G36:H36)</f>
        <v>8696193054</v>
      </c>
      <c r="J36" s="363">
        <f>AGOSTO!L36</f>
        <v>408891020</v>
      </c>
      <c r="K36" s="364">
        <v>185871</v>
      </c>
      <c r="L36" s="454">
        <f t="shared" ref="L36:L41" si="37">SUM(J36:K36)</f>
        <v>409076891</v>
      </c>
      <c r="M36" s="363">
        <f t="shared" ref="M36:M41" si="38">F36-I36</f>
        <v>-1068592252</v>
      </c>
      <c r="N36" s="143">
        <f t="shared" ref="N36:N41" si="39">F36-L36</f>
        <v>7218523911</v>
      </c>
      <c r="O36" s="9"/>
      <c r="P36" s="362">
        <v>0</v>
      </c>
      <c r="Q36" s="365">
        <v>0</v>
      </c>
      <c r="R36" s="9"/>
      <c r="S36" s="688" t="str">
        <f>+IF(AGOSTO!S36=0,"",AGOSTO!S36)</f>
        <v>1010200-1</v>
      </c>
      <c r="T36" s="664" t="str">
        <f>+IF(AGOSTO!T36=0,"",AGOSTO!T36)</f>
        <v>Remuneración y Honorarios por Servicios Técnicos y Profesionales</v>
      </c>
      <c r="U36" s="27">
        <f>+ENERO!U36</f>
        <v>1270340000</v>
      </c>
      <c r="V36" s="15">
        <f>AGOSTO!V36+SEPTIEMBRE!AL36</f>
        <v>70000000</v>
      </c>
      <c r="W36" s="15">
        <f>AGOSTO!W36+SEPTIEMBRE!AM36</f>
        <v>100000000</v>
      </c>
      <c r="X36" s="18">
        <f t="shared" ref="X36:X41" si="40">SUM(U36:W36)</f>
        <v>1440340000</v>
      </c>
      <c r="Y36" s="19">
        <f>AGOSTO!AA36</f>
        <v>1400112234</v>
      </c>
      <c r="Z36" s="364">
        <v>9450000</v>
      </c>
      <c r="AA36" s="18">
        <f t="shared" ref="AA36:AA41" si="41">SUM(Y36:Z36)</f>
        <v>1409562234</v>
      </c>
      <c r="AB36" s="19">
        <f>AGOSTO!AD36</f>
        <v>934096741</v>
      </c>
      <c r="AC36" s="364">
        <v>100614493</v>
      </c>
      <c r="AD36" s="18">
        <f t="shared" ref="AD36:AD41" si="42">SUM(AB36:AC36)</f>
        <v>1034711234</v>
      </c>
      <c r="AE36" s="19">
        <f>AGOSTO!AG36</f>
        <v>876904960</v>
      </c>
      <c r="AF36" s="364">
        <v>134073701</v>
      </c>
      <c r="AG36" s="18">
        <f t="shared" ref="AG36:AG41" si="43">SUM(AE36:AF36)</f>
        <v>1010978661</v>
      </c>
      <c r="AH36" s="19">
        <f t="shared" ref="AH36:AH41" si="44">X36-AA36</f>
        <v>30777766</v>
      </c>
      <c r="AI36" s="15">
        <f t="shared" ref="AI36:AI41" si="45">X36-AD36</f>
        <v>405628766</v>
      </c>
      <c r="AJ36" s="16">
        <f t="shared" ref="AJ36:AJ41" si="46">X36-AG36</f>
        <v>429361339</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+IF(AGOSTO!A37=0,"",AGOSTO!A37)</f>
        <v>1130103-3-2</v>
      </c>
      <c r="B37" s="629" t="str">
        <f>+IF(AGOSTO!B37=0,"",AGOSTO!B37)</f>
        <v>Vigencia Anterior</v>
      </c>
      <c r="C37" s="655">
        <f>+ENERO!C37</f>
        <v>0</v>
      </c>
      <c r="D37" s="363">
        <f>AGOSTO!D37+SEPTIEMBRE!P37</f>
        <v>0</v>
      </c>
      <c r="E37" s="363">
        <f>AGOSTO!E37+SEPTIEMBRE!Q37</f>
        <v>2802589107</v>
      </c>
      <c r="F37" s="363">
        <f t="shared" si="35"/>
        <v>2802589107</v>
      </c>
      <c r="G37" s="363">
        <f>AGOSTO!I37</f>
        <v>3362254907</v>
      </c>
      <c r="H37" s="364">
        <v>765652685</v>
      </c>
      <c r="I37" s="454">
        <f t="shared" si="36"/>
        <v>4127907592</v>
      </c>
      <c r="J37" s="363">
        <f>AGOSTO!L37</f>
        <v>3362254907</v>
      </c>
      <c r="K37" s="364">
        <f>241332+765411353</f>
        <v>765652685</v>
      </c>
      <c r="L37" s="454">
        <f t="shared" si="37"/>
        <v>4127907592</v>
      </c>
      <c r="M37" s="363">
        <f t="shared" si="38"/>
        <v>-1325318485</v>
      </c>
      <c r="N37" s="841">
        <f t="shared" si="39"/>
        <v>-1325318485</v>
      </c>
      <c r="P37" s="362">
        <v>0</v>
      </c>
      <c r="Q37" s="365">
        <v>0</v>
      </c>
      <c r="R37" s="9"/>
      <c r="S37" s="688" t="str">
        <f>+IF(AGOSTO!S37=0,"",AGOSTO!S37)</f>
        <v>1010200-2</v>
      </c>
      <c r="T37" s="664" t="str">
        <f>+IF(AGOSTO!T37=0,"",AGOSTO!T37)</f>
        <v>Personal Supernumerario</v>
      </c>
      <c r="U37" s="27">
        <f>+ENERO!U37</f>
        <v>0</v>
      </c>
      <c r="V37" s="15">
        <f>AGOSTO!V37+SEPTIEMBRE!AL37</f>
        <v>0</v>
      </c>
      <c r="W37" s="15">
        <f>AGOSTO!W37+SEPTIEMBRE!AM37</f>
        <v>0</v>
      </c>
      <c r="X37" s="18">
        <f t="shared" si="40"/>
        <v>0</v>
      </c>
      <c r="Y37" s="19">
        <f>AGOSTO!AA37</f>
        <v>0</v>
      </c>
      <c r="Z37" s="364">
        <v>0</v>
      </c>
      <c r="AA37" s="18">
        <f t="shared" si="41"/>
        <v>0</v>
      </c>
      <c r="AB37" s="19">
        <f>AGOSTO!AD37</f>
        <v>0</v>
      </c>
      <c r="AC37" s="364">
        <v>0</v>
      </c>
      <c r="AD37" s="18">
        <f t="shared" si="42"/>
        <v>0</v>
      </c>
      <c r="AE37" s="19">
        <f>AGOSTO!AG37</f>
        <v>0</v>
      </c>
      <c r="AF37" s="364">
        <v>0</v>
      </c>
      <c r="AG37" s="18">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+IF(AGOSTO!A38=0,"",AGOSTO!A38)</f>
        <v>1130103-4</v>
      </c>
      <c r="B38" s="631" t="str">
        <f>+IF(AGOSTO!B38=0,"",AGOSTO!B38)</f>
        <v xml:space="preserve"> Aportes Patronales  1o. Nivel</v>
      </c>
      <c r="C38" s="655">
        <f>+ENERO!C38</f>
        <v>0</v>
      </c>
      <c r="D38" s="363">
        <f>AGOSTO!D38+SEPTIEMBRE!P38</f>
        <v>0</v>
      </c>
      <c r="E38" s="363">
        <f>AGOSTO!E38+SEPTIEMBRE!Q38</f>
        <v>0</v>
      </c>
      <c r="F38" s="363">
        <f t="shared" si="35"/>
        <v>0</v>
      </c>
      <c r="G38" s="363">
        <f>AGOSTO!I38</f>
        <v>0</v>
      </c>
      <c r="H38" s="364">
        <v>0</v>
      </c>
      <c r="I38" s="454">
        <f t="shared" si="36"/>
        <v>0</v>
      </c>
      <c r="J38" s="363">
        <f>AGOSTO!L38</f>
        <v>0</v>
      </c>
      <c r="K38" s="364">
        <v>0</v>
      </c>
      <c r="L38" s="454">
        <f t="shared" si="37"/>
        <v>0</v>
      </c>
      <c r="M38" s="363">
        <f t="shared" si="38"/>
        <v>0</v>
      </c>
      <c r="N38" s="143">
        <f t="shared" si="39"/>
        <v>0</v>
      </c>
      <c r="O38" s="515"/>
      <c r="P38" s="362">
        <v>0</v>
      </c>
      <c r="Q38" s="365">
        <v>0</v>
      </c>
      <c r="R38" s="9"/>
      <c r="S38" s="688" t="str">
        <f>+IF(AGOSTO!S38=0,"",AGOSTO!S38)</f>
        <v>1010200-3</v>
      </c>
      <c r="T38" s="664" t="str">
        <f>+IF(AGOSTO!T38=0,"",AGOSTO!T38)</f>
        <v>Honorarios de la Junta Directiva</v>
      </c>
      <c r="U38" s="27">
        <f>+ENERO!U38</f>
        <v>5000000</v>
      </c>
      <c r="V38" s="15">
        <f>AGOSTO!V38+SEPTIEMBRE!AL38</f>
        <v>0</v>
      </c>
      <c r="W38" s="15">
        <f>AGOSTO!W38+SEPTIEMBRE!AM38</f>
        <v>0</v>
      </c>
      <c r="X38" s="18">
        <f t="shared" si="40"/>
        <v>5000000</v>
      </c>
      <c r="Y38" s="19">
        <f>AGOSTO!AA38</f>
        <v>3312464</v>
      </c>
      <c r="Z38" s="364">
        <v>0</v>
      </c>
      <c r="AA38" s="18">
        <f t="shared" si="41"/>
        <v>3312464</v>
      </c>
      <c r="AB38" s="19">
        <f>AGOSTO!AD38</f>
        <v>3312464</v>
      </c>
      <c r="AC38" s="364">
        <v>0</v>
      </c>
      <c r="AD38" s="18">
        <f t="shared" si="42"/>
        <v>3312464</v>
      </c>
      <c r="AE38" s="19">
        <f>AGOSTO!AG38</f>
        <v>2898406</v>
      </c>
      <c r="AF38" s="364">
        <v>414058</v>
      </c>
      <c r="AG38" s="18">
        <f t="shared" si="43"/>
        <v>3312464</v>
      </c>
      <c r="AH38" s="19">
        <f t="shared" si="44"/>
        <v>1687536</v>
      </c>
      <c r="AI38" s="15">
        <f t="shared" si="45"/>
        <v>1687536</v>
      </c>
      <c r="AJ38" s="16">
        <f t="shared" si="46"/>
        <v>1687536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+IF(AGOSTO!A39=0,"",AGOSTO!A39)</f>
        <v>1130103-5</v>
      </c>
      <c r="B39" s="631" t="str">
        <f>+IF(AGOSTO!B39=0,"",AGOSTO!B39)</f>
        <v xml:space="preserve"> Aportes Patronales  2o. Nivel</v>
      </c>
      <c r="C39" s="655">
        <f>+ENERO!C39</f>
        <v>0</v>
      </c>
      <c r="D39" s="363">
        <f>AGOSTO!D39+SEPTIEMBRE!P39</f>
        <v>0</v>
      </c>
      <c r="E39" s="363">
        <f>AGOSTO!E39+SEPTIEMBRE!Q39</f>
        <v>0</v>
      </c>
      <c r="F39" s="363">
        <f t="shared" si="35"/>
        <v>0</v>
      </c>
      <c r="G39" s="363">
        <f>AGOSTO!I39</f>
        <v>0</v>
      </c>
      <c r="H39" s="364">
        <v>0</v>
      </c>
      <c r="I39" s="454">
        <f t="shared" si="36"/>
        <v>0</v>
      </c>
      <c r="J39" s="363">
        <f>AGOSTO!L39</f>
        <v>0</v>
      </c>
      <c r="K39" s="364">
        <v>0</v>
      </c>
      <c r="L39" s="454">
        <f t="shared" si="37"/>
        <v>0</v>
      </c>
      <c r="M39" s="363">
        <f t="shared" si="38"/>
        <v>0</v>
      </c>
      <c r="N39" s="143">
        <f t="shared" si="39"/>
        <v>0</v>
      </c>
      <c r="O39" s="515"/>
      <c r="P39" s="362">
        <v>0</v>
      </c>
      <c r="Q39" s="365">
        <v>0</v>
      </c>
      <c r="R39" s="9"/>
      <c r="S39" s="688" t="str">
        <f>+IF(AGOSTO!S39=0,"",AGOSTO!S39)</f>
        <v>1010200-4</v>
      </c>
      <c r="T39" s="664" t="str">
        <f>+IF(AGOSTO!T39=0,"",AGOSTO!T39)</f>
        <v>Otros Honorarios</v>
      </c>
      <c r="U39" s="27">
        <f>+ENERO!U39</f>
        <v>2589745841</v>
      </c>
      <c r="V39" s="15">
        <f>AGOSTO!V39+SEPTIEMBRE!AL39</f>
        <v>0</v>
      </c>
      <c r="W39" s="15">
        <f>AGOSTO!W39+SEPTIEMBRE!AM39</f>
        <v>50000000</v>
      </c>
      <c r="X39" s="18">
        <f t="shared" si="40"/>
        <v>2639745841</v>
      </c>
      <c r="Y39" s="19">
        <f>AGOSTO!AA39</f>
        <v>2589745626</v>
      </c>
      <c r="Z39" s="364">
        <v>0</v>
      </c>
      <c r="AA39" s="18">
        <f t="shared" si="41"/>
        <v>2589745626</v>
      </c>
      <c r="AB39" s="19">
        <f>AGOSTO!AD39</f>
        <v>1898827465</v>
      </c>
      <c r="AC39" s="364">
        <v>250681338</v>
      </c>
      <c r="AD39" s="18">
        <f t="shared" si="42"/>
        <v>2149508803</v>
      </c>
      <c r="AE39" s="19">
        <f>AGOSTO!AG39</f>
        <v>1399301124</v>
      </c>
      <c r="AF39" s="364">
        <v>251572183</v>
      </c>
      <c r="AG39" s="18">
        <f t="shared" si="43"/>
        <v>1650873307</v>
      </c>
      <c r="AH39" s="19">
        <f t="shared" si="44"/>
        <v>50000215</v>
      </c>
      <c r="AI39" s="15">
        <f t="shared" si="45"/>
        <v>490237038</v>
      </c>
      <c r="AJ39" s="16">
        <f t="shared" si="46"/>
        <v>988872534</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+IF(AGOSTO!A40=0,"",AGOSTO!A40)</f>
        <v>1130103-6</v>
      </c>
      <c r="B40" s="631" t="str">
        <f>+IF(AGOSTO!B40=0,"",AGOSTO!B40)</f>
        <v xml:space="preserve"> Aportes Patronales  3er. Nivel</v>
      </c>
      <c r="C40" s="655">
        <f>+ENERO!C40</f>
        <v>1324760338</v>
      </c>
      <c r="D40" s="363">
        <f>AGOSTO!D40+SEPTIEMBRE!P40</f>
        <v>0</v>
      </c>
      <c r="E40" s="363">
        <f>AGOSTO!E40+SEPTIEMBRE!Q40</f>
        <v>0</v>
      </c>
      <c r="F40" s="363">
        <f t="shared" si="35"/>
        <v>1324760338</v>
      </c>
      <c r="G40" s="363">
        <f>AGOSTO!I40</f>
        <v>772776865</v>
      </c>
      <c r="H40" s="364">
        <v>110396695</v>
      </c>
      <c r="I40" s="454">
        <f t="shared" si="36"/>
        <v>883173560</v>
      </c>
      <c r="J40" s="363">
        <f>AGOSTO!L40</f>
        <v>772776865</v>
      </c>
      <c r="K40" s="364">
        <v>110396695</v>
      </c>
      <c r="L40" s="454">
        <f t="shared" si="37"/>
        <v>883173560</v>
      </c>
      <c r="M40" s="363">
        <f t="shared" si="38"/>
        <v>441586778</v>
      </c>
      <c r="N40" s="143">
        <f t="shared" si="39"/>
        <v>441586778</v>
      </c>
      <c r="O40" s="515"/>
      <c r="P40" s="362">
        <v>0</v>
      </c>
      <c r="Q40" s="365">
        <v>0</v>
      </c>
      <c r="R40" s="9"/>
      <c r="S40" s="688" t="str">
        <f>+IF(AGOSTO!S40=0,"",AGOSTO!S40)</f>
        <v>1010200-5</v>
      </c>
      <c r="T40" s="664" t="str">
        <f>+IF(AGOSTO!T40=0,"",AGOSTO!T40)</f>
        <v>Certificación, Habilitación y Acreditación</v>
      </c>
      <c r="U40" s="27">
        <f>+ENERO!U40</f>
        <v>0</v>
      </c>
      <c r="V40" s="15">
        <f>AGOSTO!V40+SEPTIEMBRE!AL40</f>
        <v>0</v>
      </c>
      <c r="W40" s="15">
        <f>AGOSTO!W40+SEPTIEMBRE!AM40</f>
        <v>0</v>
      </c>
      <c r="X40" s="18">
        <f t="shared" si="40"/>
        <v>0</v>
      </c>
      <c r="Y40" s="19">
        <f>AGOSTO!AA40</f>
        <v>0</v>
      </c>
      <c r="Z40" s="364">
        <v>0</v>
      </c>
      <c r="AA40" s="18">
        <f t="shared" si="41"/>
        <v>0</v>
      </c>
      <c r="AB40" s="19">
        <f>AGOSTO!AD40</f>
        <v>0</v>
      </c>
      <c r="AC40" s="364">
        <v>0</v>
      </c>
      <c r="AD40" s="18">
        <f t="shared" si="42"/>
        <v>0</v>
      </c>
      <c r="AE40" s="19">
        <f>AGOSTO!AG40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+IF(AGOSTO!A41=0,"",AGOSTO!A41)</f>
        <v>1130104</v>
      </c>
      <c r="B41" s="628" t="str">
        <f>+IF(AGOSTO!B41=0,"",AGOSTO!B41)</f>
        <v>SUBSIDIO A LA OFERTA- ACTIVIDADES NO POS-S</v>
      </c>
      <c r="C41" s="655">
        <f>+ENERO!C41</f>
        <v>0</v>
      </c>
      <c r="D41" s="122">
        <f>AGOSTO!D41+SEPTIEMBRE!P41</f>
        <v>0</v>
      </c>
      <c r="E41" s="122">
        <f>AGOSTO!E41+SEPTIEMBRE!Q41</f>
        <v>0</v>
      </c>
      <c r="F41" s="122">
        <f t="shared" si="35"/>
        <v>0</v>
      </c>
      <c r="G41" s="122">
        <f>AGOSTO!I41</f>
        <v>0</v>
      </c>
      <c r="H41" s="364">
        <v>0</v>
      </c>
      <c r="I41" s="131">
        <f t="shared" si="36"/>
        <v>0</v>
      </c>
      <c r="J41" s="122">
        <f>AGOSTO!L41</f>
        <v>0</v>
      </c>
      <c r="K41" s="364">
        <v>0</v>
      </c>
      <c r="L41" s="131">
        <f t="shared" si="37"/>
        <v>0</v>
      </c>
      <c r="M41" s="122">
        <f t="shared" si="38"/>
        <v>0</v>
      </c>
      <c r="N41" s="130">
        <f t="shared" si="39"/>
        <v>0</v>
      </c>
      <c r="O41" s="372"/>
      <c r="P41" s="364">
        <v>0</v>
      </c>
      <c r="Q41" s="365">
        <v>0</v>
      </c>
      <c r="R41" s="9"/>
      <c r="S41" s="688">
        <f>+IF(AGOSTO!S41=0,"",AGOSTO!S41)</f>
        <v>1010299</v>
      </c>
      <c r="T41" s="664" t="str">
        <f>+IF(AGOSTO!T41=0,"",AGOSTO!T41)</f>
        <v>Vigencias Anteriores</v>
      </c>
      <c r="U41" s="27">
        <f>+ENERO!U41</f>
        <v>388800955</v>
      </c>
      <c r="V41" s="15">
        <f>AGOSTO!V41+SEPTIEMBRE!AL41</f>
        <v>120000000</v>
      </c>
      <c r="W41" s="15">
        <f>AGOSTO!W41+SEPTIEMBRE!AM41</f>
        <v>0</v>
      </c>
      <c r="X41" s="18">
        <f t="shared" si="40"/>
        <v>508800955</v>
      </c>
      <c r="Y41" s="19">
        <f>AGOSTO!AA41</f>
        <v>474477201</v>
      </c>
      <c r="Z41" s="364">
        <v>0</v>
      </c>
      <c r="AA41" s="18">
        <f t="shared" si="41"/>
        <v>474477201</v>
      </c>
      <c r="AB41" s="19">
        <f>AGOSTO!AD41</f>
        <v>474477201</v>
      </c>
      <c r="AC41" s="364">
        <v>0</v>
      </c>
      <c r="AD41" s="18">
        <f t="shared" si="42"/>
        <v>474477201</v>
      </c>
      <c r="AE41" s="19">
        <f>AGOSTO!AG41</f>
        <v>474477201</v>
      </c>
      <c r="AF41" s="364">
        <v>0</v>
      </c>
      <c r="AG41" s="1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+IF(AGOSTO!A42=0,"",AGOSTO!A42)</f>
        <v>1130106</v>
      </c>
      <c r="B42" s="628" t="str">
        <f>+IF(AGOSTO!B42=0,"",AGOSTO!B42)</f>
        <v>SALUD PUBLICA - PLAN DE INTERVENCIONES COLECTIVAS</v>
      </c>
      <c r="C42" s="43">
        <f t="shared" ref="C42:N42" si="47">SUM(C43:C44)</f>
        <v>0</v>
      </c>
      <c r="D42" s="44">
        <f t="shared" si="47"/>
        <v>0</v>
      </c>
      <c r="E42" s="44">
        <f t="shared" si="47"/>
        <v>0</v>
      </c>
      <c r="F42" s="44">
        <f t="shared" si="47"/>
        <v>0</v>
      </c>
      <c r="G42" s="44">
        <f t="shared" si="47"/>
        <v>0</v>
      </c>
      <c r="H42" s="44">
        <f t="shared" si="47"/>
        <v>0</v>
      </c>
      <c r="I42" s="835">
        <f t="shared" si="47"/>
        <v>0</v>
      </c>
      <c r="J42" s="44">
        <f t="shared" si="47"/>
        <v>0</v>
      </c>
      <c r="K42" s="44">
        <f t="shared" si="47"/>
        <v>0</v>
      </c>
      <c r="L42" s="835">
        <f t="shared" si="47"/>
        <v>0</v>
      </c>
      <c r="M42" s="44">
        <f t="shared" si="47"/>
        <v>0</v>
      </c>
      <c r="N42" s="45">
        <f t="shared" si="47"/>
        <v>0</v>
      </c>
      <c r="P42" s="43">
        <f>SUM(P43:P44)</f>
        <v>0</v>
      </c>
      <c r="Q42" s="45">
        <f>SUM(Q43:Q44)</f>
        <v>0</v>
      </c>
      <c r="R42" s="9"/>
      <c r="S42" s="356" t="str">
        <f>+IF(AGOSTO!S42=0,"",AGOSTO!S42)</f>
        <v/>
      </c>
      <c r="T42" s="678" t="str">
        <f>+IF(AGOSTO!T42=0,"",AGOSTO!T42)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+IF(AGOSTO!A43=0,"",AGOSTO!A43)</f>
        <v>1130106-1</v>
      </c>
      <c r="B43" s="629" t="str">
        <f>+CONCATENATE("Vigencia ",INSTRUCCIONES!$F$3)</f>
        <v>Vigencia 2019</v>
      </c>
      <c r="C43" s="655">
        <f>+ENERO!C43</f>
        <v>0</v>
      </c>
      <c r="D43" s="363">
        <f>AGOSTO!D43+SEPTIEMBRE!P43</f>
        <v>0</v>
      </c>
      <c r="E43" s="363">
        <f>AGOSTO!E43+SEPTIEMBRE!Q43</f>
        <v>0</v>
      </c>
      <c r="F43" s="363">
        <f>SUM(C43:E43)</f>
        <v>0</v>
      </c>
      <c r="G43" s="363">
        <f>AGOSTO!I43</f>
        <v>0</v>
      </c>
      <c r="H43" s="364">
        <v>0</v>
      </c>
      <c r="I43" s="454">
        <f>SUM(G43:H43)</f>
        <v>0</v>
      </c>
      <c r="J43" s="363">
        <f>AGOSTO!L43</f>
        <v>0</v>
      </c>
      <c r="K43" s="364">
        <v>0</v>
      </c>
      <c r="L43" s="454">
        <f>SUM(J43:K43)</f>
        <v>0</v>
      </c>
      <c r="M43" s="363">
        <f>F43-I43</f>
        <v>0</v>
      </c>
      <c r="N43" s="143">
        <f>F43-L43</f>
        <v>0</v>
      </c>
      <c r="O43" s="372"/>
      <c r="P43" s="362">
        <v>0</v>
      </c>
      <c r="Q43" s="365">
        <v>0</v>
      </c>
      <c r="R43" s="9"/>
      <c r="S43" s="687">
        <f>+IF(AGOSTO!S43=0,"",AGOSTO!S43)</f>
        <v>1010300</v>
      </c>
      <c r="T43" s="663" t="str">
        <f>+IF(AGOSTO!T43=0,"",AGOSTO!T43)</f>
        <v>Contribuciones Inherentes nómina al Sector Privado</v>
      </c>
      <c r="U43" s="132">
        <f t="shared" ref="U43:AJ43" si="48">U44+U49+U55</f>
        <v>682314446</v>
      </c>
      <c r="V43" s="122">
        <f t="shared" si="48"/>
        <v>-353979942</v>
      </c>
      <c r="W43" s="122">
        <f t="shared" si="48"/>
        <v>0</v>
      </c>
      <c r="X43" s="129">
        <f t="shared" si="48"/>
        <v>328334504</v>
      </c>
      <c r="Y43" s="128">
        <f t="shared" si="48"/>
        <v>255465779</v>
      </c>
      <c r="Z43" s="122">
        <f t="shared" si="48"/>
        <v>19285754</v>
      </c>
      <c r="AA43" s="129">
        <f t="shared" si="48"/>
        <v>274751533</v>
      </c>
      <c r="AB43" s="128">
        <f t="shared" si="48"/>
        <v>255465779</v>
      </c>
      <c r="AC43" s="122">
        <f t="shared" si="48"/>
        <v>19285754</v>
      </c>
      <c r="AD43" s="129">
        <f t="shared" si="48"/>
        <v>274751533</v>
      </c>
      <c r="AE43" s="128">
        <f t="shared" si="48"/>
        <v>233215849</v>
      </c>
      <c r="AF43" s="122">
        <f t="shared" si="48"/>
        <v>22249660</v>
      </c>
      <c r="AG43" s="129">
        <f t="shared" si="48"/>
        <v>255465509</v>
      </c>
      <c r="AH43" s="128">
        <f t="shared" si="48"/>
        <v>53582971</v>
      </c>
      <c r="AI43" s="122">
        <f t="shared" si="48"/>
        <v>53582971</v>
      </c>
      <c r="AJ43" s="130">
        <f t="shared" si="48"/>
        <v>72868995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+IF(AGOSTO!A44=0,"",AGOSTO!A44)</f>
        <v>1130106-2</v>
      </c>
      <c r="B44" s="629" t="str">
        <f>+IF(AGOSTO!B44=0,"",AGOSTO!B44)</f>
        <v>Vigencia Anterior</v>
      </c>
      <c r="C44" s="655">
        <f>+ENERO!C44</f>
        <v>0</v>
      </c>
      <c r="D44" s="363">
        <f>AGOSTO!D44+SEPTIEMBRE!P44</f>
        <v>0</v>
      </c>
      <c r="E44" s="363">
        <f>AGOSTO!E44+SEPTIEMBRE!Q44</f>
        <v>0</v>
      </c>
      <c r="F44" s="363">
        <f>SUM(C44:E44)</f>
        <v>0</v>
      </c>
      <c r="G44" s="363">
        <f>AGOSTO!I44</f>
        <v>0</v>
      </c>
      <c r="H44" s="364">
        <v>0</v>
      </c>
      <c r="I44" s="454">
        <f>SUM(G44:H44)</f>
        <v>0</v>
      </c>
      <c r="J44" s="363">
        <f>AGOSTO!L44</f>
        <v>0</v>
      </c>
      <c r="K44" s="364">
        <v>0</v>
      </c>
      <c r="L44" s="454">
        <f>SUM(J44:K44)</f>
        <v>0</v>
      </c>
      <c r="M44" s="363">
        <f>F44-I44</f>
        <v>0</v>
      </c>
      <c r="N44" s="143">
        <f>F44-L44</f>
        <v>0</v>
      </c>
      <c r="O44" s="372"/>
      <c r="P44" s="362">
        <v>0</v>
      </c>
      <c r="Q44" s="365">
        <v>0</v>
      </c>
      <c r="R44" s="9"/>
      <c r="S44" s="688">
        <f>+IF(AGOSTO!S44=0,"",AGOSTO!S44)</f>
        <v>1010301</v>
      </c>
      <c r="T44" s="664" t="str">
        <f>+IF(AGOSTO!T44=0,"",AGOSTO!T44)</f>
        <v>Contribuciones - SGP - Aportes Patronales - Cuenta Maestra</v>
      </c>
      <c r="U44" s="27">
        <f t="shared" ref="U44:AJ44" si="49">SUM(U45:U48)</f>
        <v>224699564</v>
      </c>
      <c r="V44" s="15">
        <f t="shared" si="49"/>
        <v>-78698777</v>
      </c>
      <c r="W44" s="15">
        <f t="shared" si="49"/>
        <v>0</v>
      </c>
      <c r="X44" s="18">
        <f t="shared" si="49"/>
        <v>146000787</v>
      </c>
      <c r="Y44" s="19">
        <f t="shared" si="49"/>
        <v>116087927</v>
      </c>
      <c r="Z44" s="142">
        <f t="shared" si="49"/>
        <v>14977834</v>
      </c>
      <c r="AA44" s="18">
        <f t="shared" si="49"/>
        <v>131065761</v>
      </c>
      <c r="AB44" s="19">
        <f t="shared" si="49"/>
        <v>116087927</v>
      </c>
      <c r="AC44" s="142">
        <f t="shared" si="49"/>
        <v>14977834</v>
      </c>
      <c r="AD44" s="18">
        <f t="shared" si="49"/>
        <v>131065761</v>
      </c>
      <c r="AE44" s="19">
        <f t="shared" si="49"/>
        <v>98809277</v>
      </c>
      <c r="AF44" s="142">
        <f t="shared" si="49"/>
        <v>17278650</v>
      </c>
      <c r="AG44" s="18">
        <f t="shared" si="49"/>
        <v>116087927</v>
      </c>
      <c r="AH44" s="19">
        <f t="shared" si="49"/>
        <v>14935026</v>
      </c>
      <c r="AI44" s="15">
        <f t="shared" si="49"/>
        <v>14935026</v>
      </c>
      <c r="AJ44" s="16">
        <f t="shared" si="49"/>
        <v>29912860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+IF(AGOSTO!A45=0,"",AGOSTO!A45)</f>
        <v>1130107</v>
      </c>
      <c r="B45" s="628" t="str">
        <f>+IF(AGOSTO!B45=0,"",AGOSTO!B45)</f>
        <v>MINSALUD-FOSYGA-RECLAMACIONES ECAT</v>
      </c>
      <c r="C45" s="43">
        <f t="shared" ref="C45:N45" si="50">SUM(C46:C47)</f>
        <v>130489617</v>
      </c>
      <c r="D45" s="44">
        <f t="shared" si="50"/>
        <v>0</v>
      </c>
      <c r="E45" s="44">
        <f t="shared" si="50"/>
        <v>5564279</v>
      </c>
      <c r="F45" s="44">
        <f t="shared" si="50"/>
        <v>136053896</v>
      </c>
      <c r="G45" s="44">
        <f t="shared" si="50"/>
        <v>706492410</v>
      </c>
      <c r="H45" s="44">
        <f t="shared" si="50"/>
        <v>106967293</v>
      </c>
      <c r="I45" s="835">
        <f t="shared" si="50"/>
        <v>813459703</v>
      </c>
      <c r="J45" s="44">
        <f t="shared" si="50"/>
        <v>5564279</v>
      </c>
      <c r="K45" s="44">
        <f t="shared" si="50"/>
        <v>0</v>
      </c>
      <c r="L45" s="835">
        <f t="shared" si="50"/>
        <v>5564279</v>
      </c>
      <c r="M45" s="44">
        <f t="shared" si="50"/>
        <v>-677405807</v>
      </c>
      <c r="N45" s="45">
        <f t="shared" si="50"/>
        <v>130489617</v>
      </c>
      <c r="P45" s="43">
        <f>SUM(P46:P47)</f>
        <v>0</v>
      </c>
      <c r="Q45" s="45">
        <f>SUM(Q46:Q47)</f>
        <v>0</v>
      </c>
      <c r="R45" s="9"/>
      <c r="S45" s="689" t="str">
        <f>+IF(AGOSTO!S45=0,"",AGOSTO!S45)</f>
        <v>1010301-1</v>
      </c>
      <c r="T45" s="665" t="str">
        <f>+IF(AGOSTO!T45=0,"",AGOSTO!T45)</f>
        <v>E.P.S. - Aportes cuenta maestra</v>
      </c>
      <c r="U45" s="27">
        <f>+ENERO!U45</f>
        <v>56701284</v>
      </c>
      <c r="V45" s="15">
        <f>AGOSTO!V45+SEPTIEMBRE!AL45</f>
        <v>0</v>
      </c>
      <c r="W45" s="15">
        <f>AGOSTO!W45+SEPTIEMBRE!AM45</f>
        <v>0</v>
      </c>
      <c r="X45" s="18">
        <f>SUM(U45:W45)</f>
        <v>56701284</v>
      </c>
      <c r="Y45" s="19">
        <f>AGOSTO!AA45</f>
        <v>49269207</v>
      </c>
      <c r="Z45" s="364">
        <v>6302030</v>
      </c>
      <c r="AA45" s="18">
        <f>SUM(Y45:Z45)</f>
        <v>55571237</v>
      </c>
      <c r="AB45" s="19">
        <f>AGOSTO!AD45</f>
        <v>49269207</v>
      </c>
      <c r="AC45" s="364">
        <v>6302030</v>
      </c>
      <c r="AD45" s="18">
        <f>SUM(AB45:AC45)</f>
        <v>55571237</v>
      </c>
      <c r="AE45" s="19">
        <f>AGOSTO!AG45</f>
        <v>41870889</v>
      </c>
      <c r="AF45" s="364">
        <v>7398318</v>
      </c>
      <c r="AG45" s="18">
        <f>SUM(AE45:AF45)</f>
        <v>49269207</v>
      </c>
      <c r="AH45" s="19">
        <f>X45-AA45</f>
        <v>1130047</v>
      </c>
      <c r="AI45" s="15">
        <f>X45-AD45</f>
        <v>1130047</v>
      </c>
      <c r="AJ45" s="16">
        <f>X45-AG45</f>
        <v>7432077</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+IF(AGOSTO!A46=0,"",AGOSTO!A46)</f>
        <v>1130107-1</v>
      </c>
      <c r="B46" s="629" t="str">
        <f>+CONCATENATE("Vigencia ",INSTRUCCIONES!$F$3)</f>
        <v>Vigencia 2019</v>
      </c>
      <c r="C46" s="655">
        <f>+ENERO!C46</f>
        <v>130489617</v>
      </c>
      <c r="D46" s="363">
        <f>AGOSTO!D46+SEPTIEMBRE!P46</f>
        <v>0</v>
      </c>
      <c r="E46" s="363">
        <f>AGOSTO!E46+SEPTIEMBRE!Q46</f>
        <v>0</v>
      </c>
      <c r="F46" s="363">
        <f>SUM(C46:E46)</f>
        <v>130489617</v>
      </c>
      <c r="G46" s="363">
        <f>AGOSTO!I46</f>
        <v>700928131</v>
      </c>
      <c r="H46" s="364">
        <v>106967293</v>
      </c>
      <c r="I46" s="454">
        <f>SUM(G46:H46)</f>
        <v>807895424</v>
      </c>
      <c r="J46" s="363">
        <f>AGOSTO!L46</f>
        <v>0</v>
      </c>
      <c r="K46" s="364">
        <v>0</v>
      </c>
      <c r="L46" s="454">
        <f>SUM(J46:K46)</f>
        <v>0</v>
      </c>
      <c r="M46" s="363">
        <f>F46-I46</f>
        <v>-677405807</v>
      </c>
      <c r="N46" s="143">
        <f>F46-L46</f>
        <v>130489617</v>
      </c>
      <c r="O46" s="372"/>
      <c r="P46" s="362">
        <v>0</v>
      </c>
      <c r="Q46" s="365">
        <v>0</v>
      </c>
      <c r="R46" s="9"/>
      <c r="S46" s="689" t="str">
        <f>+IF(AGOSTO!S46=0,"",AGOSTO!S46)</f>
        <v>1010301-2</v>
      </c>
      <c r="T46" s="665" t="str">
        <f>+IF(AGOSTO!T46=0,"",AGOSTO!T46)</f>
        <v>Fondos pensionales - Aportes cuenta maestra</v>
      </c>
      <c r="U46" s="27">
        <f>+ENERO!U46</f>
        <v>77319919</v>
      </c>
      <c r="V46" s="15">
        <f>AGOSTO!V46+SEPTIEMBRE!AL46</f>
        <v>0</v>
      </c>
      <c r="W46" s="15">
        <f>AGOSTO!W46+SEPTIEMBRE!AM46</f>
        <v>0</v>
      </c>
      <c r="X46" s="18">
        <f>SUM(U46:W46)</f>
        <v>77319919</v>
      </c>
      <c r="Y46" s="19">
        <f>AGOSTO!AA46</f>
        <v>59546280</v>
      </c>
      <c r="Z46" s="364">
        <v>7666904</v>
      </c>
      <c r="AA46" s="18">
        <f>SUM(Y46:Z46)</f>
        <v>67213184</v>
      </c>
      <c r="AB46" s="19">
        <f>AGOSTO!AD46</f>
        <v>59546280</v>
      </c>
      <c r="AC46" s="364">
        <v>7666904</v>
      </c>
      <c r="AD46" s="18">
        <f>SUM(AB46:AC46)</f>
        <v>67213184</v>
      </c>
      <c r="AE46" s="19">
        <f>AGOSTO!AG46</f>
        <v>50717808</v>
      </c>
      <c r="AF46" s="364">
        <v>8828472</v>
      </c>
      <c r="AG46" s="18">
        <f>SUM(AE46:AF46)</f>
        <v>59546280</v>
      </c>
      <c r="AH46" s="19">
        <f>X46-AA46</f>
        <v>10106735</v>
      </c>
      <c r="AI46" s="15">
        <f>X46-AD46</f>
        <v>10106735</v>
      </c>
      <c r="AJ46" s="16">
        <f>X46-AG46</f>
        <v>17773639</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+IF(AGOSTO!A47=0,"",AGOSTO!A47)</f>
        <v>1130107-2</v>
      </c>
      <c r="B47" s="629" t="str">
        <f>+IF(AGOSTO!B47=0,"",AGOSTO!B47)</f>
        <v>Vigencia Anterior</v>
      </c>
      <c r="C47" s="655">
        <f>+ENERO!C47</f>
        <v>0</v>
      </c>
      <c r="D47" s="363">
        <f>AGOSTO!D47+SEPTIEMBRE!P47</f>
        <v>0</v>
      </c>
      <c r="E47" s="363">
        <f>AGOSTO!E47+SEPTIEMBRE!Q47</f>
        <v>5564279</v>
      </c>
      <c r="F47" s="363">
        <f>SUM(C47:E47)</f>
        <v>5564279</v>
      </c>
      <c r="G47" s="363">
        <f>AGOSTO!I47</f>
        <v>5564279</v>
      </c>
      <c r="H47" s="364">
        <v>0</v>
      </c>
      <c r="I47" s="454">
        <f>SUM(G47:H47)</f>
        <v>5564279</v>
      </c>
      <c r="J47" s="363">
        <f>AGOSTO!L47</f>
        <v>5564279</v>
      </c>
      <c r="K47" s="364">
        <v>0</v>
      </c>
      <c r="L47" s="454">
        <f>SUM(J47:K47)</f>
        <v>5564279</v>
      </c>
      <c r="M47" s="363">
        <f>F47-I47</f>
        <v>0</v>
      </c>
      <c r="N47" s="143">
        <f>F47-L47</f>
        <v>0</v>
      </c>
      <c r="O47" s="372"/>
      <c r="P47" s="362">
        <v>0</v>
      </c>
      <c r="Q47" s="365">
        <v>0</v>
      </c>
      <c r="R47" s="9"/>
      <c r="S47" s="689" t="str">
        <f>+IF(AGOSTO!S47=0,"",AGOSTO!S47)</f>
        <v>1010301-3</v>
      </c>
      <c r="T47" s="665" t="str">
        <f>+IF(AGOSTO!T47=0,"",AGOSTO!T47)</f>
        <v>Fondos de cesantías - Aportes cuenta maestra</v>
      </c>
      <c r="U47" s="27">
        <f>+ENERO!U47</f>
        <v>87698777</v>
      </c>
      <c r="V47" s="15">
        <f>AGOSTO!V47+SEPTIEMBRE!AL47</f>
        <v>-87698777</v>
      </c>
      <c r="W47" s="15">
        <f>AGOSTO!W47+SEPTIEMBRE!AM47</f>
        <v>0</v>
      </c>
      <c r="X47" s="18">
        <f>SUM(U47:W47)</f>
        <v>0</v>
      </c>
      <c r="Y47" s="19">
        <f>AGOSTO!AA47</f>
        <v>0</v>
      </c>
      <c r="Z47" s="364">
        <v>0</v>
      </c>
      <c r="AA47" s="18">
        <f>SUM(Y47:Z47)</f>
        <v>0</v>
      </c>
      <c r="AB47" s="19">
        <f>AGOSTO!AD47</f>
        <v>0</v>
      </c>
      <c r="AC47" s="364">
        <v>0</v>
      </c>
      <c r="AD47" s="18">
        <f>SUM(AB47:AC47)</f>
        <v>0</v>
      </c>
      <c r="AE47" s="19">
        <f>AGOSTO!AG47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+IF(AGOSTO!A48=0,"",AGOSTO!A48)</f>
        <v>1130108</v>
      </c>
      <c r="B48" s="628" t="str">
        <f>+IF(AGOSTO!B48=0,"",AGOSTO!B48)</f>
        <v>MINSALUD-FOSYGA -TRAUMA MAYOR Y DESPLAZADOS</v>
      </c>
      <c r="C48" s="43">
        <f t="shared" ref="C48:N48" si="51">SUM(C49:C50)</f>
        <v>0</v>
      </c>
      <c r="D48" s="44">
        <f t="shared" si="51"/>
        <v>0</v>
      </c>
      <c r="E48" s="44">
        <f t="shared" si="51"/>
        <v>0</v>
      </c>
      <c r="F48" s="44">
        <f t="shared" si="51"/>
        <v>0</v>
      </c>
      <c r="G48" s="44">
        <f t="shared" si="51"/>
        <v>0</v>
      </c>
      <c r="H48" s="44">
        <f t="shared" si="51"/>
        <v>0</v>
      </c>
      <c r="I48" s="835">
        <f t="shared" si="51"/>
        <v>0</v>
      </c>
      <c r="J48" s="44">
        <f t="shared" si="51"/>
        <v>0</v>
      </c>
      <c r="K48" s="44">
        <f t="shared" si="51"/>
        <v>0</v>
      </c>
      <c r="L48" s="835">
        <f t="shared" si="51"/>
        <v>0</v>
      </c>
      <c r="M48" s="44">
        <f t="shared" si="51"/>
        <v>0</v>
      </c>
      <c r="N48" s="45">
        <f t="shared" si="51"/>
        <v>0</v>
      </c>
      <c r="P48" s="43">
        <f>SUM(P49:P50)</f>
        <v>0</v>
      </c>
      <c r="Q48" s="45">
        <f>SUM(Q49:Q50)</f>
        <v>0</v>
      </c>
      <c r="R48" s="9"/>
      <c r="S48" s="689" t="str">
        <f>+IF(AGOSTO!S48=0,"",AGOSTO!S48)</f>
        <v>1010301-4</v>
      </c>
      <c r="T48" s="665" t="str">
        <f>+IF(AGOSTO!T48=0,"",AGOSTO!T48)</f>
        <v>Riesgos laborales - Aportes cuenta maestra</v>
      </c>
      <c r="U48" s="27">
        <f>+ENERO!U48</f>
        <v>2979584</v>
      </c>
      <c r="V48" s="15">
        <f>AGOSTO!V48+SEPTIEMBRE!AL48</f>
        <v>9000000</v>
      </c>
      <c r="W48" s="15">
        <f>AGOSTO!W48+SEPTIEMBRE!AM48</f>
        <v>0</v>
      </c>
      <c r="X48" s="18">
        <f>SUM(U48:W48)</f>
        <v>11979584</v>
      </c>
      <c r="Y48" s="19">
        <f>AGOSTO!AA48</f>
        <v>7272440</v>
      </c>
      <c r="Z48" s="364">
        <v>1008900</v>
      </c>
      <c r="AA48" s="18">
        <f>SUM(Y48:Z48)</f>
        <v>8281340</v>
      </c>
      <c r="AB48" s="19">
        <f>AGOSTO!AD48</f>
        <v>7272440</v>
      </c>
      <c r="AC48" s="364">
        <v>1008900</v>
      </c>
      <c r="AD48" s="18">
        <f>SUM(AB48:AC48)</f>
        <v>8281340</v>
      </c>
      <c r="AE48" s="19">
        <f>AGOSTO!AG48</f>
        <v>6220580</v>
      </c>
      <c r="AF48" s="364">
        <v>1051860</v>
      </c>
      <c r="AG48" s="18">
        <f>SUM(AE48:AF48)</f>
        <v>7272440</v>
      </c>
      <c r="AH48" s="19">
        <f>X48-AA48</f>
        <v>3698244</v>
      </c>
      <c r="AI48" s="15">
        <f>X48-AD48</f>
        <v>3698244</v>
      </c>
      <c r="AJ48" s="16">
        <f>X48-AG48</f>
        <v>4707144</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+IF(AGOSTO!A49=0,"",AGOSTO!A49)</f>
        <v>1130108-1</v>
      </c>
      <c r="B49" s="629" t="str">
        <f>+CONCATENATE("Vigencia ",INSTRUCCIONES!$F$3)</f>
        <v>Vigencia 2019</v>
      </c>
      <c r="C49" s="655">
        <f>+ENERO!C49</f>
        <v>0</v>
      </c>
      <c r="D49" s="363">
        <f>AGOSTO!D49+SEPTIEMBRE!P49</f>
        <v>0</v>
      </c>
      <c r="E49" s="363">
        <f>AGOSTO!E49+SEPTIEMBRE!Q49</f>
        <v>0</v>
      </c>
      <c r="F49" s="363">
        <f>SUM(C49:E49)</f>
        <v>0</v>
      </c>
      <c r="G49" s="363">
        <f>AGOSTO!I49</f>
        <v>0</v>
      </c>
      <c r="H49" s="364">
        <v>0</v>
      </c>
      <c r="I49" s="454">
        <f>SUM(G49:H49)</f>
        <v>0</v>
      </c>
      <c r="J49" s="363">
        <f>AGOSTO!L49</f>
        <v>0</v>
      </c>
      <c r="K49" s="364">
        <v>0</v>
      </c>
      <c r="L49" s="454">
        <f>SUM(J49:K49)</f>
        <v>0</v>
      </c>
      <c r="M49" s="363">
        <f>F49-I49</f>
        <v>0</v>
      </c>
      <c r="N49" s="143">
        <f>F49-L49</f>
        <v>0</v>
      </c>
      <c r="O49" s="372"/>
      <c r="P49" s="362">
        <v>0</v>
      </c>
      <c r="Q49" s="365">
        <v>0</v>
      </c>
      <c r="R49" s="9"/>
      <c r="S49" s="688">
        <f>+IF(AGOSTO!S49=0,"",AGOSTO!S49)</f>
        <v>1010302</v>
      </c>
      <c r="T49" s="664" t="str">
        <f>+IF(AGOSTO!T49=0,"",AGOSTO!T49)</f>
        <v>Contribuciones - Otros</v>
      </c>
      <c r="U49" s="27">
        <f t="shared" ref="U49:AJ49" si="52">SUM(U50:U54)</f>
        <v>349614882</v>
      </c>
      <c r="V49" s="15">
        <f t="shared" si="52"/>
        <v>-268780097</v>
      </c>
      <c r="W49" s="15">
        <f t="shared" si="52"/>
        <v>0</v>
      </c>
      <c r="X49" s="18">
        <f t="shared" si="52"/>
        <v>80834785</v>
      </c>
      <c r="Y49" s="19">
        <f t="shared" si="52"/>
        <v>37878920</v>
      </c>
      <c r="Z49" s="142">
        <f t="shared" si="52"/>
        <v>4307920</v>
      </c>
      <c r="AA49" s="18">
        <f t="shared" si="52"/>
        <v>42186840</v>
      </c>
      <c r="AB49" s="19">
        <f t="shared" si="52"/>
        <v>37878920</v>
      </c>
      <c r="AC49" s="142">
        <f t="shared" si="52"/>
        <v>4307920</v>
      </c>
      <c r="AD49" s="18">
        <f t="shared" si="52"/>
        <v>42186840</v>
      </c>
      <c r="AE49" s="19">
        <f t="shared" si="52"/>
        <v>32907640</v>
      </c>
      <c r="AF49" s="142">
        <f t="shared" si="52"/>
        <v>4971010</v>
      </c>
      <c r="AG49" s="18">
        <f t="shared" si="52"/>
        <v>37878650</v>
      </c>
      <c r="AH49" s="19">
        <f t="shared" si="52"/>
        <v>38647945</v>
      </c>
      <c r="AI49" s="15">
        <f t="shared" si="52"/>
        <v>38647945</v>
      </c>
      <c r="AJ49" s="16">
        <f t="shared" si="52"/>
        <v>42956135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+IF(AGOSTO!A50=0,"",AGOSTO!A50)</f>
        <v>1130108-2</v>
      </c>
      <c r="B50" s="629" t="str">
        <f>+IF(AGOSTO!B50=0,"",AGOSTO!B50)</f>
        <v>Vigencia Anterior</v>
      </c>
      <c r="C50" s="655">
        <f>+ENERO!C50</f>
        <v>0</v>
      </c>
      <c r="D50" s="363">
        <f>AGOSTO!D50+SEPTIEMBRE!P50</f>
        <v>0</v>
      </c>
      <c r="E50" s="363">
        <f>AGOSTO!E50+SEPTIEMBRE!Q50</f>
        <v>0</v>
      </c>
      <c r="F50" s="363">
        <f>SUM(C50:E50)</f>
        <v>0</v>
      </c>
      <c r="G50" s="363">
        <f>AGOSTO!I50</f>
        <v>0</v>
      </c>
      <c r="H50" s="364">
        <v>0</v>
      </c>
      <c r="I50" s="454">
        <f>SUM(G50:H50)</f>
        <v>0</v>
      </c>
      <c r="J50" s="363">
        <f>AGOSTO!L50</f>
        <v>0</v>
      </c>
      <c r="K50" s="364">
        <v>0</v>
      </c>
      <c r="L50" s="454">
        <f>SUM(J50:K50)</f>
        <v>0</v>
      </c>
      <c r="M50" s="363">
        <f>F50-I50</f>
        <v>0</v>
      </c>
      <c r="N50" s="143">
        <f>F50-L50</f>
        <v>0</v>
      </c>
      <c r="O50" s="372"/>
      <c r="P50" s="362">
        <v>0</v>
      </c>
      <c r="Q50" s="365">
        <v>0</v>
      </c>
      <c r="R50" s="9"/>
      <c r="S50" s="689" t="str">
        <f>+IF(AGOSTO!S50=0,"",AGOSTO!S50)</f>
        <v>1010302-1</v>
      </c>
      <c r="T50" s="665" t="str">
        <f>+IF(AGOSTO!T50=0,"",AGOSTO!T50)</f>
        <v>Aportes a E.P.S. - recursos propios</v>
      </c>
      <c r="U50" s="27">
        <f>+ENERO!U50</f>
        <v>79647420</v>
      </c>
      <c r="V50" s="15">
        <f>AGOSTO!V50+SEPTIEMBRE!AL50</f>
        <v>-79647420</v>
      </c>
      <c r="W50" s="15">
        <f>AGOSTO!W50+SEPTIEMBRE!AM50</f>
        <v>0</v>
      </c>
      <c r="X50" s="18">
        <f t="shared" ref="X50:X55" si="53">SUM(U50:W50)</f>
        <v>0</v>
      </c>
      <c r="Y50" s="19">
        <f>AGOSTO!AA50</f>
        <v>0</v>
      </c>
      <c r="Z50" s="364">
        <v>0</v>
      </c>
      <c r="AA50" s="18">
        <f t="shared" ref="AA50:AA55" si="54">SUM(Y50:Z50)</f>
        <v>0</v>
      </c>
      <c r="AB50" s="19">
        <f>AGOSTO!AD50</f>
        <v>0</v>
      </c>
      <c r="AC50" s="364">
        <v>0</v>
      </c>
      <c r="AD50" s="18">
        <f t="shared" ref="AD50:AD55" si="55">SUM(AB50:AC50)</f>
        <v>0</v>
      </c>
      <c r="AE50" s="19">
        <f>AGOSTO!AG50</f>
        <v>0</v>
      </c>
      <c r="AF50" s="364">
        <v>0</v>
      </c>
      <c r="AG50" s="18">
        <f t="shared" ref="AG50:AG55" si="56">SUM(AE50:AF50)</f>
        <v>0</v>
      </c>
      <c r="AH50" s="19">
        <f t="shared" ref="AH50:AH55" si="57">X50-AA50</f>
        <v>0</v>
      </c>
      <c r="AI50" s="15">
        <f t="shared" ref="AI50:AI55" si="58">X50-AD50</f>
        <v>0</v>
      </c>
      <c r="AJ50" s="16">
        <f t="shared" ref="AJ50:AJ55" si="59">X50-AG50</f>
        <v>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+IF(AGOSTO!A51=0,"",AGOSTO!A51)</f>
        <v>1130109</v>
      </c>
      <c r="B51" s="628" t="str">
        <f>+IF(AGOSTO!B51=0,"",AGOSTO!B51)</f>
        <v>EPS - PLANES COMPLEMENTARIOS</v>
      </c>
      <c r="C51" s="43">
        <f t="shared" ref="C51:N51" si="60">SUM(C52:C53)</f>
        <v>0</v>
      </c>
      <c r="D51" s="44">
        <f t="shared" si="60"/>
        <v>0</v>
      </c>
      <c r="E51" s="44">
        <f t="shared" si="60"/>
        <v>0</v>
      </c>
      <c r="F51" s="44">
        <f t="shared" si="60"/>
        <v>0</v>
      </c>
      <c r="G51" s="44">
        <f t="shared" si="60"/>
        <v>0</v>
      </c>
      <c r="H51" s="44">
        <f t="shared" si="60"/>
        <v>0</v>
      </c>
      <c r="I51" s="835">
        <f t="shared" si="60"/>
        <v>0</v>
      </c>
      <c r="J51" s="44">
        <f t="shared" si="60"/>
        <v>0</v>
      </c>
      <c r="K51" s="44">
        <f t="shared" si="60"/>
        <v>0</v>
      </c>
      <c r="L51" s="835">
        <f t="shared" si="60"/>
        <v>0</v>
      </c>
      <c r="M51" s="44">
        <f t="shared" si="60"/>
        <v>0</v>
      </c>
      <c r="N51" s="45">
        <f t="shared" si="60"/>
        <v>0</v>
      </c>
      <c r="P51" s="43">
        <f>SUM(P52:P53)</f>
        <v>0</v>
      </c>
      <c r="Q51" s="45">
        <f>SUM(Q52:Q53)</f>
        <v>0</v>
      </c>
      <c r="R51" s="9"/>
      <c r="S51" s="689" t="str">
        <f>+IF(AGOSTO!S51=0,"",AGOSTO!S51)</f>
        <v>1010302-2</v>
      </c>
      <c r="T51" s="665" t="str">
        <f>+IF(AGOSTO!T51=0,"",AGOSTO!T51)</f>
        <v>Aportes Fondos Pensionales - recursos propios</v>
      </c>
      <c r="U51" s="27">
        <f>+ENERO!U51</f>
        <v>115172321</v>
      </c>
      <c r="V51" s="15">
        <f>AGOSTO!V51+SEPTIEMBRE!AL51</f>
        <v>-115172321</v>
      </c>
      <c r="W51" s="15">
        <f>AGOSTO!W51+SEPTIEMBRE!AM51</f>
        <v>0</v>
      </c>
      <c r="X51" s="18">
        <f t="shared" si="53"/>
        <v>0</v>
      </c>
      <c r="Y51" s="19">
        <f>AGOSTO!AA51</f>
        <v>0</v>
      </c>
      <c r="Z51" s="364">
        <v>0</v>
      </c>
      <c r="AA51" s="18">
        <f t="shared" si="54"/>
        <v>0</v>
      </c>
      <c r="AB51" s="19">
        <f>AGOSTO!AD51</f>
        <v>0</v>
      </c>
      <c r="AC51" s="364">
        <v>0</v>
      </c>
      <c r="AD51" s="18">
        <f t="shared" si="55"/>
        <v>0</v>
      </c>
      <c r="AE51" s="19">
        <f>AGOSTO!AG51</f>
        <v>0</v>
      </c>
      <c r="AF51" s="364">
        <v>0</v>
      </c>
      <c r="AG51" s="18">
        <f t="shared" si="56"/>
        <v>0</v>
      </c>
      <c r="AH51" s="19">
        <f t="shared" si="57"/>
        <v>0</v>
      </c>
      <c r="AI51" s="15">
        <f t="shared" si="58"/>
        <v>0</v>
      </c>
      <c r="AJ51" s="16">
        <f t="shared" si="59"/>
        <v>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+IF(AGOSTO!A52=0,"",AGOSTO!A52)</f>
        <v>1130109-1</v>
      </c>
      <c r="B52" s="629" t="str">
        <f>+CONCATENATE("Vigencia ",INSTRUCCIONES!$F$3)</f>
        <v>Vigencia 2019</v>
      </c>
      <c r="C52" s="655">
        <f>+ENERO!C52</f>
        <v>0</v>
      </c>
      <c r="D52" s="363">
        <f>AGOSTO!D52+SEPTIEMBRE!P52</f>
        <v>0</v>
      </c>
      <c r="E52" s="363">
        <f>AGOSTO!E52+SEPTIEMBRE!Q52</f>
        <v>0</v>
      </c>
      <c r="F52" s="363">
        <f>SUM(C52:E52)</f>
        <v>0</v>
      </c>
      <c r="G52" s="363">
        <f>AGOSTO!I52</f>
        <v>0</v>
      </c>
      <c r="H52" s="364">
        <v>0</v>
      </c>
      <c r="I52" s="454">
        <f>SUM(G52:H52)</f>
        <v>0</v>
      </c>
      <c r="J52" s="363">
        <f>AGOSTO!L52</f>
        <v>0</v>
      </c>
      <c r="K52" s="364">
        <v>0</v>
      </c>
      <c r="L52" s="454">
        <f>SUM(J52:K52)</f>
        <v>0</v>
      </c>
      <c r="M52" s="363">
        <f>F52-I52</f>
        <v>0</v>
      </c>
      <c r="N52" s="143">
        <f>F52-L52</f>
        <v>0</v>
      </c>
      <c r="O52" s="372"/>
      <c r="P52" s="362">
        <v>0</v>
      </c>
      <c r="Q52" s="365">
        <v>0</v>
      </c>
      <c r="R52" s="9"/>
      <c r="S52" s="689" t="str">
        <f>+IF(AGOSTO!S52=0,"",AGOSTO!S52)</f>
        <v>1010302-3</v>
      </c>
      <c r="T52" s="665" t="str">
        <f>+IF(AGOSTO!T52=0,"",AGOSTO!T52)</f>
        <v>Aportes a Fondos de Cesantia - recursos propios</v>
      </c>
      <c r="U52" s="27">
        <f>+ENERO!U52</f>
        <v>73960356</v>
      </c>
      <c r="V52" s="15">
        <f>AGOSTO!V52+SEPTIEMBRE!AL52</f>
        <v>-73960356</v>
      </c>
      <c r="W52" s="15">
        <f>AGOSTO!W52+SEPTIEMBRE!AM52</f>
        <v>0</v>
      </c>
      <c r="X52" s="18">
        <f t="shared" si="53"/>
        <v>0</v>
      </c>
      <c r="Y52" s="19">
        <f>AGOSTO!AA52</f>
        <v>0</v>
      </c>
      <c r="Z52" s="364">
        <v>0</v>
      </c>
      <c r="AA52" s="18">
        <f t="shared" si="54"/>
        <v>0</v>
      </c>
      <c r="AB52" s="19">
        <f>AGOSTO!AD52</f>
        <v>0</v>
      </c>
      <c r="AC52" s="364">
        <v>0</v>
      </c>
      <c r="AD52" s="18">
        <f t="shared" si="55"/>
        <v>0</v>
      </c>
      <c r="AE52" s="19">
        <f>AGOSTO!AG52</f>
        <v>0</v>
      </c>
      <c r="AF52" s="364">
        <v>0</v>
      </c>
      <c r="AG52" s="18">
        <f t="shared" si="56"/>
        <v>0</v>
      </c>
      <c r="AH52" s="19">
        <f t="shared" si="57"/>
        <v>0</v>
      </c>
      <c r="AI52" s="15">
        <f t="shared" si="58"/>
        <v>0</v>
      </c>
      <c r="AJ52" s="16">
        <f t="shared" si="59"/>
        <v>0</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+IF(AGOSTO!A53=0,"",AGOSTO!A53)</f>
        <v>1130109-2</v>
      </c>
      <c r="B53" s="629" t="str">
        <f>+IF(AGOSTO!B53=0,"",AGOSTO!B53)</f>
        <v>Vigencia Anterior</v>
      </c>
      <c r="C53" s="655">
        <f>+ENERO!C53</f>
        <v>0</v>
      </c>
      <c r="D53" s="363">
        <f>AGOSTO!D53+SEPTIEMBRE!P53</f>
        <v>0</v>
      </c>
      <c r="E53" s="363">
        <f>AGOSTO!E53+SEPTIEMBRE!Q53</f>
        <v>0</v>
      </c>
      <c r="F53" s="363">
        <f>SUM(C53:E53)</f>
        <v>0</v>
      </c>
      <c r="G53" s="363">
        <f>AGOSTO!I53</f>
        <v>0</v>
      </c>
      <c r="H53" s="364">
        <v>0</v>
      </c>
      <c r="I53" s="454">
        <f>SUM(G53:H53)</f>
        <v>0</v>
      </c>
      <c r="J53" s="363">
        <f>AGOSTO!L53</f>
        <v>0</v>
      </c>
      <c r="K53" s="364">
        <v>0</v>
      </c>
      <c r="L53" s="454">
        <f>SUM(J53:K53)</f>
        <v>0</v>
      </c>
      <c r="M53" s="363">
        <f>F53-I53</f>
        <v>0</v>
      </c>
      <c r="N53" s="143">
        <f>F53-L53</f>
        <v>0</v>
      </c>
      <c r="O53" s="372"/>
      <c r="P53" s="362">
        <v>0</v>
      </c>
      <c r="Q53" s="365">
        <v>0</v>
      </c>
      <c r="R53" s="9"/>
      <c r="S53" s="689" t="str">
        <f>+IF(AGOSTO!S53=0,"",AGOSTO!S53)</f>
        <v>1010302-4</v>
      </c>
      <c r="T53" s="665" t="str">
        <f>+IF(AGOSTO!T53=0,"",AGOSTO!T53)</f>
        <v>Aporte a ARL. - recursos propios</v>
      </c>
      <c r="U53" s="27">
        <f>+ENERO!U53</f>
        <v>5393830</v>
      </c>
      <c r="V53" s="15">
        <f>AGOSTO!V53+SEPTIEMBRE!AL53</f>
        <v>0</v>
      </c>
      <c r="W53" s="15">
        <f>AGOSTO!W53+SEPTIEMBRE!AM53</f>
        <v>0</v>
      </c>
      <c r="X53" s="18">
        <f t="shared" si="53"/>
        <v>5393830</v>
      </c>
      <c r="Y53" s="19">
        <f>AGOSTO!AA53</f>
        <v>0</v>
      </c>
      <c r="Z53" s="364">
        <v>0</v>
      </c>
      <c r="AA53" s="18">
        <f t="shared" si="54"/>
        <v>0</v>
      </c>
      <c r="AB53" s="19">
        <f>AGOSTO!AD53</f>
        <v>0</v>
      </c>
      <c r="AC53" s="364">
        <v>0</v>
      </c>
      <c r="AD53" s="18">
        <f t="shared" si="55"/>
        <v>0</v>
      </c>
      <c r="AE53" s="19">
        <f>AGOSTO!AG53</f>
        <v>0</v>
      </c>
      <c r="AF53" s="364">
        <v>0</v>
      </c>
      <c r="AG53" s="1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+IF(AGOSTO!A54=0,"",AGOSTO!A54)</f>
        <v>1130110</v>
      </c>
      <c r="B54" s="628" t="str">
        <f>+IF(AGOSTO!B54=0,"",AGOSTO!B54)</f>
        <v>EMPRESAS MEDICINA PREPAGADA</v>
      </c>
      <c r="C54" s="43">
        <f t="shared" ref="C54:N54" si="61">SUM(C55:C56)</f>
        <v>0</v>
      </c>
      <c r="D54" s="44">
        <f t="shared" si="61"/>
        <v>0</v>
      </c>
      <c r="E54" s="44">
        <f t="shared" si="61"/>
        <v>0</v>
      </c>
      <c r="F54" s="44">
        <f t="shared" si="61"/>
        <v>0</v>
      </c>
      <c r="G54" s="44">
        <f t="shared" si="61"/>
        <v>0</v>
      </c>
      <c r="H54" s="44">
        <f t="shared" si="61"/>
        <v>0</v>
      </c>
      <c r="I54" s="835">
        <f t="shared" si="61"/>
        <v>0</v>
      </c>
      <c r="J54" s="44">
        <f t="shared" si="61"/>
        <v>0</v>
      </c>
      <c r="K54" s="44">
        <f t="shared" si="61"/>
        <v>0</v>
      </c>
      <c r="L54" s="835">
        <f t="shared" si="61"/>
        <v>0</v>
      </c>
      <c r="M54" s="44">
        <f t="shared" si="61"/>
        <v>0</v>
      </c>
      <c r="N54" s="45">
        <f t="shared" si="61"/>
        <v>0</v>
      </c>
      <c r="P54" s="43">
        <f>SUM(P55:P56)</f>
        <v>0</v>
      </c>
      <c r="Q54" s="45">
        <f>SUM(Q55:Q56)</f>
        <v>0</v>
      </c>
      <c r="R54" s="9"/>
      <c r="S54" s="689" t="str">
        <f>+IF(AGOSTO!S54=0,"",AGOSTO!S54)</f>
        <v>1010302-5</v>
      </c>
      <c r="T54" s="665" t="str">
        <f>+IF(AGOSTO!T54=0,"",AGOSTO!T54)</f>
        <v>Aporte a Caja Compensación Familiar</v>
      </c>
      <c r="U54" s="27">
        <f>+ENERO!U54</f>
        <v>75440955</v>
      </c>
      <c r="V54" s="15">
        <f>AGOSTO!V54+SEPTIEMBRE!AL54</f>
        <v>0</v>
      </c>
      <c r="W54" s="15">
        <f>AGOSTO!W54+SEPTIEMBRE!AM54</f>
        <v>0</v>
      </c>
      <c r="X54" s="18">
        <f t="shared" si="53"/>
        <v>75440955</v>
      </c>
      <c r="Y54" s="19">
        <f>AGOSTO!AA54</f>
        <v>37878920</v>
      </c>
      <c r="Z54" s="364">
        <v>4307920</v>
      </c>
      <c r="AA54" s="18">
        <f t="shared" si="54"/>
        <v>42186840</v>
      </c>
      <c r="AB54" s="19">
        <f>AGOSTO!AD54</f>
        <v>37878920</v>
      </c>
      <c r="AC54" s="364">
        <v>4307920</v>
      </c>
      <c r="AD54" s="18">
        <f t="shared" si="55"/>
        <v>42186840</v>
      </c>
      <c r="AE54" s="19">
        <f>AGOSTO!AG54</f>
        <v>32907640</v>
      </c>
      <c r="AF54" s="364">
        <v>4971010</v>
      </c>
      <c r="AG54" s="18">
        <f t="shared" si="56"/>
        <v>37878650</v>
      </c>
      <c r="AH54" s="19">
        <f t="shared" si="57"/>
        <v>33254115</v>
      </c>
      <c r="AI54" s="15">
        <f t="shared" si="58"/>
        <v>33254115</v>
      </c>
      <c r="AJ54" s="16">
        <f t="shared" si="59"/>
        <v>37562305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+IF(AGOSTO!A55=0,"",AGOSTO!A55)</f>
        <v>1130110-1</v>
      </c>
      <c r="B55" s="629" t="str">
        <f>+CONCATENATE("Vigencia ",INSTRUCCIONES!$F$3)</f>
        <v>Vigencia 2019</v>
      </c>
      <c r="C55" s="655">
        <f>+ENERO!C55</f>
        <v>0</v>
      </c>
      <c r="D55" s="363">
        <f>AGOSTO!D55+SEPTIEMBRE!P55</f>
        <v>0</v>
      </c>
      <c r="E55" s="363">
        <f>AGOSTO!E55+SEPTIEMBRE!Q55</f>
        <v>0</v>
      </c>
      <c r="F55" s="363">
        <f>SUM(C55:E55)</f>
        <v>0</v>
      </c>
      <c r="G55" s="363">
        <f>AGOSTO!I55</f>
        <v>0</v>
      </c>
      <c r="H55" s="364">
        <v>0</v>
      </c>
      <c r="I55" s="454">
        <f>SUM(G55:H55)</f>
        <v>0</v>
      </c>
      <c r="J55" s="363">
        <f>AGOSTO!L55</f>
        <v>0</v>
      </c>
      <c r="K55" s="364">
        <v>0</v>
      </c>
      <c r="L55" s="454">
        <f>SUM(J55:K55)</f>
        <v>0</v>
      </c>
      <c r="M55" s="363">
        <f>F55-I55</f>
        <v>0</v>
      </c>
      <c r="N55" s="143">
        <f>F55-L55</f>
        <v>0</v>
      </c>
      <c r="O55" s="372"/>
      <c r="P55" s="362">
        <v>0</v>
      </c>
      <c r="Q55" s="365">
        <v>0</v>
      </c>
      <c r="R55" s="9"/>
      <c r="S55" s="688">
        <f>+IF(AGOSTO!S55=0,"",AGOSTO!S55)</f>
        <v>1010399</v>
      </c>
      <c r="T55" s="664" t="str">
        <f>+IF(AGOSTO!T55=0,"",AGOSTO!T55)</f>
        <v>Vigencias Anteriores</v>
      </c>
      <c r="U55" s="27">
        <f>+ENERO!U55</f>
        <v>108000000</v>
      </c>
      <c r="V55" s="15">
        <f>AGOSTO!V55+SEPTIEMBRE!AL55</f>
        <v>-6501068</v>
      </c>
      <c r="W55" s="15">
        <f>AGOSTO!W55+SEPTIEMBRE!AM55</f>
        <v>0</v>
      </c>
      <c r="X55" s="18">
        <f t="shared" si="53"/>
        <v>101498932</v>
      </c>
      <c r="Y55" s="19">
        <f>AGOSTO!AA55</f>
        <v>101498932</v>
      </c>
      <c r="Z55" s="364">
        <v>0</v>
      </c>
      <c r="AA55" s="18">
        <f t="shared" si="54"/>
        <v>101498932</v>
      </c>
      <c r="AB55" s="19">
        <f>AGOSTO!AD55</f>
        <v>101498932</v>
      </c>
      <c r="AC55" s="364">
        <v>0</v>
      </c>
      <c r="AD55" s="18">
        <f t="shared" si="55"/>
        <v>101498932</v>
      </c>
      <c r="AE55" s="19">
        <f>AGOSTO!AG55</f>
        <v>101498932</v>
      </c>
      <c r="AF55" s="364">
        <v>0</v>
      </c>
      <c r="AG55" s="1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+IF(AGOSTO!A56=0,"",AGOSTO!A56)</f>
        <v>1130110-2</v>
      </c>
      <c r="B56" s="629" t="str">
        <f>+IF(AGOSTO!B56=0,"",AGOSTO!B56)</f>
        <v>Vigencia Anterior</v>
      </c>
      <c r="C56" s="655">
        <f>+ENERO!C56</f>
        <v>0</v>
      </c>
      <c r="D56" s="363">
        <f>AGOSTO!D56+SEPTIEMBRE!P56</f>
        <v>0</v>
      </c>
      <c r="E56" s="363">
        <f>AGOSTO!E56+SEPTIEMBRE!Q56</f>
        <v>0</v>
      </c>
      <c r="F56" s="363">
        <f>SUM(C56:E56)</f>
        <v>0</v>
      </c>
      <c r="G56" s="363">
        <f>AGOSTO!I56</f>
        <v>0</v>
      </c>
      <c r="H56" s="364">
        <v>0</v>
      </c>
      <c r="I56" s="454">
        <f>SUM(G56:H56)</f>
        <v>0</v>
      </c>
      <c r="J56" s="363">
        <f>AGOSTO!L56</f>
        <v>0</v>
      </c>
      <c r="K56" s="364">
        <v>0</v>
      </c>
      <c r="L56" s="454">
        <f>SUM(J56:K56)</f>
        <v>0</v>
      </c>
      <c r="M56" s="363">
        <f>F56-I56</f>
        <v>0</v>
      </c>
      <c r="N56" s="143">
        <f>F56-L56</f>
        <v>0</v>
      </c>
      <c r="O56" s="372"/>
      <c r="P56" s="362">
        <v>0</v>
      </c>
      <c r="Q56" s="365">
        <v>0</v>
      </c>
      <c r="R56" s="9"/>
      <c r="S56" s="356" t="str">
        <f>+IF(AGOSTO!S56=0,"",AGOSTO!S56)</f>
        <v/>
      </c>
      <c r="T56" s="678" t="str">
        <f>+IF(AGOSTO!T56=0,"",AGOSTO!T56)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+IF(AGOSTO!A57=0,"",AGOSTO!A57)</f>
        <v>1130111</v>
      </c>
      <c r="B57" s="628" t="str">
        <f>+IF(AGOSTO!B57=0,"",AGOSTO!B57)</f>
        <v>IPS PRIVADAS</v>
      </c>
      <c r="C57" s="43">
        <f t="shared" ref="C57:N57" si="62">SUM(C58:C59)</f>
        <v>205713</v>
      </c>
      <c r="D57" s="44">
        <f t="shared" si="62"/>
        <v>0</v>
      </c>
      <c r="E57" s="44">
        <f t="shared" si="62"/>
        <v>0</v>
      </c>
      <c r="F57" s="44">
        <f t="shared" si="62"/>
        <v>205713</v>
      </c>
      <c r="G57" s="44">
        <f t="shared" si="62"/>
        <v>1082717</v>
      </c>
      <c r="H57" s="44">
        <f t="shared" si="62"/>
        <v>0</v>
      </c>
      <c r="I57" s="835">
        <f t="shared" si="62"/>
        <v>1082717</v>
      </c>
      <c r="J57" s="44">
        <f t="shared" si="62"/>
        <v>0</v>
      </c>
      <c r="K57" s="44">
        <f t="shared" si="62"/>
        <v>0</v>
      </c>
      <c r="L57" s="835">
        <f t="shared" si="62"/>
        <v>0</v>
      </c>
      <c r="M57" s="44">
        <f t="shared" si="62"/>
        <v>-877004</v>
      </c>
      <c r="N57" s="45">
        <f t="shared" si="62"/>
        <v>205713</v>
      </c>
      <c r="P57" s="43">
        <f>SUM(P58:P59)</f>
        <v>0</v>
      </c>
      <c r="Q57" s="45">
        <f>SUM(Q58:Q59)</f>
        <v>0</v>
      </c>
      <c r="R57" s="9"/>
      <c r="S57" s="687">
        <f>+IF(AGOSTO!S57=0,"",AGOSTO!S57)</f>
        <v>1010400</v>
      </c>
      <c r="T57" s="663" t="str">
        <f>+IF(AGOSTO!T57=0,"",AGOSTO!T57)</f>
        <v>Contribuciones Inherentes nómina del Sector Publico</v>
      </c>
      <c r="U57" s="132">
        <f t="shared" ref="U57:AJ57" si="63">U58+U61</f>
        <v>94301194</v>
      </c>
      <c r="V57" s="122">
        <f t="shared" si="63"/>
        <v>0</v>
      </c>
      <c r="W57" s="122">
        <f t="shared" si="63"/>
        <v>0</v>
      </c>
      <c r="X57" s="129">
        <f t="shared" si="63"/>
        <v>94301194</v>
      </c>
      <c r="Y57" s="128">
        <f t="shared" si="63"/>
        <v>47348650</v>
      </c>
      <c r="Z57" s="122">
        <f t="shared" si="63"/>
        <v>5384900</v>
      </c>
      <c r="AA57" s="129">
        <f t="shared" si="63"/>
        <v>52733550</v>
      </c>
      <c r="AB57" s="128">
        <f t="shared" si="63"/>
        <v>47348650</v>
      </c>
      <c r="AC57" s="122">
        <f t="shared" si="63"/>
        <v>5384900</v>
      </c>
      <c r="AD57" s="129">
        <f t="shared" si="63"/>
        <v>52733550</v>
      </c>
      <c r="AE57" s="128">
        <f t="shared" si="63"/>
        <v>41134550</v>
      </c>
      <c r="AF57" s="122">
        <f t="shared" si="63"/>
        <v>6214100</v>
      </c>
      <c r="AG57" s="129">
        <f t="shared" si="63"/>
        <v>47348650</v>
      </c>
      <c r="AH57" s="128">
        <f t="shared" si="63"/>
        <v>41567644</v>
      </c>
      <c r="AI57" s="122">
        <f t="shared" si="63"/>
        <v>41567644</v>
      </c>
      <c r="AJ57" s="130">
        <f t="shared" si="63"/>
        <v>46952544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+IF(AGOSTO!A58=0,"",AGOSTO!A58)</f>
        <v>1130111-1</v>
      </c>
      <c r="B58" s="629" t="str">
        <f>+CONCATENATE("Vigencia ",INSTRUCCIONES!$F$3)</f>
        <v>Vigencia 2019</v>
      </c>
      <c r="C58" s="655">
        <f>+ENERO!C58</f>
        <v>205713</v>
      </c>
      <c r="D58" s="363">
        <f>AGOSTO!D58+SEPTIEMBRE!P58</f>
        <v>0</v>
      </c>
      <c r="E58" s="363">
        <f>AGOSTO!E58+SEPTIEMBRE!Q58</f>
        <v>0</v>
      </c>
      <c r="F58" s="363">
        <f>SUM(C58:E58)</f>
        <v>205713</v>
      </c>
      <c r="G58" s="363">
        <f>AGOSTO!I58</f>
        <v>1082717</v>
      </c>
      <c r="H58" s="364">
        <v>0</v>
      </c>
      <c r="I58" s="454">
        <f>SUM(G58:H58)</f>
        <v>1082717</v>
      </c>
      <c r="J58" s="363">
        <f>AGOSTO!L58</f>
        <v>0</v>
      </c>
      <c r="K58" s="364">
        <v>0</v>
      </c>
      <c r="L58" s="454">
        <f>SUM(J58:K58)</f>
        <v>0</v>
      </c>
      <c r="M58" s="363">
        <f>F58-I58</f>
        <v>-877004</v>
      </c>
      <c r="N58" s="143">
        <f>F58-L58</f>
        <v>205713</v>
      </c>
      <c r="O58" s="372"/>
      <c r="P58" s="362">
        <v>0</v>
      </c>
      <c r="Q58" s="365">
        <v>0</v>
      </c>
      <c r="R58" s="9"/>
      <c r="S58" s="688">
        <f>+IF(AGOSTO!S58=0,"",AGOSTO!S58)</f>
        <v>1010402</v>
      </c>
      <c r="T58" s="664" t="str">
        <f>+IF(AGOSTO!T58=0,"",AGOSTO!T58)</f>
        <v>Contribuciones - Otros</v>
      </c>
      <c r="U58" s="27">
        <f t="shared" ref="U58:AJ58" si="64">SUM(U59:U60)</f>
        <v>94301194</v>
      </c>
      <c r="V58" s="15">
        <f t="shared" si="64"/>
        <v>0</v>
      </c>
      <c r="W58" s="15">
        <f t="shared" si="64"/>
        <v>0</v>
      </c>
      <c r="X58" s="18">
        <f t="shared" si="64"/>
        <v>94301194</v>
      </c>
      <c r="Y58" s="19">
        <f t="shared" si="64"/>
        <v>47348650</v>
      </c>
      <c r="Z58" s="142">
        <f t="shared" si="64"/>
        <v>5384900</v>
      </c>
      <c r="AA58" s="18">
        <f t="shared" si="64"/>
        <v>52733550</v>
      </c>
      <c r="AB58" s="19">
        <f t="shared" si="64"/>
        <v>47348650</v>
      </c>
      <c r="AC58" s="142">
        <f t="shared" si="64"/>
        <v>5384900</v>
      </c>
      <c r="AD58" s="18">
        <f t="shared" si="64"/>
        <v>52733550</v>
      </c>
      <c r="AE58" s="19">
        <f t="shared" si="64"/>
        <v>41134550</v>
      </c>
      <c r="AF58" s="142">
        <f t="shared" si="64"/>
        <v>6214100</v>
      </c>
      <c r="AG58" s="18">
        <f t="shared" si="64"/>
        <v>47348650</v>
      </c>
      <c r="AH58" s="19">
        <f t="shared" si="64"/>
        <v>41567644</v>
      </c>
      <c r="AI58" s="15">
        <f t="shared" si="64"/>
        <v>41567644</v>
      </c>
      <c r="AJ58" s="16">
        <f t="shared" si="64"/>
        <v>46952544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+IF(AGOSTO!A59=0,"",AGOSTO!A59)</f>
        <v>1130111-2</v>
      </c>
      <c r="B59" s="629" t="str">
        <f>+IF(AGOSTO!B59=0,"",AGOSTO!B59)</f>
        <v>Vigencia Anterior</v>
      </c>
      <c r="C59" s="655">
        <f>+ENERO!C59</f>
        <v>0</v>
      </c>
      <c r="D59" s="363">
        <f>AGOSTO!D59+SEPTIEMBRE!P59</f>
        <v>0</v>
      </c>
      <c r="E59" s="363">
        <f>AGOSTO!E59+SEPTIEMBRE!Q59</f>
        <v>0</v>
      </c>
      <c r="F59" s="363">
        <f>SUM(C59:E59)</f>
        <v>0</v>
      </c>
      <c r="G59" s="363">
        <f>AGOSTO!I59</f>
        <v>0</v>
      </c>
      <c r="H59" s="364">
        <v>0</v>
      </c>
      <c r="I59" s="454">
        <f>SUM(G59:H59)</f>
        <v>0</v>
      </c>
      <c r="J59" s="363">
        <f>AGOSTO!L59</f>
        <v>0</v>
      </c>
      <c r="K59" s="364">
        <v>0</v>
      </c>
      <c r="L59" s="454">
        <f>SUM(J59:K59)</f>
        <v>0</v>
      </c>
      <c r="M59" s="363">
        <f>F59-I59</f>
        <v>0</v>
      </c>
      <c r="N59" s="143">
        <f>F59-L59</f>
        <v>0</v>
      </c>
      <c r="O59" s="372"/>
      <c r="P59" s="362">
        <v>0</v>
      </c>
      <c r="Q59" s="365">
        <v>0</v>
      </c>
      <c r="R59" s="9"/>
      <c r="S59" s="689" t="str">
        <f>+IF(AGOSTO!S59=0,"",AGOSTO!S59)</f>
        <v>1010402-1</v>
      </c>
      <c r="T59" s="665" t="str">
        <f>+IF(AGOSTO!T59=0,"",AGOSTO!T59)</f>
        <v>S.E.N.A.</v>
      </c>
      <c r="U59" s="27">
        <f>+ENERO!U59</f>
        <v>37720478</v>
      </c>
      <c r="V59" s="15">
        <f>AGOSTO!V59+SEPTIEMBRE!AL59</f>
        <v>0</v>
      </c>
      <c r="W59" s="15">
        <f>AGOSTO!W59+SEPTIEMBRE!AM59</f>
        <v>0</v>
      </c>
      <c r="X59" s="18">
        <f>SUM(U59:W59)</f>
        <v>37720478</v>
      </c>
      <c r="Y59" s="19">
        <f>AGOSTO!AA59</f>
        <v>18939460</v>
      </c>
      <c r="Z59" s="364">
        <v>2153960</v>
      </c>
      <c r="AA59" s="18">
        <f>SUM(Y59:Z59)</f>
        <v>21093420</v>
      </c>
      <c r="AB59" s="19">
        <f>AGOSTO!AD59</f>
        <v>18939460</v>
      </c>
      <c r="AC59" s="364">
        <v>2153960</v>
      </c>
      <c r="AD59" s="18">
        <f>SUM(AB59:AC59)</f>
        <v>21093420</v>
      </c>
      <c r="AE59" s="19">
        <f>AGOSTO!AG59</f>
        <v>16453820</v>
      </c>
      <c r="AF59" s="364">
        <v>2485640</v>
      </c>
      <c r="AG59" s="18">
        <f>SUM(AE59:AF59)</f>
        <v>18939460</v>
      </c>
      <c r="AH59" s="19">
        <f>X59-AA59</f>
        <v>16627058</v>
      </c>
      <c r="AI59" s="15">
        <f>X59-AD59</f>
        <v>16627058</v>
      </c>
      <c r="AJ59" s="16">
        <f>X59-AG59</f>
        <v>18781018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+IF(AGOSTO!A60=0,"",AGOSTO!A60)</f>
        <v>1130112</v>
      </c>
      <c r="B60" s="628" t="str">
        <f>+IF(AGOSTO!B60=0,"",AGOSTO!B60)</f>
        <v>IPS PUBLICAS</v>
      </c>
      <c r="C60" s="43">
        <f t="shared" ref="C60:N60" si="65">SUM(C61:C62)</f>
        <v>0</v>
      </c>
      <c r="D60" s="44">
        <f t="shared" si="65"/>
        <v>0</v>
      </c>
      <c r="E60" s="44">
        <f t="shared" si="65"/>
        <v>19213396</v>
      </c>
      <c r="F60" s="44">
        <f t="shared" si="65"/>
        <v>19213396</v>
      </c>
      <c r="G60" s="44">
        <f t="shared" si="65"/>
        <v>20126501</v>
      </c>
      <c r="H60" s="44">
        <f t="shared" si="65"/>
        <v>35490</v>
      </c>
      <c r="I60" s="835">
        <f t="shared" si="65"/>
        <v>20161991</v>
      </c>
      <c r="J60" s="44">
        <f t="shared" si="65"/>
        <v>19213396</v>
      </c>
      <c r="K60" s="44">
        <f t="shared" si="65"/>
        <v>0</v>
      </c>
      <c r="L60" s="835">
        <f t="shared" si="65"/>
        <v>19213396</v>
      </c>
      <c r="M60" s="44">
        <f t="shared" si="65"/>
        <v>-948595</v>
      </c>
      <c r="N60" s="45">
        <f t="shared" si="65"/>
        <v>0</v>
      </c>
      <c r="P60" s="43">
        <f>SUM(P61:P62)</f>
        <v>0</v>
      </c>
      <c r="Q60" s="45">
        <f>SUM(Q61:Q62)</f>
        <v>0</v>
      </c>
      <c r="R60" s="9"/>
      <c r="S60" s="689" t="str">
        <f>+IF(AGOSTO!S60=0,"",AGOSTO!S60)</f>
        <v>1010402-2</v>
      </c>
      <c r="T60" s="665" t="str">
        <f>+IF(AGOSTO!T60=0,"",AGOSTO!T60)</f>
        <v>I.C.B.F.</v>
      </c>
      <c r="U60" s="27">
        <f>+ENERO!U60</f>
        <v>56580716</v>
      </c>
      <c r="V60" s="15">
        <f>AGOSTO!V60+SEPTIEMBRE!AL60</f>
        <v>0</v>
      </c>
      <c r="W60" s="15">
        <f>AGOSTO!W60+SEPTIEMBRE!AM60</f>
        <v>0</v>
      </c>
      <c r="X60" s="18">
        <f>SUM(U60:W60)</f>
        <v>56580716</v>
      </c>
      <c r="Y60" s="19">
        <f>AGOSTO!AA60</f>
        <v>28409190</v>
      </c>
      <c r="Z60" s="364">
        <v>3230940</v>
      </c>
      <c r="AA60" s="18">
        <f>SUM(Y60:Z60)</f>
        <v>31640130</v>
      </c>
      <c r="AB60" s="19">
        <f>AGOSTO!AD60</f>
        <v>28409190</v>
      </c>
      <c r="AC60" s="364">
        <v>3230940</v>
      </c>
      <c r="AD60" s="18">
        <f>SUM(AB60:AC60)</f>
        <v>31640130</v>
      </c>
      <c r="AE60" s="19">
        <f>AGOSTO!AG60</f>
        <v>24680730</v>
      </c>
      <c r="AF60" s="364">
        <v>3728460</v>
      </c>
      <c r="AG60" s="18">
        <f>SUM(AE60:AF60)</f>
        <v>28409190</v>
      </c>
      <c r="AH60" s="19">
        <f>X60-AA60</f>
        <v>24940586</v>
      </c>
      <c r="AI60" s="15">
        <f>X60-AD60</f>
        <v>24940586</v>
      </c>
      <c r="AJ60" s="16">
        <f>X60-AG60</f>
        <v>28171526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+IF(AGOSTO!A61=0,"",AGOSTO!A61)</f>
        <v>1130112-1</v>
      </c>
      <c r="B61" s="629" t="str">
        <f>+CONCATENATE("Vigencia ",INSTRUCCIONES!$F$3)</f>
        <v>Vigencia 2019</v>
      </c>
      <c r="C61" s="655">
        <f>+ENERO!C61</f>
        <v>0</v>
      </c>
      <c r="D61" s="363">
        <f>AGOSTO!D61+SEPTIEMBRE!P61</f>
        <v>0</v>
      </c>
      <c r="E61" s="363">
        <f>AGOSTO!E61+SEPTIEMBRE!Q61</f>
        <v>655301</v>
      </c>
      <c r="F61" s="363">
        <f>SUM(C61:E61)</f>
        <v>655301</v>
      </c>
      <c r="G61" s="363">
        <f>AGOSTO!I61</f>
        <v>1568406</v>
      </c>
      <c r="H61" s="364">
        <v>35490</v>
      </c>
      <c r="I61" s="454">
        <f>SUM(G61:H61)</f>
        <v>1603896</v>
      </c>
      <c r="J61" s="363">
        <f>AGOSTO!L61</f>
        <v>655301</v>
      </c>
      <c r="K61" s="364">
        <v>0</v>
      </c>
      <c r="L61" s="454">
        <f>SUM(J61:K61)</f>
        <v>655301</v>
      </c>
      <c r="M61" s="363">
        <f>F61-I61</f>
        <v>-948595</v>
      </c>
      <c r="N61" s="143">
        <f>F61-L61</f>
        <v>0</v>
      </c>
      <c r="O61" s="372"/>
      <c r="P61" s="362">
        <v>0</v>
      </c>
      <c r="Q61" s="365">
        <v>0</v>
      </c>
      <c r="R61" s="9"/>
      <c r="S61" s="688">
        <f>+IF(AGOSTO!S61=0,"",AGOSTO!S61)</f>
        <v>1010499</v>
      </c>
      <c r="T61" s="664" t="str">
        <f>+IF(AGOSTO!T61=0,"",AGOSTO!T61)</f>
        <v>Vigencias Anteriores</v>
      </c>
      <c r="U61" s="27">
        <f>+ENERO!U61</f>
        <v>0</v>
      </c>
      <c r="V61" s="15">
        <f>AGOSTO!V61+SEPTIEMBRE!AL61</f>
        <v>0</v>
      </c>
      <c r="W61" s="15">
        <f>AGOSTO!W61+SEPTIEMBRE!AM61</f>
        <v>0</v>
      </c>
      <c r="X61" s="18">
        <f>SUM(U61:W61)</f>
        <v>0</v>
      </c>
      <c r="Y61" s="19">
        <f>AGOSTO!AA61</f>
        <v>0</v>
      </c>
      <c r="Z61" s="364">
        <v>0</v>
      </c>
      <c r="AA61" s="18">
        <f>SUM(Y61:Z61)</f>
        <v>0</v>
      </c>
      <c r="AB61" s="19">
        <f>AGOSTO!AD61</f>
        <v>0</v>
      </c>
      <c r="AC61" s="364">
        <v>0</v>
      </c>
      <c r="AD61" s="18">
        <f>SUM(AB61:AC61)</f>
        <v>0</v>
      </c>
      <c r="AE61" s="19">
        <f>AGOSTO!AG61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+IF(AGOSTO!A62=0,"",AGOSTO!A62)</f>
        <v>1130112-2</v>
      </c>
      <c r="B62" s="629" t="str">
        <f>+IF(AGOSTO!B62=0,"",AGOSTO!B62)</f>
        <v>Vigencia Anterior</v>
      </c>
      <c r="C62" s="655">
        <f>+ENERO!C62</f>
        <v>0</v>
      </c>
      <c r="D62" s="363">
        <f>AGOSTO!D62+SEPTIEMBRE!P62</f>
        <v>0</v>
      </c>
      <c r="E62" s="363">
        <f>AGOSTO!E62+SEPTIEMBRE!Q62</f>
        <v>18558095</v>
      </c>
      <c r="F62" s="363">
        <f>SUM(C62:E62)</f>
        <v>18558095</v>
      </c>
      <c r="G62" s="363">
        <f>AGOSTO!I62</f>
        <v>18558095</v>
      </c>
      <c r="H62" s="364">
        <v>0</v>
      </c>
      <c r="I62" s="454">
        <f>SUM(G62:H62)</f>
        <v>18558095</v>
      </c>
      <c r="J62" s="363">
        <f>AGOSTO!L62</f>
        <v>18558095</v>
      </c>
      <c r="K62" s="364">
        <v>0</v>
      </c>
      <c r="L62" s="454">
        <f>SUM(J62:K62)</f>
        <v>18558095</v>
      </c>
      <c r="M62" s="363">
        <f>F62-I62</f>
        <v>0</v>
      </c>
      <c r="N62" s="143">
        <f>F62-L62</f>
        <v>0</v>
      </c>
      <c r="O62" s="372"/>
      <c r="P62" s="362">
        <v>0</v>
      </c>
      <c r="Q62" s="365">
        <v>0</v>
      </c>
      <c r="R62" s="9"/>
      <c r="S62" s="356" t="str">
        <f>+IF(AGOSTO!S62=0,"",AGOSTO!S62)</f>
        <v/>
      </c>
      <c r="T62" s="678" t="str">
        <f>+IF(AGOSTO!T62=0,"",AGOSTO!T62)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+IF(AGOSTO!A63=0,"",AGOSTO!A63)</f>
        <v>1130113</v>
      </c>
      <c r="B63" s="628" t="str">
        <f>+IF(AGOSTO!B63=0,"",AGOSTO!B63)</f>
        <v>COMPAÑIAS DE SEGUROS  - ACCIDENTES DE TRANSITO (SOAT)</v>
      </c>
      <c r="C63" s="43">
        <f t="shared" ref="C63:N63" si="66">SUM(C64:C65)</f>
        <v>8371510292</v>
      </c>
      <c r="D63" s="44">
        <f t="shared" si="66"/>
        <v>0</v>
      </c>
      <c r="E63" s="44">
        <f t="shared" si="66"/>
        <v>1872182903</v>
      </c>
      <c r="F63" s="44">
        <f t="shared" si="66"/>
        <v>10243693195</v>
      </c>
      <c r="G63" s="44">
        <f t="shared" si="66"/>
        <v>5615443138</v>
      </c>
      <c r="H63" s="44">
        <f t="shared" si="66"/>
        <v>453972350</v>
      </c>
      <c r="I63" s="835">
        <f t="shared" si="66"/>
        <v>6069415488</v>
      </c>
      <c r="J63" s="44">
        <f t="shared" si="66"/>
        <v>3798167384.0699997</v>
      </c>
      <c r="K63" s="44">
        <f t="shared" si="66"/>
        <v>236624401</v>
      </c>
      <c r="L63" s="835">
        <f t="shared" si="66"/>
        <v>4034791785.0699997</v>
      </c>
      <c r="M63" s="44">
        <f t="shared" si="66"/>
        <v>4174277707</v>
      </c>
      <c r="N63" s="45">
        <f t="shared" si="66"/>
        <v>6208901409.9300003</v>
      </c>
      <c r="P63" s="43">
        <f>SUM(P64:P65)</f>
        <v>0</v>
      </c>
      <c r="Q63" s="45">
        <f>SUM(Q64:Q65)</f>
        <v>0</v>
      </c>
      <c r="R63" s="9"/>
      <c r="S63" s="686">
        <f>+IF(AGOSTO!S63=0,"",AGOSTO!S63)</f>
        <v>1020010</v>
      </c>
      <c r="T63" s="662" t="str">
        <f>+IF(AGOSTO!T63=0,"",AGOSTO!T63)</f>
        <v>Gastos de Operación</v>
      </c>
      <c r="U63" s="132">
        <f t="shared" ref="U63:AJ63" si="67">U65+U83+U90+U104</f>
        <v>29994047768</v>
      </c>
      <c r="V63" s="122">
        <f t="shared" si="67"/>
        <v>-3815337847</v>
      </c>
      <c r="W63" s="122">
        <f t="shared" si="67"/>
        <v>1709785077</v>
      </c>
      <c r="X63" s="129">
        <f t="shared" si="67"/>
        <v>27888494998</v>
      </c>
      <c r="Y63" s="128">
        <f t="shared" si="67"/>
        <v>25633928547</v>
      </c>
      <c r="Z63" s="122">
        <f t="shared" si="67"/>
        <v>292923863</v>
      </c>
      <c r="AA63" s="129">
        <f t="shared" si="67"/>
        <v>25926852410</v>
      </c>
      <c r="AB63" s="128">
        <f t="shared" si="67"/>
        <v>19418395741</v>
      </c>
      <c r="AC63" s="122">
        <f t="shared" si="67"/>
        <v>1716101997</v>
      </c>
      <c r="AD63" s="129">
        <f t="shared" si="67"/>
        <v>21134497738</v>
      </c>
      <c r="AE63" s="128">
        <f t="shared" si="67"/>
        <v>12678004646</v>
      </c>
      <c r="AF63" s="122">
        <f t="shared" si="67"/>
        <v>2113328407</v>
      </c>
      <c r="AG63" s="129">
        <f t="shared" si="67"/>
        <v>14791333053</v>
      </c>
      <c r="AH63" s="128">
        <f t="shared" si="67"/>
        <v>1961642588</v>
      </c>
      <c r="AI63" s="122">
        <f t="shared" si="67"/>
        <v>6753997260</v>
      </c>
      <c r="AJ63" s="130">
        <f t="shared" si="67"/>
        <v>13097161945</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+IF(AGOSTO!A64=0,"",AGOSTO!A64)</f>
        <v>1130113-1</v>
      </c>
      <c r="B64" s="629" t="str">
        <f>+CONCATENATE("Vigencia ",INSTRUCCIONES!$F$3)</f>
        <v>Vigencia 2019</v>
      </c>
      <c r="C64" s="655">
        <f>+ENERO!C64</f>
        <v>8371510292</v>
      </c>
      <c r="D64" s="363">
        <f>AGOSTO!D64+SEPTIEMBRE!P64</f>
        <v>0</v>
      </c>
      <c r="E64" s="363">
        <f>AGOSTO!E64+SEPTIEMBRE!Q64</f>
        <v>0</v>
      </c>
      <c r="F64" s="363">
        <f>SUM(C64:E64)</f>
        <v>8371510292</v>
      </c>
      <c r="G64" s="363">
        <f>AGOSTO!I64</f>
        <v>3743215135</v>
      </c>
      <c r="H64" s="364">
        <v>445889999</v>
      </c>
      <c r="I64" s="454">
        <f>SUM(G64:H64)</f>
        <v>4189105134</v>
      </c>
      <c r="J64" s="363">
        <f>AGOSTO!L64</f>
        <v>1925939381.0699999</v>
      </c>
      <c r="K64" s="364">
        <v>228542050</v>
      </c>
      <c r="L64" s="454">
        <f>SUM(J64:K64)</f>
        <v>2154481431.0699997</v>
      </c>
      <c r="M64" s="363">
        <f>F64-I64</f>
        <v>4182405158</v>
      </c>
      <c r="N64" s="143">
        <f>F64-L64</f>
        <v>6217028860.9300003</v>
      </c>
      <c r="O64" s="372"/>
      <c r="P64" s="362">
        <v>0</v>
      </c>
      <c r="Q64" s="365">
        <v>0</v>
      </c>
      <c r="R64" s="9"/>
      <c r="S64" s="356" t="str">
        <f>+IF(AGOSTO!S64=0,"",AGOSTO!S64)</f>
        <v/>
      </c>
      <c r="T64" s="678" t="str">
        <f>+IF(AGOSTO!T64=0,"",AGOSTO!T64)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+IF(AGOSTO!A65=0,"",AGOSTO!A65)</f>
        <v>1130113-2</v>
      </c>
      <c r="B65" s="629" t="str">
        <f>+IF(AGOSTO!B65=0,"",AGOSTO!B65)</f>
        <v>Vigencia Anterior</v>
      </c>
      <c r="C65" s="655">
        <f>+ENERO!C65</f>
        <v>0</v>
      </c>
      <c r="D65" s="363">
        <f>AGOSTO!D65+SEPTIEMBRE!P65</f>
        <v>0</v>
      </c>
      <c r="E65" s="363">
        <f>AGOSTO!E65+SEPTIEMBRE!Q65</f>
        <v>1872182903</v>
      </c>
      <c r="F65" s="363">
        <f>SUM(C65:E65)</f>
        <v>1872182903</v>
      </c>
      <c r="G65" s="363">
        <f>AGOSTO!I65</f>
        <v>1872228003</v>
      </c>
      <c r="H65" s="364">
        <v>8082351</v>
      </c>
      <c r="I65" s="454">
        <f>SUM(G65:H65)</f>
        <v>1880310354</v>
      </c>
      <c r="J65" s="363">
        <f>AGOSTO!L65</f>
        <v>1872228003</v>
      </c>
      <c r="K65" s="364">
        <v>8082351</v>
      </c>
      <c r="L65" s="454">
        <f>SUM(J65:K65)</f>
        <v>1880310354</v>
      </c>
      <c r="M65" s="363">
        <f>F65-I65</f>
        <v>-8127451</v>
      </c>
      <c r="N65" s="841">
        <f>F65-L65</f>
        <v>-8127451</v>
      </c>
      <c r="O65" s="372"/>
      <c r="P65" s="362">
        <v>0</v>
      </c>
      <c r="Q65" s="365">
        <v>0</v>
      </c>
      <c r="R65" s="9"/>
      <c r="S65" s="687">
        <f>+IF(AGOSTO!S65=0,"",AGOSTO!S65)</f>
        <v>1020100</v>
      </c>
      <c r="T65" s="663" t="str">
        <f>+IF(AGOSTO!T65=0,"",AGOSTO!T65)</f>
        <v>Servicios Personales Asociados a Nómina</v>
      </c>
      <c r="U65" s="132">
        <f t="shared" ref="U65:AJ65" si="68">SUM(U66:U69)+U81</f>
        <v>5283965861</v>
      </c>
      <c r="V65" s="122">
        <f t="shared" si="68"/>
        <v>-2409000000</v>
      </c>
      <c r="W65" s="122">
        <f t="shared" si="68"/>
        <v>0</v>
      </c>
      <c r="X65" s="129">
        <f t="shared" si="68"/>
        <v>2874965861</v>
      </c>
      <c r="Y65" s="128">
        <f t="shared" si="68"/>
        <v>1689926199</v>
      </c>
      <c r="Z65" s="122">
        <f t="shared" si="68"/>
        <v>194320556</v>
      </c>
      <c r="AA65" s="129">
        <f t="shared" si="68"/>
        <v>1884246755</v>
      </c>
      <c r="AB65" s="128">
        <f t="shared" si="68"/>
        <v>1689926199</v>
      </c>
      <c r="AC65" s="122">
        <f t="shared" si="68"/>
        <v>194320556</v>
      </c>
      <c r="AD65" s="129">
        <f t="shared" si="68"/>
        <v>1884246755</v>
      </c>
      <c r="AE65" s="128">
        <f t="shared" si="68"/>
        <v>1688990795</v>
      </c>
      <c r="AF65" s="122">
        <f t="shared" si="68"/>
        <v>193342317</v>
      </c>
      <c r="AG65" s="129">
        <f t="shared" si="68"/>
        <v>1882333112</v>
      </c>
      <c r="AH65" s="128">
        <f t="shared" si="68"/>
        <v>990719106</v>
      </c>
      <c r="AI65" s="122">
        <f t="shared" si="68"/>
        <v>990719106</v>
      </c>
      <c r="AJ65" s="130">
        <f t="shared" si="68"/>
        <v>992632749</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+IF(AGOSTO!A66=0,"",AGOSTO!A66)</f>
        <v>1130114</v>
      </c>
      <c r="B66" s="628" t="str">
        <f>+IF(AGOSTO!B66=0,"",AGOSTO!B66)</f>
        <v xml:space="preserve">COMPAÑIAS DE SEGUROS  - PLANES DE SALUD  </v>
      </c>
      <c r="C66" s="43">
        <f t="shared" ref="C66:N66" si="69">SUM(C67:C68)</f>
        <v>11965775</v>
      </c>
      <c r="D66" s="44">
        <f t="shared" si="69"/>
        <v>0</v>
      </c>
      <c r="E66" s="44">
        <f t="shared" si="69"/>
        <v>0</v>
      </c>
      <c r="F66" s="44">
        <f t="shared" si="69"/>
        <v>11965775</v>
      </c>
      <c r="G66" s="44">
        <f t="shared" si="69"/>
        <v>50486374</v>
      </c>
      <c r="H66" s="44">
        <f t="shared" si="69"/>
        <v>1143196</v>
      </c>
      <c r="I66" s="835">
        <f t="shared" si="69"/>
        <v>51629570</v>
      </c>
      <c r="J66" s="44">
        <f t="shared" si="69"/>
        <v>0</v>
      </c>
      <c r="K66" s="44">
        <f t="shared" si="69"/>
        <v>0</v>
      </c>
      <c r="L66" s="835">
        <f t="shared" si="69"/>
        <v>0</v>
      </c>
      <c r="M66" s="44">
        <f t="shared" si="69"/>
        <v>-39663795</v>
      </c>
      <c r="N66" s="45">
        <f t="shared" si="69"/>
        <v>11965775</v>
      </c>
      <c r="P66" s="43">
        <f>SUM(P67:P68)</f>
        <v>0</v>
      </c>
      <c r="Q66" s="45">
        <f>SUM(Q67:Q68)</f>
        <v>0</v>
      </c>
      <c r="R66" s="9"/>
      <c r="S66" s="688">
        <f>+IF(AGOSTO!S66=0,"",AGOSTO!S66)</f>
        <v>1020101</v>
      </c>
      <c r="T66" s="664" t="str">
        <f>+IF(AGOSTO!T66=0,"",AGOSTO!T66)</f>
        <v>Sueldos del Personal de nómina</v>
      </c>
      <c r="U66" s="27">
        <f>+ENERO!U66</f>
        <v>3773107838</v>
      </c>
      <c r="V66" s="15">
        <f>AGOSTO!V66+SEPTIEMBRE!AL66</f>
        <v>-2044000000</v>
      </c>
      <c r="W66" s="15">
        <f>AGOSTO!W66+SEPTIEMBRE!AM66</f>
        <v>0</v>
      </c>
      <c r="X66" s="18">
        <f>SUM(U66:W66)</f>
        <v>1729107838</v>
      </c>
      <c r="Y66" s="19">
        <f>AGOSTO!AA66</f>
        <v>1381442813</v>
      </c>
      <c r="Z66" s="364">
        <v>176287578</v>
      </c>
      <c r="AA66" s="18">
        <f>SUM(Y66:Z66)</f>
        <v>1557730391</v>
      </c>
      <c r="AB66" s="19">
        <f>AGOSTO!AD66</f>
        <v>1381442813</v>
      </c>
      <c r="AC66" s="364">
        <v>176287578</v>
      </c>
      <c r="AD66" s="18">
        <f>SUM(AB66:AC66)</f>
        <v>1557730391</v>
      </c>
      <c r="AE66" s="19">
        <f>AGOSTO!AG66</f>
        <v>1381240823</v>
      </c>
      <c r="AF66" s="364">
        <v>175906945</v>
      </c>
      <c r="AG66" s="18">
        <f>SUM(AE66:AF66)</f>
        <v>1557147768</v>
      </c>
      <c r="AH66" s="19">
        <f>X66-AA66</f>
        <v>171377447</v>
      </c>
      <c r="AI66" s="15">
        <f>X66-AD66</f>
        <v>171377447</v>
      </c>
      <c r="AJ66" s="16">
        <f>X66-AG66</f>
        <v>171960070</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+IF(AGOSTO!A67=0,"",AGOSTO!A67)</f>
        <v>1130114-1</v>
      </c>
      <c r="B67" s="629" t="str">
        <f>+CONCATENATE("Vigencia ",INSTRUCCIONES!$F$3)</f>
        <v>Vigencia 2019</v>
      </c>
      <c r="C67" s="655">
        <f>+ENERO!C67</f>
        <v>11965775</v>
      </c>
      <c r="D67" s="363">
        <f>AGOSTO!D67+SEPTIEMBRE!P67</f>
        <v>0</v>
      </c>
      <c r="E67" s="363">
        <f>AGOSTO!E67+SEPTIEMBRE!Q67</f>
        <v>0</v>
      </c>
      <c r="F67" s="363">
        <f>SUM(C67:E67)</f>
        <v>11965775</v>
      </c>
      <c r="G67" s="363">
        <f>AGOSTO!I67</f>
        <v>50486374</v>
      </c>
      <c r="H67" s="364">
        <v>1143196</v>
      </c>
      <c r="I67" s="454">
        <f>SUM(G67:H67)</f>
        <v>51629570</v>
      </c>
      <c r="J67" s="363">
        <f>AGOSTO!L67</f>
        <v>0</v>
      </c>
      <c r="K67" s="364">
        <v>0</v>
      </c>
      <c r="L67" s="454">
        <f>SUM(J67:K67)</f>
        <v>0</v>
      </c>
      <c r="M67" s="363">
        <f>F67-I67</f>
        <v>-39663795</v>
      </c>
      <c r="N67" s="143">
        <f>F67-L67</f>
        <v>11965775</v>
      </c>
      <c r="O67" s="372"/>
      <c r="P67" s="362">
        <v>0</v>
      </c>
      <c r="Q67" s="365">
        <v>0</v>
      </c>
      <c r="R67" s="9"/>
      <c r="S67" s="688">
        <f>+IF(AGOSTO!S67=0,"",AGOSTO!S67)</f>
        <v>1020102</v>
      </c>
      <c r="T67" s="664" t="str">
        <f>+IF(AGOSTO!T67=0,"",AGOSTO!T67)</f>
        <v>Horas Extras,Dominic.,Festivos y Rec. Nocturnos</v>
      </c>
      <c r="U67" s="27">
        <f>+ENERO!U67</f>
        <v>329885360</v>
      </c>
      <c r="V67" s="15">
        <f>AGOSTO!V67+SEPTIEMBRE!AL67</f>
        <v>-65000000</v>
      </c>
      <c r="W67" s="15">
        <f>AGOSTO!W67+SEPTIEMBRE!AM67</f>
        <v>0</v>
      </c>
      <c r="X67" s="18">
        <f>SUM(U67:W67)</f>
        <v>264885360</v>
      </c>
      <c r="Y67" s="19">
        <f>AGOSTO!AA67</f>
        <v>81772175</v>
      </c>
      <c r="Z67" s="364">
        <v>12925708</v>
      </c>
      <c r="AA67" s="18">
        <f>SUM(Y67:Z67)</f>
        <v>94697883</v>
      </c>
      <c r="AB67" s="19">
        <f>AGOSTO!AD67</f>
        <v>81772175</v>
      </c>
      <c r="AC67" s="364">
        <v>12925708</v>
      </c>
      <c r="AD67" s="18">
        <f>SUM(AB67:AC67)</f>
        <v>94697883</v>
      </c>
      <c r="AE67" s="19">
        <f>AGOSTO!AG67</f>
        <v>81674476</v>
      </c>
      <c r="AF67" s="364">
        <v>12920640</v>
      </c>
      <c r="AG67" s="18">
        <f>SUM(AE67:AF67)</f>
        <v>94595116</v>
      </c>
      <c r="AH67" s="19">
        <f>X67-AA67</f>
        <v>170187477</v>
      </c>
      <c r="AI67" s="15">
        <f>X67-AD67</f>
        <v>170187477</v>
      </c>
      <c r="AJ67" s="16">
        <f>X67-AG67</f>
        <v>170290244</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+IF(AGOSTO!A68=0,"",AGOSTO!A68)</f>
        <v>1130114-2</v>
      </c>
      <c r="B68" s="629" t="str">
        <f>+IF(AGOSTO!B68=0,"",AGOSTO!B68)</f>
        <v>Vigencia Anterior</v>
      </c>
      <c r="C68" s="655">
        <f>+ENERO!C68</f>
        <v>0</v>
      </c>
      <c r="D68" s="363">
        <f>AGOSTO!D68+SEPTIEMBRE!P68</f>
        <v>0</v>
      </c>
      <c r="E68" s="363">
        <f>AGOSTO!E68+SEPTIEMBRE!Q68</f>
        <v>0</v>
      </c>
      <c r="F68" s="363">
        <f>SUM(C68:E68)</f>
        <v>0</v>
      </c>
      <c r="G68" s="363">
        <f>AGOSTO!I68</f>
        <v>0</v>
      </c>
      <c r="H68" s="364">
        <v>0</v>
      </c>
      <c r="I68" s="454">
        <f>SUM(G68:H68)</f>
        <v>0</v>
      </c>
      <c r="J68" s="363">
        <f>AGOSTO!L68</f>
        <v>0</v>
      </c>
      <c r="K68" s="364">
        <v>0</v>
      </c>
      <c r="L68" s="454">
        <f>SUM(J68:K68)</f>
        <v>0</v>
      </c>
      <c r="M68" s="363">
        <f>F68-I68</f>
        <v>0</v>
      </c>
      <c r="N68" s="143">
        <f>F68-L68</f>
        <v>0</v>
      </c>
      <c r="O68" s="372"/>
      <c r="P68" s="362">
        <v>0</v>
      </c>
      <c r="Q68" s="365">
        <v>0</v>
      </c>
      <c r="R68" s="9"/>
      <c r="S68" s="688">
        <f>+IF(AGOSTO!S68=0,"",AGOSTO!S68)</f>
        <v>1020103</v>
      </c>
      <c r="T68" s="664" t="str">
        <f>+IF(AGOSTO!T68=0,"",AGOSTO!T68)</f>
        <v>Prima Técnica</v>
      </c>
      <c r="U68" s="27">
        <f>+ENERO!U68</f>
        <v>0</v>
      </c>
      <c r="V68" s="15">
        <f>AGOSTO!V68+SEPTIEMBRE!AL68</f>
        <v>0</v>
      </c>
      <c r="W68" s="15">
        <f>AGOSTO!W68+SEPTIEMBRE!AM68</f>
        <v>0</v>
      </c>
      <c r="X68" s="18">
        <f>SUM(U68:W68)</f>
        <v>0</v>
      </c>
      <c r="Y68" s="19">
        <f>AGOSTO!AA68</f>
        <v>0</v>
      </c>
      <c r="Z68" s="364">
        <v>0</v>
      </c>
      <c r="AA68" s="18">
        <f>SUM(Y68:Z68)</f>
        <v>0</v>
      </c>
      <c r="AB68" s="19">
        <f>AGOSTO!AD68</f>
        <v>0</v>
      </c>
      <c r="AC68" s="364">
        <v>0</v>
      </c>
      <c r="AD68" s="18">
        <f>SUM(AB68:AC68)</f>
        <v>0</v>
      </c>
      <c r="AE68" s="19">
        <f>AGOSTO!AG68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+IF(AGOSTO!A69=0,"",AGOSTO!A69)</f>
        <v>1130115</v>
      </c>
      <c r="B69" s="628" t="str">
        <f>+IF(AGOSTO!B69=0,"",AGOSTO!B69)</f>
        <v>ENTIDADES DE REGIMEN ESPECIAL (Magisterio, Fuerza Pca.)</v>
      </c>
      <c r="C69" s="43">
        <f t="shared" ref="C69:N69" si="70">SUM(C70:C71)</f>
        <v>8401952</v>
      </c>
      <c r="D69" s="44">
        <f t="shared" si="70"/>
        <v>0</v>
      </c>
      <c r="E69" s="44">
        <f t="shared" si="70"/>
        <v>169452049</v>
      </c>
      <c r="F69" s="44">
        <f t="shared" si="70"/>
        <v>177854001</v>
      </c>
      <c r="G69" s="44">
        <f t="shared" si="70"/>
        <v>180282725</v>
      </c>
      <c r="H69" s="44">
        <f t="shared" si="70"/>
        <v>594113</v>
      </c>
      <c r="I69" s="835">
        <f t="shared" si="70"/>
        <v>180876838</v>
      </c>
      <c r="J69" s="44">
        <f t="shared" si="70"/>
        <v>180282725</v>
      </c>
      <c r="K69" s="44">
        <f t="shared" si="70"/>
        <v>0</v>
      </c>
      <c r="L69" s="835">
        <f t="shared" si="70"/>
        <v>180282725</v>
      </c>
      <c r="M69" s="44">
        <f t="shared" si="70"/>
        <v>-3022837</v>
      </c>
      <c r="N69" s="45">
        <f t="shared" si="70"/>
        <v>-2428724</v>
      </c>
      <c r="P69" s="43">
        <f>SUM(P70:P71)</f>
        <v>0</v>
      </c>
      <c r="Q69" s="45">
        <f>SUM(Q70:Q71)</f>
        <v>0</v>
      </c>
      <c r="R69" s="9"/>
      <c r="S69" s="688">
        <f>+IF(AGOSTO!S69=0,"",AGOSTO!S69)</f>
        <v>1020104</v>
      </c>
      <c r="T69" s="664" t="str">
        <f>+IF(AGOSTO!T69=0,"",AGOSTO!T69)</f>
        <v>Otros</v>
      </c>
      <c r="U69" s="27">
        <f t="shared" ref="U69:AJ69" si="71">SUM(U70:U80)</f>
        <v>1180972663</v>
      </c>
      <c r="V69" s="15">
        <f t="shared" si="71"/>
        <v>-300000000</v>
      </c>
      <c r="W69" s="15">
        <f t="shared" si="71"/>
        <v>0</v>
      </c>
      <c r="X69" s="18">
        <f t="shared" si="71"/>
        <v>880972663</v>
      </c>
      <c r="Y69" s="19">
        <f t="shared" si="71"/>
        <v>226711211</v>
      </c>
      <c r="Z69" s="142">
        <f t="shared" si="71"/>
        <v>5107270</v>
      </c>
      <c r="AA69" s="18">
        <f t="shared" si="71"/>
        <v>231818481</v>
      </c>
      <c r="AB69" s="19">
        <f t="shared" si="71"/>
        <v>226711211</v>
      </c>
      <c r="AC69" s="142">
        <f t="shared" si="71"/>
        <v>5107270</v>
      </c>
      <c r="AD69" s="18">
        <f t="shared" si="71"/>
        <v>231818481</v>
      </c>
      <c r="AE69" s="19">
        <f t="shared" si="71"/>
        <v>226075496</v>
      </c>
      <c r="AF69" s="142">
        <f t="shared" si="71"/>
        <v>4514732</v>
      </c>
      <c r="AG69" s="18">
        <f t="shared" si="71"/>
        <v>230590228</v>
      </c>
      <c r="AH69" s="19">
        <f t="shared" si="71"/>
        <v>649154182</v>
      </c>
      <c r="AI69" s="15">
        <f t="shared" si="71"/>
        <v>649154182</v>
      </c>
      <c r="AJ69" s="16">
        <f t="shared" si="71"/>
        <v>650382435</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+IF(AGOSTO!A70=0,"",AGOSTO!A70)</f>
        <v>1130115-1</v>
      </c>
      <c r="B70" s="629" t="str">
        <f>+CONCATENATE("Vigencia ",INSTRUCCIONES!$F$3)</f>
        <v>Vigencia 2019</v>
      </c>
      <c r="C70" s="655">
        <f>+ENERO!C70</f>
        <v>8401952</v>
      </c>
      <c r="D70" s="363">
        <f>AGOSTO!D70+SEPTIEMBRE!P70</f>
        <v>0</v>
      </c>
      <c r="E70" s="363">
        <f>AGOSTO!E70+SEPTIEMBRE!Q70</f>
        <v>46709694</v>
      </c>
      <c r="F70" s="363">
        <f>SUM(C70:E70)</f>
        <v>55111646</v>
      </c>
      <c r="G70" s="363">
        <f>AGOSTO!I70</f>
        <v>55627220</v>
      </c>
      <c r="H70" s="364">
        <v>594113</v>
      </c>
      <c r="I70" s="454">
        <f>SUM(G70:H70)</f>
        <v>56221333</v>
      </c>
      <c r="J70" s="363">
        <f>AGOSTO!L70</f>
        <v>55627220</v>
      </c>
      <c r="K70" s="364">
        <v>0</v>
      </c>
      <c r="L70" s="454">
        <f>SUM(J70:K70)</f>
        <v>55627220</v>
      </c>
      <c r="M70" s="363">
        <f>F70-I70</f>
        <v>-1109687</v>
      </c>
      <c r="N70" s="143">
        <f>F70-L70</f>
        <v>-515574</v>
      </c>
      <c r="O70" s="372"/>
      <c r="P70" s="362">
        <v>0</v>
      </c>
      <c r="Q70" s="365">
        <v>0</v>
      </c>
      <c r="R70" s="9"/>
      <c r="S70" s="689" t="str">
        <f>+IF(AGOSTO!S70=0,"",AGOSTO!S70)</f>
        <v>1020104-1</v>
      </c>
      <c r="T70" s="665" t="str">
        <f>+IF(AGOSTO!T70=0,"",AGOSTO!T70)</f>
        <v xml:space="preserve">Prima de Navidad </v>
      </c>
      <c r="U70" s="27">
        <f>+ENERO!U70</f>
        <v>352482456</v>
      </c>
      <c r="V70" s="15">
        <f>AGOSTO!V70+SEPTIEMBRE!AL70</f>
        <v>0</v>
      </c>
      <c r="W70" s="15">
        <f>AGOSTO!W70+SEPTIEMBRE!AM70</f>
        <v>0</v>
      </c>
      <c r="X70" s="18">
        <f t="shared" ref="X70:X81" si="72">SUM(U70:W70)</f>
        <v>352482456</v>
      </c>
      <c r="Y70" s="19">
        <f>AGOSTO!AA70</f>
        <v>6535451</v>
      </c>
      <c r="Z70" s="364">
        <v>340266</v>
      </c>
      <c r="AA70" s="18">
        <f t="shared" ref="AA70:AA81" si="73">SUM(Y70:Z70)</f>
        <v>6875717</v>
      </c>
      <c r="AB70" s="19">
        <f>AGOSTO!AD70</f>
        <v>6535451</v>
      </c>
      <c r="AC70" s="364">
        <v>340266</v>
      </c>
      <c r="AD70" s="18">
        <f t="shared" ref="AD70:AD81" si="74">SUM(AB70:AC70)</f>
        <v>6875717</v>
      </c>
      <c r="AE70" s="19">
        <f>AGOSTO!AG70</f>
        <v>6128658</v>
      </c>
      <c r="AF70" s="364">
        <v>0</v>
      </c>
      <c r="AG70" s="18">
        <f t="shared" ref="AG70:AG81" si="75">SUM(AE70:AF70)</f>
        <v>6128658</v>
      </c>
      <c r="AH70" s="19">
        <f t="shared" ref="AH70:AH81" si="76">X70-AA70</f>
        <v>345606739</v>
      </c>
      <c r="AI70" s="15">
        <f t="shared" ref="AI70:AI81" si="77">X70-AD70</f>
        <v>345606739</v>
      </c>
      <c r="AJ70" s="16">
        <f t="shared" ref="AJ70:AJ81" si="78">X70-AG70</f>
        <v>346353798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+IF(AGOSTO!A71=0,"",AGOSTO!A71)</f>
        <v>1130115-2</v>
      </c>
      <c r="B71" s="629" t="str">
        <f>+IF(AGOSTO!B71=0,"",AGOSTO!B71)</f>
        <v>Vigencia Anterior</v>
      </c>
      <c r="C71" s="655">
        <f>+ENERO!C71</f>
        <v>0</v>
      </c>
      <c r="D71" s="363">
        <f>AGOSTO!D71+SEPTIEMBRE!P71</f>
        <v>0</v>
      </c>
      <c r="E71" s="363">
        <f>AGOSTO!E71+SEPTIEMBRE!Q71</f>
        <v>122742355</v>
      </c>
      <c r="F71" s="363">
        <f>SUM(C71:E71)</f>
        <v>122742355</v>
      </c>
      <c r="G71" s="363">
        <f>AGOSTO!I71</f>
        <v>124655505</v>
      </c>
      <c r="H71" s="364">
        <v>0</v>
      </c>
      <c r="I71" s="454">
        <f>SUM(G71:H71)</f>
        <v>124655505</v>
      </c>
      <c r="J71" s="363">
        <f>AGOSTO!L71</f>
        <v>124655505</v>
      </c>
      <c r="K71" s="364">
        <v>0</v>
      </c>
      <c r="L71" s="454">
        <f>SUM(J71:K71)</f>
        <v>124655505</v>
      </c>
      <c r="M71" s="363">
        <f>F71-I71</f>
        <v>-1913150</v>
      </c>
      <c r="N71" s="841">
        <f>F71-L71</f>
        <v>-1913150</v>
      </c>
      <c r="O71" s="372"/>
      <c r="P71" s="362">
        <v>0</v>
      </c>
      <c r="Q71" s="365">
        <v>0</v>
      </c>
      <c r="R71" s="9"/>
      <c r="S71" s="689" t="str">
        <f>+IF(AGOSTO!S71=0,"",AGOSTO!S71)</f>
        <v>1020104-2</v>
      </c>
      <c r="T71" s="665" t="str">
        <f>+IF(AGOSTO!T71=0,"",AGOSTO!T71)</f>
        <v>Prima de Vacaciones</v>
      </c>
      <c r="U71" s="27">
        <f>+ENERO!U71</f>
        <v>180248873</v>
      </c>
      <c r="V71" s="15">
        <f>AGOSTO!V71+SEPTIEMBRE!AL71</f>
        <v>0</v>
      </c>
      <c r="W71" s="15">
        <f>AGOSTO!W71+SEPTIEMBRE!AM71</f>
        <v>0</v>
      </c>
      <c r="X71" s="18">
        <f t="shared" si="72"/>
        <v>180248873</v>
      </c>
      <c r="Y71" s="19">
        <f>AGOSTO!AA71</f>
        <v>69542253</v>
      </c>
      <c r="Z71" s="364">
        <v>2887531</v>
      </c>
      <c r="AA71" s="18">
        <f t="shared" si="73"/>
        <v>72429784</v>
      </c>
      <c r="AB71" s="19">
        <f>AGOSTO!AD71</f>
        <v>69542253</v>
      </c>
      <c r="AC71" s="364">
        <v>2887531</v>
      </c>
      <c r="AD71" s="18">
        <f t="shared" si="74"/>
        <v>72429784</v>
      </c>
      <c r="AE71" s="19">
        <f>AGOSTO!AG71</f>
        <v>69340263</v>
      </c>
      <c r="AF71" s="364">
        <v>2712830</v>
      </c>
      <c r="AG71" s="18">
        <f t="shared" si="75"/>
        <v>72053093</v>
      </c>
      <c r="AH71" s="19">
        <f t="shared" si="76"/>
        <v>107819089</v>
      </c>
      <c r="AI71" s="15">
        <f t="shared" si="77"/>
        <v>107819089</v>
      </c>
      <c r="AJ71" s="16">
        <f t="shared" si="78"/>
        <v>108195780</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+IF(AGOSTO!A72=0,"",AGOSTO!A72)</f>
        <v>1130116</v>
      </c>
      <c r="B72" s="628" t="str">
        <f>+IF(AGOSTO!B72=0,"",AGOSTO!B72)</f>
        <v>ADMINISTRADORAS DE RIESGOS LABORALES</v>
      </c>
      <c r="C72" s="43">
        <f t="shared" ref="C72:N72" si="79">SUM(C73:C74)</f>
        <v>2163183</v>
      </c>
      <c r="D72" s="44">
        <f t="shared" si="79"/>
        <v>0</v>
      </c>
      <c r="E72" s="44">
        <f t="shared" si="79"/>
        <v>23325184</v>
      </c>
      <c r="F72" s="44">
        <f t="shared" si="79"/>
        <v>25488367</v>
      </c>
      <c r="G72" s="44">
        <f t="shared" si="79"/>
        <v>41409422</v>
      </c>
      <c r="H72" s="44">
        <f t="shared" si="79"/>
        <v>17981445</v>
      </c>
      <c r="I72" s="835">
        <f t="shared" si="79"/>
        <v>59390867</v>
      </c>
      <c r="J72" s="44">
        <f t="shared" si="79"/>
        <v>27367528.690000001</v>
      </c>
      <c r="K72" s="44">
        <f t="shared" si="79"/>
        <v>20768772</v>
      </c>
      <c r="L72" s="835">
        <f t="shared" si="79"/>
        <v>48136300.689999998</v>
      </c>
      <c r="M72" s="44">
        <f t="shared" si="79"/>
        <v>-33902500</v>
      </c>
      <c r="N72" s="45">
        <f t="shared" si="79"/>
        <v>-22647933.690000001</v>
      </c>
      <c r="P72" s="43">
        <f>SUM(P73:P74)</f>
        <v>0</v>
      </c>
      <c r="Q72" s="45">
        <f>SUM(Q73:Q74)</f>
        <v>0</v>
      </c>
      <c r="R72" s="9"/>
      <c r="S72" s="689" t="str">
        <f>+IF(AGOSTO!S72=0,"",AGOSTO!S72)</f>
        <v>1020104-3</v>
      </c>
      <c r="T72" s="665" t="str">
        <f>+IF(AGOSTO!T72=0,"",AGOSTO!T72)</f>
        <v>Bonificación  por servicios prestados</v>
      </c>
      <c r="U72" s="27">
        <f>+ENERO!U72</f>
        <v>110048955</v>
      </c>
      <c r="V72" s="15">
        <f>AGOSTO!V72+SEPTIEMBRE!AL72</f>
        <v>0</v>
      </c>
      <c r="W72" s="15">
        <f>AGOSTO!W72+SEPTIEMBRE!AM72</f>
        <v>0</v>
      </c>
      <c r="X72" s="18">
        <f t="shared" si="72"/>
        <v>110048955</v>
      </c>
      <c r="Y72" s="19">
        <f>AGOSTO!AA72</f>
        <v>53504905</v>
      </c>
      <c r="Z72" s="364">
        <v>1473066</v>
      </c>
      <c r="AA72" s="18">
        <f t="shared" si="73"/>
        <v>54977971</v>
      </c>
      <c r="AB72" s="19">
        <f>AGOSTO!AD72</f>
        <v>53504905</v>
      </c>
      <c r="AC72" s="364">
        <v>1473066</v>
      </c>
      <c r="AD72" s="18">
        <f t="shared" si="74"/>
        <v>54977971</v>
      </c>
      <c r="AE72" s="19">
        <f>AGOSTO!AG72</f>
        <v>53504905</v>
      </c>
      <c r="AF72" s="364">
        <v>1456843</v>
      </c>
      <c r="AG72" s="18">
        <f t="shared" si="75"/>
        <v>54961748</v>
      </c>
      <c r="AH72" s="19">
        <f t="shared" si="76"/>
        <v>55070984</v>
      </c>
      <c r="AI72" s="15">
        <f t="shared" si="77"/>
        <v>55070984</v>
      </c>
      <c r="AJ72" s="16">
        <f t="shared" si="78"/>
        <v>55087207</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+IF(AGOSTO!A73=0,"",AGOSTO!A73)</f>
        <v>1130116-1</v>
      </c>
      <c r="B73" s="629" t="str">
        <f>+CONCATENATE("Vigencia ",INSTRUCCIONES!$F$3)</f>
        <v>Vigencia 2019</v>
      </c>
      <c r="C73" s="655">
        <f>+ENERO!C73</f>
        <v>2163183</v>
      </c>
      <c r="D73" s="363">
        <f>AGOSTO!D73+SEPTIEMBRE!P73</f>
        <v>0</v>
      </c>
      <c r="E73" s="363">
        <f>AGOSTO!E73+SEPTIEMBRE!Q73</f>
        <v>11881183</v>
      </c>
      <c r="F73" s="363">
        <f>SUM(C73:E73)</f>
        <v>14044366</v>
      </c>
      <c r="G73" s="363">
        <f>AGOSTO!I73</f>
        <v>29965421</v>
      </c>
      <c r="H73" s="364">
        <v>1084722</v>
      </c>
      <c r="I73" s="454">
        <f>SUM(G73:H73)</f>
        <v>31050143</v>
      </c>
      <c r="J73" s="363">
        <f>AGOSTO!L73</f>
        <v>15923528</v>
      </c>
      <c r="K73" s="364">
        <v>3872049</v>
      </c>
      <c r="L73" s="454">
        <f>SUM(J73:K73)</f>
        <v>19795577</v>
      </c>
      <c r="M73" s="363">
        <f>F73-I73</f>
        <v>-17005777</v>
      </c>
      <c r="N73" s="143">
        <f>F73-L73</f>
        <v>-5751211</v>
      </c>
      <c r="O73" s="372"/>
      <c r="P73" s="362">
        <v>0</v>
      </c>
      <c r="Q73" s="365">
        <v>0</v>
      </c>
      <c r="R73" s="9"/>
      <c r="S73" s="689" t="str">
        <f>+IF(AGOSTO!S73=0,"",AGOSTO!S73)</f>
        <v>1020104-4</v>
      </c>
      <c r="T73" s="665" t="str">
        <f>+IF(AGOSTO!T73=0,"",AGOSTO!T73)</f>
        <v>Prima de Servicios</v>
      </c>
      <c r="U73" s="27">
        <f>+ENERO!U73</f>
        <v>166383593</v>
      </c>
      <c r="V73" s="15">
        <f>AGOSTO!V73+SEPTIEMBRE!AL73</f>
        <v>0</v>
      </c>
      <c r="W73" s="15">
        <f>AGOSTO!W73+SEPTIEMBRE!AM73</f>
        <v>0</v>
      </c>
      <c r="X73" s="18">
        <f t="shared" si="72"/>
        <v>166383593</v>
      </c>
      <c r="Y73" s="19">
        <f>AGOSTO!AA73</f>
        <v>84675747</v>
      </c>
      <c r="Z73" s="364">
        <v>38127</v>
      </c>
      <c r="AA73" s="18">
        <f t="shared" si="73"/>
        <v>84713874</v>
      </c>
      <c r="AB73" s="19">
        <f>AGOSTO!AD73</f>
        <v>84675747</v>
      </c>
      <c r="AC73" s="364">
        <v>38127</v>
      </c>
      <c r="AD73" s="18">
        <f t="shared" si="74"/>
        <v>84713874</v>
      </c>
      <c r="AE73" s="19">
        <f>AGOSTO!AG73</f>
        <v>84675747</v>
      </c>
      <c r="AF73" s="364">
        <v>0</v>
      </c>
      <c r="AG73" s="18">
        <f t="shared" si="75"/>
        <v>84675747</v>
      </c>
      <c r="AH73" s="19">
        <f t="shared" si="76"/>
        <v>81669719</v>
      </c>
      <c r="AI73" s="15">
        <f t="shared" si="77"/>
        <v>81669719</v>
      </c>
      <c r="AJ73" s="16">
        <f t="shared" si="78"/>
        <v>81707846</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+IF(AGOSTO!A74=0,"",AGOSTO!A74)</f>
        <v>1130116-2</v>
      </c>
      <c r="B74" s="629" t="str">
        <f>+IF(AGOSTO!B74=0,"",AGOSTO!B74)</f>
        <v>Vigencia Anterior</v>
      </c>
      <c r="C74" s="655">
        <f>+ENERO!C74</f>
        <v>0</v>
      </c>
      <c r="D74" s="363">
        <f>AGOSTO!D74+SEPTIEMBRE!P74</f>
        <v>0</v>
      </c>
      <c r="E74" s="363">
        <f>AGOSTO!E74+SEPTIEMBRE!Q74</f>
        <v>11444001</v>
      </c>
      <c r="F74" s="363">
        <f>SUM(C74:E74)</f>
        <v>11444001</v>
      </c>
      <c r="G74" s="363">
        <f>AGOSTO!I74</f>
        <v>11444001</v>
      </c>
      <c r="H74" s="364">
        <v>16896723</v>
      </c>
      <c r="I74" s="454">
        <f>SUM(G74:H74)</f>
        <v>28340724</v>
      </c>
      <c r="J74" s="363">
        <f>AGOSTO!L74</f>
        <v>11444000.690000001</v>
      </c>
      <c r="K74" s="364">
        <v>16896723</v>
      </c>
      <c r="L74" s="454">
        <f>SUM(J74:K74)</f>
        <v>28340723.690000001</v>
      </c>
      <c r="M74" s="363">
        <f>F74-I74</f>
        <v>-16896723</v>
      </c>
      <c r="N74" s="841">
        <f>F74-L74</f>
        <v>-16896722.690000001</v>
      </c>
      <c r="O74" s="372"/>
      <c r="P74" s="362">
        <v>0</v>
      </c>
      <c r="Q74" s="365">
        <v>0</v>
      </c>
      <c r="R74" s="9"/>
      <c r="S74" s="689" t="str">
        <f>+IF(AGOSTO!S74=0,"",AGOSTO!S74)</f>
        <v>1020104-5</v>
      </c>
      <c r="T74" s="665" t="str">
        <f>+IF(AGOSTO!T74=0,"",AGOSTO!T74)</f>
        <v>Bonificación Convencional</v>
      </c>
      <c r="U74" s="27">
        <f>+ENERO!U74</f>
        <v>20961713</v>
      </c>
      <c r="V74" s="15">
        <f>AGOSTO!V74+SEPTIEMBRE!AL74</f>
        <v>0</v>
      </c>
      <c r="W74" s="15">
        <f>AGOSTO!W74+SEPTIEMBRE!AM74</f>
        <v>0</v>
      </c>
      <c r="X74" s="18">
        <f t="shared" si="72"/>
        <v>20961713</v>
      </c>
      <c r="Y74" s="19">
        <f>AGOSTO!AA74</f>
        <v>0</v>
      </c>
      <c r="Z74" s="364">
        <v>0</v>
      </c>
      <c r="AA74" s="18">
        <f t="shared" si="73"/>
        <v>0</v>
      </c>
      <c r="AB74" s="19">
        <f>AGOSTO!AD74</f>
        <v>0</v>
      </c>
      <c r="AC74" s="364">
        <v>0</v>
      </c>
      <c r="AD74" s="18">
        <f t="shared" si="74"/>
        <v>0</v>
      </c>
      <c r="AE74" s="19">
        <f>AGOSTO!AG74</f>
        <v>0</v>
      </c>
      <c r="AF74" s="364">
        <v>0</v>
      </c>
      <c r="AG74" s="1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+IF(AGOSTO!A75=0,"",AGOSTO!A75)</f>
        <v>1130117</v>
      </c>
      <c r="B75" s="628" t="str">
        <f>+IF(AGOSTO!B75=0,"",AGOSTO!B75)</f>
        <v>CUOTAS DE RECUPERACION</v>
      </c>
      <c r="C75" s="43">
        <f t="shared" ref="C75:N75" si="80">SUM(C76:C77)</f>
        <v>351388967</v>
      </c>
      <c r="D75" s="44">
        <f t="shared" si="80"/>
        <v>0</v>
      </c>
      <c r="E75" s="44">
        <f t="shared" si="80"/>
        <v>290623</v>
      </c>
      <c r="F75" s="44">
        <f t="shared" si="80"/>
        <v>351679590</v>
      </c>
      <c r="G75" s="44">
        <f t="shared" si="80"/>
        <v>267580923</v>
      </c>
      <c r="H75" s="44">
        <f t="shared" si="80"/>
        <v>18170565</v>
      </c>
      <c r="I75" s="835">
        <f t="shared" si="80"/>
        <v>285751488</v>
      </c>
      <c r="J75" s="44">
        <f t="shared" si="80"/>
        <v>155998578</v>
      </c>
      <c r="K75" s="44">
        <f t="shared" si="80"/>
        <v>20921076</v>
      </c>
      <c r="L75" s="835">
        <f t="shared" si="80"/>
        <v>176919654</v>
      </c>
      <c r="M75" s="44">
        <f t="shared" si="80"/>
        <v>65928102</v>
      </c>
      <c r="N75" s="45">
        <f t="shared" si="80"/>
        <v>174759936</v>
      </c>
      <c r="P75" s="43">
        <f>SUM(P76:P77)</f>
        <v>0</v>
      </c>
      <c r="Q75" s="45">
        <f>SUM(Q76:Q77)</f>
        <v>0</v>
      </c>
      <c r="R75" s="9"/>
      <c r="S75" s="689" t="str">
        <f>+IF(AGOSTO!S75=0,"",AGOSTO!S75)</f>
        <v>1020104-6</v>
      </c>
      <c r="T75" s="665" t="str">
        <f>+IF(AGOSTO!T75=0,"",AGOSTO!T75)</f>
        <v>Auxilio de Transporte</v>
      </c>
      <c r="U75" s="27">
        <f>+ENERO!U75</f>
        <v>329885360</v>
      </c>
      <c r="V75" s="15">
        <f>AGOSTO!V75+SEPTIEMBRE!AL75</f>
        <v>-300000000</v>
      </c>
      <c r="W75" s="15">
        <f>AGOSTO!W75+SEPTIEMBRE!AM75</f>
        <v>0</v>
      </c>
      <c r="X75" s="18">
        <f t="shared" si="72"/>
        <v>29885360</v>
      </c>
      <c r="Y75" s="19">
        <f>AGOSTO!AA75</f>
        <v>3687216</v>
      </c>
      <c r="Z75" s="364">
        <v>0</v>
      </c>
      <c r="AA75" s="18">
        <f t="shared" si="73"/>
        <v>3687216</v>
      </c>
      <c r="AB75" s="19">
        <f>AGOSTO!AD75</f>
        <v>3687216</v>
      </c>
      <c r="AC75" s="364">
        <v>0</v>
      </c>
      <c r="AD75" s="18">
        <f t="shared" si="74"/>
        <v>3687216</v>
      </c>
      <c r="AE75" s="19">
        <f>AGOSTO!AG75</f>
        <v>3687216</v>
      </c>
      <c r="AF75" s="364">
        <v>0</v>
      </c>
      <c r="AG75" s="18">
        <f t="shared" si="75"/>
        <v>3687216</v>
      </c>
      <c r="AH75" s="19">
        <f t="shared" si="76"/>
        <v>26198144</v>
      </c>
      <c r="AI75" s="15">
        <f t="shared" si="77"/>
        <v>26198144</v>
      </c>
      <c r="AJ75" s="16">
        <f t="shared" si="78"/>
        <v>26198144</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+IF(AGOSTO!A76=0,"",AGOSTO!A76)</f>
        <v>1130117-1</v>
      </c>
      <c r="B76" s="629" t="str">
        <f>+CONCATENATE("Vigencia ",INSTRUCCIONES!$F$3)</f>
        <v>Vigencia 2019</v>
      </c>
      <c r="C76" s="655">
        <f>+ENERO!C76</f>
        <v>351388967</v>
      </c>
      <c r="D76" s="363">
        <f>AGOSTO!D76+SEPTIEMBRE!P76</f>
        <v>0</v>
      </c>
      <c r="E76" s="363">
        <f>AGOSTO!E76+SEPTIEMBRE!Q76</f>
        <v>0</v>
      </c>
      <c r="F76" s="363">
        <f t="shared" ref="F76:F83" si="81">SUM(C76:E76)</f>
        <v>351388967</v>
      </c>
      <c r="G76" s="363">
        <f>AGOSTO!I76</f>
        <v>266495232</v>
      </c>
      <c r="H76" s="364">
        <v>18100565</v>
      </c>
      <c r="I76" s="454">
        <f t="shared" ref="I76:I83" si="82">SUM(G76:H76)</f>
        <v>284595797</v>
      </c>
      <c r="J76" s="363">
        <f>AGOSTO!L76</f>
        <v>154912887</v>
      </c>
      <c r="K76" s="364">
        <v>20851076</v>
      </c>
      <c r="L76" s="454">
        <f t="shared" ref="L76:L83" si="83">SUM(J76:K76)</f>
        <v>175763963</v>
      </c>
      <c r="M76" s="363">
        <f t="shared" ref="M76:M83" si="84">F76-I76</f>
        <v>66793170</v>
      </c>
      <c r="N76" s="143">
        <f t="shared" ref="N76:N83" si="85">F76-L76</f>
        <v>175625004</v>
      </c>
      <c r="O76" s="372"/>
      <c r="P76" s="362">
        <v>0</v>
      </c>
      <c r="Q76" s="365">
        <v>0</v>
      </c>
      <c r="R76" s="9"/>
      <c r="S76" s="689" t="str">
        <f>+IF(AGOSTO!S76=0,"",AGOSTO!S76)</f>
        <v>1020104-7</v>
      </c>
      <c r="T76" s="665" t="str">
        <f>+IF(AGOSTO!T76=0,"",AGOSTO!T76)</f>
        <v>Auxilio de Alimentación</v>
      </c>
      <c r="U76" s="27">
        <f>+ENERO!U76</f>
        <v>0</v>
      </c>
      <c r="V76" s="15">
        <f>AGOSTO!V76+SEPTIEMBRE!AL76</f>
        <v>0</v>
      </c>
      <c r="W76" s="15">
        <f>AGOSTO!W76+SEPTIEMBRE!AM76</f>
        <v>0</v>
      </c>
      <c r="X76" s="18">
        <f t="shared" si="72"/>
        <v>0</v>
      </c>
      <c r="Y76" s="19">
        <f>AGOSTO!AA76</f>
        <v>0</v>
      </c>
      <c r="Z76" s="364">
        <v>0</v>
      </c>
      <c r="AA76" s="18">
        <f t="shared" si="73"/>
        <v>0</v>
      </c>
      <c r="AB76" s="19">
        <f>AGOSTO!AD76</f>
        <v>0</v>
      </c>
      <c r="AC76" s="364">
        <v>0</v>
      </c>
      <c r="AD76" s="18">
        <f t="shared" si="74"/>
        <v>0</v>
      </c>
      <c r="AE76" s="19">
        <f>AGOSTO!AG76</f>
        <v>0</v>
      </c>
      <c r="AF76" s="364">
        <v>0</v>
      </c>
      <c r="AG76" s="1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+IF(AGOSTO!A77=0,"",AGOSTO!A77)</f>
        <v>1130117-2</v>
      </c>
      <c r="B77" s="629" t="str">
        <f>+IF(AGOSTO!B77=0,"",AGOSTO!B77)</f>
        <v>Vigencia Anterior</v>
      </c>
      <c r="C77" s="655">
        <f>+ENERO!C77</f>
        <v>0</v>
      </c>
      <c r="D77" s="363">
        <f>AGOSTO!D77+SEPTIEMBRE!P77</f>
        <v>0</v>
      </c>
      <c r="E77" s="363">
        <f>AGOSTO!E77+SEPTIEMBRE!Q77</f>
        <v>290623</v>
      </c>
      <c r="F77" s="363">
        <f t="shared" si="81"/>
        <v>290623</v>
      </c>
      <c r="G77" s="363">
        <f>AGOSTO!I77</f>
        <v>1085691</v>
      </c>
      <c r="H77" s="364">
        <v>70000</v>
      </c>
      <c r="I77" s="454">
        <f t="shared" si="82"/>
        <v>1155691</v>
      </c>
      <c r="J77" s="363">
        <f>AGOSTO!L77</f>
        <v>1085691</v>
      </c>
      <c r="K77" s="364">
        <v>70000</v>
      </c>
      <c r="L77" s="454">
        <f t="shared" si="83"/>
        <v>1155691</v>
      </c>
      <c r="M77" s="363">
        <f t="shared" si="84"/>
        <v>-865068</v>
      </c>
      <c r="N77" s="143">
        <f t="shared" si="85"/>
        <v>-865068</v>
      </c>
      <c r="O77" s="372"/>
      <c r="P77" s="362">
        <v>0</v>
      </c>
      <c r="Q77" s="365">
        <v>0</v>
      </c>
      <c r="R77" s="9"/>
      <c r="S77" s="689" t="str">
        <f>+IF(AGOSTO!S77=0,"",AGOSTO!S77)</f>
        <v>1020104-8</v>
      </c>
      <c r="T77" s="665" t="str">
        <f>+IF(AGOSTO!T77=0,"",AGOSTO!T77)</f>
        <v>Indemnizaciones por Vacaciones o Supresión de Cargos por Reestructuración</v>
      </c>
      <c r="U77" s="27">
        <f>+ENERO!U77</f>
        <v>0</v>
      </c>
      <c r="V77" s="15">
        <f>AGOSTO!V77+SEPTIEMBRE!AL77</f>
        <v>0</v>
      </c>
      <c r="W77" s="15">
        <f>AGOSTO!W77+SEPTIEMBRE!AM77</f>
        <v>0</v>
      </c>
      <c r="X77" s="18">
        <f t="shared" si="72"/>
        <v>0</v>
      </c>
      <c r="Y77" s="19">
        <f>AGOSTO!AA77</f>
        <v>0</v>
      </c>
      <c r="Z77" s="364">
        <v>0</v>
      </c>
      <c r="AA77" s="18">
        <f t="shared" si="73"/>
        <v>0</v>
      </c>
      <c r="AB77" s="19">
        <f>AGOSTO!AD77</f>
        <v>0</v>
      </c>
      <c r="AC77" s="364">
        <v>0</v>
      </c>
      <c r="AD77" s="18">
        <f t="shared" si="74"/>
        <v>0</v>
      </c>
      <c r="AE77" s="19">
        <f>AGOSTO!AG77</f>
        <v>0</v>
      </c>
      <c r="AF77" s="364">
        <v>0</v>
      </c>
      <c r="AG77" s="1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+IF(AGOSTO!A78=0,"",AGOSTO!A78)</f>
        <v>1130118</v>
      </c>
      <c r="B78" s="628" t="str">
        <f>+IF(AGOSTO!B78=0,"",AGOSTO!B78)</f>
        <v>PARTICULARES   (Venta de Contado)</v>
      </c>
      <c r="C78" s="43">
        <f>SUM(C79:C80)</f>
        <v>209613681</v>
      </c>
      <c r="D78" s="44">
        <f>SUM(D79:D80)</f>
        <v>0</v>
      </c>
      <c r="E78" s="44">
        <f>SUM(E79:E80)</f>
        <v>64732162</v>
      </c>
      <c r="F78" s="44">
        <f t="shared" si="81"/>
        <v>274345843</v>
      </c>
      <c r="G78" s="44">
        <f>SUM(G79:G80)</f>
        <v>312208657</v>
      </c>
      <c r="H78" s="44">
        <f>SUM(H79:H80)</f>
        <v>30508849</v>
      </c>
      <c r="I78" s="835">
        <f t="shared" si="82"/>
        <v>342717506</v>
      </c>
      <c r="J78" s="44">
        <f>SUM(J79:J80)</f>
        <v>312208657</v>
      </c>
      <c r="K78" s="44">
        <f>SUM(K79:K80)</f>
        <v>30508849</v>
      </c>
      <c r="L78" s="835">
        <f t="shared" si="83"/>
        <v>342717506</v>
      </c>
      <c r="M78" s="44">
        <f t="shared" si="84"/>
        <v>-68371663</v>
      </c>
      <c r="N78" s="45">
        <f t="shared" si="85"/>
        <v>-68371663</v>
      </c>
      <c r="O78" s="372"/>
      <c r="P78" s="43">
        <f>SUM(P79:P80)</f>
        <v>0</v>
      </c>
      <c r="Q78" s="45">
        <f>SUM(Q79:Q80)</f>
        <v>0</v>
      </c>
      <c r="R78" s="9"/>
      <c r="S78" s="689" t="str">
        <f>+IF(AGOSTO!S78=0,"",AGOSTO!S78)</f>
        <v>1020104-9</v>
      </c>
      <c r="T78" s="665" t="str">
        <f>+IF(AGOSTO!T78=0,"",AGOSTO!T78)</f>
        <v>Bonificación Especial por Recreación</v>
      </c>
      <c r="U78" s="27">
        <f>+ENERO!U78</f>
        <v>20961713</v>
      </c>
      <c r="V78" s="15">
        <f>AGOSTO!V78+SEPTIEMBRE!AL78</f>
        <v>0</v>
      </c>
      <c r="W78" s="15">
        <f>AGOSTO!W78+SEPTIEMBRE!AM78</f>
        <v>0</v>
      </c>
      <c r="X78" s="18">
        <f t="shared" si="72"/>
        <v>20961713</v>
      </c>
      <c r="Y78" s="19">
        <f>AGOSTO!AA78</f>
        <v>8765639</v>
      </c>
      <c r="Z78" s="364">
        <v>368280</v>
      </c>
      <c r="AA78" s="18">
        <f t="shared" si="73"/>
        <v>9133919</v>
      </c>
      <c r="AB78" s="19">
        <f>AGOSTO!AD78</f>
        <v>8765639</v>
      </c>
      <c r="AC78" s="364">
        <v>368280</v>
      </c>
      <c r="AD78" s="18">
        <f t="shared" si="74"/>
        <v>9133919</v>
      </c>
      <c r="AE78" s="19">
        <f>AGOSTO!AG78</f>
        <v>8738707</v>
      </c>
      <c r="AF78" s="364">
        <v>345059</v>
      </c>
      <c r="AG78" s="18">
        <f t="shared" si="75"/>
        <v>9083766</v>
      </c>
      <c r="AH78" s="19">
        <f t="shared" si="76"/>
        <v>11827794</v>
      </c>
      <c r="AI78" s="15">
        <f t="shared" si="77"/>
        <v>11827794</v>
      </c>
      <c r="AJ78" s="16">
        <f t="shared" si="78"/>
        <v>11877947</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+IF(AGOSTO!A79=0,"",AGOSTO!A79)</f>
        <v>1130118-1</v>
      </c>
      <c r="B79" s="629" t="str">
        <f>+CONCATENATE("Vigencia ",INSTRUCCIONES!$F$3)</f>
        <v>Vigencia 2019</v>
      </c>
      <c r="C79" s="655">
        <f>+ENERO!C79</f>
        <v>209613681</v>
      </c>
      <c r="D79" s="363">
        <f>AGOSTO!D79+SEPTIEMBRE!P79</f>
        <v>0</v>
      </c>
      <c r="E79" s="363">
        <f>AGOSTO!E79+SEPTIEMBRE!Q79</f>
        <v>45457613</v>
      </c>
      <c r="F79" s="363">
        <f t="shared" si="81"/>
        <v>255071294</v>
      </c>
      <c r="G79" s="363">
        <f>AGOSTO!I79</f>
        <v>292719108</v>
      </c>
      <c r="H79" s="364">
        <f>20829903+9611998</f>
        <v>30441901</v>
      </c>
      <c r="I79" s="454">
        <f t="shared" si="82"/>
        <v>323161009</v>
      </c>
      <c r="J79" s="363">
        <f>AGOSTO!L79</f>
        <v>292719108</v>
      </c>
      <c r="K79" s="364">
        <v>30441901</v>
      </c>
      <c r="L79" s="454">
        <f t="shared" si="83"/>
        <v>323161009</v>
      </c>
      <c r="M79" s="363">
        <f t="shared" si="84"/>
        <v>-68089715</v>
      </c>
      <c r="N79" s="143">
        <f t="shared" si="85"/>
        <v>-68089715</v>
      </c>
      <c r="P79" s="362">
        <v>0</v>
      </c>
      <c r="Q79" s="365">
        <v>0</v>
      </c>
      <c r="R79" s="9"/>
      <c r="S79" s="689" t="str">
        <f>+IF(AGOSTO!S79=0,"",AGOSTO!S79)</f>
        <v>1020104-10</v>
      </c>
      <c r="T79" s="665" t="str">
        <f>+IF(AGOSTO!T79=0,"",AGOSTO!T79)</f>
        <v/>
      </c>
      <c r="U79" s="27">
        <f>+ENERO!U79</f>
        <v>0</v>
      </c>
      <c r="V79" s="15">
        <f>AGOSTO!V79+SEPTIEMBRE!AL79</f>
        <v>0</v>
      </c>
      <c r="W79" s="15">
        <f>AGOSTO!W79+SEPTIEMBRE!AM79</f>
        <v>0</v>
      </c>
      <c r="X79" s="18">
        <f t="shared" si="72"/>
        <v>0</v>
      </c>
      <c r="Y79" s="19">
        <f>AGOSTO!AA79</f>
        <v>0</v>
      </c>
      <c r="Z79" s="364">
        <v>0</v>
      </c>
      <c r="AA79" s="18">
        <f t="shared" si="73"/>
        <v>0</v>
      </c>
      <c r="AB79" s="19">
        <f>AGOSTO!AD79</f>
        <v>0</v>
      </c>
      <c r="AC79" s="364">
        <v>0</v>
      </c>
      <c r="AD79" s="18">
        <f t="shared" si="74"/>
        <v>0</v>
      </c>
      <c r="AE79" s="19">
        <f>AGOSTO!AG79</f>
        <v>0</v>
      </c>
      <c r="AF79" s="364">
        <v>0</v>
      </c>
      <c r="AG79" s="1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+IF(AGOSTO!A80=0,"",AGOSTO!A80)</f>
        <v>1130118-2</v>
      </c>
      <c r="B80" s="629" t="str">
        <f>+IF(AGOSTO!B80=0,"",AGOSTO!B80)</f>
        <v>Vigencia Anterior</v>
      </c>
      <c r="C80" s="655">
        <f>+ENERO!C80</f>
        <v>0</v>
      </c>
      <c r="D80" s="363">
        <f>AGOSTO!D80+SEPTIEMBRE!P80</f>
        <v>0</v>
      </c>
      <c r="E80" s="363">
        <f>AGOSTO!E80+SEPTIEMBRE!Q80</f>
        <v>19274549</v>
      </c>
      <c r="F80" s="363">
        <f t="shared" si="81"/>
        <v>19274549</v>
      </c>
      <c r="G80" s="363">
        <f>AGOSTO!I80</f>
        <v>19489549</v>
      </c>
      <c r="H80" s="364">
        <v>66948</v>
      </c>
      <c r="I80" s="454">
        <f t="shared" si="82"/>
        <v>19556497</v>
      </c>
      <c r="J80" s="363">
        <f>AGOSTO!L80</f>
        <v>19489549</v>
      </c>
      <c r="K80" s="364">
        <v>66948</v>
      </c>
      <c r="L80" s="454">
        <f t="shared" si="83"/>
        <v>19556497</v>
      </c>
      <c r="M80" s="363">
        <f t="shared" si="84"/>
        <v>-281948</v>
      </c>
      <c r="N80" s="143">
        <f t="shared" si="85"/>
        <v>-281948</v>
      </c>
      <c r="O80" s="372"/>
      <c r="P80" s="362">
        <v>0</v>
      </c>
      <c r="Q80" s="365">
        <v>0</v>
      </c>
      <c r="S80" s="689" t="str">
        <f>+IF(AGOSTO!S80=0,"",AGOSTO!S80)</f>
        <v>1020104-11</v>
      </c>
      <c r="T80" s="665" t="str">
        <f>+IF(AGOSTO!T80=0,"",AGOSTO!T80)</f>
        <v/>
      </c>
      <c r="U80" s="27">
        <f>+ENERO!U80</f>
        <v>0</v>
      </c>
      <c r="V80" s="15">
        <f>AGOSTO!V80+SEPTIEMBRE!AL80</f>
        <v>0</v>
      </c>
      <c r="W80" s="15">
        <f>AGOSTO!W80+SEPTIEMBRE!AM80</f>
        <v>0</v>
      </c>
      <c r="X80" s="18">
        <f t="shared" si="72"/>
        <v>0</v>
      </c>
      <c r="Y80" s="19">
        <f>AGOSTO!AA80</f>
        <v>0</v>
      </c>
      <c r="Z80" s="364">
        <v>0</v>
      </c>
      <c r="AA80" s="18">
        <f t="shared" si="73"/>
        <v>0</v>
      </c>
      <c r="AB80" s="19">
        <f>AGOSTO!AD80</f>
        <v>0</v>
      </c>
      <c r="AC80" s="364">
        <v>0</v>
      </c>
      <c r="AD80" s="18">
        <f t="shared" si="74"/>
        <v>0</v>
      </c>
      <c r="AE80" s="19">
        <f>AGOSTO!AG80</f>
        <v>0</v>
      </c>
      <c r="AF80" s="364">
        <v>0</v>
      </c>
      <c r="AG80" s="1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c r="A81" s="714">
        <f>+IF(AGOSTO!A81=0,"",AGOSTO!A81)</f>
        <v>1130119</v>
      </c>
      <c r="B81" s="632" t="str">
        <f>+IF(AGOSTO!B81=0,"",AGOSTO!B81)</f>
        <v>Digitar nombre de Nuevo Rubro. Si lo Requiere</v>
      </c>
      <c r="C81" s="43">
        <f>ENERO!C81</f>
        <v>0</v>
      </c>
      <c r="D81" s="44">
        <f t="shared" ref="D81:Q81" si="86">SUM(D82:D83)</f>
        <v>0</v>
      </c>
      <c r="E81" s="44">
        <f t="shared" si="86"/>
        <v>0</v>
      </c>
      <c r="F81" s="44">
        <f t="shared" si="86"/>
        <v>0</v>
      </c>
      <c r="G81" s="44">
        <f t="shared" si="86"/>
        <v>0</v>
      </c>
      <c r="H81" s="44">
        <f t="shared" si="86"/>
        <v>0</v>
      </c>
      <c r="I81" s="835">
        <f t="shared" si="86"/>
        <v>0</v>
      </c>
      <c r="J81" s="44">
        <f t="shared" si="86"/>
        <v>0</v>
      </c>
      <c r="K81" s="44">
        <f t="shared" si="86"/>
        <v>0</v>
      </c>
      <c r="L81" s="835">
        <f t="shared" si="86"/>
        <v>0</v>
      </c>
      <c r="M81" s="44">
        <f t="shared" si="86"/>
        <v>0</v>
      </c>
      <c r="N81" s="45">
        <f t="shared" si="86"/>
        <v>0</v>
      </c>
      <c r="P81" s="43">
        <f t="shared" si="86"/>
        <v>0</v>
      </c>
      <c r="Q81" s="45">
        <f t="shared" si="86"/>
        <v>0</v>
      </c>
      <c r="R81" s="9"/>
      <c r="S81" s="688">
        <f>+IF(AGOSTO!S81=0,"",AGOSTO!S81)</f>
        <v>1020199</v>
      </c>
      <c r="T81" s="664" t="str">
        <f>+IF(AGOSTO!T81=0,"",AGOSTO!T81)</f>
        <v>Vigencias Anteriores</v>
      </c>
      <c r="U81" s="27">
        <f>+ENERO!U81</f>
        <v>0</v>
      </c>
      <c r="V81" s="15">
        <f>AGOSTO!V81+SEPTIEMBRE!AL81</f>
        <v>0</v>
      </c>
      <c r="W81" s="15">
        <f>AGOSTO!W81+SEPTIEMBRE!AM81</f>
        <v>0</v>
      </c>
      <c r="X81" s="18">
        <f t="shared" si="72"/>
        <v>0</v>
      </c>
      <c r="Y81" s="19">
        <f>AGOSTO!AA81</f>
        <v>0</v>
      </c>
      <c r="Z81" s="364">
        <v>0</v>
      </c>
      <c r="AA81" s="18">
        <f t="shared" si="73"/>
        <v>0</v>
      </c>
      <c r="AB81" s="19">
        <f>AGOSTO!AD81</f>
        <v>0</v>
      </c>
      <c r="AC81" s="364">
        <v>0</v>
      </c>
      <c r="AD81" s="18">
        <f t="shared" si="74"/>
        <v>0</v>
      </c>
      <c r="AE81" s="19">
        <f>AGOSTO!AG81</f>
        <v>0</v>
      </c>
      <c r="AF81" s="364">
        <v>0</v>
      </c>
      <c r="AG81" s="1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+IF(AGOSTO!A82=0,"",AGOSTO!A82)</f>
        <v>1130119-1</v>
      </c>
      <c r="B82" s="629" t="str">
        <f>+CONCATENATE("Vigencia ",INSTRUCCIONES!$F$3)</f>
        <v>Vigencia 2019</v>
      </c>
      <c r="C82" s="655">
        <f>+ENERO!C82</f>
        <v>0</v>
      </c>
      <c r="D82" s="363">
        <f>AGOSTO!D82+SEPTIEMBRE!P82</f>
        <v>0</v>
      </c>
      <c r="E82" s="363">
        <f>AGOSTO!E82+SEPTIEMBRE!Q82</f>
        <v>0</v>
      </c>
      <c r="F82" s="363">
        <f t="shared" si="81"/>
        <v>0</v>
      </c>
      <c r="G82" s="363">
        <f>AGOSTO!I82</f>
        <v>0</v>
      </c>
      <c r="H82" s="364">
        <v>0</v>
      </c>
      <c r="I82" s="454">
        <f t="shared" si="82"/>
        <v>0</v>
      </c>
      <c r="J82" s="363">
        <f>AGOSTO!L82</f>
        <v>0</v>
      </c>
      <c r="K82" s="364">
        <v>0</v>
      </c>
      <c r="L82" s="454">
        <f t="shared" si="83"/>
        <v>0</v>
      </c>
      <c r="M82" s="363">
        <f t="shared" si="84"/>
        <v>0</v>
      </c>
      <c r="N82" s="143">
        <f t="shared" si="85"/>
        <v>0</v>
      </c>
      <c r="P82" s="362">
        <v>0</v>
      </c>
      <c r="Q82" s="365">
        <v>0</v>
      </c>
      <c r="R82" s="9"/>
      <c r="S82" s="356" t="str">
        <f>+IF(AGOSTO!S82=0,"",AGOSTO!S82)</f>
        <v/>
      </c>
      <c r="T82" s="678" t="str">
        <f>+IF(AGOSTO!T82=0,"",AGOSTO!T82)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+IF(AGOSTO!A83=0,"",AGOSTO!A83)</f>
        <v>1130119-2</v>
      </c>
      <c r="B83" s="633" t="str">
        <f>+IF(AGOSTO!B83=0,"",AGOSTO!B83)</f>
        <v>Vigencia Anterior</v>
      </c>
      <c r="C83" s="759">
        <f>+ENERO!C83</f>
        <v>0</v>
      </c>
      <c r="D83" s="375">
        <f>AGOSTO!D83+SEPTIEMBRE!P83</f>
        <v>0</v>
      </c>
      <c r="E83" s="375">
        <f>AGOSTO!E83+SEPTIEMBRE!Q83</f>
        <v>0</v>
      </c>
      <c r="F83" s="375">
        <f t="shared" si="81"/>
        <v>0</v>
      </c>
      <c r="G83" s="375">
        <f>AGOSTO!I83</f>
        <v>0</v>
      </c>
      <c r="H83" s="378">
        <v>0</v>
      </c>
      <c r="I83" s="452">
        <f t="shared" si="82"/>
        <v>0</v>
      </c>
      <c r="J83" s="375">
        <f>AGOSTO!L83</f>
        <v>0</v>
      </c>
      <c r="K83" s="378">
        <v>0</v>
      </c>
      <c r="L83" s="452">
        <f t="shared" si="83"/>
        <v>0</v>
      </c>
      <c r="M83" s="375">
        <f t="shared" si="84"/>
        <v>0</v>
      </c>
      <c r="N83" s="376">
        <f t="shared" si="85"/>
        <v>0</v>
      </c>
      <c r="P83" s="362">
        <v>0</v>
      </c>
      <c r="Q83" s="365">
        <v>0</v>
      </c>
      <c r="R83" s="9"/>
      <c r="S83" s="687">
        <f>+IF(AGOSTO!S83=0,"",AGOSTO!S83)</f>
        <v>1020200</v>
      </c>
      <c r="T83" s="663" t="str">
        <f>+IF(AGOSTO!T83=0,"",AGOSTO!T83)</f>
        <v>Servicios Personales Indirectos</v>
      </c>
      <c r="U83" s="132">
        <f t="shared" ref="U83:AJ83" si="87">SUM(U84:U88)</f>
        <v>21292467542</v>
      </c>
      <c r="V83" s="122">
        <f t="shared" si="87"/>
        <v>500000000</v>
      </c>
      <c r="W83" s="122">
        <f t="shared" si="87"/>
        <v>1696603003</v>
      </c>
      <c r="X83" s="129">
        <f t="shared" si="87"/>
        <v>23489070545</v>
      </c>
      <c r="Y83" s="128">
        <f t="shared" si="87"/>
        <v>23150127129</v>
      </c>
      <c r="Z83" s="122">
        <f t="shared" si="87"/>
        <v>21175000</v>
      </c>
      <c r="AA83" s="129">
        <f t="shared" si="87"/>
        <v>23171302129</v>
      </c>
      <c r="AB83" s="128">
        <f t="shared" si="87"/>
        <v>16934594323</v>
      </c>
      <c r="AC83" s="122">
        <f t="shared" si="87"/>
        <v>1444353134</v>
      </c>
      <c r="AD83" s="129">
        <f t="shared" si="87"/>
        <v>18378947457</v>
      </c>
      <c r="AE83" s="128">
        <f t="shared" si="87"/>
        <v>10281369761</v>
      </c>
      <c r="AF83" s="122">
        <f t="shared" si="87"/>
        <v>1833754961</v>
      </c>
      <c r="AG83" s="129">
        <f t="shared" si="87"/>
        <v>12115124722</v>
      </c>
      <c r="AH83" s="128">
        <f t="shared" si="87"/>
        <v>317768416</v>
      </c>
      <c r="AI83" s="122">
        <f t="shared" si="87"/>
        <v>5110123088</v>
      </c>
      <c r="AJ83" s="130">
        <f t="shared" si="87"/>
        <v>11373945823</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+IF(AGOSTO!A84=0,"",AGOSTO!A84)</f>
        <v/>
      </c>
      <c r="B84" s="634" t="str">
        <f>+IF(AGOSTO!B84=0,"",AGOSTO!B84)</f>
        <v/>
      </c>
      <c r="C84" s="284"/>
      <c r="D84" s="284"/>
      <c r="E84" s="284"/>
      <c r="F84" s="284"/>
      <c r="G84" s="284"/>
      <c r="H84" s="284"/>
      <c r="I84" s="450"/>
      <c r="J84" s="284"/>
      <c r="K84" s="284"/>
      <c r="L84" s="450"/>
      <c r="M84" s="284"/>
      <c r="N84" s="453"/>
      <c r="O84" s="451"/>
      <c r="P84" s="457"/>
      <c r="Q84" s="381"/>
      <c r="R84" s="9"/>
      <c r="S84" s="688" t="str">
        <f>+IF(AGOSTO!S84=0,"",AGOSTO!S84)</f>
        <v>1020200-1</v>
      </c>
      <c r="T84" s="664" t="str">
        <f>+IF(AGOSTO!T84=0,"",AGOSTO!T84)</f>
        <v>Remuneración y Honorarios por Servicios Técnicos y Profesionales</v>
      </c>
      <c r="U84" s="27">
        <f>+ENERO!U84</f>
        <v>304448100</v>
      </c>
      <c r="V84" s="15">
        <f>AGOSTO!V84+SEPTIEMBRE!AL84</f>
        <v>230000000</v>
      </c>
      <c r="W84" s="15">
        <f>AGOSTO!W84+SEPTIEMBRE!AM84</f>
        <v>146603003</v>
      </c>
      <c r="X84" s="18">
        <f>SUM(U84:W84)</f>
        <v>681051103</v>
      </c>
      <c r="Y84" s="19">
        <f>AGOSTO!AA84</f>
        <v>600747340</v>
      </c>
      <c r="Z84" s="364">
        <v>14175000</v>
      </c>
      <c r="AA84" s="18">
        <f>SUM(Y84:Z84)</f>
        <v>614922340</v>
      </c>
      <c r="AB84" s="19">
        <f>AGOSTO!AD84</f>
        <v>278964557</v>
      </c>
      <c r="AC84" s="364">
        <v>54809367</v>
      </c>
      <c r="AD84" s="18">
        <f>SUM(AB84:AC84)</f>
        <v>333773924</v>
      </c>
      <c r="AE84" s="19">
        <f>AGOSTO!AG84</f>
        <v>181702918</v>
      </c>
      <c r="AF84" s="364">
        <v>64238215</v>
      </c>
      <c r="AG84" s="18">
        <f>SUM(AE84:AF84)</f>
        <v>245941133</v>
      </c>
      <c r="AH84" s="19">
        <f>X84-AA84</f>
        <v>66128763</v>
      </c>
      <c r="AI84" s="15">
        <f>X84-AD84</f>
        <v>347277179</v>
      </c>
      <c r="AJ84" s="16">
        <f>X84-AG84</f>
        <v>435109970</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+IF(AGOSTO!A85=0,"",AGOSTO!A85)</f>
        <v>11302</v>
      </c>
      <c r="B85" s="635" t="str">
        <f>+IF(AGOSTO!B85=0,"",AGOSTO!B85)</f>
        <v>Otras Ventas de Servicios de Salud</v>
      </c>
      <c r="C85" s="600">
        <f t="shared" ref="C85:N85" si="88">SUM(C86:C92)</f>
        <v>0</v>
      </c>
      <c r="D85" s="598">
        <f t="shared" si="88"/>
        <v>0</v>
      </c>
      <c r="E85" s="598">
        <f t="shared" si="88"/>
        <v>12200562275</v>
      </c>
      <c r="F85" s="598">
        <f t="shared" si="88"/>
        <v>12200562275</v>
      </c>
      <c r="G85" s="598">
        <f t="shared" si="88"/>
        <v>5458875616</v>
      </c>
      <c r="H85" s="598">
        <f t="shared" si="88"/>
        <v>1098094750</v>
      </c>
      <c r="I85" s="836">
        <f t="shared" si="88"/>
        <v>6556970366</v>
      </c>
      <c r="J85" s="598">
        <f t="shared" si="88"/>
        <v>3996679779</v>
      </c>
      <c r="K85" s="598">
        <f t="shared" si="88"/>
        <v>530540380</v>
      </c>
      <c r="L85" s="836">
        <f t="shared" si="88"/>
        <v>4527220159</v>
      </c>
      <c r="M85" s="598">
        <f t="shared" si="88"/>
        <v>5643591909</v>
      </c>
      <c r="N85" s="599">
        <f t="shared" si="88"/>
        <v>7673342116</v>
      </c>
      <c r="P85" s="43">
        <f>SUM(P86:P92)</f>
        <v>0</v>
      </c>
      <c r="Q85" s="45">
        <f>SUM(Q86:Q92)</f>
        <v>0</v>
      </c>
      <c r="R85" s="9"/>
      <c r="S85" s="688" t="str">
        <f>+IF(AGOSTO!S85=0,"",AGOSTO!S85)</f>
        <v>1020200-2</v>
      </c>
      <c r="T85" s="664" t="str">
        <f>+IF(AGOSTO!T85=0,"",AGOSTO!T85)</f>
        <v>Personal Supernumerario</v>
      </c>
      <c r="U85" s="27">
        <f>+ENERO!U85</f>
        <v>0</v>
      </c>
      <c r="V85" s="15">
        <f>AGOSTO!V85+SEPTIEMBRE!AL85</f>
        <v>0</v>
      </c>
      <c r="W85" s="15">
        <f>AGOSTO!W85+SEPTIEMBRE!AM85</f>
        <v>0</v>
      </c>
      <c r="X85" s="18">
        <f>SUM(U85:W85)</f>
        <v>0</v>
      </c>
      <c r="Y85" s="19">
        <f>AGOSTO!AA85</f>
        <v>0</v>
      </c>
      <c r="Z85" s="364">
        <v>0</v>
      </c>
      <c r="AA85" s="18">
        <f>SUM(Y85:Z85)</f>
        <v>0</v>
      </c>
      <c r="AB85" s="19">
        <f>AGOSTO!AD85</f>
        <v>0</v>
      </c>
      <c r="AC85" s="364">
        <v>0</v>
      </c>
      <c r="AD85" s="18">
        <f>SUM(AB85:AC85)</f>
        <v>0</v>
      </c>
      <c r="AE85" s="19">
        <f>AGOSTO!AG85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+IF(AGOSTO!A86=0,"",AGOSTO!A86)</f>
        <v>1130201</v>
      </c>
      <c r="B86" s="609" t="str">
        <f>+IF(AGOSTO!B86=0,"",AGOSTO!B86)</f>
        <v/>
      </c>
      <c r="C86" s="654">
        <f>+ENERO!C86</f>
        <v>0</v>
      </c>
      <c r="D86" s="363">
        <f>AGOSTO!D86+SEPTIEMBRE!P86</f>
        <v>0</v>
      </c>
      <c r="E86" s="363">
        <f>AGOSTO!E86+SEPTIEMBRE!Q86</f>
        <v>0</v>
      </c>
      <c r="F86" s="363">
        <f t="shared" ref="F86:F92" si="89">SUM(C86:E86)</f>
        <v>0</v>
      </c>
      <c r="G86" s="363">
        <f>AGOSTO!I86</f>
        <v>0</v>
      </c>
      <c r="H86" s="364">
        <v>0</v>
      </c>
      <c r="I86" s="454">
        <f t="shared" ref="I86:I92" si="90">SUM(G86:H86)</f>
        <v>0</v>
      </c>
      <c r="J86" s="363">
        <f>AGOSTO!L86</f>
        <v>0</v>
      </c>
      <c r="K86" s="364">
        <v>0</v>
      </c>
      <c r="L86" s="454">
        <f t="shared" ref="L86:L92" si="91">SUM(J86:K86)</f>
        <v>0</v>
      </c>
      <c r="M86" s="363">
        <f t="shared" ref="M86:M92" si="92">F86-I86</f>
        <v>0</v>
      </c>
      <c r="N86" s="143">
        <f t="shared" ref="N86:N92" si="93">F86-L86</f>
        <v>0</v>
      </c>
      <c r="O86" s="372"/>
      <c r="P86" s="362">
        <v>0</v>
      </c>
      <c r="Q86" s="365">
        <v>0</v>
      </c>
      <c r="R86" s="9">
        <v>0</v>
      </c>
      <c r="S86" s="688" t="str">
        <f>+IF(AGOSTO!S86=0,"",AGOSTO!S86)</f>
        <v>1020200-3</v>
      </c>
      <c r="T86" s="664" t="str">
        <f>+IF(AGOSTO!T86=0,"",AGOSTO!T86)</f>
        <v>Otros Honorarios</v>
      </c>
      <c r="U86" s="27">
        <f>+ENERO!U86</f>
        <v>18988019442</v>
      </c>
      <c r="V86" s="15">
        <f>AGOSTO!V86+SEPTIEMBRE!AL86</f>
        <v>-1230000000</v>
      </c>
      <c r="W86" s="15">
        <f>AGOSTO!W86+SEPTIEMBRE!AM86</f>
        <v>50000000</v>
      </c>
      <c r="X86" s="18">
        <f>SUM(U86:W86)</f>
        <v>17808019442</v>
      </c>
      <c r="Y86" s="19">
        <f>AGOSTO!AA86</f>
        <v>17550719618</v>
      </c>
      <c r="Z86" s="364">
        <v>7000000</v>
      </c>
      <c r="AA86" s="18">
        <f>SUM(Y86:Z86)</f>
        <v>17557719618</v>
      </c>
      <c r="AB86" s="19">
        <f>AGOSTO!AD86</f>
        <v>11656969595</v>
      </c>
      <c r="AC86" s="364">
        <v>1389543767</v>
      </c>
      <c r="AD86" s="18">
        <f>SUM(AB86:AC86)</f>
        <v>13046513362</v>
      </c>
      <c r="AE86" s="19">
        <f>AGOSTO!AG86</f>
        <v>5101006672</v>
      </c>
      <c r="AF86" s="364">
        <v>1769516746</v>
      </c>
      <c r="AG86" s="18">
        <f>SUM(AE86:AF86)</f>
        <v>6870523418</v>
      </c>
      <c r="AH86" s="19">
        <f>X86-AA86</f>
        <v>250299824</v>
      </c>
      <c r="AI86" s="15">
        <f>X86-AD86</f>
        <v>4761506080</v>
      </c>
      <c r="AJ86" s="16">
        <f>X86-AG86</f>
        <v>10937496024</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c r="A87" s="719">
        <f>+IF(AGOSTO!A87=0,"",AGOSTO!A87)</f>
        <v>1130202</v>
      </c>
      <c r="B87" s="609" t="str">
        <f>+IF(AGOSTO!B87=0,"",AGOSTO!B87)</f>
        <v/>
      </c>
      <c r="C87" s="654">
        <f>+ENERO!C87</f>
        <v>0</v>
      </c>
      <c r="D87" s="363">
        <f>AGOSTO!D87+SEPTIEMBRE!P87</f>
        <v>0</v>
      </c>
      <c r="E87" s="363">
        <f>AGOSTO!E87+SEPTIEMBRE!Q87</f>
        <v>0</v>
      </c>
      <c r="F87" s="363">
        <f t="shared" si="89"/>
        <v>0</v>
      </c>
      <c r="G87" s="363">
        <f>AGOSTO!I87</f>
        <v>0</v>
      </c>
      <c r="H87" s="364">
        <v>0</v>
      </c>
      <c r="I87" s="454">
        <f t="shared" si="90"/>
        <v>0</v>
      </c>
      <c r="J87" s="363">
        <f>AGOSTO!L87</f>
        <v>0</v>
      </c>
      <c r="K87" s="364">
        <v>0</v>
      </c>
      <c r="L87" s="454">
        <f t="shared" si="91"/>
        <v>0</v>
      </c>
      <c r="M87" s="363">
        <f t="shared" si="92"/>
        <v>0</v>
      </c>
      <c r="N87" s="143">
        <f t="shared" si="93"/>
        <v>0</v>
      </c>
      <c r="P87" s="362">
        <v>0</v>
      </c>
      <c r="Q87" s="365">
        <v>0</v>
      </c>
      <c r="R87" s="9"/>
      <c r="S87" s="688" t="str">
        <f>+IF(AGOSTO!S87=0,"",AGOSTO!S87)</f>
        <v>1020200-4</v>
      </c>
      <c r="T87" s="664" t="str">
        <f>+IF(AGOSTO!T87=0,"",AGOSTO!T87)</f>
        <v/>
      </c>
      <c r="U87" s="27">
        <f>+ENERO!U87</f>
        <v>0</v>
      </c>
      <c r="V87" s="15">
        <f>AGOSTO!V87+SEPTIEMBRE!AL87</f>
        <v>0</v>
      </c>
      <c r="W87" s="15">
        <f>AGOSTO!W87+SEPTIEMBRE!AM87</f>
        <v>0</v>
      </c>
      <c r="X87" s="18">
        <f>SUM(U87:W87)</f>
        <v>0</v>
      </c>
      <c r="Y87" s="19">
        <f>AGOSTO!AA87</f>
        <v>0</v>
      </c>
      <c r="Z87" s="364">
        <v>0</v>
      </c>
      <c r="AA87" s="18">
        <f>SUM(Y87:Z87)</f>
        <v>0</v>
      </c>
      <c r="AB87" s="19">
        <f>AGOSTO!AD87</f>
        <v>0</v>
      </c>
      <c r="AC87" s="364">
        <v>0</v>
      </c>
      <c r="AD87" s="18">
        <f>SUM(AB87:AC87)</f>
        <v>0</v>
      </c>
      <c r="AE87" s="19">
        <f>AGOSTO!AG87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+IF(AGOSTO!A88=0,"",AGOSTO!A88)</f>
        <v>1130203</v>
      </c>
      <c r="B88" s="610" t="str">
        <f>+IF(AGOSTO!B88=0,"",AGOSTO!B88)</f>
        <v>CONVENIOS CON LA NACION LIGADOS A LA VENTA DE SERVICIOS</v>
      </c>
      <c r="C88" s="654">
        <f>+ENERO!C88</f>
        <v>0</v>
      </c>
      <c r="D88" s="363">
        <f>AGOSTO!D88+SEPTIEMBRE!P88</f>
        <v>0</v>
      </c>
      <c r="E88" s="363">
        <f>AGOSTO!E88+SEPTIEMBRE!Q88</f>
        <v>222386275</v>
      </c>
      <c r="F88" s="363">
        <f t="shared" si="89"/>
        <v>222386275</v>
      </c>
      <c r="G88" s="363">
        <f>AGOSTO!I88</f>
        <v>155791839</v>
      </c>
      <c r="H88" s="364">
        <v>12131380</v>
      </c>
      <c r="I88" s="454">
        <f t="shared" si="90"/>
        <v>167923219</v>
      </c>
      <c r="J88" s="363">
        <f>AGOSTO!L88</f>
        <v>155791839</v>
      </c>
      <c r="K88" s="364">
        <v>12131380</v>
      </c>
      <c r="L88" s="454">
        <f t="shared" si="91"/>
        <v>167923219</v>
      </c>
      <c r="M88" s="363">
        <f t="shared" si="92"/>
        <v>54463056</v>
      </c>
      <c r="N88" s="143">
        <f t="shared" si="93"/>
        <v>54463056</v>
      </c>
      <c r="P88" s="362">
        <v>0</v>
      </c>
      <c r="Q88" s="365">
        <v>0</v>
      </c>
      <c r="R88" s="9"/>
      <c r="S88" s="688">
        <f>+IF(AGOSTO!S88=0,"",AGOSTO!S88)</f>
        <v>1020299</v>
      </c>
      <c r="T88" s="664" t="str">
        <f>+IF(AGOSTO!T88=0,"",AGOSTO!T88)</f>
        <v>Vigencias Anteriores</v>
      </c>
      <c r="U88" s="27">
        <f>+ENERO!U88</f>
        <v>2000000000</v>
      </c>
      <c r="V88" s="15">
        <f>AGOSTO!V88+SEPTIEMBRE!AL88</f>
        <v>1500000000</v>
      </c>
      <c r="W88" s="15">
        <f>AGOSTO!W88+SEPTIEMBRE!AM88</f>
        <v>1500000000</v>
      </c>
      <c r="X88" s="18">
        <f>SUM(U88:W88)</f>
        <v>5000000000</v>
      </c>
      <c r="Y88" s="19">
        <f>AGOSTO!AA88</f>
        <v>4998660171</v>
      </c>
      <c r="Z88" s="364">
        <v>0</v>
      </c>
      <c r="AA88" s="18">
        <f>SUM(Y88:Z88)</f>
        <v>4998660171</v>
      </c>
      <c r="AB88" s="19">
        <f>AGOSTO!AD88</f>
        <v>4998660171</v>
      </c>
      <c r="AC88" s="364">
        <v>0</v>
      </c>
      <c r="AD88" s="18">
        <f>SUM(AB88:AC88)</f>
        <v>4998660171</v>
      </c>
      <c r="AE88" s="19">
        <f>AGOSTO!AG88</f>
        <v>4998660171</v>
      </c>
      <c r="AF88" s="364">
        <v>0</v>
      </c>
      <c r="AG88" s="18">
        <f>SUM(AE88:AF88)</f>
        <v>4998660171</v>
      </c>
      <c r="AH88" s="19">
        <f>X88-AA88</f>
        <v>1339829</v>
      </c>
      <c r="AI88" s="15">
        <f>X88-AD88</f>
        <v>1339829</v>
      </c>
      <c r="AJ88" s="16">
        <f>X88-AG88</f>
        <v>1339829</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+IF(AGOSTO!A89=0,"",AGOSTO!A89)</f>
        <v>1130204</v>
      </c>
      <c r="B89" s="610" t="str">
        <f>+IF(AGOSTO!B89=0,"",AGOSTO!B89)</f>
        <v>CONVENIOS CON EL DEPARTAMENTO LIGADOS A LA VENTA SERVICIOS</v>
      </c>
      <c r="C89" s="654">
        <f>+ENERO!C89</f>
        <v>0</v>
      </c>
      <c r="D89" s="363">
        <f>AGOSTO!D89+SEPTIEMBRE!P89</f>
        <v>0</v>
      </c>
      <c r="E89" s="363">
        <f>AGOSTO!E89+SEPTIEMBRE!Q89</f>
        <v>0</v>
      </c>
      <c r="F89" s="363">
        <f t="shared" si="89"/>
        <v>0</v>
      </c>
      <c r="G89" s="363">
        <f>AGOSTO!I89</f>
        <v>0</v>
      </c>
      <c r="H89" s="364">
        <v>0</v>
      </c>
      <c r="I89" s="454">
        <f t="shared" si="90"/>
        <v>0</v>
      </c>
      <c r="J89" s="363">
        <f>AGOSTO!L89</f>
        <v>0</v>
      </c>
      <c r="K89" s="364">
        <v>0</v>
      </c>
      <c r="L89" s="454">
        <f t="shared" si="91"/>
        <v>0</v>
      </c>
      <c r="M89" s="363">
        <f t="shared" si="92"/>
        <v>0</v>
      </c>
      <c r="N89" s="143">
        <f t="shared" si="93"/>
        <v>0</v>
      </c>
      <c r="P89" s="362">
        <v>0</v>
      </c>
      <c r="Q89" s="365">
        <v>0</v>
      </c>
      <c r="R89" s="9"/>
      <c r="S89" s="356" t="str">
        <f>+IF(AGOSTO!S89=0,"",AGOSTO!S89)</f>
        <v/>
      </c>
      <c r="T89" s="678" t="str">
        <f>+IF(AGOSTO!T89=0,"",AGOSTO!T89)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+IF(AGOSTO!A90=0,"",AGOSTO!A90)</f>
        <v>1130205</v>
      </c>
      <c r="B90" s="610" t="str">
        <f>+IF(AGOSTO!B90=0,"",AGOSTO!B90)</f>
        <v>CONVENIOS CON EL MUNICIPIO LIGADOS A LA VENTA DE SERVICIOS</v>
      </c>
      <c r="C90" s="654">
        <f>+ENERO!C90</f>
        <v>0</v>
      </c>
      <c r="D90" s="363">
        <f>AGOSTO!D90+SEPTIEMBRE!P90</f>
        <v>0</v>
      </c>
      <c r="E90" s="363">
        <f>AGOSTO!E90+SEPTIEMBRE!Q90</f>
        <v>0</v>
      </c>
      <c r="F90" s="363">
        <f t="shared" si="89"/>
        <v>0</v>
      </c>
      <c r="G90" s="363">
        <f>AGOSTO!I90</f>
        <v>0</v>
      </c>
      <c r="H90" s="364">
        <v>0</v>
      </c>
      <c r="I90" s="454">
        <f t="shared" si="90"/>
        <v>0</v>
      </c>
      <c r="J90" s="363">
        <f>AGOSTO!L90</f>
        <v>0</v>
      </c>
      <c r="K90" s="364">
        <v>0</v>
      </c>
      <c r="L90" s="454">
        <f t="shared" si="91"/>
        <v>0</v>
      </c>
      <c r="M90" s="363">
        <f t="shared" si="92"/>
        <v>0</v>
      </c>
      <c r="N90" s="143">
        <f t="shared" si="93"/>
        <v>0</v>
      </c>
      <c r="O90" s="372"/>
      <c r="P90" s="362">
        <v>0</v>
      </c>
      <c r="Q90" s="365">
        <v>0</v>
      </c>
      <c r="R90" s="30"/>
      <c r="S90" s="687">
        <f>+IF(AGOSTO!S90=0,"",AGOSTO!S90)</f>
        <v>1020300</v>
      </c>
      <c r="T90" s="663" t="str">
        <f>+IF(AGOSTO!T90=0,"",AGOSTO!T90)</f>
        <v>Contribuciones Inherentes nómina al Sector Privado</v>
      </c>
      <c r="U90" s="132">
        <f t="shared" ref="U90:AJ90" si="94">U91+U96+U102</f>
        <v>2996072011</v>
      </c>
      <c r="V90" s="122">
        <f t="shared" si="94"/>
        <v>-1776337847</v>
      </c>
      <c r="W90" s="122">
        <f t="shared" si="94"/>
        <v>13182074</v>
      </c>
      <c r="X90" s="129">
        <f t="shared" si="94"/>
        <v>1232916238</v>
      </c>
      <c r="Y90" s="128">
        <f t="shared" si="94"/>
        <v>715630569</v>
      </c>
      <c r="Z90" s="122">
        <f t="shared" si="94"/>
        <v>67696657</v>
      </c>
      <c r="AA90" s="129">
        <f t="shared" si="94"/>
        <v>783327226</v>
      </c>
      <c r="AB90" s="128">
        <f t="shared" si="94"/>
        <v>715630569</v>
      </c>
      <c r="AC90" s="122">
        <f t="shared" si="94"/>
        <v>67696657</v>
      </c>
      <c r="AD90" s="129">
        <f t="shared" si="94"/>
        <v>783327226</v>
      </c>
      <c r="AE90" s="128">
        <f t="shared" si="94"/>
        <v>640575290</v>
      </c>
      <c r="AF90" s="122">
        <f t="shared" si="94"/>
        <v>75055279</v>
      </c>
      <c r="AG90" s="129">
        <f t="shared" si="94"/>
        <v>715630569</v>
      </c>
      <c r="AH90" s="128">
        <f t="shared" si="94"/>
        <v>449589012</v>
      </c>
      <c r="AI90" s="122">
        <f t="shared" si="94"/>
        <v>449589012</v>
      </c>
      <c r="AJ90" s="130">
        <f t="shared" si="94"/>
        <v>517285669</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+IF(AGOSTO!A91=0,"",AGOSTO!A91)</f>
        <v>1130206</v>
      </c>
      <c r="B91" s="610" t="str">
        <f>+IF(AGOSTO!B91=0,"",AGOSTO!B91)</f>
        <v>OTROS CONVENIOS LIGADOS A LA VENTA DE SERVICIOS</v>
      </c>
      <c r="C91" s="654">
        <f>+ENERO!C91</f>
        <v>0</v>
      </c>
      <c r="D91" s="363">
        <f>AGOSTO!D91+SEPTIEMBRE!P91</f>
        <v>0</v>
      </c>
      <c r="E91" s="363">
        <f>AGOSTO!E91+SEPTIEMBRE!Q91</f>
        <v>11978176000</v>
      </c>
      <c r="F91" s="363">
        <f t="shared" si="89"/>
        <v>11978176000</v>
      </c>
      <c r="G91" s="363">
        <f>AGOSTO!I91</f>
        <v>5303083777</v>
      </c>
      <c r="H91" s="364">
        <v>1085963370</v>
      </c>
      <c r="I91" s="454">
        <f t="shared" si="90"/>
        <v>6389047147</v>
      </c>
      <c r="J91" s="363">
        <f>AGOSTO!L91</f>
        <v>3840887940</v>
      </c>
      <c r="K91" s="364">
        <v>518409000</v>
      </c>
      <c r="L91" s="454">
        <f t="shared" si="91"/>
        <v>4359296940</v>
      </c>
      <c r="M91" s="363">
        <f t="shared" si="92"/>
        <v>5589128853</v>
      </c>
      <c r="N91" s="143">
        <f t="shared" si="93"/>
        <v>7618879060</v>
      </c>
      <c r="O91" s="372"/>
      <c r="P91" s="362">
        <v>0</v>
      </c>
      <c r="Q91" s="365">
        <v>0</v>
      </c>
      <c r="R91" s="30"/>
      <c r="S91" s="688">
        <f>+IF(AGOSTO!S91=0,"",AGOSTO!S91)</f>
        <v>1020301</v>
      </c>
      <c r="T91" s="664" t="str">
        <f>+IF(AGOSTO!T91=0,"",AGOSTO!T91)</f>
        <v>Contribuciones - SGP - Aportes Patronales - Cuenta Maestra</v>
      </c>
      <c r="U91" s="27">
        <f t="shared" ref="U91:AJ91" si="95">SUM(U92:U95)</f>
        <v>1100060774</v>
      </c>
      <c r="V91" s="15">
        <f t="shared" si="95"/>
        <v>-396061561</v>
      </c>
      <c r="W91" s="15">
        <f t="shared" si="95"/>
        <v>0</v>
      </c>
      <c r="X91" s="18">
        <f t="shared" si="95"/>
        <v>703999213</v>
      </c>
      <c r="Y91" s="19">
        <f t="shared" si="95"/>
        <v>461351707</v>
      </c>
      <c r="Z91" s="142">
        <f t="shared" si="95"/>
        <v>59911337</v>
      </c>
      <c r="AA91" s="18">
        <f t="shared" si="95"/>
        <v>521263044</v>
      </c>
      <c r="AB91" s="19">
        <f t="shared" si="95"/>
        <v>461351707</v>
      </c>
      <c r="AC91" s="142">
        <f t="shared" si="95"/>
        <v>59911337</v>
      </c>
      <c r="AD91" s="18">
        <f t="shared" si="95"/>
        <v>521263044</v>
      </c>
      <c r="AE91" s="19">
        <f t="shared" si="95"/>
        <v>395237108</v>
      </c>
      <c r="AF91" s="142">
        <f t="shared" si="95"/>
        <v>66114599</v>
      </c>
      <c r="AG91" s="18">
        <f t="shared" si="95"/>
        <v>461351707</v>
      </c>
      <c r="AH91" s="19">
        <f t="shared" si="95"/>
        <v>182736169</v>
      </c>
      <c r="AI91" s="15">
        <f t="shared" si="95"/>
        <v>182736169</v>
      </c>
      <c r="AJ91" s="16">
        <f t="shared" si="95"/>
        <v>242647506</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+IF(AGOSTO!A92=0,"",AGOSTO!A92)</f>
        <v>1130207</v>
      </c>
      <c r="B92" s="611" t="str">
        <f>+IF(AGOSTO!B92=0,"",AGOSTO!B92)</f>
        <v>Vigencia Anterior</v>
      </c>
      <c r="C92" s="760">
        <f>+ENERO!C92</f>
        <v>0</v>
      </c>
      <c r="D92" s="375">
        <f>AGOSTO!D92+SEPTIEMBRE!P92</f>
        <v>0</v>
      </c>
      <c r="E92" s="375">
        <f>AGOSTO!E92+SEPTIEMBRE!Q92</f>
        <v>0</v>
      </c>
      <c r="F92" s="375">
        <f t="shared" si="89"/>
        <v>0</v>
      </c>
      <c r="G92" s="375">
        <f>AGOSTO!I92</f>
        <v>0</v>
      </c>
      <c r="H92" s="378">
        <v>0</v>
      </c>
      <c r="I92" s="452">
        <f t="shared" si="90"/>
        <v>0</v>
      </c>
      <c r="J92" s="375">
        <f>AGOSTO!L92</f>
        <v>0</v>
      </c>
      <c r="K92" s="378">
        <v>0</v>
      </c>
      <c r="L92" s="452">
        <f t="shared" si="91"/>
        <v>0</v>
      </c>
      <c r="M92" s="375">
        <f t="shared" si="92"/>
        <v>0</v>
      </c>
      <c r="N92" s="376">
        <f t="shared" si="93"/>
        <v>0</v>
      </c>
      <c r="O92" s="372"/>
      <c r="P92" s="362">
        <v>0</v>
      </c>
      <c r="Q92" s="365">
        <v>0</v>
      </c>
      <c r="R92" s="30"/>
      <c r="S92" s="689" t="str">
        <f>+IF(AGOSTO!S92=0,"",AGOSTO!S92)</f>
        <v>1020301-1</v>
      </c>
      <c r="T92" s="665" t="str">
        <f>+IF(AGOSTO!T92=0,"",AGOSTO!T92)</f>
        <v>E.P.S. - Aportes cuenta maestra</v>
      </c>
      <c r="U92" s="27">
        <f>+ENERO!U92</f>
        <v>273298716</v>
      </c>
      <c r="V92" s="15">
        <f>AGOSTO!V92+SEPTIEMBRE!AL92</f>
        <v>0</v>
      </c>
      <c r="W92" s="15">
        <f>AGOSTO!W92+SEPTIEMBRE!AM92</f>
        <v>0</v>
      </c>
      <c r="X92" s="18">
        <f>SUM(U92:W92)</f>
        <v>273298716</v>
      </c>
      <c r="Y92" s="19">
        <f>AGOSTO!AA92</f>
        <v>197076826</v>
      </c>
      <c r="Z92" s="364">
        <v>25208121</v>
      </c>
      <c r="AA92" s="18">
        <f>SUM(Y92:Z92)</f>
        <v>222284947</v>
      </c>
      <c r="AB92" s="19">
        <f>AGOSTO!AD92</f>
        <v>197076826</v>
      </c>
      <c r="AC92" s="364">
        <v>25208121</v>
      </c>
      <c r="AD92" s="18">
        <f>SUM(AB92:AC92)</f>
        <v>222284947</v>
      </c>
      <c r="AE92" s="19">
        <f>AGOSTO!AG92</f>
        <v>167483555</v>
      </c>
      <c r="AF92" s="364">
        <v>29593271</v>
      </c>
      <c r="AG92" s="18">
        <f>SUM(AE92:AF92)</f>
        <v>197076826</v>
      </c>
      <c r="AH92" s="19">
        <f>X92-AA92</f>
        <v>51013769</v>
      </c>
      <c r="AI92" s="15">
        <f>X92-AD92</f>
        <v>51013769</v>
      </c>
      <c r="AJ92" s="16">
        <f>X92-AG92</f>
        <v>76221890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+IF(AGOSTO!A93=0,"",AGOSTO!A93)</f>
        <v/>
      </c>
      <c r="B93" s="634" t="str">
        <f>+IF(AGOSTO!B93=0,"",AGOSTO!B93)</f>
        <v/>
      </c>
      <c r="C93" s="284"/>
      <c r="D93" s="284"/>
      <c r="E93" s="284"/>
      <c r="F93" s="284"/>
      <c r="G93" s="284"/>
      <c r="H93" s="284"/>
      <c r="I93" s="450"/>
      <c r="J93" s="284"/>
      <c r="K93" s="284"/>
      <c r="L93" s="450"/>
      <c r="M93" s="284"/>
      <c r="N93" s="453"/>
      <c r="P93" s="457"/>
      <c r="Q93" s="381"/>
      <c r="R93" s="30"/>
      <c r="S93" s="689" t="str">
        <f>+IF(AGOSTO!S93=0,"",AGOSTO!S93)</f>
        <v>1020301-2</v>
      </c>
      <c r="T93" s="665" t="str">
        <f>+IF(AGOSTO!T93=0,"",AGOSTO!T93)</f>
        <v>Fondos pensionales - Aportes cuenta maestra</v>
      </c>
      <c r="U93" s="27">
        <f>+ENERO!U93</f>
        <v>372680081</v>
      </c>
      <c r="V93" s="15">
        <f>AGOSTO!V93+SEPTIEMBRE!AL93</f>
        <v>0</v>
      </c>
      <c r="W93" s="15">
        <f>AGOSTO!W93+SEPTIEMBRE!AM93</f>
        <v>0</v>
      </c>
      <c r="X93" s="18">
        <f>SUM(U93:W93)</f>
        <v>372680081</v>
      </c>
      <c r="Y93" s="19">
        <f>AGOSTO!AA93</f>
        <v>238185121</v>
      </c>
      <c r="Z93" s="364">
        <v>30667616</v>
      </c>
      <c r="AA93" s="18">
        <f>SUM(Y93:Z93)</f>
        <v>268852737</v>
      </c>
      <c r="AB93" s="19">
        <f>AGOSTO!AD93</f>
        <v>238185121</v>
      </c>
      <c r="AC93" s="364">
        <v>30667616</v>
      </c>
      <c r="AD93" s="18">
        <f>SUM(AB93:AC93)</f>
        <v>268852737</v>
      </c>
      <c r="AE93" s="19">
        <f>AGOSTO!AG93</f>
        <v>202871233</v>
      </c>
      <c r="AF93" s="364">
        <v>35313888</v>
      </c>
      <c r="AG93" s="18">
        <f>SUM(AE93:AF93)</f>
        <v>238185121</v>
      </c>
      <c r="AH93" s="19">
        <f>X93-AA93</f>
        <v>103827344</v>
      </c>
      <c r="AI93" s="15">
        <f>X93-AD93</f>
        <v>103827344</v>
      </c>
      <c r="AJ93" s="16">
        <f>X93-AG93</f>
        <v>134494960</v>
      </c>
      <c r="AK93" s="9"/>
      <c r="AL93" s="362">
        <v>0</v>
      </c>
      <c r="AM93" s="365">
        <v>0</v>
      </c>
      <c r="AN93" s="30"/>
      <c r="AO93" s="450"/>
      <c r="AP93" s="450"/>
      <c r="AQ93" s="450"/>
      <c r="AR93" s="450"/>
      <c r="AS93" s="450"/>
      <c r="AT93" s="450"/>
      <c r="AU93" s="450"/>
      <c r="AV93" s="450"/>
      <c r="AW93" s="450"/>
      <c r="AX93" s="450"/>
      <c r="AY93" s="450"/>
      <c r="AZ93" s="450"/>
      <c r="BL93" s="30"/>
    </row>
    <row r="94" spans="1:70" s="451" customFormat="1" ht="39.75" customHeight="1">
      <c r="A94" s="720">
        <f>+IF(AGOSTO!A94=0,"",AGOSTO!A94)</f>
        <v>11303</v>
      </c>
      <c r="B94" s="601" t="str">
        <f>+IF(AGOSTO!B94=0,"",AGOSTO!B94)</f>
        <v>Aportes (No ligados a la venta de servicios de salud)</v>
      </c>
      <c r="C94" s="600">
        <f>SUM(C95:C102)</f>
        <v>7982899073</v>
      </c>
      <c r="D94" s="598">
        <f t="shared" ref="D94:N94" si="96">SUM(D95:D102)</f>
        <v>0</v>
      </c>
      <c r="E94" s="598">
        <f t="shared" si="96"/>
        <v>8000000000</v>
      </c>
      <c r="F94" s="598">
        <f t="shared" si="96"/>
        <v>15982899073</v>
      </c>
      <c r="G94" s="598">
        <f t="shared" si="96"/>
        <v>14812488354</v>
      </c>
      <c r="H94" s="598">
        <f t="shared" si="96"/>
        <v>0</v>
      </c>
      <c r="I94" s="836">
        <f t="shared" si="96"/>
        <v>14812488354</v>
      </c>
      <c r="J94" s="598">
        <f t="shared" si="96"/>
        <v>14812488354</v>
      </c>
      <c r="K94" s="598">
        <f t="shared" si="96"/>
        <v>0</v>
      </c>
      <c r="L94" s="836">
        <f t="shared" si="96"/>
        <v>14812488354</v>
      </c>
      <c r="M94" s="598">
        <f t="shared" si="96"/>
        <v>1170410719</v>
      </c>
      <c r="N94" s="599">
        <f t="shared" si="96"/>
        <v>1170410719</v>
      </c>
      <c r="O94" s="372"/>
      <c r="P94" s="43">
        <f>SUM(P95:P102)</f>
        <v>0</v>
      </c>
      <c r="Q94" s="45">
        <f>SUM(Q95:Q102)</f>
        <v>0</v>
      </c>
      <c r="R94" s="30"/>
      <c r="S94" s="689" t="str">
        <f>+IF(AGOSTO!S94=0,"",AGOSTO!S94)</f>
        <v>1020301-3</v>
      </c>
      <c r="T94" s="665" t="str">
        <f>+IF(AGOSTO!T94=0,"",AGOSTO!T94)</f>
        <v>Fondos de cesantías - Aportes cuenta maestra</v>
      </c>
      <c r="U94" s="27">
        <f>+ENERO!U94</f>
        <v>387061561</v>
      </c>
      <c r="V94" s="15">
        <f>AGOSTO!V94+SEPTIEMBRE!AL94</f>
        <v>-387061561</v>
      </c>
      <c r="W94" s="15">
        <f>AGOSTO!W94+SEPTIEMBRE!AM94</f>
        <v>0</v>
      </c>
      <c r="X94" s="18">
        <f>SUM(U94:W94)</f>
        <v>0</v>
      </c>
      <c r="Y94" s="19">
        <f>AGOSTO!AA94</f>
        <v>0</v>
      </c>
      <c r="Z94" s="364">
        <v>0</v>
      </c>
      <c r="AA94" s="18">
        <f>SUM(Y94:Z94)</f>
        <v>0</v>
      </c>
      <c r="AB94" s="19">
        <f>AGOSTO!AD94</f>
        <v>0</v>
      </c>
      <c r="AC94" s="364">
        <v>0</v>
      </c>
      <c r="AD94" s="18">
        <f>SUM(AB94:AC94)</f>
        <v>0</v>
      </c>
      <c r="AE94" s="19">
        <f>AGOSTO!AG94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+IF(AGOSTO!A95=0,"",AGOSTO!A95)</f>
        <v>11303-1</v>
      </c>
      <c r="B95" s="602" t="str">
        <f>+IF(AGOSTO!B95=0,"",AGOSTO!B95)</f>
        <v>CONVENIOS CON LA NACION NO LIGADOS A LA VENTA DE SERVICIOS</v>
      </c>
      <c r="C95" s="654">
        <f>+ENERO!C95</f>
        <v>0</v>
      </c>
      <c r="D95" s="363">
        <f>AGOSTO!D95+SEPTIEMBRE!P95</f>
        <v>0</v>
      </c>
      <c r="E95" s="363">
        <f>AGOSTO!E95+SEPTIEMBRE!Q95</f>
        <v>0</v>
      </c>
      <c r="F95" s="363">
        <f t="shared" ref="F95:F102" si="97">SUM(C95:E95)</f>
        <v>0</v>
      </c>
      <c r="G95" s="363">
        <f>AGOSTO!I95</f>
        <v>0</v>
      </c>
      <c r="H95" s="364">
        <v>0</v>
      </c>
      <c r="I95" s="454">
        <f t="shared" ref="I95:I102" si="98">SUM(G95:H95)</f>
        <v>0</v>
      </c>
      <c r="J95" s="363">
        <f>AGOSTO!L95</f>
        <v>0</v>
      </c>
      <c r="K95" s="364">
        <v>0</v>
      </c>
      <c r="L95" s="454">
        <f t="shared" ref="L95:L102" si="99">SUM(J95:K95)</f>
        <v>0</v>
      </c>
      <c r="M95" s="363">
        <f t="shared" ref="M95:M102" si="100">F95-I95</f>
        <v>0</v>
      </c>
      <c r="N95" s="143">
        <f t="shared" ref="N95:N102" si="101">F95-L95</f>
        <v>0</v>
      </c>
      <c r="O95" s="372"/>
      <c r="P95" s="362">
        <v>0</v>
      </c>
      <c r="Q95" s="365">
        <v>0</v>
      </c>
      <c r="R95" s="30">
        <v>0</v>
      </c>
      <c r="S95" s="689" t="str">
        <f>+IF(AGOSTO!S95=0,"",AGOSTO!S95)</f>
        <v>1020301-4</v>
      </c>
      <c r="T95" s="665" t="str">
        <f>+IF(AGOSTO!T95=0,"",AGOSTO!T95)</f>
        <v>Riesgos laborales - Aportes cuenta maestra</v>
      </c>
      <c r="U95" s="27">
        <f>+ENERO!U95</f>
        <v>67020416</v>
      </c>
      <c r="V95" s="15">
        <f>AGOSTO!V95+SEPTIEMBRE!AL95</f>
        <v>-9000000</v>
      </c>
      <c r="W95" s="15">
        <f>AGOSTO!W95+SEPTIEMBRE!AM95</f>
        <v>0</v>
      </c>
      <c r="X95" s="18">
        <f>SUM(U95:W95)</f>
        <v>58020416</v>
      </c>
      <c r="Y95" s="19">
        <f>AGOSTO!AA95</f>
        <v>26089760</v>
      </c>
      <c r="Z95" s="364">
        <v>4035600</v>
      </c>
      <c r="AA95" s="18">
        <f>SUM(Y95:Z95)</f>
        <v>30125360</v>
      </c>
      <c r="AB95" s="19">
        <f>AGOSTO!AD95</f>
        <v>26089760</v>
      </c>
      <c r="AC95" s="364">
        <v>4035600</v>
      </c>
      <c r="AD95" s="18">
        <f>SUM(AB95:AC95)</f>
        <v>30125360</v>
      </c>
      <c r="AE95" s="19">
        <f>AGOSTO!AG95</f>
        <v>24882320</v>
      </c>
      <c r="AF95" s="364">
        <v>1207440</v>
      </c>
      <c r="AG95" s="18">
        <f>SUM(AE95:AF95)</f>
        <v>26089760</v>
      </c>
      <c r="AH95" s="19">
        <f>X95-AA95</f>
        <v>27895056</v>
      </c>
      <c r="AI95" s="15">
        <f>X95-AD95</f>
        <v>27895056</v>
      </c>
      <c r="AJ95" s="16">
        <f>X95-AG95</f>
        <v>31930656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+IF(AGOSTO!A96=0,"",AGOSTO!A96)</f>
        <v>11303-2</v>
      </c>
      <c r="B96" s="602" t="str">
        <f>+IF(AGOSTO!B96=0,"",AGOSTO!B96)</f>
        <v>CONVENIOS CON EL DEPARTAMENTO NO LIGADOS A LA VENTA SERVICIOS</v>
      </c>
      <c r="C96" s="654">
        <f>+ENERO!C96</f>
        <v>7982899073</v>
      </c>
      <c r="D96" s="363">
        <f>AGOSTO!D96+SEPTIEMBRE!P96</f>
        <v>0</v>
      </c>
      <c r="E96" s="363">
        <f>AGOSTO!E96+SEPTIEMBRE!Q96</f>
        <v>8000000000</v>
      </c>
      <c r="F96" s="363">
        <f t="shared" si="97"/>
        <v>15982899073</v>
      </c>
      <c r="G96" s="363">
        <f>AGOSTO!I96</f>
        <v>14812488354</v>
      </c>
      <c r="H96" s="364">
        <v>0</v>
      </c>
      <c r="I96" s="454">
        <f t="shared" si="98"/>
        <v>14812488354</v>
      </c>
      <c r="J96" s="363">
        <f>AGOSTO!L96</f>
        <v>14812488354</v>
      </c>
      <c r="K96" s="364">
        <v>0</v>
      </c>
      <c r="L96" s="454">
        <f t="shared" si="99"/>
        <v>14812488354</v>
      </c>
      <c r="M96" s="363">
        <f t="shared" si="100"/>
        <v>1170410719</v>
      </c>
      <c r="N96" s="143">
        <f t="shared" si="101"/>
        <v>1170410719</v>
      </c>
      <c r="O96" s="372"/>
      <c r="P96" s="362">
        <v>0</v>
      </c>
      <c r="Q96" s="365">
        <v>0</v>
      </c>
      <c r="S96" s="688">
        <f>+IF(AGOSTO!S96=0,"",AGOSTO!S96)</f>
        <v>1020302</v>
      </c>
      <c r="T96" s="664" t="str">
        <f>+IF(AGOSTO!T96=0,"",AGOSTO!T96)</f>
        <v>Contribuciones - Otros</v>
      </c>
      <c r="U96" s="27">
        <f t="shared" ref="U96:AJ96" si="102">SUM(U97:U101)</f>
        <v>1724011237</v>
      </c>
      <c r="V96" s="15">
        <f t="shared" si="102"/>
        <v>-1386777354</v>
      </c>
      <c r="W96" s="15">
        <f t="shared" si="102"/>
        <v>0</v>
      </c>
      <c r="X96" s="18">
        <f t="shared" si="102"/>
        <v>337233883</v>
      </c>
      <c r="Y96" s="19">
        <f t="shared" si="102"/>
        <v>62595720</v>
      </c>
      <c r="Z96" s="142">
        <f t="shared" si="102"/>
        <v>7785320</v>
      </c>
      <c r="AA96" s="18">
        <f t="shared" si="102"/>
        <v>70381040</v>
      </c>
      <c r="AB96" s="19">
        <f t="shared" si="102"/>
        <v>62595720</v>
      </c>
      <c r="AC96" s="142">
        <f t="shared" si="102"/>
        <v>7785320</v>
      </c>
      <c r="AD96" s="18">
        <f t="shared" si="102"/>
        <v>70381040</v>
      </c>
      <c r="AE96" s="19">
        <f t="shared" si="102"/>
        <v>53655040</v>
      </c>
      <c r="AF96" s="142">
        <f t="shared" si="102"/>
        <v>8940680</v>
      </c>
      <c r="AG96" s="18">
        <f t="shared" si="102"/>
        <v>62595720</v>
      </c>
      <c r="AH96" s="19">
        <f t="shared" si="102"/>
        <v>266852843</v>
      </c>
      <c r="AI96" s="15">
        <f t="shared" si="102"/>
        <v>266852843</v>
      </c>
      <c r="AJ96" s="16">
        <f t="shared" si="102"/>
        <v>274638163</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c r="A97" s="721" t="str">
        <f>+IF(AGOSTO!A97=0,"",AGOSTO!A97)</f>
        <v>11303-3</v>
      </c>
      <c r="B97" s="602" t="str">
        <f>+IF(AGOSTO!B97=0,"",AGOSTO!B97)</f>
        <v>CONVENIOS CON EL MUNICIPIO NO LIGADOS A LA VENTA DE SERVICIOS</v>
      </c>
      <c r="C97" s="654">
        <f>+ENERO!C97</f>
        <v>0</v>
      </c>
      <c r="D97" s="363">
        <f>AGOSTO!D97+SEPTIEMBRE!P97</f>
        <v>0</v>
      </c>
      <c r="E97" s="363">
        <f>AGOSTO!E97+SEPTIEMBRE!Q97</f>
        <v>0</v>
      </c>
      <c r="F97" s="363">
        <f t="shared" si="97"/>
        <v>0</v>
      </c>
      <c r="G97" s="363">
        <f>AGOSTO!I97</f>
        <v>0</v>
      </c>
      <c r="H97" s="364">
        <v>0</v>
      </c>
      <c r="I97" s="454">
        <f t="shared" si="98"/>
        <v>0</v>
      </c>
      <c r="J97" s="363">
        <f>AGOSTO!L97</f>
        <v>0</v>
      </c>
      <c r="K97" s="364">
        <v>0</v>
      </c>
      <c r="L97" s="454">
        <f t="shared" si="99"/>
        <v>0</v>
      </c>
      <c r="M97" s="363">
        <f t="shared" si="100"/>
        <v>0</v>
      </c>
      <c r="N97" s="143">
        <f t="shared" si="101"/>
        <v>0</v>
      </c>
      <c r="O97" s="372"/>
      <c r="P97" s="362">
        <v>0</v>
      </c>
      <c r="Q97" s="365">
        <v>0</v>
      </c>
      <c r="R97" s="30"/>
      <c r="S97" s="689" t="str">
        <f>+IF(AGOSTO!S97=0,"",AGOSTO!S97)</f>
        <v>1020302-1</v>
      </c>
      <c r="T97" s="665" t="str">
        <f>+IF(AGOSTO!T97=0,"",AGOSTO!T97)</f>
        <v>Aportes a E.P.S. - recursos propios</v>
      </c>
      <c r="U97" s="27">
        <f>+ENERO!U97</f>
        <v>383898492</v>
      </c>
      <c r="V97" s="15">
        <f>AGOSTO!V97+SEPTIEMBRE!AL97</f>
        <v>-383898492</v>
      </c>
      <c r="W97" s="15">
        <f>AGOSTO!W97+SEPTIEMBRE!AM97</f>
        <v>0</v>
      </c>
      <c r="X97" s="18">
        <f t="shared" ref="X97:X102" si="103">SUM(U97:W97)</f>
        <v>0</v>
      </c>
      <c r="Y97" s="19">
        <f>AGOSTO!AA97</f>
        <v>0</v>
      </c>
      <c r="Z97" s="364">
        <v>0</v>
      </c>
      <c r="AA97" s="18">
        <f t="shared" ref="AA97:AA102" si="104">SUM(Y97:Z97)</f>
        <v>0</v>
      </c>
      <c r="AB97" s="19">
        <f>AGOSTO!AD97</f>
        <v>0</v>
      </c>
      <c r="AC97" s="364">
        <v>0</v>
      </c>
      <c r="AD97" s="18">
        <f t="shared" ref="AD97:AD102" si="105">SUM(AB97:AC97)</f>
        <v>0</v>
      </c>
      <c r="AE97" s="19">
        <f>AGOSTO!AG97</f>
        <v>0</v>
      </c>
      <c r="AF97" s="364">
        <v>0</v>
      </c>
      <c r="AG97" s="18">
        <f t="shared" ref="AG97:AG102" si="106">SUM(AE97:AF97)</f>
        <v>0</v>
      </c>
      <c r="AH97" s="19">
        <f t="shared" ref="AH97:AH102" si="107">X97-AA97</f>
        <v>0</v>
      </c>
      <c r="AI97" s="15">
        <f t="shared" ref="AI97:AI102" si="108">X97-AD97</f>
        <v>0</v>
      </c>
      <c r="AJ97" s="16">
        <f t="shared" ref="AJ97:AJ102" si="109">X97-AG97</f>
        <v>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+IF(AGOSTO!A98=0,"",AGOSTO!A98)</f>
        <v>11303-4</v>
      </c>
      <c r="B98" s="602" t="str">
        <f>+IF(AGOSTO!B98=0,"",AGOSTO!B98)</f>
        <v>OTROS CONVENIOS NO LIGADOS A LA VENTA DE SERVICIOS</v>
      </c>
      <c r="C98" s="654">
        <f>+ENERO!C98</f>
        <v>0</v>
      </c>
      <c r="D98" s="363">
        <f>AGOSTO!D98+SEPTIEMBRE!P98</f>
        <v>0</v>
      </c>
      <c r="E98" s="363">
        <f>AGOSTO!E98+SEPTIEMBRE!Q98</f>
        <v>0</v>
      </c>
      <c r="F98" s="363">
        <f t="shared" si="97"/>
        <v>0</v>
      </c>
      <c r="G98" s="363">
        <f>AGOSTO!I98</f>
        <v>0</v>
      </c>
      <c r="H98" s="364">
        <v>0</v>
      </c>
      <c r="I98" s="454">
        <f t="shared" si="98"/>
        <v>0</v>
      </c>
      <c r="J98" s="363">
        <f>AGOSTO!L98</f>
        <v>0</v>
      </c>
      <c r="K98" s="364">
        <v>0</v>
      </c>
      <c r="L98" s="454">
        <f t="shared" si="99"/>
        <v>0</v>
      </c>
      <c r="M98" s="363">
        <f t="shared" si="100"/>
        <v>0</v>
      </c>
      <c r="N98" s="143">
        <f t="shared" si="101"/>
        <v>0</v>
      </c>
      <c r="O98" s="372"/>
      <c r="P98" s="362">
        <v>0</v>
      </c>
      <c r="Q98" s="365">
        <v>0</v>
      </c>
      <c r="R98" s="30"/>
      <c r="S98" s="689" t="str">
        <f>+IF(AGOSTO!S98=0,"",AGOSTO!S98)</f>
        <v>1020302-2</v>
      </c>
      <c r="T98" s="665" t="str">
        <f>+IF(AGOSTO!T98=0,"",AGOSTO!T98)</f>
        <v>Aportes Fondos Pensionales - recursos propios</v>
      </c>
      <c r="U98" s="27">
        <f>+ENERO!U98</f>
        <v>555127711</v>
      </c>
      <c r="V98" s="15">
        <f>AGOSTO!V98+SEPTIEMBRE!AL98</f>
        <v>-555127711</v>
      </c>
      <c r="W98" s="15">
        <f>AGOSTO!W98+SEPTIEMBRE!AM98</f>
        <v>0</v>
      </c>
      <c r="X98" s="18">
        <f t="shared" si="103"/>
        <v>0</v>
      </c>
      <c r="Y98" s="19">
        <f>AGOSTO!AA98</f>
        <v>0</v>
      </c>
      <c r="Z98" s="364">
        <v>0</v>
      </c>
      <c r="AA98" s="18">
        <f t="shared" si="104"/>
        <v>0</v>
      </c>
      <c r="AB98" s="19">
        <f>AGOSTO!AD98</f>
        <v>0</v>
      </c>
      <c r="AC98" s="364">
        <v>0</v>
      </c>
      <c r="AD98" s="18">
        <f t="shared" si="105"/>
        <v>0</v>
      </c>
      <c r="AE98" s="19">
        <f>AGOSTO!AG98</f>
        <v>0</v>
      </c>
      <c r="AF98" s="364">
        <v>0</v>
      </c>
      <c r="AG98" s="18">
        <f t="shared" si="106"/>
        <v>0</v>
      </c>
      <c r="AH98" s="19">
        <f t="shared" si="107"/>
        <v>0</v>
      </c>
      <c r="AI98" s="15">
        <f t="shared" si="108"/>
        <v>0</v>
      </c>
      <c r="AJ98" s="16">
        <f t="shared" si="109"/>
        <v>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+IF(AGOSTO!A99=0,"",AGOSTO!A99)</f>
        <v>11303-5</v>
      </c>
      <c r="B99" s="602" t="str">
        <f>+IF(AGOSTO!B99=0,"",AGOSTO!B99)</f>
        <v>RECURSOS PARA PROGRAMA DE SANEAMIENTO FINANCIERO</v>
      </c>
      <c r="C99" s="654">
        <f>+ENERO!C99</f>
        <v>0</v>
      </c>
      <c r="D99" s="363">
        <f>AGOSTO!D99+SEPTIEMBRE!P99</f>
        <v>0</v>
      </c>
      <c r="E99" s="363">
        <f>AGOSTO!E99+SEPTIEMBRE!Q99</f>
        <v>0</v>
      </c>
      <c r="F99" s="363">
        <f t="shared" si="97"/>
        <v>0</v>
      </c>
      <c r="G99" s="363">
        <f>AGOSTO!I99</f>
        <v>0</v>
      </c>
      <c r="H99" s="364">
        <v>0</v>
      </c>
      <c r="I99" s="454">
        <f t="shared" si="98"/>
        <v>0</v>
      </c>
      <c r="J99" s="363">
        <f>AGOSTO!L99</f>
        <v>0</v>
      </c>
      <c r="K99" s="364">
        <v>0</v>
      </c>
      <c r="L99" s="454">
        <f t="shared" si="99"/>
        <v>0</v>
      </c>
      <c r="M99" s="363">
        <f t="shared" si="100"/>
        <v>0</v>
      </c>
      <c r="N99" s="143">
        <f t="shared" si="101"/>
        <v>0</v>
      </c>
      <c r="O99" s="372"/>
      <c r="P99" s="362">
        <v>0</v>
      </c>
      <c r="Q99" s="365">
        <v>0</v>
      </c>
      <c r="R99" s="30"/>
      <c r="S99" s="689" t="str">
        <f>+IF(AGOSTO!S99=0,"",AGOSTO!S99)</f>
        <v>1020302-3</v>
      </c>
      <c r="T99" s="665" t="str">
        <f>+IF(AGOSTO!T99=0,"",AGOSTO!T99)</f>
        <v>Aportes a Fondos de Cesantia - recursos propios</v>
      </c>
      <c r="U99" s="27">
        <f>+ENERO!U99</f>
        <v>326426572</v>
      </c>
      <c r="V99" s="15">
        <f>AGOSTO!V99+SEPTIEMBRE!AL99</f>
        <v>-326426572</v>
      </c>
      <c r="W99" s="15">
        <f>AGOSTO!W99+SEPTIEMBRE!AM99</f>
        <v>0</v>
      </c>
      <c r="X99" s="18">
        <f t="shared" si="103"/>
        <v>0</v>
      </c>
      <c r="Y99" s="19">
        <f>AGOSTO!AA99</f>
        <v>0</v>
      </c>
      <c r="Z99" s="364">
        <v>0</v>
      </c>
      <c r="AA99" s="18">
        <f t="shared" si="104"/>
        <v>0</v>
      </c>
      <c r="AB99" s="19">
        <f>AGOSTO!AD99</f>
        <v>0</v>
      </c>
      <c r="AC99" s="364">
        <v>0</v>
      </c>
      <c r="AD99" s="18">
        <f t="shared" si="105"/>
        <v>0</v>
      </c>
      <c r="AE99" s="19">
        <f>AGOSTO!AG99</f>
        <v>0</v>
      </c>
      <c r="AF99" s="364">
        <v>0</v>
      </c>
      <c r="AG99" s="18">
        <f t="shared" si="106"/>
        <v>0</v>
      </c>
      <c r="AH99" s="19">
        <f t="shared" si="107"/>
        <v>0</v>
      </c>
      <c r="AI99" s="15">
        <f t="shared" si="108"/>
        <v>0</v>
      </c>
      <c r="AJ99" s="16">
        <f t="shared" si="109"/>
        <v>0</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+IF(AGOSTO!A100=0,"",AGOSTO!A100)</f>
        <v>11303-6</v>
      </c>
      <c r="B100" s="602" t="str">
        <f>+IF(AGOSTO!B100=0,"",AGOSTO!B100)</f>
        <v/>
      </c>
      <c r="C100" s="654">
        <f>+ENERO!C100</f>
        <v>0</v>
      </c>
      <c r="D100" s="363">
        <f>AGOSTO!D100+SEPTIEMBRE!P100</f>
        <v>0</v>
      </c>
      <c r="E100" s="363">
        <f>AGOSTO!E100+SEPTIEMBRE!Q100</f>
        <v>0</v>
      </c>
      <c r="F100" s="363">
        <f t="shared" si="97"/>
        <v>0</v>
      </c>
      <c r="G100" s="363">
        <f>AGOSTO!I100</f>
        <v>0</v>
      </c>
      <c r="H100" s="364">
        <v>0</v>
      </c>
      <c r="I100" s="454">
        <f t="shared" si="98"/>
        <v>0</v>
      </c>
      <c r="J100" s="363">
        <f>AGOSTO!L100</f>
        <v>0</v>
      </c>
      <c r="K100" s="364">
        <v>0</v>
      </c>
      <c r="L100" s="454">
        <f t="shared" si="99"/>
        <v>0</v>
      </c>
      <c r="M100" s="363">
        <f t="shared" si="100"/>
        <v>0</v>
      </c>
      <c r="N100" s="143">
        <f t="shared" si="101"/>
        <v>0</v>
      </c>
      <c r="P100" s="362">
        <v>0</v>
      </c>
      <c r="Q100" s="365">
        <v>0</v>
      </c>
      <c r="R100" s="9"/>
      <c r="S100" s="689" t="str">
        <f>+IF(AGOSTO!S100=0,"",AGOSTO!S100)</f>
        <v>1020302-4</v>
      </c>
      <c r="T100" s="665" t="str">
        <f>+IF(AGOSTO!T100=0,"",AGOSTO!T100)</f>
        <v>Aporte a ARL. - recursos propios</v>
      </c>
      <c r="U100" s="27">
        <f>+ENERO!U100</f>
        <v>121324579</v>
      </c>
      <c r="V100" s="15">
        <f>AGOSTO!V100+SEPTIEMBRE!AL100</f>
        <v>-121324579</v>
      </c>
      <c r="W100" s="15">
        <f>AGOSTO!W100+SEPTIEMBRE!AM100</f>
        <v>0</v>
      </c>
      <c r="X100" s="18">
        <f t="shared" si="103"/>
        <v>0</v>
      </c>
      <c r="Y100" s="19">
        <f>AGOSTO!AA100</f>
        <v>0</v>
      </c>
      <c r="Z100" s="364">
        <v>0</v>
      </c>
      <c r="AA100" s="18">
        <f t="shared" si="104"/>
        <v>0</v>
      </c>
      <c r="AB100" s="19">
        <f>AGOSTO!AD100</f>
        <v>0</v>
      </c>
      <c r="AC100" s="364">
        <v>0</v>
      </c>
      <c r="AD100" s="18">
        <f t="shared" si="105"/>
        <v>0</v>
      </c>
      <c r="AE100" s="19">
        <f>AGOSTO!AG100</f>
        <v>0</v>
      </c>
      <c r="AF100" s="364">
        <v>0</v>
      </c>
      <c r="AG100" s="18">
        <f t="shared" si="106"/>
        <v>0</v>
      </c>
      <c r="AH100" s="19">
        <f t="shared" si="107"/>
        <v>0</v>
      </c>
      <c r="AI100" s="15">
        <f t="shared" si="108"/>
        <v>0</v>
      </c>
      <c r="AJ100" s="16">
        <f t="shared" si="109"/>
        <v>0</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+IF(AGOSTO!A101=0,"",AGOSTO!A101)</f>
        <v>11303-7</v>
      </c>
      <c r="B101" s="602" t="str">
        <f>+IF(AGOSTO!B101=0,"",AGOSTO!B101)</f>
        <v/>
      </c>
      <c r="C101" s="654">
        <f>+ENERO!C101</f>
        <v>0</v>
      </c>
      <c r="D101" s="363">
        <f>AGOSTO!D101+SEPTIEMBRE!P101</f>
        <v>0</v>
      </c>
      <c r="E101" s="363">
        <f>AGOSTO!E101+SEPTIEMBRE!Q101</f>
        <v>0</v>
      </c>
      <c r="F101" s="363">
        <f t="shared" si="97"/>
        <v>0</v>
      </c>
      <c r="G101" s="363">
        <f>AGOSTO!I101</f>
        <v>0</v>
      </c>
      <c r="H101" s="364">
        <v>0</v>
      </c>
      <c r="I101" s="454">
        <f t="shared" si="98"/>
        <v>0</v>
      </c>
      <c r="J101" s="363">
        <f>AGOSTO!L101</f>
        <v>0</v>
      </c>
      <c r="K101" s="364">
        <v>0</v>
      </c>
      <c r="L101" s="454">
        <f t="shared" si="99"/>
        <v>0</v>
      </c>
      <c r="M101" s="363">
        <f t="shared" si="100"/>
        <v>0</v>
      </c>
      <c r="N101" s="143">
        <f t="shared" si="101"/>
        <v>0</v>
      </c>
      <c r="P101" s="362">
        <v>0</v>
      </c>
      <c r="Q101" s="365">
        <v>0</v>
      </c>
      <c r="R101" s="9"/>
      <c r="S101" s="689" t="str">
        <f>+IF(AGOSTO!S101=0,"",AGOSTO!S101)</f>
        <v>1020302-5</v>
      </c>
      <c r="T101" s="665" t="str">
        <f>+IF(AGOSTO!T101=0,"",AGOSTO!T101)</f>
        <v>Aporte a Caja Compensación Familiar</v>
      </c>
      <c r="U101" s="27">
        <f>+ENERO!U101</f>
        <v>337233883</v>
      </c>
      <c r="V101" s="15">
        <f>AGOSTO!V101+SEPTIEMBRE!AL101</f>
        <v>0</v>
      </c>
      <c r="W101" s="15">
        <f>AGOSTO!W101+SEPTIEMBRE!AM101</f>
        <v>0</v>
      </c>
      <c r="X101" s="18">
        <f t="shared" si="103"/>
        <v>337233883</v>
      </c>
      <c r="Y101" s="19">
        <f>AGOSTO!AA101</f>
        <v>62595720</v>
      </c>
      <c r="Z101" s="364">
        <v>7785320</v>
      </c>
      <c r="AA101" s="18">
        <f t="shared" si="104"/>
        <v>70381040</v>
      </c>
      <c r="AB101" s="19">
        <f>AGOSTO!AD101</f>
        <v>62595720</v>
      </c>
      <c r="AC101" s="364">
        <v>7785320</v>
      </c>
      <c r="AD101" s="18">
        <f t="shared" si="105"/>
        <v>70381040</v>
      </c>
      <c r="AE101" s="19">
        <f>AGOSTO!AG101</f>
        <v>53655040</v>
      </c>
      <c r="AF101" s="364">
        <v>8940680</v>
      </c>
      <c r="AG101" s="18">
        <f t="shared" si="106"/>
        <v>62595720</v>
      </c>
      <c r="AH101" s="19">
        <f t="shared" si="107"/>
        <v>266852843</v>
      </c>
      <c r="AI101" s="15">
        <f t="shared" si="108"/>
        <v>266852843</v>
      </c>
      <c r="AJ101" s="16">
        <f t="shared" si="109"/>
        <v>274638163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+IF(AGOSTO!A102=0,"",AGOSTO!A102)</f>
        <v>11303-8</v>
      </c>
      <c r="B102" s="611" t="str">
        <f>+IF(AGOSTO!B102=0,"",AGOSTO!B102)</f>
        <v>Vigencia Anterior</v>
      </c>
      <c r="C102" s="760">
        <f>+ENERO!C102</f>
        <v>0</v>
      </c>
      <c r="D102" s="375">
        <f>AGOSTO!D102+SEPTIEMBRE!P102</f>
        <v>0</v>
      </c>
      <c r="E102" s="375">
        <f>AGOSTO!E102+SEPTIEMBRE!Q102</f>
        <v>0</v>
      </c>
      <c r="F102" s="375">
        <f t="shared" si="97"/>
        <v>0</v>
      </c>
      <c r="G102" s="375">
        <f>AGOSTO!I102</f>
        <v>0</v>
      </c>
      <c r="H102" s="378">
        <v>0</v>
      </c>
      <c r="I102" s="452">
        <f t="shared" si="98"/>
        <v>0</v>
      </c>
      <c r="J102" s="375">
        <f>AGOSTO!L102</f>
        <v>0</v>
      </c>
      <c r="K102" s="378">
        <v>0</v>
      </c>
      <c r="L102" s="452">
        <f t="shared" si="99"/>
        <v>0</v>
      </c>
      <c r="M102" s="375">
        <f t="shared" si="100"/>
        <v>0</v>
      </c>
      <c r="N102" s="376">
        <f t="shared" si="101"/>
        <v>0</v>
      </c>
      <c r="P102" s="362">
        <v>0</v>
      </c>
      <c r="Q102" s="365">
        <v>0</v>
      </c>
      <c r="R102" s="9"/>
      <c r="S102" s="688">
        <f>+IF(AGOSTO!S102=0,"",AGOSTO!S102)</f>
        <v>1020399</v>
      </c>
      <c r="T102" s="664" t="str">
        <f>+IF(AGOSTO!T102=0,"",AGOSTO!T102)</f>
        <v>Vigencias Anteriores</v>
      </c>
      <c r="U102" s="27">
        <f>+ENERO!U102</f>
        <v>172000000</v>
      </c>
      <c r="V102" s="15">
        <f>AGOSTO!V102+SEPTIEMBRE!AL102</f>
        <v>6501068</v>
      </c>
      <c r="W102" s="15">
        <f>AGOSTO!W102+SEPTIEMBRE!AM102</f>
        <v>13182074</v>
      </c>
      <c r="X102" s="18">
        <f t="shared" si="103"/>
        <v>191683142</v>
      </c>
      <c r="Y102" s="19">
        <f>AGOSTO!AA102</f>
        <v>191683142</v>
      </c>
      <c r="Z102" s="364">
        <v>0</v>
      </c>
      <c r="AA102" s="18">
        <f t="shared" si="104"/>
        <v>191683142</v>
      </c>
      <c r="AB102" s="19">
        <f>AGOSTO!AD102</f>
        <v>191683142</v>
      </c>
      <c r="AC102" s="364">
        <v>0</v>
      </c>
      <c r="AD102" s="18">
        <f t="shared" si="105"/>
        <v>191683142</v>
      </c>
      <c r="AE102" s="19">
        <f>AGOSTO!AG102</f>
        <v>191683142</v>
      </c>
      <c r="AF102" s="364">
        <v>0</v>
      </c>
      <c r="AG102" s="1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+IF(AGOSTO!A103=0,"",AGOSTO!A103)</f>
        <v/>
      </c>
      <c r="B103" s="636" t="str">
        <f>+IF(AGOSTO!B103=0,"",AGOSTO!B103)</f>
        <v/>
      </c>
      <c r="C103" s="470"/>
      <c r="D103" s="470"/>
      <c r="E103" s="470"/>
      <c r="F103" s="470"/>
      <c r="G103" s="470"/>
      <c r="H103" s="470"/>
      <c r="I103" s="837"/>
      <c r="J103" s="470"/>
      <c r="K103" s="470"/>
      <c r="L103" s="837"/>
      <c r="M103" s="470"/>
      <c r="N103" s="471"/>
      <c r="P103" s="472"/>
      <c r="Q103" s="471"/>
      <c r="R103" s="9"/>
      <c r="S103" s="356" t="str">
        <f>+IF(AGOSTO!S103=0,"",AGOSTO!S103)</f>
        <v/>
      </c>
      <c r="T103" s="678" t="str">
        <f>+IF(AGOSTO!T103=0,"",AGOSTO!T103)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+IF(AGOSTO!A104=0,"",AGOSTO!A104)</f>
        <v>11304</v>
      </c>
      <c r="B104" s="601" t="str">
        <f>+IF(AGOSTO!B104=0,"",AGOSTO!B104)</f>
        <v>Otros ingresos corrientes</v>
      </c>
      <c r="C104" s="600">
        <f>SUM(C105:C111)</f>
        <v>98172123</v>
      </c>
      <c r="D104" s="598">
        <f t="shared" ref="D104:N104" si="110">SUM(D105:D111)</f>
        <v>0</v>
      </c>
      <c r="E104" s="598">
        <f t="shared" si="110"/>
        <v>2205940</v>
      </c>
      <c r="F104" s="598">
        <f t="shared" si="110"/>
        <v>100378063</v>
      </c>
      <c r="G104" s="598">
        <f t="shared" si="110"/>
        <v>106894283</v>
      </c>
      <c r="H104" s="598">
        <f t="shared" si="110"/>
        <v>4948317</v>
      </c>
      <c r="I104" s="836">
        <f t="shared" si="110"/>
        <v>111842600</v>
      </c>
      <c r="J104" s="598">
        <f t="shared" si="110"/>
        <v>50929001</v>
      </c>
      <c r="K104" s="598">
        <f t="shared" si="110"/>
        <v>3654692</v>
      </c>
      <c r="L104" s="836">
        <f t="shared" si="110"/>
        <v>54583693</v>
      </c>
      <c r="M104" s="598">
        <f t="shared" si="110"/>
        <v>-11464537</v>
      </c>
      <c r="N104" s="599">
        <f t="shared" si="110"/>
        <v>45794370</v>
      </c>
      <c r="P104" s="43">
        <f>SUM(P105:P111)</f>
        <v>0</v>
      </c>
      <c r="Q104" s="45">
        <f>SUM(Q105:Q111)</f>
        <v>0</v>
      </c>
      <c r="R104" s="9"/>
      <c r="S104" s="687">
        <f>+IF(AGOSTO!S104=0,"",AGOSTO!S104)</f>
        <v>1020400</v>
      </c>
      <c r="T104" s="663" t="str">
        <f>+IF(AGOSTO!T104=0,"",AGOSTO!T104)</f>
        <v>Contribuciones Inherentes nómina del Sector Publico</v>
      </c>
      <c r="U104" s="132">
        <f t="shared" ref="U104:AJ104" si="111">U105+U108</f>
        <v>421542354</v>
      </c>
      <c r="V104" s="122">
        <f t="shared" si="111"/>
        <v>-130000000</v>
      </c>
      <c r="W104" s="122">
        <f t="shared" si="111"/>
        <v>0</v>
      </c>
      <c r="X104" s="129">
        <f t="shared" si="111"/>
        <v>291542354</v>
      </c>
      <c r="Y104" s="128">
        <f t="shared" si="111"/>
        <v>78244650</v>
      </c>
      <c r="Z104" s="122">
        <f t="shared" si="111"/>
        <v>9731650</v>
      </c>
      <c r="AA104" s="129">
        <f t="shared" si="111"/>
        <v>87976300</v>
      </c>
      <c r="AB104" s="128">
        <f t="shared" si="111"/>
        <v>78244650</v>
      </c>
      <c r="AC104" s="122">
        <f t="shared" si="111"/>
        <v>9731650</v>
      </c>
      <c r="AD104" s="129">
        <f t="shared" si="111"/>
        <v>87976300</v>
      </c>
      <c r="AE104" s="128">
        <f t="shared" si="111"/>
        <v>67068800</v>
      </c>
      <c r="AF104" s="122">
        <f t="shared" si="111"/>
        <v>11175850</v>
      </c>
      <c r="AG104" s="129">
        <f t="shared" si="111"/>
        <v>78244650</v>
      </c>
      <c r="AH104" s="128">
        <f t="shared" si="111"/>
        <v>203566054</v>
      </c>
      <c r="AI104" s="122">
        <f t="shared" si="111"/>
        <v>203566054</v>
      </c>
      <c r="AJ104" s="130">
        <f t="shared" si="111"/>
        <v>213297704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+IF(AGOSTO!A105=0,"",AGOSTO!A105)</f>
        <v>11304-1</v>
      </c>
      <c r="B105" s="602" t="str">
        <f>+IF(AGOSTO!B105=0,"",AGOSTO!B105)</f>
        <v>ARRENDAMIENTO Y ALQUILER DE BIENES MUEBLES E INMUEBLES</v>
      </c>
      <c r="C105" s="654">
        <f>+ENERO!C105</f>
        <v>35952047</v>
      </c>
      <c r="D105" s="363">
        <f>AGOSTO!D105+SEPTIEMBRE!P105</f>
        <v>0</v>
      </c>
      <c r="E105" s="363">
        <f>AGOSTO!E105+SEPTIEMBRE!Q105</f>
        <v>0</v>
      </c>
      <c r="F105" s="363">
        <f t="shared" ref="F105:F111" si="112">SUM(C105:E105)</f>
        <v>35952047</v>
      </c>
      <c r="G105" s="363">
        <f>AGOSTO!I105</f>
        <v>68218668</v>
      </c>
      <c r="H105" s="364">
        <v>4749167</v>
      </c>
      <c r="I105" s="454">
        <f t="shared" ref="I105:I111" si="113">SUM(G105:H105)</f>
        <v>72967835</v>
      </c>
      <c r="J105" s="363">
        <f>AGOSTO!L105</f>
        <v>12253386</v>
      </c>
      <c r="K105" s="364">
        <v>3455542</v>
      </c>
      <c r="L105" s="454">
        <f t="shared" ref="L105:L111" si="114">SUM(J105:K105)</f>
        <v>15708928</v>
      </c>
      <c r="M105" s="363">
        <f t="shared" ref="M105:M111" si="115">F105-I105</f>
        <v>-37015788</v>
      </c>
      <c r="N105" s="143">
        <f t="shared" ref="N105:N111" si="116">F105-L105</f>
        <v>20243119</v>
      </c>
      <c r="P105" s="362">
        <v>0</v>
      </c>
      <c r="Q105" s="365">
        <v>0</v>
      </c>
      <c r="R105" s="9"/>
      <c r="S105" s="688">
        <f>+IF(AGOSTO!S105=0,"",AGOSTO!S105)</f>
        <v>1020402</v>
      </c>
      <c r="T105" s="664" t="str">
        <f>+IF(AGOSTO!T105=0,"",AGOSTO!T105)</f>
        <v>Contribuciones - Otros</v>
      </c>
      <c r="U105" s="27">
        <f t="shared" ref="U105:AJ105" si="117">SUM(U106:U107)</f>
        <v>421542354</v>
      </c>
      <c r="V105" s="15">
        <f t="shared" si="117"/>
        <v>-130000000</v>
      </c>
      <c r="W105" s="15">
        <f t="shared" si="117"/>
        <v>0</v>
      </c>
      <c r="X105" s="18">
        <f t="shared" si="117"/>
        <v>291542354</v>
      </c>
      <c r="Y105" s="19">
        <f t="shared" si="117"/>
        <v>78244650</v>
      </c>
      <c r="Z105" s="142">
        <f t="shared" si="117"/>
        <v>9731650</v>
      </c>
      <c r="AA105" s="18">
        <f t="shared" si="117"/>
        <v>87976300</v>
      </c>
      <c r="AB105" s="19">
        <f t="shared" si="117"/>
        <v>78244650</v>
      </c>
      <c r="AC105" s="142">
        <f t="shared" si="117"/>
        <v>9731650</v>
      </c>
      <c r="AD105" s="18">
        <f t="shared" si="117"/>
        <v>87976300</v>
      </c>
      <c r="AE105" s="19">
        <f t="shared" si="117"/>
        <v>67068800</v>
      </c>
      <c r="AF105" s="142">
        <f t="shared" si="117"/>
        <v>11175850</v>
      </c>
      <c r="AG105" s="18">
        <f t="shared" si="117"/>
        <v>78244650</v>
      </c>
      <c r="AH105" s="19">
        <f t="shared" si="117"/>
        <v>203566054</v>
      </c>
      <c r="AI105" s="15">
        <f t="shared" si="117"/>
        <v>203566054</v>
      </c>
      <c r="AJ105" s="16">
        <f t="shared" si="117"/>
        <v>213297704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+IF(AGOSTO!A106=0,"",AGOSTO!A106)</f>
        <v>11304-2</v>
      </c>
      <c r="B106" s="603" t="str">
        <f>+IF(AGOSTO!B106=0,"",AGOSTO!B106)</f>
        <v>COMERCIALIZACIÓN DE MERCANCÍAS</v>
      </c>
      <c r="C106" s="654">
        <f>+ENERO!C106</f>
        <v>0</v>
      </c>
      <c r="D106" s="363">
        <f>AGOSTO!D106+SEPTIEMBRE!P106</f>
        <v>0</v>
      </c>
      <c r="E106" s="363">
        <f>AGOSTO!E106+SEPTIEMBRE!Q106</f>
        <v>0</v>
      </c>
      <c r="F106" s="363">
        <f t="shared" si="112"/>
        <v>0</v>
      </c>
      <c r="G106" s="363">
        <f>AGOSTO!I106</f>
        <v>0</v>
      </c>
      <c r="H106" s="364">
        <v>0</v>
      </c>
      <c r="I106" s="454">
        <f t="shared" si="113"/>
        <v>0</v>
      </c>
      <c r="J106" s="363">
        <f>AGOSTO!L106</f>
        <v>0</v>
      </c>
      <c r="K106" s="364">
        <v>0</v>
      </c>
      <c r="L106" s="454">
        <f t="shared" si="114"/>
        <v>0</v>
      </c>
      <c r="M106" s="363">
        <f t="shared" si="115"/>
        <v>0</v>
      </c>
      <c r="N106" s="143">
        <f t="shared" si="116"/>
        <v>0</v>
      </c>
      <c r="P106" s="362">
        <v>0</v>
      </c>
      <c r="Q106" s="365">
        <v>0</v>
      </c>
      <c r="R106" s="9"/>
      <c r="S106" s="689" t="str">
        <f>+IF(AGOSTO!S106=0,"",AGOSTO!S106)</f>
        <v>1020402-1</v>
      </c>
      <c r="T106" s="665" t="str">
        <f>+IF(AGOSTO!T106=0,"",AGOSTO!T106)</f>
        <v>S.E.N.A.</v>
      </c>
      <c r="U106" s="27">
        <f>+ENERO!U106</f>
        <v>168616942</v>
      </c>
      <c r="V106" s="15">
        <f>AGOSTO!V106+SEPTIEMBRE!AL106</f>
        <v>-60000000</v>
      </c>
      <c r="W106" s="15">
        <f>AGOSTO!W106+SEPTIEMBRE!AM106</f>
        <v>0</v>
      </c>
      <c r="X106" s="18">
        <f>SUM(U106:W106)</f>
        <v>108616942</v>
      </c>
      <c r="Y106" s="19">
        <f>AGOSTO!AA106</f>
        <v>31297860</v>
      </c>
      <c r="Z106" s="364">
        <v>3892660</v>
      </c>
      <c r="AA106" s="18">
        <f>SUM(Y106:Z106)</f>
        <v>35190520</v>
      </c>
      <c r="AB106" s="19">
        <f>AGOSTO!AD106</f>
        <v>31297860</v>
      </c>
      <c r="AC106" s="364">
        <v>3892660</v>
      </c>
      <c r="AD106" s="18">
        <f>SUM(AB106:AC106)</f>
        <v>35190520</v>
      </c>
      <c r="AE106" s="19">
        <f>AGOSTO!AG106</f>
        <v>26827520</v>
      </c>
      <c r="AF106" s="364">
        <v>4470340</v>
      </c>
      <c r="AG106" s="18">
        <f>SUM(AE106:AF106)</f>
        <v>31297860</v>
      </c>
      <c r="AH106" s="19">
        <f>X106-AA106</f>
        <v>73426422</v>
      </c>
      <c r="AI106" s="15">
        <f>X106-AD106</f>
        <v>73426422</v>
      </c>
      <c r="AJ106" s="16">
        <f>X106-AG106</f>
        <v>77319082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+IF(AGOSTO!A107=0,"",AGOSTO!A107)</f>
        <v>11304-3</v>
      </c>
      <c r="B107" s="602" t="str">
        <f>+IF(AGOSTO!B107=0,"",AGOSTO!B107)</f>
        <v>Bienestar Social</v>
      </c>
      <c r="C107" s="654">
        <f>+ENERO!C107</f>
        <v>0</v>
      </c>
      <c r="D107" s="363">
        <f>AGOSTO!D107+SEPTIEMBRE!P107</f>
        <v>0</v>
      </c>
      <c r="E107" s="363">
        <f>AGOSTO!E107+SEPTIEMBRE!Q107</f>
        <v>0</v>
      </c>
      <c r="F107" s="363">
        <f t="shared" si="112"/>
        <v>0</v>
      </c>
      <c r="G107" s="363">
        <f>AGOSTO!I107</f>
        <v>0</v>
      </c>
      <c r="H107" s="364">
        <v>0</v>
      </c>
      <c r="I107" s="454">
        <f t="shared" si="113"/>
        <v>0</v>
      </c>
      <c r="J107" s="363">
        <f>AGOSTO!L107</f>
        <v>0</v>
      </c>
      <c r="K107" s="364">
        <v>0</v>
      </c>
      <c r="L107" s="454">
        <f t="shared" si="114"/>
        <v>0</v>
      </c>
      <c r="M107" s="363">
        <f t="shared" si="115"/>
        <v>0</v>
      </c>
      <c r="N107" s="143">
        <f t="shared" si="116"/>
        <v>0</v>
      </c>
      <c r="P107" s="362">
        <v>0</v>
      </c>
      <c r="Q107" s="365">
        <v>0</v>
      </c>
      <c r="R107" s="9"/>
      <c r="S107" s="689" t="str">
        <f>+IF(AGOSTO!S107=0,"",AGOSTO!S107)</f>
        <v>1020402-2</v>
      </c>
      <c r="T107" s="665" t="str">
        <f>+IF(AGOSTO!T107=0,"",AGOSTO!T107)</f>
        <v>I.C.B.F.</v>
      </c>
      <c r="U107" s="27">
        <f>+ENERO!U107</f>
        <v>252925412</v>
      </c>
      <c r="V107" s="15">
        <f>AGOSTO!V107+SEPTIEMBRE!AL107</f>
        <v>-70000000</v>
      </c>
      <c r="W107" s="15">
        <f>AGOSTO!W107+SEPTIEMBRE!AM107</f>
        <v>0</v>
      </c>
      <c r="X107" s="18">
        <f>SUM(U107:W107)</f>
        <v>182925412</v>
      </c>
      <c r="Y107" s="19">
        <f>AGOSTO!AA107</f>
        <v>46946790</v>
      </c>
      <c r="Z107" s="364">
        <v>5838990</v>
      </c>
      <c r="AA107" s="18">
        <f>SUM(Y107:Z107)</f>
        <v>52785780</v>
      </c>
      <c r="AB107" s="19">
        <f>AGOSTO!AD107</f>
        <v>46946790</v>
      </c>
      <c r="AC107" s="364">
        <v>5838990</v>
      </c>
      <c r="AD107" s="18">
        <f>SUM(AB107:AC107)</f>
        <v>52785780</v>
      </c>
      <c r="AE107" s="19">
        <f>AGOSTO!AG107</f>
        <v>40241280</v>
      </c>
      <c r="AF107" s="364">
        <v>6705510</v>
      </c>
      <c r="AG107" s="18">
        <f>SUM(AE107:AF107)</f>
        <v>46946790</v>
      </c>
      <c r="AH107" s="19">
        <f>X107-AA107</f>
        <v>130139632</v>
      </c>
      <c r="AI107" s="15">
        <f>X107-AD107</f>
        <v>130139632</v>
      </c>
      <c r="AJ107" s="16">
        <f>X107-AG107</f>
        <v>135978622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+IF(AGOSTO!A108=0,"",AGOSTO!A108)</f>
        <v>11304-4</v>
      </c>
      <c r="B108" s="602" t="str">
        <f>+IF(AGOSTO!B108=0,"",AGOSTO!B108)</f>
        <v>Fondo de la Vivienda</v>
      </c>
      <c r="C108" s="654">
        <f>+ENERO!C108</f>
        <v>0</v>
      </c>
      <c r="D108" s="363">
        <f>AGOSTO!D108+SEPTIEMBRE!P108</f>
        <v>0</v>
      </c>
      <c r="E108" s="363">
        <f>AGOSTO!E108+SEPTIEMBRE!Q108</f>
        <v>0</v>
      </c>
      <c r="F108" s="363">
        <f t="shared" si="112"/>
        <v>0</v>
      </c>
      <c r="G108" s="363">
        <f>AGOSTO!I108</f>
        <v>0</v>
      </c>
      <c r="H108" s="364">
        <v>0</v>
      </c>
      <c r="I108" s="454">
        <f t="shared" si="113"/>
        <v>0</v>
      </c>
      <c r="J108" s="363">
        <f>AGOSTO!L108</f>
        <v>0</v>
      </c>
      <c r="K108" s="364">
        <v>0</v>
      </c>
      <c r="L108" s="454">
        <f t="shared" si="114"/>
        <v>0</v>
      </c>
      <c r="M108" s="363">
        <f t="shared" si="115"/>
        <v>0</v>
      </c>
      <c r="N108" s="143">
        <f t="shared" si="116"/>
        <v>0</v>
      </c>
      <c r="P108" s="362">
        <v>0</v>
      </c>
      <c r="Q108" s="365">
        <v>0</v>
      </c>
      <c r="R108" s="9"/>
      <c r="S108" s="688">
        <f>+IF(AGOSTO!S108=0,"",AGOSTO!S108)</f>
        <v>1020499</v>
      </c>
      <c r="T108" s="664" t="str">
        <f>+IF(AGOSTO!T108=0,"",AGOSTO!T108)</f>
        <v>Vigencias Anteriores</v>
      </c>
      <c r="U108" s="27">
        <f>+ENERO!U108</f>
        <v>0</v>
      </c>
      <c r="V108" s="15">
        <f>AGOSTO!V108+SEPTIEMBRE!AL108</f>
        <v>0</v>
      </c>
      <c r="W108" s="15">
        <f>AGOSTO!W108+SEPTIEMBRE!AM108</f>
        <v>0</v>
      </c>
      <c r="X108" s="18">
        <f>SUM(U108:W108)</f>
        <v>0</v>
      </c>
      <c r="Y108" s="19">
        <f>AGOSTO!AA108</f>
        <v>0</v>
      </c>
      <c r="Z108" s="364">
        <v>0</v>
      </c>
      <c r="AA108" s="18">
        <f>SUM(Y108:Z108)</f>
        <v>0</v>
      </c>
      <c r="AB108" s="19">
        <f>AGOSTO!AD108</f>
        <v>0</v>
      </c>
      <c r="AC108" s="364">
        <v>0</v>
      </c>
      <c r="AD108" s="18">
        <f>SUM(AB108:AC108)</f>
        <v>0</v>
      </c>
      <c r="AE108" s="19">
        <f>AGOSTO!AG108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+IF(AGOSTO!A109=0,"",AGOSTO!A109)</f>
        <v>11304-5</v>
      </c>
      <c r="B109" s="602" t="str">
        <f>+IF(AGOSTO!B109=0,"",AGOSTO!B109)</f>
        <v xml:space="preserve">Aprovechamientos </v>
      </c>
      <c r="C109" s="654">
        <f>+ENERO!C109</f>
        <v>62220076</v>
      </c>
      <c r="D109" s="363">
        <f>AGOSTO!D109+SEPTIEMBRE!P109</f>
        <v>0</v>
      </c>
      <c r="E109" s="363">
        <f>AGOSTO!E109+SEPTIEMBRE!Q109</f>
        <v>0</v>
      </c>
      <c r="F109" s="363">
        <f t="shared" si="112"/>
        <v>62220076</v>
      </c>
      <c r="G109" s="363">
        <f>AGOSTO!I109</f>
        <v>36469675</v>
      </c>
      <c r="H109" s="364">
        <v>199150</v>
      </c>
      <c r="I109" s="454">
        <f t="shared" si="113"/>
        <v>36668825</v>
      </c>
      <c r="J109" s="363">
        <f>AGOSTO!L109</f>
        <v>36469675</v>
      </c>
      <c r="K109" s="364">
        <v>199150</v>
      </c>
      <c r="L109" s="454">
        <f t="shared" si="114"/>
        <v>36668825</v>
      </c>
      <c r="M109" s="363">
        <f t="shared" si="115"/>
        <v>25551251</v>
      </c>
      <c r="N109" s="143">
        <f t="shared" si="116"/>
        <v>25551251</v>
      </c>
      <c r="P109" s="362">
        <v>0</v>
      </c>
      <c r="Q109" s="365">
        <v>0</v>
      </c>
      <c r="R109" s="9"/>
      <c r="S109" s="356" t="str">
        <f>+IF(AGOSTO!S109=0,"",AGOSTO!S109)</f>
        <v/>
      </c>
      <c r="T109" s="678" t="str">
        <f>+IF(AGOSTO!T109=0,"",AGOSTO!T109)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+IF(AGOSTO!A110=0,"",AGOSTO!A110)</f>
        <v>11304-6</v>
      </c>
      <c r="B110" s="602" t="str">
        <f>+IF(AGOSTO!B110=0,"",AGOSTO!B110)</f>
        <v>Otros</v>
      </c>
      <c r="C110" s="654">
        <f>+ENERO!C110</f>
        <v>0</v>
      </c>
      <c r="D110" s="363">
        <f>AGOSTO!D110+SEPTIEMBRE!P110</f>
        <v>0</v>
      </c>
      <c r="E110" s="363">
        <f>AGOSTO!E110+SEPTIEMBRE!Q110</f>
        <v>2205940</v>
      </c>
      <c r="F110" s="363">
        <f t="shared" si="112"/>
        <v>2205940</v>
      </c>
      <c r="G110" s="363">
        <f>AGOSTO!I110</f>
        <v>2205940</v>
      </c>
      <c r="H110" s="364">
        <v>0</v>
      </c>
      <c r="I110" s="454">
        <f t="shared" si="113"/>
        <v>2205940</v>
      </c>
      <c r="J110" s="363">
        <f>AGOSTO!L110</f>
        <v>2205940</v>
      </c>
      <c r="K110" s="364">
        <v>0</v>
      </c>
      <c r="L110" s="454">
        <f t="shared" si="114"/>
        <v>2205940</v>
      </c>
      <c r="M110" s="363">
        <f t="shared" si="115"/>
        <v>0</v>
      </c>
      <c r="N110" s="143">
        <f t="shared" si="116"/>
        <v>0</v>
      </c>
      <c r="P110" s="362">
        <v>0</v>
      </c>
      <c r="Q110" s="365">
        <v>0</v>
      </c>
      <c r="R110" s="9"/>
      <c r="S110" s="686">
        <f>+IF(AGOSTO!S110=0,"",AGOSTO!S110)</f>
        <v>2000000</v>
      </c>
      <c r="T110" s="668" t="str">
        <f>+IF(AGOSTO!T110=0,"",AGOSTO!T110)</f>
        <v>GASTOS GENERALES</v>
      </c>
      <c r="U110" s="460">
        <f t="shared" ref="U110:AJ110" si="118">U112+U145</f>
        <v>11975719527</v>
      </c>
      <c r="V110" s="461">
        <f t="shared" si="118"/>
        <v>-1143000000</v>
      </c>
      <c r="W110" s="461">
        <f t="shared" si="118"/>
        <v>2404314729</v>
      </c>
      <c r="X110" s="462">
        <f t="shared" si="118"/>
        <v>13237034256</v>
      </c>
      <c r="Y110" s="369">
        <f t="shared" si="118"/>
        <v>10918667839</v>
      </c>
      <c r="Z110" s="461">
        <f t="shared" si="118"/>
        <v>339529983</v>
      </c>
      <c r="AA110" s="462">
        <f t="shared" si="118"/>
        <v>11258197822</v>
      </c>
      <c r="AB110" s="369">
        <f t="shared" si="118"/>
        <v>8720785904</v>
      </c>
      <c r="AC110" s="461">
        <f t="shared" si="118"/>
        <v>931025600</v>
      </c>
      <c r="AD110" s="462">
        <f t="shared" si="118"/>
        <v>9651811504</v>
      </c>
      <c r="AE110" s="369">
        <f t="shared" si="118"/>
        <v>7084922807</v>
      </c>
      <c r="AF110" s="461">
        <f t="shared" si="118"/>
        <v>722158949</v>
      </c>
      <c r="AG110" s="462">
        <f t="shared" si="118"/>
        <v>7807081756</v>
      </c>
      <c r="AH110" s="369">
        <f t="shared" si="118"/>
        <v>1978836434</v>
      </c>
      <c r="AI110" s="461">
        <f t="shared" si="118"/>
        <v>3585222752</v>
      </c>
      <c r="AJ110" s="370">
        <f t="shared" si="118"/>
        <v>5429952500</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+IF(AGOSTO!A111=0,"",AGOSTO!A111)</f>
        <v>11304-7</v>
      </c>
      <c r="B111" s="637" t="str">
        <f>+IF(AGOSTO!B111=0,"",AGOSTO!B111)</f>
        <v>Vigencia Anterior</v>
      </c>
      <c r="C111" s="760">
        <f>+ENERO!C111</f>
        <v>0</v>
      </c>
      <c r="D111" s="375">
        <f>AGOSTO!D111+SEPTIEMBRE!P111</f>
        <v>0</v>
      </c>
      <c r="E111" s="375">
        <f>AGOSTO!E111+SEPTIEMBRE!Q111</f>
        <v>0</v>
      </c>
      <c r="F111" s="375">
        <f t="shared" si="112"/>
        <v>0</v>
      </c>
      <c r="G111" s="375">
        <f>AGOSTO!I111</f>
        <v>0</v>
      </c>
      <c r="H111" s="378">
        <v>0</v>
      </c>
      <c r="I111" s="452">
        <f t="shared" si="113"/>
        <v>0</v>
      </c>
      <c r="J111" s="375">
        <f>AGOSTO!L111</f>
        <v>0</v>
      </c>
      <c r="K111" s="378">
        <v>0</v>
      </c>
      <c r="L111" s="452">
        <f t="shared" si="114"/>
        <v>0</v>
      </c>
      <c r="M111" s="375">
        <f t="shared" si="115"/>
        <v>0</v>
      </c>
      <c r="N111" s="376">
        <f t="shared" si="116"/>
        <v>0</v>
      </c>
      <c r="P111" s="362">
        <v>0</v>
      </c>
      <c r="Q111" s="365">
        <v>0</v>
      </c>
      <c r="R111" s="9"/>
      <c r="S111" s="356" t="str">
        <f>+IF(AGOSTO!S111=0,"",AGOSTO!S111)</f>
        <v/>
      </c>
      <c r="T111" s="678" t="str">
        <f>+IF(AGOSTO!T111=0,"",AGOSTO!T111)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+IF(AGOSTO!A112=0,"",AGOSTO!A112)</f>
        <v/>
      </c>
      <c r="B112" s="636" t="str">
        <f>+IF(AGOSTO!B112=0,"",AGOSTO!B112)</f>
        <v/>
      </c>
      <c r="C112" s="470"/>
      <c r="D112" s="470"/>
      <c r="E112" s="470"/>
      <c r="F112" s="470"/>
      <c r="G112" s="470"/>
      <c r="H112" s="470"/>
      <c r="I112" s="837"/>
      <c r="J112" s="470"/>
      <c r="K112" s="470"/>
      <c r="L112" s="837"/>
      <c r="M112" s="470"/>
      <c r="N112" s="471"/>
      <c r="P112" s="472"/>
      <c r="Q112" s="471"/>
      <c r="R112" s="9"/>
      <c r="S112" s="686">
        <f>+IF(AGOSTO!S112=0,"",AGOSTO!S112)</f>
        <v>2010000</v>
      </c>
      <c r="T112" s="662" t="str">
        <f>+IF(AGOSTO!T112=0,"",AGOSTO!T112)</f>
        <v>Gastos de Administración</v>
      </c>
      <c r="U112" s="132">
        <f t="shared" ref="U112:AJ112" si="119">U114+U123+U141</f>
        <v>6052082264</v>
      </c>
      <c r="V112" s="122">
        <f t="shared" si="119"/>
        <v>-1505000000</v>
      </c>
      <c r="W112" s="122">
        <f t="shared" si="119"/>
        <v>1024314729</v>
      </c>
      <c r="X112" s="129">
        <f t="shared" si="119"/>
        <v>5571396993</v>
      </c>
      <c r="Y112" s="128">
        <f t="shared" si="119"/>
        <v>4222587481</v>
      </c>
      <c r="Z112" s="122">
        <f t="shared" si="119"/>
        <v>301987594</v>
      </c>
      <c r="AA112" s="129">
        <f t="shared" si="119"/>
        <v>4524575075</v>
      </c>
      <c r="AB112" s="128">
        <f t="shared" si="119"/>
        <v>3481845639</v>
      </c>
      <c r="AC112" s="122">
        <f t="shared" si="119"/>
        <v>350793297</v>
      </c>
      <c r="AD112" s="129">
        <f t="shared" si="119"/>
        <v>3832638936</v>
      </c>
      <c r="AE112" s="128">
        <f t="shared" si="119"/>
        <v>3013031364</v>
      </c>
      <c r="AF112" s="122">
        <f t="shared" si="119"/>
        <v>317527601</v>
      </c>
      <c r="AG112" s="129">
        <f t="shared" si="119"/>
        <v>3330558965</v>
      </c>
      <c r="AH112" s="128">
        <f t="shared" si="119"/>
        <v>1046821918</v>
      </c>
      <c r="AI112" s="122">
        <f t="shared" si="119"/>
        <v>1738758057</v>
      </c>
      <c r="AJ112" s="130">
        <f t="shared" si="119"/>
        <v>2240838028</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+IF(AGOSTO!A113=0,"",AGOSTO!A113)</f>
        <v>2000</v>
      </c>
      <c r="B113" s="623" t="str">
        <f>+IF(AGOSTO!B113=0,"",AGOSTO!B113)</f>
        <v>INGRESOS DE CAPITAL</v>
      </c>
      <c r="C113" s="606">
        <f>SUM(C115:C124)</f>
        <v>200295319</v>
      </c>
      <c r="D113" s="607">
        <f>SUM(D115:D124)</f>
        <v>0</v>
      </c>
      <c r="E113" s="607">
        <f t="shared" ref="E113:N113" si="120">SUM(E115:E124)</f>
        <v>585768784</v>
      </c>
      <c r="F113" s="607">
        <f t="shared" si="120"/>
        <v>786064103</v>
      </c>
      <c r="G113" s="607">
        <f t="shared" si="120"/>
        <v>594244673</v>
      </c>
      <c r="H113" s="607">
        <f t="shared" si="120"/>
        <v>8791380</v>
      </c>
      <c r="I113" s="607">
        <f t="shared" si="120"/>
        <v>603036053</v>
      </c>
      <c r="J113" s="607">
        <f t="shared" si="120"/>
        <v>594244673</v>
      </c>
      <c r="K113" s="607">
        <f t="shared" si="120"/>
        <v>8791380</v>
      </c>
      <c r="L113" s="607">
        <f t="shared" si="120"/>
        <v>603036053</v>
      </c>
      <c r="M113" s="607">
        <f t="shared" si="120"/>
        <v>183028050</v>
      </c>
      <c r="N113" s="608">
        <f t="shared" si="120"/>
        <v>183028050</v>
      </c>
      <c r="O113" s="451"/>
      <c r="P113" s="174">
        <f>SUM(P115:P124)</f>
        <v>0</v>
      </c>
      <c r="Q113" s="175">
        <f>SUM(Q115:Q124)</f>
        <v>0</v>
      </c>
      <c r="R113" s="9"/>
      <c r="S113" s="356" t="str">
        <f>+IF(AGOSTO!S113=0,"",AGOSTO!S113)</f>
        <v/>
      </c>
      <c r="T113" s="678" t="str">
        <f>+IF(AGOSTO!T113=0,"",AGOSTO!T113)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+IF(AGOSTO!A114=0,"",AGOSTO!A114)</f>
        <v/>
      </c>
      <c r="B114" s="636" t="str">
        <f>+IF(AGOSTO!B114=0,"",AGOSTO!B114)</f>
        <v/>
      </c>
      <c r="C114" s="470"/>
      <c r="D114" s="470"/>
      <c r="E114" s="470"/>
      <c r="F114" s="470"/>
      <c r="G114" s="470"/>
      <c r="H114" s="470"/>
      <c r="I114" s="837"/>
      <c r="J114" s="470"/>
      <c r="K114" s="470"/>
      <c r="L114" s="837"/>
      <c r="M114" s="470"/>
      <c r="N114" s="471"/>
      <c r="P114" s="472"/>
      <c r="Q114" s="471"/>
      <c r="R114" s="9"/>
      <c r="S114" s="687">
        <f>+IF(AGOSTO!S114=0,"",AGOSTO!S114)</f>
        <v>2010100</v>
      </c>
      <c r="T114" s="663" t="str">
        <f>+IF(AGOSTO!T114=0,"",AGOSTO!T114)</f>
        <v>Adquisición de bienes</v>
      </c>
      <c r="U114" s="132">
        <f t="shared" ref="U114:AJ114" si="121">SUM(U115:U121)</f>
        <v>2750000000</v>
      </c>
      <c r="V114" s="122">
        <f t="shared" si="121"/>
        <v>-1600000000</v>
      </c>
      <c r="W114" s="122">
        <f t="shared" si="121"/>
        <v>694314729</v>
      </c>
      <c r="X114" s="129">
        <f t="shared" si="121"/>
        <v>1844314729</v>
      </c>
      <c r="Y114" s="128">
        <f t="shared" si="121"/>
        <v>1348871113</v>
      </c>
      <c r="Z114" s="122">
        <f t="shared" si="121"/>
        <v>104005177</v>
      </c>
      <c r="AA114" s="129">
        <f t="shared" si="121"/>
        <v>1452876290</v>
      </c>
      <c r="AB114" s="128">
        <f t="shared" si="121"/>
        <v>1193133573</v>
      </c>
      <c r="AC114" s="122">
        <f t="shared" si="121"/>
        <v>36717891</v>
      </c>
      <c r="AD114" s="129">
        <f t="shared" si="121"/>
        <v>1229851464</v>
      </c>
      <c r="AE114" s="128">
        <f t="shared" si="121"/>
        <v>1090660728</v>
      </c>
      <c r="AF114" s="122">
        <f t="shared" si="121"/>
        <v>30116809</v>
      </c>
      <c r="AG114" s="129">
        <f t="shared" si="121"/>
        <v>1120777537</v>
      </c>
      <c r="AH114" s="128">
        <f t="shared" si="121"/>
        <v>391438439</v>
      </c>
      <c r="AI114" s="122">
        <f t="shared" si="121"/>
        <v>614463265</v>
      </c>
      <c r="AJ114" s="130">
        <f t="shared" si="121"/>
        <v>723537192</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+IF(AGOSTO!A115=0,"",AGOSTO!A115)</f>
        <v>2100</v>
      </c>
      <c r="B115" s="609" t="str">
        <f>+IF(AGOSTO!B115=0,"",AGOSTO!B115)</f>
        <v>CREDITO INTERNO</v>
      </c>
      <c r="C115" s="655">
        <f>+ENERO!C115</f>
        <v>0</v>
      </c>
      <c r="D115" s="454">
        <f>AGOSTO!D115+SEPTIEMBRE!P115</f>
        <v>0</v>
      </c>
      <c r="E115" s="454">
        <f>AGOSTO!E115+SEPTIEMBRE!Q115</f>
        <v>0</v>
      </c>
      <c r="F115" s="458">
        <f t="shared" ref="F115:F124" si="122">SUM(C115:E115)</f>
        <v>0</v>
      </c>
      <c r="G115" s="456">
        <f>AGOSTO!I115</f>
        <v>0</v>
      </c>
      <c r="H115" s="364">
        <v>0</v>
      </c>
      <c r="I115" s="458">
        <f t="shared" ref="I115:I124" si="123">SUM(G115:H115)</f>
        <v>0</v>
      </c>
      <c r="J115" s="456">
        <f>AGOSTO!L115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+IF(AGOSTO!S115=0,"",AGOSTO!S115)</f>
        <v>2010100-1</v>
      </c>
      <c r="T115" s="664" t="str">
        <f>+IF(AGOSTO!T115=0,"",AGOSTO!T115)</f>
        <v>Compra de Equipos</v>
      </c>
      <c r="U115" s="27">
        <f>+ENERO!U115</f>
        <v>2350000000</v>
      </c>
      <c r="V115" s="15">
        <f>AGOSTO!V115+SEPTIEMBRE!AL115</f>
        <v>-1730000000</v>
      </c>
      <c r="W115" s="15">
        <f>AGOSTO!W115+SEPTIEMBRE!AM115</f>
        <v>0</v>
      </c>
      <c r="X115" s="18">
        <f t="shared" ref="X115:X121" si="127">SUM(U115:W115)</f>
        <v>620000000</v>
      </c>
      <c r="Y115" s="19">
        <f>AGOSTO!AA115</f>
        <v>451527775</v>
      </c>
      <c r="Z115" s="364">
        <v>30519930</v>
      </c>
      <c r="AA115" s="18">
        <f t="shared" ref="AA115:AA121" si="128">SUM(Y115:Z115)</f>
        <v>482047705</v>
      </c>
      <c r="AB115" s="19">
        <f>AGOSTO!AD115</f>
        <v>302956275</v>
      </c>
      <c r="AC115" s="364">
        <v>1856400</v>
      </c>
      <c r="AD115" s="18">
        <f t="shared" ref="AD115:AD121" si="129">SUM(AB115:AC115)</f>
        <v>304812675</v>
      </c>
      <c r="AE115" s="19">
        <f>AGOSTO!AG115</f>
        <v>293084630</v>
      </c>
      <c r="AF115" s="364">
        <v>3229065</v>
      </c>
      <c r="AG115" s="18">
        <f t="shared" ref="AG115:AG121" si="130">SUM(AE115:AF115)</f>
        <v>296313695</v>
      </c>
      <c r="AH115" s="19">
        <f t="shared" ref="AH115:AH121" si="131">X115-AA115</f>
        <v>137952295</v>
      </c>
      <c r="AI115" s="15">
        <f t="shared" ref="AI115:AI121" si="132">X115-AD115</f>
        <v>315187325</v>
      </c>
      <c r="AJ115" s="16">
        <f t="shared" ref="AJ115:AJ121" si="133">X115-AG115</f>
        <v>323686305</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+IF(AGOSTO!A116=0,"",AGOSTO!A116)</f>
        <v>2100-1</v>
      </c>
      <c r="B116" s="610" t="str">
        <f>+IF(AGOSTO!B116=0,"",AGOSTO!B116)</f>
        <v>Vigencia Anterior</v>
      </c>
      <c r="C116" s="655">
        <f>+ENERO!C116</f>
        <v>0</v>
      </c>
      <c r="D116" s="454">
        <f>AGOSTO!D116+SEPTIEMBRE!P116</f>
        <v>0</v>
      </c>
      <c r="E116" s="454">
        <f>AGOSTO!E116+SEPTIEMBRE!Q116</f>
        <v>0</v>
      </c>
      <c r="F116" s="458">
        <f t="shared" si="122"/>
        <v>0</v>
      </c>
      <c r="G116" s="456">
        <f>AGOSTO!I116</f>
        <v>0</v>
      </c>
      <c r="H116" s="364">
        <v>0</v>
      </c>
      <c r="I116" s="458">
        <f t="shared" si="123"/>
        <v>0</v>
      </c>
      <c r="J116" s="456">
        <f>AGOSTO!L116</f>
        <v>0</v>
      </c>
      <c r="K116" s="364">
        <v>0</v>
      </c>
      <c r="L116" s="455">
        <f t="shared" si="124"/>
        <v>0</v>
      </c>
      <c r="M116" s="459">
        <f t="shared" si="125"/>
        <v>0</v>
      </c>
      <c r="N116" s="455">
        <f t="shared" si="126"/>
        <v>0</v>
      </c>
      <c r="O116" s="451"/>
      <c r="P116" s="362">
        <v>0</v>
      </c>
      <c r="Q116" s="365">
        <v>0</v>
      </c>
      <c r="R116" s="9"/>
      <c r="S116" s="688" t="str">
        <f>+IF(AGOSTO!S116=0,"",AGOSTO!S116)</f>
        <v>2010100-2</v>
      </c>
      <c r="T116" s="664" t="str">
        <f>+IF(AGOSTO!T116=0,"",AGOSTO!T116)</f>
        <v>Materiales</v>
      </c>
      <c r="U116" s="27">
        <f>+ENERO!U116</f>
        <v>300000000</v>
      </c>
      <c r="V116" s="15">
        <f>AGOSTO!V116+SEPTIEMBRE!AL116</f>
        <v>0</v>
      </c>
      <c r="W116" s="15">
        <f>AGOSTO!W116+SEPTIEMBRE!AM116</f>
        <v>294314729</v>
      </c>
      <c r="X116" s="18">
        <f t="shared" si="127"/>
        <v>594314729</v>
      </c>
      <c r="Y116" s="19">
        <f>AGOSTO!AA116</f>
        <v>316680501</v>
      </c>
      <c r="Z116" s="364">
        <v>33485247</v>
      </c>
      <c r="AA116" s="18">
        <f t="shared" si="128"/>
        <v>350165748</v>
      </c>
      <c r="AB116" s="19">
        <f>AGOSTO!AD116</f>
        <v>309514461</v>
      </c>
      <c r="AC116" s="364">
        <v>34861491</v>
      </c>
      <c r="AD116" s="18">
        <f t="shared" si="129"/>
        <v>344375952</v>
      </c>
      <c r="AE116" s="19">
        <f>AGOSTO!AG116</f>
        <v>216913261</v>
      </c>
      <c r="AF116" s="364">
        <v>26887744</v>
      </c>
      <c r="AG116" s="18">
        <f t="shared" si="130"/>
        <v>243801005</v>
      </c>
      <c r="AH116" s="19">
        <f t="shared" si="131"/>
        <v>244148981</v>
      </c>
      <c r="AI116" s="15">
        <f t="shared" si="132"/>
        <v>249938777</v>
      </c>
      <c r="AJ116" s="16">
        <f t="shared" si="133"/>
        <v>350513724</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+IF(AGOSTO!A117=0,"",AGOSTO!A117)</f>
        <v>2200</v>
      </c>
      <c r="B117" s="609" t="str">
        <f>+IF(AGOSTO!B117=0,"",AGOSTO!B117)</f>
        <v>CREDITO EXTERNO</v>
      </c>
      <c r="C117" s="655">
        <f>+ENERO!C117</f>
        <v>0</v>
      </c>
      <c r="D117" s="454">
        <f>AGOSTO!D117+SEPTIEMBRE!P117</f>
        <v>0</v>
      </c>
      <c r="E117" s="454">
        <f>AGOSTO!E117+SEPTIEMBRE!Q117</f>
        <v>0</v>
      </c>
      <c r="F117" s="458">
        <f t="shared" si="122"/>
        <v>0</v>
      </c>
      <c r="G117" s="456">
        <f>AGOSTO!I117</f>
        <v>0</v>
      </c>
      <c r="H117" s="364">
        <v>0</v>
      </c>
      <c r="I117" s="458">
        <f t="shared" si="123"/>
        <v>0</v>
      </c>
      <c r="J117" s="456">
        <f>AGOSTO!L117</f>
        <v>0</v>
      </c>
      <c r="K117" s="364">
        <v>0</v>
      </c>
      <c r="L117" s="455">
        <f t="shared" si="124"/>
        <v>0</v>
      </c>
      <c r="M117" s="459">
        <f t="shared" si="125"/>
        <v>0</v>
      </c>
      <c r="N117" s="455">
        <f t="shared" si="126"/>
        <v>0</v>
      </c>
      <c r="O117" s="451"/>
      <c r="P117" s="362">
        <v>0</v>
      </c>
      <c r="Q117" s="365">
        <v>0</v>
      </c>
      <c r="R117" s="9"/>
      <c r="S117" s="688" t="str">
        <f>+IF(AGOSTO!S117=0,"",AGOSTO!S117)</f>
        <v>2010100-3</v>
      </c>
      <c r="T117" s="664" t="str">
        <f>+IF(AGOSTO!T117=0,"",AGOSTO!T117)</f>
        <v>Salud Ocupacional</v>
      </c>
      <c r="U117" s="27">
        <f>+ENERO!U117</f>
        <v>0</v>
      </c>
      <c r="V117" s="15">
        <f>AGOSTO!V117+SEPTIEMBRE!AL117</f>
        <v>40000000</v>
      </c>
      <c r="W117" s="15">
        <f>AGOSTO!W117+SEPTIEMBRE!AM117</f>
        <v>0</v>
      </c>
      <c r="X117" s="18">
        <f t="shared" si="127"/>
        <v>40000000</v>
      </c>
      <c r="Y117" s="19">
        <f>AGOSTO!AA117</f>
        <v>0</v>
      </c>
      <c r="Z117" s="364">
        <v>40000000</v>
      </c>
      <c r="AA117" s="18">
        <f t="shared" si="128"/>
        <v>40000000</v>
      </c>
      <c r="AB117" s="19">
        <f>AGOSTO!AD117</f>
        <v>0</v>
      </c>
      <c r="AC117" s="364">
        <v>0</v>
      </c>
      <c r="AD117" s="18">
        <f t="shared" si="129"/>
        <v>0</v>
      </c>
      <c r="AE117" s="19">
        <f>AGOSTO!AG117</f>
        <v>0</v>
      </c>
      <c r="AF117" s="364">
        <v>0</v>
      </c>
      <c r="AG117" s="18">
        <f t="shared" si="130"/>
        <v>0</v>
      </c>
      <c r="AH117" s="19">
        <f t="shared" si="131"/>
        <v>0</v>
      </c>
      <c r="AI117" s="15">
        <f t="shared" si="132"/>
        <v>40000000</v>
      </c>
      <c r="AJ117" s="16">
        <f t="shared" si="133"/>
        <v>40000000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+IF(AGOSTO!A118=0,"",AGOSTO!A118)</f>
        <v>2200-1</v>
      </c>
      <c r="B118" s="610" t="str">
        <f>+IF(AGOSTO!B118=0,"",AGOSTO!B118)</f>
        <v>Vigencia Anterior</v>
      </c>
      <c r="C118" s="655">
        <f>+ENERO!C118</f>
        <v>0</v>
      </c>
      <c r="D118" s="454">
        <f>AGOSTO!D118+SEPTIEMBRE!P118</f>
        <v>0</v>
      </c>
      <c r="E118" s="454">
        <f>AGOSTO!E118+SEPTIEMBRE!Q118</f>
        <v>0</v>
      </c>
      <c r="F118" s="458">
        <f t="shared" si="122"/>
        <v>0</v>
      </c>
      <c r="G118" s="456">
        <f>AGOSTO!I118</f>
        <v>0</v>
      </c>
      <c r="H118" s="364">
        <v>0</v>
      </c>
      <c r="I118" s="458">
        <f t="shared" si="123"/>
        <v>0</v>
      </c>
      <c r="J118" s="456">
        <f>AGOSTO!L118</f>
        <v>0</v>
      </c>
      <c r="K118" s="364">
        <v>0</v>
      </c>
      <c r="L118" s="455">
        <f t="shared" si="124"/>
        <v>0</v>
      </c>
      <c r="M118" s="459">
        <f t="shared" si="125"/>
        <v>0</v>
      </c>
      <c r="N118" s="455">
        <f t="shared" si="126"/>
        <v>0</v>
      </c>
      <c r="O118" s="451"/>
      <c r="P118" s="362">
        <v>0</v>
      </c>
      <c r="Q118" s="365">
        <v>0</v>
      </c>
      <c r="R118" s="9"/>
      <c r="S118" s="688" t="str">
        <f>+IF(AGOSTO!S118=0,"",AGOSTO!S118)</f>
        <v>2010100-4</v>
      </c>
      <c r="T118" s="664" t="str">
        <f>+IF(AGOSTO!T118=0,"",AGOSTO!T118)</f>
        <v/>
      </c>
      <c r="U118" s="27">
        <f>+ENERO!U118</f>
        <v>0</v>
      </c>
      <c r="V118" s="15">
        <f>AGOSTO!V118+SEPTIEMBRE!AL118</f>
        <v>70000000</v>
      </c>
      <c r="W118" s="15">
        <f>AGOSTO!W118+SEPTIEMBRE!AM118</f>
        <v>0</v>
      </c>
      <c r="X118" s="18">
        <f t="shared" si="127"/>
        <v>70000000</v>
      </c>
      <c r="Y118" s="19">
        <f>AGOSTO!AA118</f>
        <v>65000000</v>
      </c>
      <c r="Z118" s="364">
        <v>0</v>
      </c>
      <c r="AA118" s="18">
        <f t="shared" si="128"/>
        <v>65000000</v>
      </c>
      <c r="AB118" s="19">
        <f>AGOSTO!AD118</f>
        <v>65000000</v>
      </c>
      <c r="AC118" s="364">
        <v>0</v>
      </c>
      <c r="AD118" s="18">
        <f t="shared" si="129"/>
        <v>65000000</v>
      </c>
      <c r="AE118" s="19">
        <f>AGOSTO!AG118</f>
        <v>65000000</v>
      </c>
      <c r="AF118" s="364">
        <v>0</v>
      </c>
      <c r="AG118" s="18">
        <f t="shared" si="130"/>
        <v>65000000</v>
      </c>
      <c r="AH118" s="19">
        <f t="shared" si="131"/>
        <v>5000000</v>
      </c>
      <c r="AI118" s="15">
        <f t="shared" si="132"/>
        <v>5000000</v>
      </c>
      <c r="AJ118" s="16">
        <f t="shared" si="133"/>
        <v>5000000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+IF(AGOSTO!A119=0,"",AGOSTO!A119)</f>
        <v>2300</v>
      </c>
      <c r="B119" s="609" t="str">
        <f>+IF(AGOSTO!B119=0,"",AGOSTO!B119)</f>
        <v>RENDIMIENTOS FINANCIEROS</v>
      </c>
      <c r="C119" s="655">
        <f>+ENERO!C119</f>
        <v>200295319</v>
      </c>
      <c r="D119" s="454">
        <f>AGOSTO!D119+SEPTIEMBRE!P119</f>
        <v>0</v>
      </c>
      <c r="E119" s="454">
        <f>AGOSTO!E119+SEPTIEMBRE!Q119</f>
        <v>0</v>
      </c>
      <c r="F119" s="458">
        <f t="shared" si="122"/>
        <v>200295319</v>
      </c>
      <c r="G119" s="216">
        <f>AGOSTO!I119</f>
        <v>7276</v>
      </c>
      <c r="H119" s="364">
        <v>0</v>
      </c>
      <c r="I119" s="458">
        <f t="shared" si="123"/>
        <v>7276</v>
      </c>
      <c r="J119" s="216">
        <f>AGOSTO!L119</f>
        <v>7276</v>
      </c>
      <c r="K119" s="364">
        <v>0</v>
      </c>
      <c r="L119" s="455">
        <f t="shared" si="124"/>
        <v>7276</v>
      </c>
      <c r="M119" s="428">
        <f t="shared" si="125"/>
        <v>200288043</v>
      </c>
      <c r="N119" s="143">
        <f t="shared" si="126"/>
        <v>200288043</v>
      </c>
      <c r="O119" s="451"/>
      <c r="P119" s="362">
        <v>0</v>
      </c>
      <c r="Q119" s="365">
        <v>0</v>
      </c>
      <c r="R119" s="9"/>
      <c r="S119" s="688" t="str">
        <f>+IF(AGOSTO!S119=0,"",AGOSTO!S119)</f>
        <v>2010100-5</v>
      </c>
      <c r="T119" s="664" t="str">
        <f>+IF(AGOSTO!T119=0,"",AGOSTO!T119)</f>
        <v/>
      </c>
      <c r="U119" s="27">
        <f>+ENERO!U119</f>
        <v>0</v>
      </c>
      <c r="V119" s="15">
        <f>AGOSTO!V119+SEPTIEMBRE!AL119</f>
        <v>0</v>
      </c>
      <c r="W119" s="15">
        <f>AGOSTO!W119+SEPTIEMBRE!AM119</f>
        <v>0</v>
      </c>
      <c r="X119" s="18">
        <f t="shared" si="127"/>
        <v>0</v>
      </c>
      <c r="Y119" s="19">
        <f>AGOSTO!AA119</f>
        <v>0</v>
      </c>
      <c r="Z119" s="364">
        <v>0</v>
      </c>
      <c r="AA119" s="18">
        <f t="shared" si="128"/>
        <v>0</v>
      </c>
      <c r="AB119" s="19">
        <f>AGOSTO!AD119</f>
        <v>0</v>
      </c>
      <c r="AC119" s="364">
        <v>0</v>
      </c>
      <c r="AD119" s="18">
        <f t="shared" si="129"/>
        <v>0</v>
      </c>
      <c r="AE119" s="19">
        <f>AGOSTO!AG119</f>
        <v>0</v>
      </c>
      <c r="AF119" s="364">
        <v>0</v>
      </c>
      <c r="AG119" s="1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+IF(AGOSTO!A120=0,"",AGOSTO!A120)</f>
        <v>2400</v>
      </c>
      <c r="B120" s="610" t="str">
        <f>+IF(AGOSTO!B120=0,"",AGOSTO!B120)</f>
        <v>VENTA DE ACTIVOS</v>
      </c>
      <c r="C120" s="655">
        <f>+ENERO!C120</f>
        <v>0</v>
      </c>
      <c r="D120" s="454">
        <f>AGOSTO!D120+SEPTIEMBRE!P120</f>
        <v>0</v>
      </c>
      <c r="E120" s="454">
        <f>AGOSTO!E120+SEPTIEMBRE!Q120</f>
        <v>0</v>
      </c>
      <c r="F120" s="458">
        <f t="shared" si="122"/>
        <v>0</v>
      </c>
      <c r="G120" s="216">
        <f>AGOSTO!I120</f>
        <v>0</v>
      </c>
      <c r="H120" s="364">
        <v>0</v>
      </c>
      <c r="I120" s="458">
        <f t="shared" si="123"/>
        <v>0</v>
      </c>
      <c r="J120" s="216">
        <f>AGOSTO!L120</f>
        <v>0</v>
      </c>
      <c r="K120" s="364">
        <v>0</v>
      </c>
      <c r="L120" s="455">
        <f t="shared" si="124"/>
        <v>0</v>
      </c>
      <c r="M120" s="428">
        <f t="shared" si="125"/>
        <v>0</v>
      </c>
      <c r="N120" s="143">
        <f t="shared" si="126"/>
        <v>0</v>
      </c>
      <c r="P120" s="362">
        <v>0</v>
      </c>
      <c r="Q120" s="365">
        <v>0</v>
      </c>
      <c r="R120" s="9"/>
      <c r="S120" s="688" t="str">
        <f>+IF(AGOSTO!S120=0,"",AGOSTO!S120)</f>
        <v>2010100-6</v>
      </c>
      <c r="T120" s="664" t="str">
        <f>+IF(AGOSTO!T120=0,"",AGOSTO!T120)</f>
        <v/>
      </c>
      <c r="U120" s="27">
        <f>+ENERO!U120</f>
        <v>0</v>
      </c>
      <c r="V120" s="15">
        <f>AGOSTO!V120+SEPTIEMBRE!AL120</f>
        <v>0</v>
      </c>
      <c r="W120" s="15">
        <f>AGOSTO!W120+SEPTIEMBRE!AM120</f>
        <v>0</v>
      </c>
      <c r="X120" s="18">
        <f t="shared" si="127"/>
        <v>0</v>
      </c>
      <c r="Y120" s="19">
        <f>AGOSTO!AA120</f>
        <v>0</v>
      </c>
      <c r="Z120" s="364">
        <v>0</v>
      </c>
      <c r="AA120" s="18">
        <f t="shared" si="128"/>
        <v>0</v>
      </c>
      <c r="AB120" s="19">
        <f>AGOSTO!AD120</f>
        <v>0</v>
      </c>
      <c r="AC120" s="364">
        <v>0</v>
      </c>
      <c r="AD120" s="18">
        <f t="shared" si="129"/>
        <v>0</v>
      </c>
      <c r="AE120" s="19">
        <f>AGOSTO!AG120</f>
        <v>0</v>
      </c>
      <c r="AF120" s="364">
        <v>0</v>
      </c>
      <c r="AG120" s="1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+IF(AGOSTO!A121=0,"",AGOSTO!A121)</f>
        <v>2500</v>
      </c>
      <c r="B121" s="610" t="str">
        <f>+IF(AGOSTO!B121=0,"",AGOSTO!B121)</f>
        <v>DONACIONES</v>
      </c>
      <c r="C121" s="655">
        <f>+ENERO!C121</f>
        <v>0</v>
      </c>
      <c r="D121" s="454">
        <f>AGOSTO!D121+SEPTIEMBRE!P121</f>
        <v>0</v>
      </c>
      <c r="E121" s="454">
        <f>AGOSTO!E121+SEPTIEMBRE!Q121</f>
        <v>1500000</v>
      </c>
      <c r="F121" s="458">
        <f t="shared" si="122"/>
        <v>1500000</v>
      </c>
      <c r="G121" s="216">
        <f>AGOSTO!I121</f>
        <v>1500000</v>
      </c>
      <c r="H121" s="364">
        <v>0</v>
      </c>
      <c r="I121" s="458">
        <f t="shared" si="123"/>
        <v>1500000</v>
      </c>
      <c r="J121" s="216">
        <f>AGOSTO!L121</f>
        <v>1500000</v>
      </c>
      <c r="K121" s="364">
        <v>0</v>
      </c>
      <c r="L121" s="455">
        <f t="shared" si="124"/>
        <v>1500000</v>
      </c>
      <c r="M121" s="428">
        <f t="shared" si="125"/>
        <v>0</v>
      </c>
      <c r="N121" s="143">
        <f t="shared" si="126"/>
        <v>0</v>
      </c>
      <c r="P121" s="362">
        <v>0</v>
      </c>
      <c r="Q121" s="365">
        <v>0</v>
      </c>
      <c r="R121" s="9"/>
      <c r="S121" s="688">
        <f>+IF(AGOSTO!S121=0,"",AGOSTO!S121)</f>
        <v>2010199</v>
      </c>
      <c r="T121" s="664" t="str">
        <f>+IF(AGOSTO!T121=0,"",AGOSTO!T121)</f>
        <v>Vigencias Anteriores</v>
      </c>
      <c r="U121" s="27">
        <f>+ENERO!U121</f>
        <v>100000000</v>
      </c>
      <c r="V121" s="15">
        <f>AGOSTO!V121+SEPTIEMBRE!AL121</f>
        <v>20000000</v>
      </c>
      <c r="W121" s="15">
        <f>AGOSTO!W121+SEPTIEMBRE!AM121</f>
        <v>400000000</v>
      </c>
      <c r="X121" s="18">
        <f t="shared" si="127"/>
        <v>520000000</v>
      </c>
      <c r="Y121" s="19">
        <f>AGOSTO!AA121</f>
        <v>515662837</v>
      </c>
      <c r="Z121" s="364">
        <v>0</v>
      </c>
      <c r="AA121" s="18">
        <f t="shared" si="128"/>
        <v>515662837</v>
      </c>
      <c r="AB121" s="19">
        <f>AGOSTO!AD121</f>
        <v>515662837</v>
      </c>
      <c r="AC121" s="364">
        <v>0</v>
      </c>
      <c r="AD121" s="18">
        <f t="shared" si="129"/>
        <v>515662837</v>
      </c>
      <c r="AE121" s="19">
        <f>AGOSTO!AG121</f>
        <v>515662837</v>
      </c>
      <c r="AF121" s="364">
        <v>0</v>
      </c>
      <c r="AG121" s="18">
        <f t="shared" si="130"/>
        <v>515662837</v>
      </c>
      <c r="AH121" s="19">
        <f t="shared" si="131"/>
        <v>4337163</v>
      </c>
      <c r="AI121" s="15">
        <f t="shared" si="132"/>
        <v>4337163</v>
      </c>
      <c r="AJ121" s="16">
        <f t="shared" si="133"/>
        <v>4337163</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+IF(AGOSTO!A122=0,"",AGOSTO!A122)</f>
        <v>2600</v>
      </c>
      <c r="B122" s="610" t="str">
        <f>+IF(AGOSTO!B122=0,"",AGOSTO!B122)</f>
        <v>RECUPERACIÓN DE CARTERA (AÑO 2017 Y ANTERIORES)</v>
      </c>
      <c r="C122" s="655">
        <f>+ENERO!C122</f>
        <v>0</v>
      </c>
      <c r="D122" s="454">
        <f>AGOSTO!D122+SEPTIEMBRE!P122</f>
        <v>0</v>
      </c>
      <c r="E122" s="454">
        <f>AGOSTO!E122+SEPTIEMBRE!Q122</f>
        <v>0</v>
      </c>
      <c r="F122" s="458">
        <f t="shared" si="122"/>
        <v>0</v>
      </c>
      <c r="G122" s="216">
        <f>AGOSTO!I122</f>
        <v>0</v>
      </c>
      <c r="H122" s="364">
        <v>0</v>
      </c>
      <c r="I122" s="458">
        <f t="shared" si="123"/>
        <v>0</v>
      </c>
      <c r="J122" s="216">
        <f>AGOSTO!L122</f>
        <v>0</v>
      </c>
      <c r="K122" s="364">
        <v>0</v>
      </c>
      <c r="L122" s="455">
        <f t="shared" si="124"/>
        <v>0</v>
      </c>
      <c r="M122" s="428">
        <f t="shared" si="125"/>
        <v>0</v>
      </c>
      <c r="N122" s="143">
        <f t="shared" si="126"/>
        <v>0</v>
      </c>
      <c r="P122" s="362">
        <v>0</v>
      </c>
      <c r="Q122" s="365">
        <v>0</v>
      </c>
      <c r="R122" s="9"/>
      <c r="S122" s="356" t="str">
        <f>+IF(AGOSTO!S122=0,"",AGOSTO!S122)</f>
        <v/>
      </c>
      <c r="T122" s="678" t="str">
        <f>+IF(AGOSTO!T122=0,"",AGOSTO!T122)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+IF(AGOSTO!A123=0,"",AGOSTO!A123)</f>
        <v>2700</v>
      </c>
      <c r="B123" s="610" t="str">
        <f>+IF(AGOSTO!B123=0,"",AGOSTO!B123)</f>
        <v>OTROS INGRESOS DE CAPITAL</v>
      </c>
      <c r="C123" s="655">
        <f>+ENERO!C123</f>
        <v>0</v>
      </c>
      <c r="D123" s="454">
        <f>AGOSTO!D123+SEPTIEMBRE!P123</f>
        <v>0</v>
      </c>
      <c r="E123" s="454">
        <f>AGOSTO!E123+SEPTIEMBRE!Q123</f>
        <v>153636785</v>
      </c>
      <c r="F123" s="458">
        <f t="shared" si="122"/>
        <v>153636785</v>
      </c>
      <c r="G123" s="216">
        <f>AGOSTO!I123</f>
        <v>162105398</v>
      </c>
      <c r="H123" s="364">
        <v>8791380</v>
      </c>
      <c r="I123" s="458">
        <f t="shared" si="123"/>
        <v>170896778</v>
      </c>
      <c r="J123" s="216">
        <f>AGOSTO!L123</f>
        <v>162105398</v>
      </c>
      <c r="K123" s="364">
        <v>8791380</v>
      </c>
      <c r="L123" s="455">
        <f t="shared" si="124"/>
        <v>170896778</v>
      </c>
      <c r="M123" s="428">
        <f t="shared" si="125"/>
        <v>-17259993</v>
      </c>
      <c r="N123" s="841">
        <f t="shared" si="126"/>
        <v>-17259993</v>
      </c>
      <c r="P123" s="362">
        <v>0</v>
      </c>
      <c r="Q123" s="365">
        <v>0</v>
      </c>
      <c r="R123" s="9"/>
      <c r="S123" s="687">
        <f>+IF(AGOSTO!S123=0,"",AGOSTO!S123)</f>
        <v>2010200</v>
      </c>
      <c r="T123" s="663" t="str">
        <f>+IF(AGOSTO!T123=0,"",AGOSTO!T123)</f>
        <v>Adquisición de Servicios</v>
      </c>
      <c r="U123" s="132">
        <f t="shared" ref="U123:AJ123" si="134">SUM(U124:U139)</f>
        <v>2775000000</v>
      </c>
      <c r="V123" s="122">
        <f t="shared" si="134"/>
        <v>95000000</v>
      </c>
      <c r="W123" s="122">
        <f t="shared" si="134"/>
        <v>330000000</v>
      </c>
      <c r="X123" s="129">
        <f t="shared" si="134"/>
        <v>3200000000</v>
      </c>
      <c r="Y123" s="128">
        <f t="shared" si="134"/>
        <v>2675818716</v>
      </c>
      <c r="Z123" s="122">
        <f t="shared" si="134"/>
        <v>180552360</v>
      </c>
      <c r="AA123" s="129">
        <f t="shared" si="134"/>
        <v>2856371076</v>
      </c>
      <c r="AB123" s="128">
        <f t="shared" si="134"/>
        <v>2090814414</v>
      </c>
      <c r="AC123" s="122">
        <f t="shared" si="134"/>
        <v>297668349</v>
      </c>
      <c r="AD123" s="129">
        <f t="shared" si="134"/>
        <v>2388482763</v>
      </c>
      <c r="AE123" s="128">
        <f t="shared" si="134"/>
        <v>1724472984</v>
      </c>
      <c r="AF123" s="122">
        <f t="shared" si="134"/>
        <v>271003735</v>
      </c>
      <c r="AG123" s="129">
        <f t="shared" si="134"/>
        <v>1995476719</v>
      </c>
      <c r="AH123" s="128">
        <f t="shared" si="134"/>
        <v>343628924</v>
      </c>
      <c r="AI123" s="122">
        <f t="shared" si="134"/>
        <v>811517237</v>
      </c>
      <c r="AJ123" s="130">
        <f t="shared" si="134"/>
        <v>1204523281</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+IF(AGOSTO!A124=0,"",AGOSTO!A124)</f>
        <v>2800</v>
      </c>
      <c r="B124" s="638" t="str">
        <f>+IF(AGOSTO!B124=0,"",AGOSTO!B124)</f>
        <v/>
      </c>
      <c r="C124" s="759">
        <f>+ENERO!C124</f>
        <v>0</v>
      </c>
      <c r="D124" s="452">
        <f>AGOSTO!D124+SEPTIEMBRE!P124</f>
        <v>0</v>
      </c>
      <c r="E124" s="452">
        <f>AGOSTO!E124+SEPTIEMBRE!Q124</f>
        <v>430631999</v>
      </c>
      <c r="F124" s="464">
        <f t="shared" si="122"/>
        <v>430631999</v>
      </c>
      <c r="G124" s="377">
        <f>AGOSTO!I124</f>
        <v>430631999</v>
      </c>
      <c r="H124" s="378">
        <v>0</v>
      </c>
      <c r="I124" s="464">
        <f t="shared" si="123"/>
        <v>430631999</v>
      </c>
      <c r="J124" s="377">
        <f>AGOSTO!L124</f>
        <v>430631999</v>
      </c>
      <c r="K124" s="378">
        <v>0</v>
      </c>
      <c r="L124" s="823">
        <f t="shared" si="124"/>
        <v>430631999</v>
      </c>
      <c r="M124" s="466">
        <f t="shared" si="125"/>
        <v>0</v>
      </c>
      <c r="N124" s="376">
        <f t="shared" si="126"/>
        <v>0</v>
      </c>
      <c r="P124" s="374">
        <v>0</v>
      </c>
      <c r="Q124" s="379">
        <v>0</v>
      </c>
      <c r="R124" s="9"/>
      <c r="S124" s="688" t="str">
        <f>+IF(AGOSTO!S124=0,"",AGOSTO!S124)</f>
        <v>2010200-1</v>
      </c>
      <c r="T124" s="664" t="str">
        <f>+IF(AGOSTO!T124=0,"",AGOSTO!T124)</f>
        <v>Seguros</v>
      </c>
      <c r="U124" s="27">
        <f>+ENERO!U124</f>
        <v>3000000</v>
      </c>
      <c r="V124" s="15">
        <f>AGOSTO!V124+SEPTIEMBRE!AL124</f>
        <v>0</v>
      </c>
      <c r="W124" s="15">
        <f>AGOSTO!W124+SEPTIEMBRE!AM124</f>
        <v>0</v>
      </c>
      <c r="X124" s="18">
        <f t="shared" ref="X124:X139" si="135">SUM(U124:W124)</f>
        <v>3000000</v>
      </c>
      <c r="Y124" s="19">
        <f>AGOSTO!AA124</f>
        <v>1958919</v>
      </c>
      <c r="Z124" s="364">
        <v>0</v>
      </c>
      <c r="AA124" s="18">
        <f t="shared" ref="AA124:AA139" si="136">SUM(Y124:Z124)</f>
        <v>1958919</v>
      </c>
      <c r="AB124" s="19">
        <f>AGOSTO!AD124</f>
        <v>1666765</v>
      </c>
      <c r="AC124" s="364">
        <v>0</v>
      </c>
      <c r="AD124" s="18">
        <f t="shared" ref="AD124:AD139" si="137">SUM(AB124:AC124)</f>
        <v>1666765</v>
      </c>
      <c r="AE124" s="19">
        <f>AGOSTO!AG124</f>
        <v>1666765</v>
      </c>
      <c r="AF124" s="364">
        <v>0</v>
      </c>
      <c r="AG124" s="18">
        <f t="shared" ref="AG124:AG139" si="138">SUM(AE124:AF124)</f>
        <v>1666765</v>
      </c>
      <c r="AH124" s="19">
        <f t="shared" ref="AH124:AH139" si="139">X124-AA124</f>
        <v>1041081</v>
      </c>
      <c r="AI124" s="15">
        <f t="shared" ref="AI124:AI139" si="140">X124-AD124</f>
        <v>1333235</v>
      </c>
      <c r="AJ124" s="16">
        <f t="shared" ref="AJ124:AJ139" si="141">X124-AG124</f>
        <v>1333235</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837"/>
      <c r="J125" s="470"/>
      <c r="K125" s="470"/>
      <c r="L125" s="837"/>
      <c r="M125" s="470"/>
      <c r="N125" s="471"/>
      <c r="P125" s="472"/>
      <c r="Q125" s="471"/>
      <c r="R125" s="9"/>
      <c r="S125" s="688" t="str">
        <f>+IF(AGOSTO!S125=0,"",AGOSTO!S125)</f>
        <v>2010200-2</v>
      </c>
      <c r="T125" s="664" t="str">
        <f>+IF(AGOSTO!T125=0,"",AGOSTO!T125)</f>
        <v>Impresos y Publicaciones</v>
      </c>
      <c r="U125" s="27">
        <f>+ENERO!U125</f>
        <v>25000000</v>
      </c>
      <c r="V125" s="15">
        <f>AGOSTO!V125+SEPTIEMBRE!AL125</f>
        <v>0</v>
      </c>
      <c r="W125" s="15">
        <f>AGOSTO!W125+SEPTIEMBRE!AM125</f>
        <v>0</v>
      </c>
      <c r="X125" s="18">
        <f t="shared" si="135"/>
        <v>25000000</v>
      </c>
      <c r="Y125" s="19">
        <f>AGOSTO!AA125</f>
        <v>2923059</v>
      </c>
      <c r="Z125" s="364">
        <v>1571336</v>
      </c>
      <c r="AA125" s="18">
        <f t="shared" si="136"/>
        <v>4494395</v>
      </c>
      <c r="AB125" s="19">
        <f>AGOSTO!AD125</f>
        <v>2923059</v>
      </c>
      <c r="AC125" s="364">
        <v>1571336</v>
      </c>
      <c r="AD125" s="18">
        <f t="shared" si="137"/>
        <v>4494395</v>
      </c>
      <c r="AE125" s="19">
        <f>AGOSTO!AG125</f>
        <v>2634400</v>
      </c>
      <c r="AF125" s="364">
        <v>0</v>
      </c>
      <c r="AG125" s="18">
        <f t="shared" si="138"/>
        <v>2634400</v>
      </c>
      <c r="AH125" s="19">
        <f t="shared" si="139"/>
        <v>20505605</v>
      </c>
      <c r="AI125" s="15">
        <f t="shared" si="140"/>
        <v>20505605</v>
      </c>
      <c r="AJ125" s="16">
        <f t="shared" si="141"/>
        <v>22365600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51" t="s">
        <v>239</v>
      </c>
      <c r="B126" s="752"/>
      <c r="C126" s="467">
        <f t="shared" ref="C126:Q126" si="142">C8-C128</f>
        <v>66420360605</v>
      </c>
      <c r="D126" s="467">
        <f t="shared" si="142"/>
        <v>0</v>
      </c>
      <c r="E126" s="467">
        <f t="shared" si="142"/>
        <v>26224671094</v>
      </c>
      <c r="F126" s="467">
        <f t="shared" si="142"/>
        <v>92645031699</v>
      </c>
      <c r="G126" s="467">
        <f t="shared" si="142"/>
        <v>69889683968</v>
      </c>
      <c r="H126" s="467">
        <f t="shared" si="142"/>
        <v>6424738063</v>
      </c>
      <c r="I126" s="838">
        <f t="shared" si="142"/>
        <v>76314422031</v>
      </c>
      <c r="J126" s="467">
        <f t="shared" si="142"/>
        <v>47397316597.069992</v>
      </c>
      <c r="K126" s="467">
        <f t="shared" si="142"/>
        <v>2811795105</v>
      </c>
      <c r="L126" s="838">
        <f t="shared" si="142"/>
        <v>50209111702.07</v>
      </c>
      <c r="M126" s="467">
        <f t="shared" si="142"/>
        <v>16330609668</v>
      </c>
      <c r="N126" s="596">
        <f t="shared" si="142"/>
        <v>42435919996.930008</v>
      </c>
      <c r="O126" s="372">
        <f t="shared" si="142"/>
        <v>0</v>
      </c>
      <c r="P126" s="468">
        <f t="shared" si="142"/>
        <v>0</v>
      </c>
      <c r="Q126" s="469">
        <f t="shared" si="142"/>
        <v>0</v>
      </c>
      <c r="R126" s="9"/>
      <c r="S126" s="688" t="str">
        <f>+IF(AGOSTO!S126=0,"",AGOSTO!S126)</f>
        <v>2010200-3</v>
      </c>
      <c r="T126" s="664" t="str">
        <f>+IF(AGOSTO!T126=0,"",AGOSTO!T126)</f>
        <v xml:space="preserve">Servicios Públicos </v>
      </c>
      <c r="U126" s="27">
        <f>+ENERO!U126</f>
        <v>740000000</v>
      </c>
      <c r="V126" s="15">
        <f>AGOSTO!V126+SEPTIEMBRE!AL126</f>
        <v>0</v>
      </c>
      <c r="W126" s="15">
        <f>AGOSTO!W126+SEPTIEMBRE!AM126</f>
        <v>0</v>
      </c>
      <c r="X126" s="18">
        <f t="shared" si="135"/>
        <v>740000000</v>
      </c>
      <c r="Y126" s="19">
        <f>AGOSTO!AA126</f>
        <v>453133722</v>
      </c>
      <c r="Z126" s="364">
        <v>93748825</v>
      </c>
      <c r="AA126" s="18">
        <f t="shared" si="136"/>
        <v>546882547</v>
      </c>
      <c r="AB126" s="19">
        <f>AGOSTO!AD126</f>
        <v>453133722</v>
      </c>
      <c r="AC126" s="364">
        <v>93748825</v>
      </c>
      <c r="AD126" s="18">
        <f t="shared" si="137"/>
        <v>546882547</v>
      </c>
      <c r="AE126" s="19">
        <f>AGOSTO!AG126</f>
        <v>396715319</v>
      </c>
      <c r="AF126" s="364">
        <v>56703162</v>
      </c>
      <c r="AG126" s="18">
        <f t="shared" si="138"/>
        <v>453418481</v>
      </c>
      <c r="AH126" s="19">
        <f t="shared" si="139"/>
        <v>193117453</v>
      </c>
      <c r="AI126" s="15">
        <f t="shared" si="140"/>
        <v>193117453</v>
      </c>
      <c r="AJ126" s="16">
        <f t="shared" si="141"/>
        <v>286581519</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3"/>
      <c r="B127" s="754"/>
      <c r="C127" s="470"/>
      <c r="D127" s="470"/>
      <c r="E127" s="470"/>
      <c r="F127" s="470"/>
      <c r="G127" s="470"/>
      <c r="H127" s="470"/>
      <c r="I127" s="837"/>
      <c r="J127" s="470"/>
      <c r="K127" s="470"/>
      <c r="L127" s="837"/>
      <c r="M127" s="470"/>
      <c r="N127" s="471"/>
      <c r="P127" s="472"/>
      <c r="Q127" s="471"/>
      <c r="R127" s="9"/>
      <c r="S127" s="688" t="str">
        <f>+IF(AGOSTO!S127=0,"",AGOSTO!S127)</f>
        <v>2010200-4</v>
      </c>
      <c r="T127" s="664" t="str">
        <f>+IF(AGOSTO!T127=0,"",AGOSTO!T127)</f>
        <v>Comunicaciones y Transportes</v>
      </c>
      <c r="U127" s="27">
        <f>+ENERO!U127</f>
        <v>118000000</v>
      </c>
      <c r="V127" s="15">
        <f>AGOSTO!V127+SEPTIEMBRE!AL127</f>
        <v>40000000</v>
      </c>
      <c r="W127" s="15">
        <f>AGOSTO!W127+SEPTIEMBRE!AM127</f>
        <v>0</v>
      </c>
      <c r="X127" s="18">
        <f t="shared" si="135"/>
        <v>158000000</v>
      </c>
      <c r="Y127" s="19">
        <f>AGOSTO!AA127</f>
        <v>147422497</v>
      </c>
      <c r="Z127" s="364">
        <v>4739206</v>
      </c>
      <c r="AA127" s="18">
        <f t="shared" si="136"/>
        <v>152161703</v>
      </c>
      <c r="AB127" s="19">
        <f>AGOSTO!AD127</f>
        <v>85522497</v>
      </c>
      <c r="AC127" s="364">
        <v>14339206</v>
      </c>
      <c r="AD127" s="18">
        <f t="shared" si="137"/>
        <v>99861703</v>
      </c>
      <c r="AE127" s="19">
        <f>AGOSTO!AG127</f>
        <v>79422497</v>
      </c>
      <c r="AF127" s="364">
        <v>16339206</v>
      </c>
      <c r="AG127" s="18">
        <f t="shared" si="138"/>
        <v>95761703</v>
      </c>
      <c r="AH127" s="19">
        <f t="shared" si="139"/>
        <v>5838297</v>
      </c>
      <c r="AI127" s="15">
        <f t="shared" si="140"/>
        <v>58138297</v>
      </c>
      <c r="AJ127" s="16">
        <f t="shared" si="141"/>
        <v>62238297</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55" t="s">
        <v>242</v>
      </c>
      <c r="B128" s="756"/>
      <c r="C128" s="473">
        <f>SUMIF($B8:$B$122,$B$24,C8:C122)+C122</f>
        <v>0</v>
      </c>
      <c r="D128" s="473">
        <f>SUMIF($B8:$B$122,$B$24,D8:D122)+D122</f>
        <v>0</v>
      </c>
      <c r="E128" s="473">
        <f>SUMIF($B8:$B$122,$B$24,E8:E122)+E122</f>
        <v>13518233461</v>
      </c>
      <c r="F128" s="473">
        <f>SUMIF($B8:$B$122,$B$24,F8:F122)+F122</f>
        <v>13518233461</v>
      </c>
      <c r="G128" s="473">
        <f>SUMIF($B8:$B$122,$B$24,G8:G122)+G122</f>
        <v>14101071778</v>
      </c>
      <c r="H128" s="473">
        <f>SUMIF($B8:$B$122,$B$24,H8:H122)+H122</f>
        <v>2042239983</v>
      </c>
      <c r="I128" s="473">
        <f>SUMIF($B8:$B$122,$B$24,I8:I122)+I122</f>
        <v>16143311761</v>
      </c>
      <c r="J128" s="473">
        <f>SUMIF($B8:$B$122,$B$24,J8:J122)+J1212</f>
        <v>14101071777.690001</v>
      </c>
      <c r="K128" s="473">
        <f>SUMIF($B8:$B$122,$B$24,K8:K122)+K122</f>
        <v>2042239983</v>
      </c>
      <c r="L128" s="473">
        <f>SUMIF($B8:$B$122,$B$24,L8:L122)+L122</f>
        <v>16143311760.690001</v>
      </c>
      <c r="M128" s="473">
        <f>SUMIF($B8:$B$122,$B$24,M8:M122)+M12</f>
        <v>-2625078300</v>
      </c>
      <c r="N128" s="597">
        <f>SUMIF($B8:$B$122,$B$24,N8:N122)+N122</f>
        <v>-2625078299.6900001</v>
      </c>
      <c r="O128" s="451"/>
      <c r="P128" s="473">
        <f>SUMIF($B8:$B$122,$B$24,P8:P122)+P122</f>
        <v>0</v>
      </c>
      <c r="Q128" s="474">
        <f>SUMIF($B8:$B$122,$B$24,Q8:Q122)+Q122</f>
        <v>0</v>
      </c>
      <c r="R128" s="9"/>
      <c r="S128" s="688" t="str">
        <f>+IF(AGOSTO!S128=0,"",AGOSTO!S128)</f>
        <v>2010200-5</v>
      </c>
      <c r="T128" s="664" t="str">
        <f>+IF(AGOSTO!T128=0,"",AGOSTO!T128)</f>
        <v>Viáticos y Gastos de Viaje</v>
      </c>
      <c r="U128" s="27">
        <f>+ENERO!U128</f>
        <v>22000000</v>
      </c>
      <c r="V128" s="15">
        <f>AGOSTO!V128+SEPTIEMBRE!AL128</f>
        <v>0</v>
      </c>
      <c r="W128" s="15">
        <f>AGOSTO!W128+SEPTIEMBRE!AM128</f>
        <v>0</v>
      </c>
      <c r="X128" s="18">
        <f t="shared" si="135"/>
        <v>22000000</v>
      </c>
      <c r="Y128" s="19">
        <f>AGOSTO!AA128</f>
        <v>2938000</v>
      </c>
      <c r="Z128" s="364">
        <v>494000</v>
      </c>
      <c r="AA128" s="18">
        <f t="shared" si="136"/>
        <v>3432000</v>
      </c>
      <c r="AB128" s="19">
        <f>AGOSTO!AD128</f>
        <v>2788000</v>
      </c>
      <c r="AC128" s="364">
        <v>494000</v>
      </c>
      <c r="AD128" s="18">
        <f t="shared" si="137"/>
        <v>3282000</v>
      </c>
      <c r="AE128" s="19">
        <f>AGOSTO!AG128</f>
        <v>2615500</v>
      </c>
      <c r="AF128" s="364">
        <v>494000</v>
      </c>
      <c r="AG128" s="18">
        <f t="shared" si="138"/>
        <v>3109500</v>
      </c>
      <c r="AH128" s="19">
        <f t="shared" si="139"/>
        <v>18568000</v>
      </c>
      <c r="AI128" s="15">
        <f t="shared" si="140"/>
        <v>18718000</v>
      </c>
      <c r="AJ128" s="16">
        <f t="shared" si="141"/>
        <v>18890500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3"/>
      <c r="B129" s="754"/>
      <c r="C129" s="470"/>
      <c r="D129" s="470"/>
      <c r="E129" s="470"/>
      <c r="F129" s="470"/>
      <c r="G129" s="470"/>
      <c r="H129" s="470"/>
      <c r="I129" s="837"/>
      <c r="J129" s="470"/>
      <c r="K129" s="470"/>
      <c r="L129" s="837"/>
      <c r="M129" s="470"/>
      <c r="N129" s="471"/>
      <c r="P129" s="472"/>
      <c r="Q129" s="471"/>
      <c r="R129" s="9"/>
      <c r="S129" s="688" t="str">
        <f>+IF(AGOSTO!S129=0,"",AGOSTO!S129)</f>
        <v>2010200-6</v>
      </c>
      <c r="T129" s="664" t="str">
        <f>+IF(AGOSTO!T129=0,"",AGOSTO!T129)</f>
        <v>Arrendamientos</v>
      </c>
      <c r="U129" s="27">
        <f>+ENERO!U129</f>
        <v>165000000</v>
      </c>
      <c r="V129" s="15">
        <f>AGOSTO!V129+SEPTIEMBRE!AL129</f>
        <v>-10000000</v>
      </c>
      <c r="W129" s="15">
        <f>AGOSTO!W129+SEPTIEMBRE!AM129</f>
        <v>0</v>
      </c>
      <c r="X129" s="18">
        <f t="shared" si="135"/>
        <v>155000000</v>
      </c>
      <c r="Y129" s="19">
        <f>AGOSTO!AA129</f>
        <v>155000000</v>
      </c>
      <c r="Z129" s="364">
        <v>0</v>
      </c>
      <c r="AA129" s="18">
        <f t="shared" si="136"/>
        <v>155000000</v>
      </c>
      <c r="AB129" s="19">
        <f>AGOSTO!AD129</f>
        <v>102830817</v>
      </c>
      <c r="AC129" s="364">
        <v>-10559684</v>
      </c>
      <c r="AD129" s="18">
        <f t="shared" si="137"/>
        <v>92271133</v>
      </c>
      <c r="AE129" s="19">
        <f>AGOSTO!AG129</f>
        <v>62968468</v>
      </c>
      <c r="AF129" s="364">
        <v>29302665</v>
      </c>
      <c r="AG129" s="18">
        <f t="shared" si="138"/>
        <v>92271133</v>
      </c>
      <c r="AH129" s="19">
        <f t="shared" si="139"/>
        <v>0</v>
      </c>
      <c r="AI129" s="15">
        <f t="shared" si="140"/>
        <v>62728867</v>
      </c>
      <c r="AJ129" s="16">
        <f t="shared" si="141"/>
        <v>62728867</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57" t="s">
        <v>245</v>
      </c>
      <c r="B130" s="758"/>
      <c r="C130" s="475">
        <f t="shared" ref="C130:N130" si="143">C128+C126</f>
        <v>66420360605</v>
      </c>
      <c r="D130" s="476">
        <f t="shared" si="143"/>
        <v>0</v>
      </c>
      <c r="E130" s="476">
        <f t="shared" si="143"/>
        <v>39742904555</v>
      </c>
      <c r="F130" s="477">
        <f t="shared" si="143"/>
        <v>106163265160</v>
      </c>
      <c r="G130" s="475">
        <f t="shared" si="143"/>
        <v>83990755746</v>
      </c>
      <c r="H130" s="476">
        <f t="shared" si="143"/>
        <v>8466978046</v>
      </c>
      <c r="I130" s="839">
        <f t="shared" si="143"/>
        <v>92457733792</v>
      </c>
      <c r="J130" s="475">
        <f t="shared" si="143"/>
        <v>61498388374.759995</v>
      </c>
      <c r="K130" s="476">
        <f t="shared" si="143"/>
        <v>4854035088</v>
      </c>
      <c r="L130" s="839">
        <f t="shared" si="143"/>
        <v>66352423462.760002</v>
      </c>
      <c r="M130" s="475">
        <f t="shared" si="143"/>
        <v>13705531368</v>
      </c>
      <c r="N130" s="477">
        <f t="shared" si="143"/>
        <v>39810841697.240005</v>
      </c>
      <c r="P130" s="468">
        <f>P128+P126</f>
        <v>0</v>
      </c>
      <c r="Q130" s="469">
        <f>Q128+Q126</f>
        <v>0</v>
      </c>
      <c r="R130" s="9"/>
      <c r="S130" s="688" t="str">
        <f>+IF(AGOSTO!S130=0,"",AGOSTO!S130)</f>
        <v>2010200-7</v>
      </c>
      <c r="T130" s="664" t="str">
        <f>+IF(AGOSTO!T130=0,"",AGOSTO!T130)</f>
        <v>Vigilancia y Aseo</v>
      </c>
      <c r="U130" s="27">
        <f>+ENERO!U130</f>
        <v>1086000000</v>
      </c>
      <c r="V130" s="15">
        <f>AGOSTO!V130+SEPTIEMBRE!AL130</f>
        <v>-50000000</v>
      </c>
      <c r="W130" s="15">
        <f>AGOSTO!W130+SEPTIEMBRE!AM130</f>
        <v>0</v>
      </c>
      <c r="X130" s="18">
        <f t="shared" si="135"/>
        <v>1036000000</v>
      </c>
      <c r="Y130" s="19">
        <f>AGOSTO!AA130</f>
        <v>1027184608</v>
      </c>
      <c r="Z130" s="364">
        <v>0</v>
      </c>
      <c r="AA130" s="18">
        <f t="shared" si="136"/>
        <v>1027184608</v>
      </c>
      <c r="AB130" s="19">
        <f>AGOSTO!AD130</f>
        <v>687976643</v>
      </c>
      <c r="AC130" s="364">
        <v>87433173</v>
      </c>
      <c r="AD130" s="18">
        <f t="shared" si="137"/>
        <v>775409816</v>
      </c>
      <c r="AE130" s="19">
        <f>AGOSTO!AG130</f>
        <v>425677124</v>
      </c>
      <c r="AF130" s="364">
        <v>57523209</v>
      </c>
      <c r="AG130" s="18">
        <f t="shared" si="138"/>
        <v>483200333</v>
      </c>
      <c r="AH130" s="19">
        <f t="shared" si="139"/>
        <v>8815392</v>
      </c>
      <c r="AI130" s="15">
        <f t="shared" si="140"/>
        <v>260590184</v>
      </c>
      <c r="AJ130" s="16">
        <f t="shared" si="141"/>
        <v>552799667</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I131" s="451"/>
      <c r="L131" s="451"/>
      <c r="N131" s="9"/>
      <c r="R131" s="9"/>
      <c r="S131" s="688" t="str">
        <f>+IF(AGOSTO!S131=0,"",AGOSTO!S131)</f>
        <v>2010200-8</v>
      </c>
      <c r="T131" s="664" t="str">
        <f>+IF(AGOSTO!T131=0,"",AGOSTO!T131)</f>
        <v>Bienestar Social</v>
      </c>
      <c r="U131" s="27">
        <f>+ENERO!U131</f>
        <v>100000000</v>
      </c>
      <c r="V131" s="15">
        <f>AGOSTO!V131+SEPTIEMBRE!AL131</f>
        <v>0</v>
      </c>
      <c r="W131" s="15">
        <f>AGOSTO!W131+SEPTIEMBRE!AM131</f>
        <v>0</v>
      </c>
      <c r="X131" s="18">
        <f t="shared" si="135"/>
        <v>100000000</v>
      </c>
      <c r="Y131" s="19">
        <f>AGOSTO!AA131</f>
        <v>80060580</v>
      </c>
      <c r="Z131" s="364">
        <v>0</v>
      </c>
      <c r="AA131" s="18">
        <f t="shared" si="136"/>
        <v>80060580</v>
      </c>
      <c r="AB131" s="19">
        <f>AGOSTO!AD131</f>
        <v>10060580</v>
      </c>
      <c r="AC131" s="364">
        <v>0</v>
      </c>
      <c r="AD131" s="18">
        <f t="shared" si="137"/>
        <v>10060580</v>
      </c>
      <c r="AE131" s="19">
        <f>AGOSTO!AG131</f>
        <v>8860580</v>
      </c>
      <c r="AF131" s="364">
        <v>0</v>
      </c>
      <c r="AG131" s="18">
        <f t="shared" si="138"/>
        <v>8860580</v>
      </c>
      <c r="AH131" s="19">
        <f t="shared" si="139"/>
        <v>19939420</v>
      </c>
      <c r="AI131" s="15">
        <f t="shared" si="140"/>
        <v>89939420</v>
      </c>
      <c r="AJ131" s="16">
        <f t="shared" si="141"/>
        <v>91139420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I132" s="451"/>
      <c r="L132" s="451"/>
      <c r="N132" s="9"/>
      <c r="R132" s="9"/>
      <c r="S132" s="688" t="str">
        <f>+IF(AGOSTO!S132=0,"",AGOSTO!S132)</f>
        <v>2010200-9</v>
      </c>
      <c r="T132" s="664" t="str">
        <f>+IF(AGOSTO!T132=0,"",AGOSTO!T132)</f>
        <v>Capacitación, estimulos, incentivos, programa de calidad</v>
      </c>
      <c r="U132" s="27">
        <f>+ENERO!U132</f>
        <v>50000000</v>
      </c>
      <c r="V132" s="15">
        <f>AGOSTO!V132+SEPTIEMBRE!AL132</f>
        <v>0</v>
      </c>
      <c r="W132" s="15">
        <f>AGOSTO!W132+SEPTIEMBRE!AM132</f>
        <v>0</v>
      </c>
      <c r="X132" s="18">
        <f t="shared" si="135"/>
        <v>50000000</v>
      </c>
      <c r="Y132" s="19">
        <f>AGOSTO!AA132</f>
        <v>0</v>
      </c>
      <c r="Z132" s="364">
        <v>0</v>
      </c>
      <c r="AA132" s="18">
        <f t="shared" si="136"/>
        <v>0</v>
      </c>
      <c r="AB132" s="19">
        <f>AGOSTO!AD132</f>
        <v>0</v>
      </c>
      <c r="AC132" s="364">
        <v>0</v>
      </c>
      <c r="AD132" s="18">
        <f t="shared" si="137"/>
        <v>0</v>
      </c>
      <c r="AE132" s="19">
        <f>AGOSTO!AG132</f>
        <v>0</v>
      </c>
      <c r="AF132" s="364">
        <v>0</v>
      </c>
      <c r="AG132" s="18">
        <f t="shared" si="138"/>
        <v>0</v>
      </c>
      <c r="AH132" s="19">
        <f t="shared" si="139"/>
        <v>50000000</v>
      </c>
      <c r="AI132" s="15">
        <f t="shared" si="140"/>
        <v>50000000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I133" s="451"/>
      <c r="L133" s="451"/>
      <c r="N133" s="9"/>
      <c r="R133" s="9"/>
      <c r="S133" s="688" t="str">
        <f>+IF(AGOSTO!S133=0,"",AGOSTO!S133)</f>
        <v>2010200-10</v>
      </c>
      <c r="T133" s="664" t="str">
        <f>+IF(AGOSTO!T133=0,"",AGOSTO!T133)</f>
        <v>Pagos otras IPS</v>
      </c>
      <c r="U133" s="27">
        <f>+ENERO!U133</f>
        <v>0</v>
      </c>
      <c r="V133" s="15">
        <f>AGOSTO!V133+SEPTIEMBRE!AL133</f>
        <v>0</v>
      </c>
      <c r="W133" s="15">
        <f>AGOSTO!W133+SEPTIEMBRE!AM133</f>
        <v>0</v>
      </c>
      <c r="X133" s="18">
        <f t="shared" si="135"/>
        <v>0</v>
      </c>
      <c r="Y133" s="19">
        <f>AGOSTO!AA133</f>
        <v>0</v>
      </c>
      <c r="Z133" s="364">
        <v>0</v>
      </c>
      <c r="AA133" s="18">
        <f t="shared" si="136"/>
        <v>0</v>
      </c>
      <c r="AB133" s="19">
        <f>AGOSTO!AD133</f>
        <v>0</v>
      </c>
      <c r="AC133" s="364">
        <v>0</v>
      </c>
      <c r="AD133" s="18">
        <f t="shared" si="137"/>
        <v>0</v>
      </c>
      <c r="AE133" s="19">
        <f>AGOSTO!AG133</f>
        <v>0</v>
      </c>
      <c r="AF133" s="364">
        <v>0</v>
      </c>
      <c r="AG133" s="1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I134" s="451"/>
      <c r="L134" s="451"/>
      <c r="N134" s="9"/>
      <c r="R134" s="9"/>
      <c r="S134" s="688" t="str">
        <f>+IF(AGOSTO!S134=0,"",AGOSTO!S134)</f>
        <v>2010200-11</v>
      </c>
      <c r="T134" s="664" t="str">
        <f>+IF(AGOSTO!T134=0,"",AGOSTO!T134)</f>
        <v>Gastos financieros</v>
      </c>
      <c r="U134" s="27">
        <f>+ENERO!U134</f>
        <v>16000000</v>
      </c>
      <c r="V134" s="15">
        <f>AGOSTO!V134+SEPTIEMBRE!AL134</f>
        <v>5000000</v>
      </c>
      <c r="W134" s="15">
        <f>AGOSTO!W134+SEPTIEMBRE!AM134</f>
        <v>0</v>
      </c>
      <c r="X134" s="18">
        <f t="shared" si="135"/>
        <v>21000000</v>
      </c>
      <c r="Y134" s="19">
        <f>AGOSTO!AA134</f>
        <v>17804920</v>
      </c>
      <c r="Z134" s="364">
        <v>2584157</v>
      </c>
      <c r="AA134" s="18">
        <f t="shared" si="136"/>
        <v>20389077</v>
      </c>
      <c r="AB134" s="19">
        <f>AGOSTO!AD134</f>
        <v>17804920</v>
      </c>
      <c r="AC134" s="364">
        <v>2584157</v>
      </c>
      <c r="AD134" s="18">
        <f t="shared" si="137"/>
        <v>20389077</v>
      </c>
      <c r="AE134" s="19">
        <f>AGOSTO!AG134</f>
        <v>17804920</v>
      </c>
      <c r="AF134" s="364">
        <v>2584157</v>
      </c>
      <c r="AG134" s="18">
        <f t="shared" si="138"/>
        <v>20389077</v>
      </c>
      <c r="AH134" s="19">
        <f t="shared" si="139"/>
        <v>610923</v>
      </c>
      <c r="AI134" s="15">
        <f t="shared" si="140"/>
        <v>610923</v>
      </c>
      <c r="AJ134" s="16">
        <f t="shared" si="141"/>
        <v>610923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I135" s="451"/>
      <c r="L135" s="451"/>
      <c r="N135" s="9"/>
      <c r="R135" s="9"/>
      <c r="S135" s="688" t="str">
        <f>+IF(AGOSTO!S135=0,"",AGOSTO!S135)</f>
        <v>2010200-12</v>
      </c>
      <c r="T135" s="664" t="str">
        <f>+IF(AGOSTO!T135=0,"",AGOSTO!T135)</f>
        <v>Mantenimiento de software</v>
      </c>
      <c r="U135" s="27">
        <f>+ENERO!U135</f>
        <v>350000000</v>
      </c>
      <c r="V135" s="15">
        <f>AGOSTO!V135+SEPTIEMBRE!AL135</f>
        <v>0</v>
      </c>
      <c r="W135" s="15">
        <f>AGOSTO!W135+SEPTIEMBRE!AM135</f>
        <v>0</v>
      </c>
      <c r="X135" s="18">
        <f t="shared" si="135"/>
        <v>350000000</v>
      </c>
      <c r="Y135" s="19">
        <f>AGOSTO!AA135</f>
        <v>338498600</v>
      </c>
      <c r="Z135" s="364">
        <v>0</v>
      </c>
      <c r="AA135" s="18">
        <f t="shared" si="136"/>
        <v>338498600</v>
      </c>
      <c r="AB135" s="19">
        <f>AGOSTO!AD135</f>
        <v>277213600</v>
      </c>
      <c r="AC135" s="364">
        <v>30642500</v>
      </c>
      <c r="AD135" s="18">
        <f t="shared" si="137"/>
        <v>307856100</v>
      </c>
      <c r="AE135" s="19">
        <f>AGOSTO!AG135</f>
        <v>277213600</v>
      </c>
      <c r="AF135" s="364">
        <v>30642500</v>
      </c>
      <c r="AG135" s="18">
        <f t="shared" si="138"/>
        <v>307856100</v>
      </c>
      <c r="AH135" s="19">
        <f t="shared" si="139"/>
        <v>11501400</v>
      </c>
      <c r="AI135" s="15">
        <f t="shared" si="140"/>
        <v>42143900</v>
      </c>
      <c r="AJ135" s="16">
        <f t="shared" si="141"/>
        <v>42143900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I136" s="451"/>
      <c r="L136" s="451"/>
      <c r="N136" s="9"/>
      <c r="R136" s="9"/>
      <c r="S136" s="688" t="str">
        <f>+IF(AGOSTO!S136=0,"",AGOSTO!S136)</f>
        <v>2010200-13</v>
      </c>
      <c r="T136" s="664" t="str">
        <f>+IF(AGOSTO!T136=0,"",AGOSTO!T136)</f>
        <v/>
      </c>
      <c r="U136" s="27">
        <f>+ENERO!U136</f>
        <v>0</v>
      </c>
      <c r="V136" s="15">
        <f>AGOSTO!V136+SEPTIEMBRE!AL136</f>
        <v>0</v>
      </c>
      <c r="W136" s="15">
        <f>AGOSTO!W136+SEPTIEMBRE!AM136</f>
        <v>0</v>
      </c>
      <c r="X136" s="18">
        <f t="shared" si="135"/>
        <v>0</v>
      </c>
      <c r="Y136" s="19">
        <f>AGOSTO!AA136</f>
        <v>0</v>
      </c>
      <c r="Z136" s="364">
        <v>0</v>
      </c>
      <c r="AA136" s="18">
        <f t="shared" si="136"/>
        <v>0</v>
      </c>
      <c r="AB136" s="19">
        <f>AGOSTO!AD136</f>
        <v>0</v>
      </c>
      <c r="AC136" s="364">
        <v>0</v>
      </c>
      <c r="AD136" s="18">
        <f t="shared" si="137"/>
        <v>0</v>
      </c>
      <c r="AE136" s="19">
        <f>AGOSTO!AG136</f>
        <v>0</v>
      </c>
      <c r="AF136" s="364">
        <v>0</v>
      </c>
      <c r="AG136" s="1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I137" s="451"/>
      <c r="L137" s="451"/>
      <c r="N137" s="9"/>
      <c r="R137" s="9"/>
      <c r="S137" s="688" t="str">
        <f>+IF(AGOSTO!S137=0,"",AGOSTO!S137)</f>
        <v>2010020-14</v>
      </c>
      <c r="T137" s="664" t="str">
        <f>+IF(AGOSTO!T137=0,"",AGOSTO!T137)</f>
        <v/>
      </c>
      <c r="U137" s="27">
        <f>+ENERO!U137</f>
        <v>0</v>
      </c>
      <c r="V137" s="15">
        <f>AGOSTO!V137+SEPTIEMBRE!AL137</f>
        <v>0</v>
      </c>
      <c r="W137" s="15">
        <f>AGOSTO!W137+SEPTIEMBRE!AM137</f>
        <v>0</v>
      </c>
      <c r="X137" s="18">
        <f t="shared" si="135"/>
        <v>0</v>
      </c>
      <c r="Y137" s="19">
        <f>AGOSTO!AA137</f>
        <v>0</v>
      </c>
      <c r="Z137" s="364">
        <v>0</v>
      </c>
      <c r="AA137" s="18">
        <f t="shared" si="136"/>
        <v>0</v>
      </c>
      <c r="AB137" s="19">
        <f>AGOSTO!AD137</f>
        <v>0</v>
      </c>
      <c r="AC137" s="364">
        <v>0</v>
      </c>
      <c r="AD137" s="18">
        <f t="shared" si="137"/>
        <v>0</v>
      </c>
      <c r="AE137" s="19">
        <f>AGOSTO!AG137</f>
        <v>0</v>
      </c>
      <c r="AF137" s="364">
        <v>0</v>
      </c>
      <c r="AG137" s="1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I138" s="451"/>
      <c r="L138" s="451"/>
      <c r="N138" s="9"/>
      <c r="R138" s="9"/>
      <c r="S138" s="688" t="str">
        <f>+IF(AGOSTO!S138=0,"",AGOSTO!S138)</f>
        <v>2010200-15</v>
      </c>
      <c r="T138" s="664" t="str">
        <f>+IF(AGOSTO!T138=0,"",AGOSTO!T138)</f>
        <v/>
      </c>
      <c r="U138" s="27">
        <f>+ENERO!U138</f>
        <v>0</v>
      </c>
      <c r="V138" s="15">
        <f>AGOSTO!V138+SEPTIEMBRE!AL138</f>
        <v>0</v>
      </c>
      <c r="W138" s="15">
        <f>AGOSTO!W138+SEPTIEMBRE!AM138</f>
        <v>0</v>
      </c>
      <c r="X138" s="18">
        <f t="shared" si="135"/>
        <v>0</v>
      </c>
      <c r="Y138" s="19">
        <f>AGOSTO!AA138</f>
        <v>0</v>
      </c>
      <c r="Z138" s="364">
        <v>0</v>
      </c>
      <c r="AA138" s="18">
        <f t="shared" si="136"/>
        <v>0</v>
      </c>
      <c r="AB138" s="19">
        <f>AGOSTO!AD138</f>
        <v>0</v>
      </c>
      <c r="AC138" s="364">
        <v>0</v>
      </c>
      <c r="AD138" s="18">
        <f t="shared" si="137"/>
        <v>0</v>
      </c>
      <c r="AE138" s="19">
        <f>AGOSTO!AG138</f>
        <v>0</v>
      </c>
      <c r="AF138" s="364">
        <v>0</v>
      </c>
      <c r="AG138" s="1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I139" s="451"/>
      <c r="L139" s="451"/>
      <c r="N139" s="9"/>
      <c r="R139" s="9"/>
      <c r="S139" s="688">
        <f>+IF(AGOSTO!S139=0,"",AGOSTO!S139)</f>
        <v>2010299</v>
      </c>
      <c r="T139" s="664" t="str">
        <f>+IF(AGOSTO!T139=0,"",AGOSTO!T139)</f>
        <v>Vigencias Anteriores</v>
      </c>
      <c r="U139" s="27">
        <f>+ENERO!U139</f>
        <v>100000000</v>
      </c>
      <c r="V139" s="15">
        <f>AGOSTO!V139+SEPTIEMBRE!AL139</f>
        <v>110000000</v>
      </c>
      <c r="W139" s="15">
        <f>AGOSTO!W139+SEPTIEMBRE!AM139</f>
        <v>330000000</v>
      </c>
      <c r="X139" s="18">
        <f t="shared" si="135"/>
        <v>540000000</v>
      </c>
      <c r="Y139" s="19">
        <f>AGOSTO!AA139</f>
        <v>448893811</v>
      </c>
      <c r="Z139" s="364">
        <v>77414836</v>
      </c>
      <c r="AA139" s="18">
        <f t="shared" si="136"/>
        <v>526308647</v>
      </c>
      <c r="AB139" s="19">
        <f>AGOSTO!AD139</f>
        <v>448893811</v>
      </c>
      <c r="AC139" s="364">
        <v>77414836</v>
      </c>
      <c r="AD139" s="18">
        <f t="shared" si="137"/>
        <v>526308647</v>
      </c>
      <c r="AE139" s="19">
        <f>AGOSTO!AG139</f>
        <v>448893811</v>
      </c>
      <c r="AF139" s="364">
        <v>77414836</v>
      </c>
      <c r="AG139" s="18">
        <f t="shared" si="138"/>
        <v>526308647</v>
      </c>
      <c r="AH139" s="19">
        <f t="shared" si="139"/>
        <v>13691353</v>
      </c>
      <c r="AI139" s="15">
        <f t="shared" si="140"/>
        <v>13691353</v>
      </c>
      <c r="AJ139" s="16">
        <f t="shared" si="141"/>
        <v>13691353</v>
      </c>
      <c r="AK139" s="9"/>
      <c r="AL139" s="362">
        <v>0</v>
      </c>
      <c r="AM139" s="365">
        <v>0</v>
      </c>
      <c r="AN139" s="9"/>
      <c r="AO139" s="284"/>
      <c r="AP139" s="284"/>
      <c r="AQ139" s="284"/>
    </row>
    <row r="140" spans="1:52" s="372" customFormat="1" ht="24.95" customHeight="1">
      <c r="A140" s="734"/>
      <c r="B140" s="643"/>
      <c r="I140" s="451"/>
      <c r="L140" s="451"/>
      <c r="N140" s="9"/>
      <c r="R140" s="9"/>
      <c r="S140" s="356" t="str">
        <f>+IF(AGOSTO!S140=0,"",AGOSTO!S140)</f>
        <v/>
      </c>
      <c r="T140" s="678" t="str">
        <f>+IF(AGOSTO!T140=0,"",AGOSTO!T140)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I141" s="451"/>
      <c r="L141" s="451"/>
      <c r="N141" s="9"/>
      <c r="R141" s="9"/>
      <c r="S141" s="687">
        <f>+IF(AGOSTO!S141=0,"",AGOSTO!S141)</f>
        <v>2010300</v>
      </c>
      <c r="T141" s="663" t="str">
        <f>+IF(AGOSTO!T141=0,"",AGOSTO!T141)</f>
        <v>Impuestos y Multas</v>
      </c>
      <c r="U141" s="132">
        <f t="shared" ref="U141:AJ141" si="144">U142+U143</f>
        <v>527082264</v>
      </c>
      <c r="V141" s="122">
        <f t="shared" si="144"/>
        <v>0</v>
      </c>
      <c r="W141" s="122">
        <f t="shared" si="144"/>
        <v>0</v>
      </c>
      <c r="X141" s="129">
        <f t="shared" si="144"/>
        <v>527082264</v>
      </c>
      <c r="Y141" s="128">
        <f t="shared" si="144"/>
        <v>197897652</v>
      </c>
      <c r="Z141" s="122">
        <f t="shared" si="144"/>
        <v>17430057</v>
      </c>
      <c r="AA141" s="129">
        <f t="shared" si="144"/>
        <v>215327709</v>
      </c>
      <c r="AB141" s="128">
        <f t="shared" si="144"/>
        <v>197897652</v>
      </c>
      <c r="AC141" s="122">
        <f t="shared" si="144"/>
        <v>16407057</v>
      </c>
      <c r="AD141" s="129">
        <f t="shared" si="144"/>
        <v>214304709</v>
      </c>
      <c r="AE141" s="128">
        <f t="shared" si="144"/>
        <v>197897652</v>
      </c>
      <c r="AF141" s="122">
        <f t="shared" si="144"/>
        <v>16407057</v>
      </c>
      <c r="AG141" s="129">
        <f t="shared" si="144"/>
        <v>214304709</v>
      </c>
      <c r="AH141" s="128">
        <f t="shared" si="144"/>
        <v>311754555</v>
      </c>
      <c r="AI141" s="122">
        <f t="shared" si="144"/>
        <v>312777555</v>
      </c>
      <c r="AJ141" s="130">
        <f t="shared" si="144"/>
        <v>312777555</v>
      </c>
      <c r="AK141" s="10"/>
      <c r="AL141" s="128">
        <f>AL142+AL143</f>
        <v>0</v>
      </c>
      <c r="AM141" s="130">
        <f>AM142+AM143</f>
        <v>0</v>
      </c>
      <c r="AN141" s="9"/>
    </row>
    <row r="142" spans="1:52" s="372" customFormat="1" ht="24.95" customHeight="1">
      <c r="A142" s="734"/>
      <c r="B142" s="643"/>
      <c r="I142" s="451"/>
      <c r="L142" s="451"/>
      <c r="N142" s="9"/>
      <c r="R142" s="9"/>
      <c r="S142" s="688" t="str">
        <f>+IF(AGOSTO!S142=0,"",AGOSTO!S142)</f>
        <v>2010300-1</v>
      </c>
      <c r="T142" s="664" t="str">
        <f>+IF(AGOSTO!T142=0,"",AGOSTO!T142)</f>
        <v>Impuestos (Predial, Vehiculos, Otros)</v>
      </c>
      <c r="U142" s="27">
        <f>+ENERO!U142</f>
        <v>527082264</v>
      </c>
      <c r="V142" s="15">
        <f>AGOSTO!V142+SEPTIEMBRE!AL142</f>
        <v>0</v>
      </c>
      <c r="W142" s="15">
        <f>AGOSTO!W142+SEPTIEMBRE!AM142</f>
        <v>0</v>
      </c>
      <c r="X142" s="18">
        <f>SUM(U142:W142)</f>
        <v>527082264</v>
      </c>
      <c r="Y142" s="19">
        <f>AGOSTO!AA142</f>
        <v>197897652</v>
      </c>
      <c r="Z142" s="364">
        <v>17430057</v>
      </c>
      <c r="AA142" s="18">
        <f>SUM(Y142:Z142)</f>
        <v>215327709</v>
      </c>
      <c r="AB142" s="19">
        <f>AGOSTO!AD142</f>
        <v>197897652</v>
      </c>
      <c r="AC142" s="364">
        <v>16407057</v>
      </c>
      <c r="AD142" s="18">
        <f>SUM(AB142:AC142)</f>
        <v>214304709</v>
      </c>
      <c r="AE142" s="19">
        <f>AGOSTO!AG142</f>
        <v>197897652</v>
      </c>
      <c r="AF142" s="364">
        <v>16407057</v>
      </c>
      <c r="AG142" s="18">
        <f>SUM(AE142:AF142)</f>
        <v>214304709</v>
      </c>
      <c r="AH142" s="19">
        <f>X142-AA142</f>
        <v>311754555</v>
      </c>
      <c r="AI142" s="15">
        <f>X142-AD142</f>
        <v>312777555</v>
      </c>
      <c r="AJ142" s="16">
        <f>X142-AG142</f>
        <v>312777555</v>
      </c>
      <c r="AK142" s="9"/>
      <c r="AL142" s="362">
        <v>0</v>
      </c>
      <c r="AM142" s="365">
        <v>0</v>
      </c>
      <c r="AN142" s="9"/>
    </row>
    <row r="143" spans="1:52" s="372" customFormat="1" ht="24.95" customHeight="1">
      <c r="A143" s="734"/>
      <c r="B143" s="643"/>
      <c r="I143" s="451"/>
      <c r="L143" s="451"/>
      <c r="N143" s="9"/>
      <c r="R143" s="9"/>
      <c r="S143" s="688">
        <f>+IF(AGOSTO!S143=0,"",AGOSTO!S143)</f>
        <v>2010399</v>
      </c>
      <c r="T143" s="664" t="str">
        <f>+IF(AGOSTO!T143=0,"",AGOSTO!T143)</f>
        <v>Vigencias Anteriores</v>
      </c>
      <c r="U143" s="27">
        <f>+ENERO!U143</f>
        <v>0</v>
      </c>
      <c r="V143" s="15">
        <f>AGOSTO!V143+SEPTIEMBRE!AL143</f>
        <v>0</v>
      </c>
      <c r="W143" s="15">
        <f>AGOSTO!W143+SEPTIEMBRE!AM143</f>
        <v>0</v>
      </c>
      <c r="X143" s="18">
        <f>SUM(U143:W143)</f>
        <v>0</v>
      </c>
      <c r="Y143" s="19">
        <f>AGOSTO!AA143</f>
        <v>0</v>
      </c>
      <c r="Z143" s="364">
        <v>0</v>
      </c>
      <c r="AA143" s="18">
        <f>SUM(Y143:Z143)</f>
        <v>0</v>
      </c>
      <c r="AB143" s="19">
        <f>AGOSTO!AD143</f>
        <v>0</v>
      </c>
      <c r="AC143" s="364">
        <v>0</v>
      </c>
      <c r="AD143" s="18">
        <f>SUM(AB143:AC143)</f>
        <v>0</v>
      </c>
      <c r="AE143" s="19">
        <f>AGOSTO!AG143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I144" s="451"/>
      <c r="L144" s="451"/>
      <c r="N144" s="9"/>
      <c r="R144" s="9"/>
      <c r="S144" s="356" t="str">
        <f>+IF(AGOSTO!S144=0,"",AGOSTO!S144)</f>
        <v/>
      </c>
      <c r="T144" s="678" t="str">
        <f>+IF(AGOSTO!T144=0,"",AGOSTO!T144)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I145" s="451"/>
      <c r="L145" s="451"/>
      <c r="N145" s="9"/>
      <c r="R145" s="9"/>
      <c r="S145" s="686">
        <f>+IF(AGOSTO!S145=0,"",AGOSTO!S145)</f>
        <v>2020010</v>
      </c>
      <c r="T145" s="662" t="str">
        <f>+IF(AGOSTO!T145=0,"",AGOSTO!T145)</f>
        <v>Gastos de Operación</v>
      </c>
      <c r="U145" s="132">
        <f t="shared" ref="U145:AJ145" si="145">U147+U155</f>
        <v>5923637263</v>
      </c>
      <c r="V145" s="122">
        <f t="shared" si="145"/>
        <v>362000000</v>
      </c>
      <c r="W145" s="122">
        <f t="shared" si="145"/>
        <v>1380000000</v>
      </c>
      <c r="X145" s="129">
        <f t="shared" si="145"/>
        <v>7665637263</v>
      </c>
      <c r="Y145" s="128">
        <f t="shared" si="145"/>
        <v>6696080358</v>
      </c>
      <c r="Z145" s="122">
        <f t="shared" si="145"/>
        <v>37542389</v>
      </c>
      <c r="AA145" s="129">
        <f t="shared" si="145"/>
        <v>6733622747</v>
      </c>
      <c r="AB145" s="128">
        <f t="shared" si="145"/>
        <v>5238940265</v>
      </c>
      <c r="AC145" s="122">
        <f t="shared" si="145"/>
        <v>580232303</v>
      </c>
      <c r="AD145" s="129">
        <f t="shared" si="145"/>
        <v>5819172568</v>
      </c>
      <c r="AE145" s="128">
        <f t="shared" si="145"/>
        <v>4071891443</v>
      </c>
      <c r="AF145" s="122">
        <f t="shared" si="145"/>
        <v>404631348</v>
      </c>
      <c r="AG145" s="129">
        <f t="shared" si="145"/>
        <v>4476522791</v>
      </c>
      <c r="AH145" s="128">
        <f t="shared" si="145"/>
        <v>932014516</v>
      </c>
      <c r="AI145" s="122">
        <f t="shared" si="145"/>
        <v>1846464695</v>
      </c>
      <c r="AJ145" s="130">
        <f t="shared" si="145"/>
        <v>3189114472</v>
      </c>
      <c r="AK145" s="10"/>
      <c r="AL145" s="128">
        <f>AL147+AL155</f>
        <v>0</v>
      </c>
      <c r="AM145" s="130">
        <f>AM147+AM155</f>
        <v>0</v>
      </c>
      <c r="AN145" s="9"/>
    </row>
    <row r="146" spans="1:40" s="372" customFormat="1" ht="24.95" customHeight="1">
      <c r="A146" s="734"/>
      <c r="B146" s="643"/>
      <c r="I146" s="451"/>
      <c r="L146" s="451"/>
      <c r="N146" s="9"/>
      <c r="R146" s="9"/>
      <c r="S146" s="689" t="str">
        <f>+IF(AGOSTO!S146=0,"",AGOSTO!S146)</f>
        <v/>
      </c>
      <c r="T146" s="665" t="str">
        <f>+IF(AGOSTO!T146=0,"",AGOSTO!T146)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I147" s="451"/>
      <c r="L147" s="451"/>
      <c r="N147" s="9"/>
      <c r="R147" s="9"/>
      <c r="S147" s="687">
        <f>+IF(AGOSTO!S147=0,"",AGOSTO!S147)</f>
        <v>2020100</v>
      </c>
      <c r="T147" s="663" t="str">
        <f>+IF(AGOSTO!T147=0,"",AGOSTO!T147)</f>
        <v>Adquisición de bienes</v>
      </c>
      <c r="U147" s="132">
        <f t="shared" ref="U147:AJ147" si="146">SUM(U148:U149)+U153</f>
        <v>1211000000</v>
      </c>
      <c r="V147" s="122">
        <f t="shared" si="146"/>
        <v>-438000000</v>
      </c>
      <c r="W147" s="122">
        <f t="shared" si="146"/>
        <v>100000000</v>
      </c>
      <c r="X147" s="129">
        <f t="shared" si="146"/>
        <v>873000000</v>
      </c>
      <c r="Y147" s="128">
        <f t="shared" si="146"/>
        <v>492721608</v>
      </c>
      <c r="Z147" s="122">
        <f t="shared" si="146"/>
        <v>25189009</v>
      </c>
      <c r="AA147" s="129">
        <f t="shared" si="146"/>
        <v>517910617</v>
      </c>
      <c r="AB147" s="128">
        <f t="shared" si="146"/>
        <v>393855084</v>
      </c>
      <c r="AC147" s="122">
        <f t="shared" si="146"/>
        <v>100498533</v>
      </c>
      <c r="AD147" s="129">
        <f t="shared" si="146"/>
        <v>494353617</v>
      </c>
      <c r="AE147" s="128">
        <f t="shared" si="146"/>
        <v>323082869</v>
      </c>
      <c r="AF147" s="122">
        <f t="shared" si="146"/>
        <v>91567381</v>
      </c>
      <c r="AG147" s="129">
        <f t="shared" si="146"/>
        <v>414650250</v>
      </c>
      <c r="AH147" s="128">
        <f t="shared" si="146"/>
        <v>355089383</v>
      </c>
      <c r="AI147" s="122">
        <f t="shared" si="146"/>
        <v>378646383</v>
      </c>
      <c r="AJ147" s="130">
        <f t="shared" si="146"/>
        <v>458349750</v>
      </c>
      <c r="AK147" s="9"/>
      <c r="AL147" s="128">
        <f>SUM(AL148:AL149)+AL153</f>
        <v>0</v>
      </c>
      <c r="AM147" s="130">
        <f>SUM(AM148:AM149)+AM153</f>
        <v>0</v>
      </c>
      <c r="AN147" s="9"/>
    </row>
    <row r="148" spans="1:40" s="372" customFormat="1" ht="24.95" customHeight="1">
      <c r="A148" s="734"/>
      <c r="B148" s="643"/>
      <c r="I148" s="451"/>
      <c r="L148" s="451"/>
      <c r="N148" s="9"/>
      <c r="R148" s="9"/>
      <c r="S148" s="688">
        <f>+IF(AGOSTO!S148=0,"",AGOSTO!S148)</f>
        <v>2020101</v>
      </c>
      <c r="T148" s="664" t="str">
        <f>+IF(AGOSTO!T148=0,"",AGOSTO!T148)</f>
        <v>Mantenimiento Hospitalario</v>
      </c>
      <c r="U148" s="27">
        <f>+ENERO!U148</f>
        <v>1000000000</v>
      </c>
      <c r="V148" s="15">
        <f>AGOSTO!V148+SEPTIEMBRE!AL148</f>
        <v>-438000000</v>
      </c>
      <c r="W148" s="15">
        <f>AGOSTO!W148+SEPTIEMBRE!AM148</f>
        <v>0</v>
      </c>
      <c r="X148" s="18">
        <f>SUM(U148:W148)</f>
        <v>562000000</v>
      </c>
      <c r="Y148" s="19">
        <f>AGOSTO!AA148</f>
        <v>264801081</v>
      </c>
      <c r="Z148" s="364">
        <v>20066059</v>
      </c>
      <c r="AA148" s="18">
        <f>SUM(Y148:Z148)</f>
        <v>284867140</v>
      </c>
      <c r="AB148" s="19">
        <f>AGOSTO!AD148</f>
        <v>165934557</v>
      </c>
      <c r="AC148" s="364">
        <v>95375583</v>
      </c>
      <c r="AD148" s="18">
        <f>SUM(AB148:AC148)</f>
        <v>261310140</v>
      </c>
      <c r="AE148" s="19">
        <f>AGOSTO!AG148</f>
        <v>114555772</v>
      </c>
      <c r="AF148" s="364">
        <v>91567381</v>
      </c>
      <c r="AG148" s="18">
        <f>SUM(AE148:AF148)</f>
        <v>206123153</v>
      </c>
      <c r="AH148" s="19">
        <f>X148-AA148</f>
        <v>277132860</v>
      </c>
      <c r="AI148" s="15">
        <f>X148-AD148</f>
        <v>300689860</v>
      </c>
      <c r="AJ148" s="16">
        <f>X148-AG148</f>
        <v>355876847</v>
      </c>
      <c r="AK148" s="9"/>
      <c r="AL148" s="362">
        <v>0</v>
      </c>
      <c r="AM148" s="365">
        <v>0</v>
      </c>
      <c r="AN148" s="9"/>
    </row>
    <row r="149" spans="1:40" s="372" customFormat="1" ht="24.95" customHeight="1">
      <c r="A149" s="734"/>
      <c r="B149" s="643"/>
      <c r="I149" s="451"/>
      <c r="L149" s="451"/>
      <c r="N149" s="9"/>
      <c r="R149" s="9"/>
      <c r="S149" s="688">
        <f>+IF(AGOSTO!S149=0,"",AGOSTO!S149)</f>
        <v>2020102</v>
      </c>
      <c r="T149" s="664" t="str">
        <f>+IF(AGOSTO!T149=0,"",AGOSTO!T149)</f>
        <v>Otros</v>
      </c>
      <c r="U149" s="27">
        <f t="shared" ref="U149:AJ149" si="147">SUM(U150:U152)</f>
        <v>150000000</v>
      </c>
      <c r="V149" s="15">
        <f t="shared" si="147"/>
        <v>0</v>
      </c>
      <c r="W149" s="15">
        <f t="shared" si="147"/>
        <v>0</v>
      </c>
      <c r="X149" s="18">
        <f t="shared" si="147"/>
        <v>150000000</v>
      </c>
      <c r="Y149" s="19">
        <f t="shared" si="147"/>
        <v>78952121</v>
      </c>
      <c r="Z149" s="142">
        <f t="shared" si="147"/>
        <v>5122950</v>
      </c>
      <c r="AA149" s="18">
        <f t="shared" si="147"/>
        <v>84075071</v>
      </c>
      <c r="AB149" s="19">
        <f t="shared" si="147"/>
        <v>78952121</v>
      </c>
      <c r="AC149" s="142">
        <f t="shared" si="147"/>
        <v>5122950</v>
      </c>
      <c r="AD149" s="18">
        <f t="shared" si="147"/>
        <v>84075071</v>
      </c>
      <c r="AE149" s="19">
        <f t="shared" si="147"/>
        <v>59558691</v>
      </c>
      <c r="AF149" s="142">
        <f t="shared" si="147"/>
        <v>0</v>
      </c>
      <c r="AG149" s="18">
        <f t="shared" si="147"/>
        <v>59558691</v>
      </c>
      <c r="AH149" s="19">
        <f t="shared" si="147"/>
        <v>65924929</v>
      </c>
      <c r="AI149" s="15">
        <f t="shared" si="147"/>
        <v>65924929</v>
      </c>
      <c r="AJ149" s="16">
        <f t="shared" si="147"/>
        <v>90441309</v>
      </c>
      <c r="AK149" s="9"/>
      <c r="AL149" s="29">
        <f>SUM(AL150:AL152)</f>
        <v>0</v>
      </c>
      <c r="AM149" s="26">
        <f>SUM(AM150:AM152)</f>
        <v>0</v>
      </c>
      <c r="AN149" s="9"/>
    </row>
    <row r="150" spans="1:40" s="372" customFormat="1" ht="24.95" customHeight="1">
      <c r="A150" s="734"/>
      <c r="B150" s="643"/>
      <c r="I150" s="451"/>
      <c r="L150" s="451"/>
      <c r="N150" s="9"/>
      <c r="R150" s="9"/>
      <c r="S150" s="689" t="str">
        <f>+IF(AGOSTO!S150=0,"",AGOSTO!S150)</f>
        <v>2020102-1</v>
      </c>
      <c r="T150" s="664" t="str">
        <f>+IF(AGOSTO!T150=0,"",AGOSTO!T150)</f>
        <v>Compra de Equipo e Instr. Mco. y Laborat.</v>
      </c>
      <c r="U150" s="27">
        <f>+ENERO!U150</f>
        <v>150000000</v>
      </c>
      <c r="V150" s="15">
        <f>AGOSTO!V150+SEPTIEMBRE!AL150</f>
        <v>0</v>
      </c>
      <c r="W150" s="15">
        <f>AGOSTO!W150+SEPTIEMBRE!AM150</f>
        <v>0</v>
      </c>
      <c r="X150" s="18">
        <f>SUM(U150:W150)</f>
        <v>150000000</v>
      </c>
      <c r="Y150" s="19">
        <f>AGOSTO!AA150</f>
        <v>78952121</v>
      </c>
      <c r="Z150" s="364">
        <v>5122950</v>
      </c>
      <c r="AA150" s="18">
        <f>SUM(Y150:Z150)</f>
        <v>84075071</v>
      </c>
      <c r="AB150" s="19">
        <f>AGOSTO!AD150</f>
        <v>78952121</v>
      </c>
      <c r="AC150" s="364">
        <v>5122950</v>
      </c>
      <c r="AD150" s="18">
        <f>SUM(AB150:AC150)</f>
        <v>84075071</v>
      </c>
      <c r="AE150" s="19">
        <f>AGOSTO!AG150</f>
        <v>59558691</v>
      </c>
      <c r="AF150" s="364">
        <v>0</v>
      </c>
      <c r="AG150" s="18">
        <f>SUM(AE150:AF150)</f>
        <v>59558691</v>
      </c>
      <c r="AH150" s="19">
        <f>X150-AA150</f>
        <v>65924929</v>
      </c>
      <c r="AI150" s="15">
        <f>X150-AD150</f>
        <v>65924929</v>
      </c>
      <c r="AJ150" s="16">
        <f>X150-AG150</f>
        <v>90441309</v>
      </c>
      <c r="AK150" s="9"/>
      <c r="AL150" s="362">
        <v>0</v>
      </c>
      <c r="AM150" s="365">
        <v>0</v>
      </c>
      <c r="AN150" s="9"/>
    </row>
    <row r="151" spans="1:40" s="372" customFormat="1" ht="24.95" customHeight="1">
      <c r="A151" s="734"/>
      <c r="B151" s="643"/>
      <c r="I151" s="451"/>
      <c r="L151" s="451"/>
      <c r="N151" s="9"/>
      <c r="R151" s="9"/>
      <c r="S151" s="689" t="str">
        <f>+IF(AGOSTO!S151=0,"",AGOSTO!S151)</f>
        <v>2020102-2</v>
      </c>
      <c r="T151" s="664" t="str">
        <f>+IF(AGOSTO!T151=0,"",AGOSTO!T151)</f>
        <v>Materiales</v>
      </c>
      <c r="U151" s="27">
        <f>+ENERO!U151</f>
        <v>0</v>
      </c>
      <c r="V151" s="15">
        <f>AGOSTO!V151+SEPTIEMBRE!AL151</f>
        <v>0</v>
      </c>
      <c r="W151" s="15">
        <f>AGOSTO!W151+SEPTIEMBRE!AM151</f>
        <v>0</v>
      </c>
      <c r="X151" s="18">
        <f>SUM(U151:W151)</f>
        <v>0</v>
      </c>
      <c r="Y151" s="19">
        <f>AGOSTO!AA151</f>
        <v>0</v>
      </c>
      <c r="Z151" s="364">
        <v>0</v>
      </c>
      <c r="AA151" s="18">
        <f>SUM(Y151:Z151)</f>
        <v>0</v>
      </c>
      <c r="AB151" s="19">
        <f>AGOSTO!AD151</f>
        <v>0</v>
      </c>
      <c r="AC151" s="364">
        <v>0</v>
      </c>
      <c r="AD151" s="18">
        <f>SUM(AB151:AC151)</f>
        <v>0</v>
      </c>
      <c r="AE151" s="19">
        <f>AGOSTO!AG151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I152" s="451"/>
      <c r="L152" s="451"/>
      <c r="N152" s="9"/>
      <c r="R152" s="9"/>
      <c r="S152" s="689" t="str">
        <f>+IF(AGOSTO!S152=0,"",AGOSTO!S152)</f>
        <v>2020102-3</v>
      </c>
      <c r="T152" s="664" t="str">
        <f>+IF(AGOSTO!T152=0,"",AGOSTO!T152)</f>
        <v/>
      </c>
      <c r="U152" s="27">
        <f>+ENERO!U152</f>
        <v>0</v>
      </c>
      <c r="V152" s="15">
        <f>AGOSTO!V152+SEPTIEMBRE!AL152</f>
        <v>0</v>
      </c>
      <c r="W152" s="15">
        <f>AGOSTO!W152+SEPTIEMBRE!AM152</f>
        <v>0</v>
      </c>
      <c r="X152" s="18">
        <f>SUM(U152:W152)</f>
        <v>0</v>
      </c>
      <c r="Y152" s="19">
        <f>AGOSTO!AA152</f>
        <v>0</v>
      </c>
      <c r="Z152" s="364">
        <v>0</v>
      </c>
      <c r="AA152" s="18">
        <f>SUM(Y152:Z152)</f>
        <v>0</v>
      </c>
      <c r="AB152" s="19">
        <f>AGOSTO!AD152</f>
        <v>0</v>
      </c>
      <c r="AC152" s="364">
        <v>0</v>
      </c>
      <c r="AD152" s="18">
        <f>SUM(AB152:AC152)</f>
        <v>0</v>
      </c>
      <c r="AE152" s="19">
        <f>AGOSTO!AG152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I153" s="451"/>
      <c r="L153" s="451"/>
      <c r="N153" s="9"/>
      <c r="R153" s="9"/>
      <c r="S153" s="688">
        <f>+IF(AGOSTO!S153=0,"",AGOSTO!S153)</f>
        <v>2020199</v>
      </c>
      <c r="T153" s="664" t="str">
        <f>+IF(AGOSTO!T153=0,"",AGOSTO!T153)</f>
        <v>Vigencias Anteriores</v>
      </c>
      <c r="U153" s="27">
        <f>+ENERO!U153</f>
        <v>61000000</v>
      </c>
      <c r="V153" s="15">
        <f>AGOSTO!V153+SEPTIEMBRE!AL153</f>
        <v>0</v>
      </c>
      <c r="W153" s="15">
        <f>AGOSTO!W153+SEPTIEMBRE!AM153</f>
        <v>100000000</v>
      </c>
      <c r="X153" s="18">
        <f>SUM(U153:W153)</f>
        <v>161000000</v>
      </c>
      <c r="Y153" s="19">
        <f>AGOSTO!AA153</f>
        <v>148968406</v>
      </c>
      <c r="Z153" s="364">
        <v>0</v>
      </c>
      <c r="AA153" s="18">
        <f>SUM(Y153:Z153)</f>
        <v>148968406</v>
      </c>
      <c r="AB153" s="19">
        <f>AGOSTO!AD153</f>
        <v>148968406</v>
      </c>
      <c r="AC153" s="364">
        <v>0</v>
      </c>
      <c r="AD153" s="18">
        <f>SUM(AB153:AC153)</f>
        <v>148968406</v>
      </c>
      <c r="AE153" s="19">
        <f>AGOSTO!AG153</f>
        <v>148968406</v>
      </c>
      <c r="AF153" s="364">
        <v>0</v>
      </c>
      <c r="AG153" s="18">
        <f>SUM(AE153:AF153)</f>
        <v>148968406</v>
      </c>
      <c r="AH153" s="19">
        <f>X153-AA153</f>
        <v>12031594</v>
      </c>
      <c r="AI153" s="15">
        <f>X153-AD153</f>
        <v>12031594</v>
      </c>
      <c r="AJ153" s="16">
        <f>X153-AG153</f>
        <v>12031594</v>
      </c>
      <c r="AK153" s="9"/>
      <c r="AL153" s="362">
        <v>0</v>
      </c>
      <c r="AM153" s="365">
        <v>0</v>
      </c>
      <c r="AN153" s="9"/>
    </row>
    <row r="154" spans="1:40" s="372" customFormat="1" ht="24.95" customHeight="1">
      <c r="A154" s="734"/>
      <c r="B154" s="643"/>
      <c r="I154" s="451"/>
      <c r="L154" s="451"/>
      <c r="N154" s="9"/>
      <c r="R154" s="9"/>
      <c r="S154" s="356" t="str">
        <f>+IF(AGOSTO!S154=0,"",AGOSTO!S154)</f>
        <v/>
      </c>
      <c r="T154" s="678" t="str">
        <f>+IF(AGOSTO!T154=0,"",AGOSTO!T154)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I155" s="451"/>
      <c r="L155" s="451"/>
      <c r="N155" s="9"/>
      <c r="R155" s="9"/>
      <c r="S155" s="687">
        <f>+IF(AGOSTO!S155=0,"",AGOSTO!S155)</f>
        <v>2020200</v>
      </c>
      <c r="T155" s="663" t="str">
        <f>+IF(AGOSTO!T155=0,"",AGOSTO!T155)</f>
        <v>Adquisición de Servicios</v>
      </c>
      <c r="U155" s="132">
        <f t="shared" ref="U155:AJ155" si="148">SUM(U156:U157)+U168</f>
        <v>4712637263</v>
      </c>
      <c r="V155" s="122">
        <f t="shared" si="148"/>
        <v>800000000</v>
      </c>
      <c r="W155" s="122">
        <f t="shared" si="148"/>
        <v>1280000000</v>
      </c>
      <c r="X155" s="129">
        <f t="shared" si="148"/>
        <v>6792637263</v>
      </c>
      <c r="Y155" s="128">
        <f t="shared" si="148"/>
        <v>6203358750</v>
      </c>
      <c r="Z155" s="122">
        <f t="shared" si="148"/>
        <v>12353380</v>
      </c>
      <c r="AA155" s="129">
        <f t="shared" si="148"/>
        <v>6215712130</v>
      </c>
      <c r="AB155" s="128">
        <f t="shared" si="148"/>
        <v>4845085181</v>
      </c>
      <c r="AC155" s="122">
        <f t="shared" si="148"/>
        <v>479733770</v>
      </c>
      <c r="AD155" s="129">
        <f t="shared" si="148"/>
        <v>5324818951</v>
      </c>
      <c r="AE155" s="128">
        <f t="shared" si="148"/>
        <v>3748808574</v>
      </c>
      <c r="AF155" s="122">
        <f t="shared" si="148"/>
        <v>313063967</v>
      </c>
      <c r="AG155" s="129">
        <f t="shared" si="148"/>
        <v>4061872541</v>
      </c>
      <c r="AH155" s="128">
        <f t="shared" si="148"/>
        <v>576925133</v>
      </c>
      <c r="AI155" s="122">
        <f t="shared" si="148"/>
        <v>1467818312</v>
      </c>
      <c r="AJ155" s="130">
        <f t="shared" si="148"/>
        <v>2730764722</v>
      </c>
      <c r="AK155" s="9"/>
      <c r="AL155" s="128">
        <f>SUM(AL156:AL157)+AL168</f>
        <v>0</v>
      </c>
      <c r="AM155" s="130">
        <f>SUM(AM156:AM157)+AM168</f>
        <v>0</v>
      </c>
      <c r="AN155" s="9"/>
    </row>
    <row r="156" spans="1:40" s="372" customFormat="1" ht="24.95" customHeight="1">
      <c r="A156" s="734"/>
      <c r="B156" s="643"/>
      <c r="I156" s="451"/>
      <c r="L156" s="451"/>
      <c r="N156" s="9"/>
      <c r="P156" s="9"/>
      <c r="Q156" s="9"/>
      <c r="R156" s="9"/>
      <c r="S156" s="688">
        <f>+IF(AGOSTO!S156=0,"",AGOSTO!S156)</f>
        <v>2020201</v>
      </c>
      <c r="T156" s="664" t="str">
        <f>+IF(AGOSTO!T156=0,"",AGOSTO!T156)</f>
        <v>Mantenimiento Hospitalario</v>
      </c>
      <c r="U156" s="27">
        <f>+ENERO!U156</f>
        <v>2002025000</v>
      </c>
      <c r="V156" s="15">
        <f>AGOSTO!V156+SEPTIEMBRE!AL156</f>
        <v>630000000</v>
      </c>
      <c r="W156" s="15">
        <f>AGOSTO!W156+SEPTIEMBRE!AM156</f>
        <v>0</v>
      </c>
      <c r="X156" s="18">
        <f>SUM(U156:W156)</f>
        <v>2632025000</v>
      </c>
      <c r="Y156" s="19">
        <f>AGOSTO!AA156</f>
        <v>2522988682</v>
      </c>
      <c r="Z156" s="364">
        <v>50000</v>
      </c>
      <c r="AA156" s="18">
        <f>SUM(Y156:Z156)</f>
        <v>2523038682</v>
      </c>
      <c r="AB156" s="19">
        <f>AGOSTO!AD156</f>
        <v>1813341066</v>
      </c>
      <c r="AC156" s="364">
        <v>297314752</v>
      </c>
      <c r="AD156" s="18">
        <f>SUM(AB156:AC156)</f>
        <v>2110655818</v>
      </c>
      <c r="AE156" s="19">
        <f>AGOSTO!AG156</f>
        <v>1519337363</v>
      </c>
      <c r="AF156" s="364">
        <v>162284780</v>
      </c>
      <c r="AG156" s="18">
        <f>SUM(AE156:AF156)</f>
        <v>1681622143</v>
      </c>
      <c r="AH156" s="19">
        <f>X156-AA156</f>
        <v>108986318</v>
      </c>
      <c r="AI156" s="15">
        <f>X156-AD156</f>
        <v>521369182</v>
      </c>
      <c r="AJ156" s="16">
        <f>X156-AG156</f>
        <v>950402857</v>
      </c>
      <c r="AK156" s="9"/>
      <c r="AL156" s="362">
        <v>0</v>
      </c>
      <c r="AM156" s="365">
        <v>0</v>
      </c>
      <c r="AN156" s="9"/>
    </row>
    <row r="157" spans="1:40" s="372" customFormat="1" ht="24.95" customHeight="1">
      <c r="A157" s="734"/>
      <c r="B157" s="643"/>
      <c r="I157" s="451"/>
      <c r="L157" s="451"/>
      <c r="N157" s="9"/>
      <c r="P157" s="9"/>
      <c r="Q157" s="9"/>
      <c r="R157" s="9"/>
      <c r="S157" s="688">
        <f>+IF(AGOSTO!S157=0,"",AGOSTO!S157)</f>
        <v>2020202</v>
      </c>
      <c r="T157" s="664" t="str">
        <f>+IF(AGOSTO!T157=0,"",AGOSTO!T157)</f>
        <v>Otros</v>
      </c>
      <c r="U157" s="27">
        <f t="shared" ref="U157:AJ157" si="149">SUM(U158:U167)</f>
        <v>2609712263</v>
      </c>
      <c r="V157" s="15">
        <f t="shared" si="149"/>
        <v>0</v>
      </c>
      <c r="W157" s="15">
        <f t="shared" si="149"/>
        <v>500000000</v>
      </c>
      <c r="X157" s="18">
        <f t="shared" si="149"/>
        <v>3109712263</v>
      </c>
      <c r="Y157" s="19">
        <f t="shared" si="149"/>
        <v>2745034508</v>
      </c>
      <c r="Z157" s="142">
        <f t="shared" si="149"/>
        <v>12303380</v>
      </c>
      <c r="AA157" s="18">
        <f t="shared" si="149"/>
        <v>2757337888</v>
      </c>
      <c r="AB157" s="19">
        <f t="shared" si="149"/>
        <v>2096408555</v>
      </c>
      <c r="AC157" s="142">
        <f t="shared" si="149"/>
        <v>182419018</v>
      </c>
      <c r="AD157" s="18">
        <f t="shared" si="149"/>
        <v>2278827573</v>
      </c>
      <c r="AE157" s="19">
        <f t="shared" si="149"/>
        <v>1294135651</v>
      </c>
      <c r="AF157" s="142">
        <f t="shared" si="149"/>
        <v>150779187</v>
      </c>
      <c r="AG157" s="18">
        <f t="shared" si="149"/>
        <v>1444914838</v>
      </c>
      <c r="AH157" s="19">
        <f t="shared" si="149"/>
        <v>352374375</v>
      </c>
      <c r="AI157" s="15">
        <f t="shared" si="149"/>
        <v>830884690</v>
      </c>
      <c r="AJ157" s="16">
        <f t="shared" si="149"/>
        <v>1664797425</v>
      </c>
      <c r="AK157" s="10"/>
      <c r="AL157" s="29">
        <f>SUM(AL158:AL167)</f>
        <v>0</v>
      </c>
      <c r="AM157" s="26">
        <f>SUM(AM158:AM167)</f>
        <v>0</v>
      </c>
      <c r="AN157" s="9"/>
    </row>
    <row r="158" spans="1:40" s="372" customFormat="1" ht="24.95" customHeight="1">
      <c r="A158" s="734"/>
      <c r="B158" s="643"/>
      <c r="I158" s="451"/>
      <c r="L158" s="451"/>
      <c r="N158" s="9"/>
      <c r="P158" s="9"/>
      <c r="Q158" s="9"/>
      <c r="R158" s="9"/>
      <c r="S158" s="689" t="str">
        <f>+IF(AGOSTO!S158=0,"",AGOSTO!S158)</f>
        <v>2020202-1</v>
      </c>
      <c r="T158" s="665" t="str">
        <f>+IF(AGOSTO!T158=0,"",AGOSTO!T158)</f>
        <v>Seguros</v>
      </c>
      <c r="U158" s="27">
        <f>+ENERO!U158</f>
        <v>200000000</v>
      </c>
      <c r="V158" s="15">
        <f>AGOSTO!V158+SEPTIEMBRE!AL158</f>
        <v>0</v>
      </c>
      <c r="W158" s="15">
        <f>AGOSTO!W158+SEPTIEMBRE!AM158</f>
        <v>0</v>
      </c>
      <c r="X158" s="18">
        <f t="shared" ref="X158:X168" si="150">SUM(U158:W158)</f>
        <v>200000000</v>
      </c>
      <c r="Y158" s="19">
        <f>AGOSTO!AA158</f>
        <v>199150182</v>
      </c>
      <c r="Z158" s="364">
        <v>0</v>
      </c>
      <c r="AA158" s="18">
        <f t="shared" ref="AA158:AA168" si="151">SUM(Y158:Z158)</f>
        <v>199150182</v>
      </c>
      <c r="AB158" s="19">
        <f>AGOSTO!AD158</f>
        <v>117359799</v>
      </c>
      <c r="AC158" s="364">
        <v>20230000</v>
      </c>
      <c r="AD158" s="18">
        <f t="shared" ref="AD158:AD168" si="152">SUM(AB158:AC158)</f>
        <v>137589799</v>
      </c>
      <c r="AE158" s="19">
        <f>AGOSTO!AG158</f>
        <v>97129799</v>
      </c>
      <c r="AF158" s="364">
        <v>40460000</v>
      </c>
      <c r="AG158" s="18">
        <f t="shared" ref="AG158:AG168" si="153">SUM(AE158:AF158)</f>
        <v>137589799</v>
      </c>
      <c r="AH158" s="19">
        <f t="shared" ref="AH158:AH168" si="154">X158-AA158</f>
        <v>849818</v>
      </c>
      <c r="AI158" s="15">
        <f t="shared" ref="AI158:AI168" si="155">X158-AD158</f>
        <v>62410201</v>
      </c>
      <c r="AJ158" s="16">
        <f t="shared" ref="AJ158:AJ168" si="156">X158-AG158</f>
        <v>62410201</v>
      </c>
      <c r="AK158" s="9"/>
      <c r="AL158" s="362">
        <v>0</v>
      </c>
      <c r="AM158" s="365">
        <v>0</v>
      </c>
      <c r="AN158" s="9"/>
    </row>
    <row r="159" spans="1:40" s="372" customFormat="1" ht="24.95" customHeight="1">
      <c r="A159" s="734"/>
      <c r="B159" s="643"/>
      <c r="I159" s="451"/>
      <c r="L159" s="451"/>
      <c r="N159" s="9"/>
      <c r="P159" s="9"/>
      <c r="Q159" s="9"/>
      <c r="R159" s="9"/>
      <c r="S159" s="689" t="str">
        <f>+IF(AGOSTO!S159=0,"",AGOSTO!S159)</f>
        <v>2020202-2</v>
      </c>
      <c r="T159" s="665" t="str">
        <f>+IF(AGOSTO!T159=0,"",AGOSTO!T159)</f>
        <v>Impresos y Publicaciones</v>
      </c>
      <c r="U159" s="27">
        <f>+ENERO!U159</f>
        <v>40000000</v>
      </c>
      <c r="V159" s="15">
        <f>AGOSTO!V159+SEPTIEMBRE!AL159</f>
        <v>0</v>
      </c>
      <c r="W159" s="15">
        <f>AGOSTO!W159+SEPTIEMBRE!AM159</f>
        <v>0</v>
      </c>
      <c r="X159" s="18">
        <f t="shared" si="150"/>
        <v>40000000</v>
      </c>
      <c r="Y159" s="19">
        <f>AGOSTO!AA159</f>
        <v>35000000</v>
      </c>
      <c r="Z159" s="364">
        <v>420000</v>
      </c>
      <c r="AA159" s="18">
        <f t="shared" si="151"/>
        <v>35420000</v>
      </c>
      <c r="AB159" s="19">
        <f>AGOSTO!AD159</f>
        <v>35000000</v>
      </c>
      <c r="AC159" s="364">
        <v>420000</v>
      </c>
      <c r="AD159" s="18">
        <f t="shared" si="152"/>
        <v>35420000</v>
      </c>
      <c r="AE159" s="19">
        <f>AGOSTO!AG159</f>
        <v>26909099</v>
      </c>
      <c r="AF159" s="364">
        <v>6340774</v>
      </c>
      <c r="AG159" s="18">
        <f t="shared" si="153"/>
        <v>33249873</v>
      </c>
      <c r="AH159" s="19">
        <f t="shared" si="154"/>
        <v>4580000</v>
      </c>
      <c r="AI159" s="15">
        <f t="shared" si="155"/>
        <v>4580000</v>
      </c>
      <c r="AJ159" s="16">
        <f t="shared" si="156"/>
        <v>6750127</v>
      </c>
      <c r="AK159" s="9"/>
      <c r="AL159" s="362">
        <v>0</v>
      </c>
      <c r="AM159" s="365">
        <v>0</v>
      </c>
      <c r="AN159" s="9"/>
    </row>
    <row r="160" spans="1:40" s="372" customFormat="1" ht="24.95" customHeight="1">
      <c r="A160" s="734"/>
      <c r="B160" s="643"/>
      <c r="I160" s="451"/>
      <c r="L160" s="451"/>
      <c r="N160" s="9"/>
      <c r="P160" s="9"/>
      <c r="Q160" s="9"/>
      <c r="R160" s="9"/>
      <c r="S160" s="689" t="str">
        <f>+IF(AGOSTO!S160=0,"",AGOSTO!S160)</f>
        <v>2020202-3</v>
      </c>
      <c r="T160" s="665" t="str">
        <f>+IF(AGOSTO!T160=0,"",AGOSTO!T160)</f>
        <v>Pago a otras IPS</v>
      </c>
      <c r="U160" s="27">
        <f>+ENERO!U160</f>
        <v>0</v>
      </c>
      <c r="V160" s="15">
        <f>AGOSTO!V160+SEPTIEMBRE!AL160</f>
        <v>0</v>
      </c>
      <c r="W160" s="15">
        <f>AGOSTO!W160+SEPTIEMBRE!AM160</f>
        <v>0</v>
      </c>
      <c r="X160" s="18">
        <f t="shared" si="150"/>
        <v>0</v>
      </c>
      <c r="Y160" s="19">
        <f>AGOSTO!AA160</f>
        <v>0</v>
      </c>
      <c r="Z160" s="364">
        <v>0</v>
      </c>
      <c r="AA160" s="18">
        <f t="shared" si="151"/>
        <v>0</v>
      </c>
      <c r="AB160" s="19">
        <f>AGOSTO!AD160</f>
        <v>0</v>
      </c>
      <c r="AC160" s="364">
        <v>0</v>
      </c>
      <c r="AD160" s="18">
        <f t="shared" si="152"/>
        <v>0</v>
      </c>
      <c r="AE160" s="19">
        <f>AGOSTO!AG160</f>
        <v>0</v>
      </c>
      <c r="AF160" s="364">
        <v>0</v>
      </c>
      <c r="AG160" s="18">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I161" s="451"/>
      <c r="L161" s="451"/>
      <c r="N161" s="9"/>
      <c r="P161" s="9"/>
      <c r="Q161" s="9"/>
      <c r="R161" s="9"/>
      <c r="S161" s="689" t="str">
        <f>+IF(AGOSTO!S161=0,"",AGOSTO!S161)</f>
        <v>2020202-4</v>
      </c>
      <c r="T161" s="665" t="str">
        <f>+IF(AGOSTO!T161=0,"",AGOSTO!T161)</f>
        <v>Comunicaciones y Transportes</v>
      </c>
      <c r="U161" s="27">
        <f>+ENERO!U161</f>
        <v>5000000</v>
      </c>
      <c r="V161" s="15">
        <f>AGOSTO!V161+SEPTIEMBRE!AL161</f>
        <v>0</v>
      </c>
      <c r="W161" s="15">
        <f>AGOSTO!W161+SEPTIEMBRE!AM161</f>
        <v>0</v>
      </c>
      <c r="X161" s="18">
        <f t="shared" si="150"/>
        <v>5000000</v>
      </c>
      <c r="Y161" s="19">
        <f>AGOSTO!AA161</f>
        <v>320000</v>
      </c>
      <c r="Z161" s="364">
        <v>0</v>
      </c>
      <c r="AA161" s="18">
        <f t="shared" si="151"/>
        <v>320000</v>
      </c>
      <c r="AB161" s="19">
        <f>AGOSTO!AD161</f>
        <v>320000</v>
      </c>
      <c r="AC161" s="364">
        <v>0</v>
      </c>
      <c r="AD161" s="18">
        <f t="shared" si="152"/>
        <v>320000</v>
      </c>
      <c r="AE161" s="19">
        <f>AGOSTO!AG161</f>
        <v>0</v>
      </c>
      <c r="AF161" s="364">
        <v>0</v>
      </c>
      <c r="AG161" s="18">
        <f t="shared" si="153"/>
        <v>0</v>
      </c>
      <c r="AH161" s="19">
        <f t="shared" si="154"/>
        <v>4680000</v>
      </c>
      <c r="AI161" s="15">
        <f t="shared" si="155"/>
        <v>4680000</v>
      </c>
      <c r="AJ161" s="16">
        <f t="shared" si="156"/>
        <v>5000000</v>
      </c>
      <c r="AK161" s="9"/>
      <c r="AL161" s="362">
        <v>0</v>
      </c>
      <c r="AM161" s="365">
        <v>0</v>
      </c>
      <c r="AN161" s="9"/>
    </row>
    <row r="162" spans="1:40" s="372" customFormat="1" ht="24.95" customHeight="1">
      <c r="A162" s="734"/>
      <c r="B162" s="643"/>
      <c r="I162" s="451"/>
      <c r="L162" s="451"/>
      <c r="N162" s="9"/>
      <c r="P162" s="9"/>
      <c r="Q162" s="9"/>
      <c r="R162" s="9"/>
      <c r="S162" s="689" t="str">
        <f>+IF(AGOSTO!S162=0,"",AGOSTO!S162)</f>
        <v>2020202-5</v>
      </c>
      <c r="T162" s="665" t="str">
        <f>+IF(AGOSTO!T162=0,"",AGOSTO!T162)</f>
        <v>Viáticos y Gastos de Viaje</v>
      </c>
      <c r="U162" s="27">
        <f>+ENERO!U162</f>
        <v>5000000</v>
      </c>
      <c r="V162" s="15">
        <f>AGOSTO!V162+SEPTIEMBRE!AL162</f>
        <v>0</v>
      </c>
      <c r="W162" s="15">
        <f>AGOSTO!W162+SEPTIEMBRE!AM162</f>
        <v>0</v>
      </c>
      <c r="X162" s="18">
        <f t="shared" si="150"/>
        <v>5000000</v>
      </c>
      <c r="Y162" s="19">
        <f>AGOSTO!AA162</f>
        <v>712500</v>
      </c>
      <c r="Z162" s="364">
        <v>0</v>
      </c>
      <c r="AA162" s="18">
        <f t="shared" si="151"/>
        <v>712500</v>
      </c>
      <c r="AB162" s="19">
        <f>AGOSTO!AD162</f>
        <v>712500</v>
      </c>
      <c r="AC162" s="364">
        <v>0</v>
      </c>
      <c r="AD162" s="18">
        <f t="shared" si="152"/>
        <v>712500</v>
      </c>
      <c r="AE162" s="19">
        <f>AGOSTO!AG162</f>
        <v>712500</v>
      </c>
      <c r="AF162" s="364">
        <v>0</v>
      </c>
      <c r="AG162" s="18">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I163" s="451"/>
      <c r="L163" s="451"/>
      <c r="N163" s="9"/>
      <c r="P163" s="9"/>
      <c r="Q163" s="9"/>
      <c r="R163" s="9"/>
      <c r="S163" s="689" t="str">
        <f>+IF(AGOSTO!S163=0,"",AGOSTO!S163)</f>
        <v>2020202-6</v>
      </c>
      <c r="T163" s="665" t="str">
        <f>+IF(AGOSTO!T163=0,"",AGOSTO!T163)</f>
        <v>Plan Integral de Manejo de Residuos Sólidos Hospitalarios</v>
      </c>
      <c r="U163" s="27">
        <f>+ENERO!U163</f>
        <v>300000000</v>
      </c>
      <c r="V163" s="15">
        <f>AGOSTO!V163+SEPTIEMBRE!AL163</f>
        <v>0</v>
      </c>
      <c r="W163" s="15">
        <f>AGOSTO!W163+SEPTIEMBRE!AM163</f>
        <v>0</v>
      </c>
      <c r="X163" s="18">
        <f t="shared" si="150"/>
        <v>300000000</v>
      </c>
      <c r="Y163" s="19">
        <f>AGOSTO!AA163</f>
        <v>199222831</v>
      </c>
      <c r="Z163" s="364">
        <v>11883380</v>
      </c>
      <c r="AA163" s="18">
        <f t="shared" si="151"/>
        <v>211106211</v>
      </c>
      <c r="AB163" s="19">
        <f>AGOSTO!AD163</f>
        <v>170268823</v>
      </c>
      <c r="AC163" s="364">
        <v>24392400</v>
      </c>
      <c r="AD163" s="18">
        <f t="shared" si="152"/>
        <v>194661223</v>
      </c>
      <c r="AE163" s="19">
        <f>AGOSTO!AG163</f>
        <v>122019358</v>
      </c>
      <c r="AF163" s="364">
        <v>23662706</v>
      </c>
      <c r="AG163" s="18">
        <f t="shared" si="153"/>
        <v>145682064</v>
      </c>
      <c r="AH163" s="19">
        <f t="shared" si="154"/>
        <v>88893789</v>
      </c>
      <c r="AI163" s="15">
        <f t="shared" si="155"/>
        <v>105338777</v>
      </c>
      <c r="AJ163" s="16">
        <f t="shared" si="156"/>
        <v>154317936</v>
      </c>
      <c r="AK163" s="9"/>
      <c r="AL163" s="362">
        <v>0</v>
      </c>
      <c r="AM163" s="365">
        <v>0</v>
      </c>
      <c r="AN163" s="9"/>
    </row>
    <row r="164" spans="1:40" s="372" customFormat="1" ht="24.95" customHeight="1">
      <c r="A164" s="734"/>
      <c r="B164" s="643"/>
      <c r="I164" s="451"/>
      <c r="L164" s="451"/>
      <c r="N164" s="9"/>
      <c r="P164" s="9"/>
      <c r="Q164" s="9"/>
      <c r="R164" s="9"/>
      <c r="S164" s="689" t="str">
        <f>+IF(AGOSTO!S164=0,"",AGOSTO!S164)</f>
        <v>2020202-7</v>
      </c>
      <c r="T164" s="665" t="str">
        <f>+IF(AGOSTO!T164=0,"",AGOSTO!T164)</f>
        <v>Servicios de Laboratorio contratados con terceros</v>
      </c>
      <c r="U164" s="27">
        <f>+ENERO!U164</f>
        <v>778712263</v>
      </c>
      <c r="V164" s="15">
        <f>AGOSTO!V164+SEPTIEMBRE!AL164</f>
        <v>0</v>
      </c>
      <c r="W164" s="15">
        <f>AGOSTO!W164+SEPTIEMBRE!AM164</f>
        <v>0</v>
      </c>
      <c r="X164" s="18">
        <f t="shared" si="150"/>
        <v>778712263</v>
      </c>
      <c r="Y164" s="19">
        <f>AGOSTO!AA164</f>
        <v>745815495</v>
      </c>
      <c r="Z164" s="364">
        <v>0</v>
      </c>
      <c r="AA164" s="18">
        <f t="shared" si="151"/>
        <v>745815495</v>
      </c>
      <c r="AB164" s="19">
        <f>AGOSTO!AD164</f>
        <v>654784687</v>
      </c>
      <c r="AC164" s="364">
        <v>2222000</v>
      </c>
      <c r="AD164" s="18">
        <f t="shared" si="152"/>
        <v>657006687</v>
      </c>
      <c r="AE164" s="19">
        <f>AGOSTO!AG164</f>
        <v>244952708</v>
      </c>
      <c r="AF164" s="364">
        <v>29529183</v>
      </c>
      <c r="AG164" s="18">
        <f t="shared" si="153"/>
        <v>274481891</v>
      </c>
      <c r="AH164" s="19">
        <f t="shared" si="154"/>
        <v>32896768</v>
      </c>
      <c r="AI164" s="15">
        <f t="shared" si="155"/>
        <v>121705576</v>
      </c>
      <c r="AJ164" s="16">
        <f t="shared" si="156"/>
        <v>504230372</v>
      </c>
      <c r="AK164" s="9"/>
      <c r="AL164" s="362">
        <v>0</v>
      </c>
      <c r="AM164" s="365">
        <v>0</v>
      </c>
      <c r="AN164" s="9"/>
    </row>
    <row r="165" spans="1:40" s="372" customFormat="1" ht="24.95" customHeight="1">
      <c r="A165" s="734"/>
      <c r="B165" s="643"/>
      <c r="I165" s="451"/>
      <c r="L165" s="451"/>
      <c r="N165" s="9"/>
      <c r="P165" s="9"/>
      <c r="Q165" s="9"/>
      <c r="R165" s="9"/>
      <c r="S165" s="689" t="str">
        <f>+IF(AGOSTO!S165=0,"",AGOSTO!S165)</f>
        <v>2020202-8</v>
      </c>
      <c r="T165" s="665" t="str">
        <f>+IF(AGOSTO!T165=0,"",AGOSTO!T165)</f>
        <v>Servicios de Rayos X e Imaginología contratado con terceros</v>
      </c>
      <c r="U165" s="27">
        <f>+ENERO!U165</f>
        <v>1116000000</v>
      </c>
      <c r="V165" s="15">
        <f>AGOSTO!V165+SEPTIEMBRE!AL165</f>
        <v>0</v>
      </c>
      <c r="W165" s="15">
        <f>AGOSTO!W165+SEPTIEMBRE!AM165</f>
        <v>500000000</v>
      </c>
      <c r="X165" s="18">
        <f t="shared" si="150"/>
        <v>1616000000</v>
      </c>
      <c r="Y165" s="19">
        <f>AGOSTO!AA165</f>
        <v>1545000000</v>
      </c>
      <c r="Z165" s="364">
        <v>0</v>
      </c>
      <c r="AA165" s="18">
        <f t="shared" si="151"/>
        <v>1545000000</v>
      </c>
      <c r="AB165" s="19">
        <f>AGOSTO!AD165</f>
        <v>1098149246</v>
      </c>
      <c r="AC165" s="364">
        <v>135154618</v>
      </c>
      <c r="AD165" s="18">
        <f t="shared" si="152"/>
        <v>1233303864</v>
      </c>
      <c r="AE165" s="19">
        <f>AGOSTO!AG165</f>
        <v>782598687</v>
      </c>
      <c r="AF165" s="364">
        <v>50786524</v>
      </c>
      <c r="AG165" s="18">
        <f t="shared" si="153"/>
        <v>833385211</v>
      </c>
      <c r="AH165" s="19">
        <f t="shared" si="154"/>
        <v>71000000</v>
      </c>
      <c r="AI165" s="15">
        <f t="shared" si="155"/>
        <v>382696136</v>
      </c>
      <c r="AJ165" s="16">
        <f t="shared" si="156"/>
        <v>782614789</v>
      </c>
      <c r="AK165" s="9"/>
      <c r="AL165" s="362">
        <v>0</v>
      </c>
      <c r="AM165" s="365">
        <v>0</v>
      </c>
      <c r="AN165" s="9"/>
    </row>
    <row r="166" spans="1:40" s="372" customFormat="1" ht="24.95" customHeight="1">
      <c r="A166" s="734"/>
      <c r="B166" s="643"/>
      <c r="I166" s="451"/>
      <c r="L166" s="451"/>
      <c r="N166" s="9"/>
      <c r="P166" s="9"/>
      <c r="Q166" s="9"/>
      <c r="R166" s="9"/>
      <c r="S166" s="689" t="str">
        <f>+IF(AGOSTO!S166=0,"",AGOSTO!S166)</f>
        <v>2020202-9</v>
      </c>
      <c r="T166" s="665" t="str">
        <f>+IF(AGOSTO!T166=0,"",AGOSTO!T166)</f>
        <v>Arrendamientos</v>
      </c>
      <c r="U166" s="27">
        <f>+ENERO!U166</f>
        <v>165000000</v>
      </c>
      <c r="V166" s="15">
        <f>AGOSTO!V166+SEPTIEMBRE!AL166</f>
        <v>0</v>
      </c>
      <c r="W166" s="15">
        <f>AGOSTO!W166+SEPTIEMBRE!AM166</f>
        <v>0</v>
      </c>
      <c r="X166" s="18">
        <f t="shared" si="150"/>
        <v>165000000</v>
      </c>
      <c r="Y166" s="19">
        <f>AGOSTO!AA166</f>
        <v>19813500</v>
      </c>
      <c r="Z166" s="364">
        <v>0</v>
      </c>
      <c r="AA166" s="18">
        <f t="shared" si="151"/>
        <v>19813500</v>
      </c>
      <c r="AB166" s="19">
        <f>AGOSTO!AD166</f>
        <v>19813500</v>
      </c>
      <c r="AC166" s="364">
        <v>0</v>
      </c>
      <c r="AD166" s="18">
        <f t="shared" si="152"/>
        <v>19813500</v>
      </c>
      <c r="AE166" s="19">
        <f>AGOSTO!AG166</f>
        <v>19813500</v>
      </c>
      <c r="AF166" s="364">
        <v>0</v>
      </c>
      <c r="AG166" s="18">
        <f t="shared" si="153"/>
        <v>19813500</v>
      </c>
      <c r="AH166" s="19">
        <f t="shared" si="154"/>
        <v>145186500</v>
      </c>
      <c r="AI166" s="15">
        <f t="shared" si="155"/>
        <v>145186500</v>
      </c>
      <c r="AJ166" s="16">
        <f t="shared" si="156"/>
        <v>145186500</v>
      </c>
      <c r="AK166" s="9"/>
      <c r="AL166" s="362">
        <v>0</v>
      </c>
      <c r="AM166" s="365">
        <v>0</v>
      </c>
      <c r="AN166" s="9"/>
    </row>
    <row r="167" spans="1:40" s="372" customFormat="1" ht="24.95" customHeight="1">
      <c r="A167" s="734"/>
      <c r="B167" s="643"/>
      <c r="I167" s="451"/>
      <c r="L167" s="451"/>
      <c r="N167" s="9"/>
      <c r="P167" s="9"/>
      <c r="Q167" s="9"/>
      <c r="R167" s="9"/>
      <c r="S167" s="689" t="str">
        <f>+IF(AGOSTO!S167=0,"",AGOSTO!S167)</f>
        <v>2020202-10</v>
      </c>
      <c r="T167" s="665" t="str">
        <f>+IF(AGOSTO!T167=0,"",AGOSTO!T167)</f>
        <v>Servicios Públicos</v>
      </c>
      <c r="U167" s="27">
        <f>+ENERO!U167</f>
        <v>0</v>
      </c>
      <c r="V167" s="15">
        <f>AGOSTO!V167+SEPTIEMBRE!AL167</f>
        <v>0</v>
      </c>
      <c r="W167" s="15">
        <f>AGOSTO!W167+SEPTIEMBRE!AM167</f>
        <v>0</v>
      </c>
      <c r="X167" s="18">
        <f>SUM(U167:W167)</f>
        <v>0</v>
      </c>
      <c r="Y167" s="19">
        <f>AGOSTO!AA167</f>
        <v>0</v>
      </c>
      <c r="Z167" s="364">
        <v>0</v>
      </c>
      <c r="AA167" s="18">
        <f>SUM(Y167:Z167)</f>
        <v>0</v>
      </c>
      <c r="AB167" s="19">
        <f>AGOSTO!AD167</f>
        <v>0</v>
      </c>
      <c r="AC167" s="364">
        <v>0</v>
      </c>
      <c r="AD167" s="18">
        <f>SUM(AB167:AC167)</f>
        <v>0</v>
      </c>
      <c r="AE167" s="19">
        <f>AGOSTO!AG167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I168" s="451"/>
      <c r="L168" s="451"/>
      <c r="N168" s="9"/>
      <c r="P168" s="9"/>
      <c r="Q168" s="9"/>
      <c r="R168" s="9"/>
      <c r="S168" s="688">
        <f>+IF(AGOSTO!S168=0,"",AGOSTO!S168)</f>
        <v>2020299</v>
      </c>
      <c r="T168" s="664" t="str">
        <f>+IF(AGOSTO!T168=0,"",AGOSTO!T168)</f>
        <v>Vigencias Anteriores</v>
      </c>
      <c r="U168" s="27">
        <f>+ENERO!U168</f>
        <v>100900000</v>
      </c>
      <c r="V168" s="15">
        <f>AGOSTO!V168+SEPTIEMBRE!AL168</f>
        <v>170000000</v>
      </c>
      <c r="W168" s="15">
        <f>AGOSTO!W168+SEPTIEMBRE!AM168</f>
        <v>780000000</v>
      </c>
      <c r="X168" s="18">
        <f t="shared" si="150"/>
        <v>1050900000</v>
      </c>
      <c r="Y168" s="19">
        <f>AGOSTO!AA168</f>
        <v>935335560</v>
      </c>
      <c r="Z168" s="364">
        <v>0</v>
      </c>
      <c r="AA168" s="18">
        <f t="shared" si="151"/>
        <v>935335560</v>
      </c>
      <c r="AB168" s="19">
        <f>AGOSTO!AD168</f>
        <v>935335560</v>
      </c>
      <c r="AC168" s="364">
        <v>0</v>
      </c>
      <c r="AD168" s="18">
        <f t="shared" si="152"/>
        <v>935335560</v>
      </c>
      <c r="AE168" s="19">
        <f>AGOSTO!AG168</f>
        <v>935335560</v>
      </c>
      <c r="AF168" s="364">
        <v>0</v>
      </c>
      <c r="AG168" s="18">
        <f t="shared" si="153"/>
        <v>935335560</v>
      </c>
      <c r="AH168" s="19">
        <f t="shared" si="154"/>
        <v>115564440</v>
      </c>
      <c r="AI168" s="15">
        <f t="shared" si="155"/>
        <v>115564440</v>
      </c>
      <c r="AJ168" s="16">
        <f t="shared" si="156"/>
        <v>115564440</v>
      </c>
      <c r="AK168" s="9"/>
      <c r="AL168" s="362">
        <v>0</v>
      </c>
      <c r="AM168" s="365">
        <v>0</v>
      </c>
      <c r="AN168" s="9"/>
    </row>
    <row r="169" spans="1:40" s="372" customFormat="1" ht="24.95" customHeight="1">
      <c r="A169" s="734"/>
      <c r="B169" s="643"/>
      <c r="I169" s="451"/>
      <c r="L169" s="451"/>
      <c r="N169" s="9"/>
      <c r="P169" s="9"/>
      <c r="Q169" s="9"/>
      <c r="R169" s="9"/>
      <c r="S169" s="356" t="str">
        <f>+IF(AGOSTO!S169=0,"",AGOSTO!S169)</f>
        <v/>
      </c>
      <c r="T169" s="678" t="str">
        <f>+IF(AGOSTO!T169=0,"",AGOSTO!T169)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I170" s="451"/>
      <c r="L170" s="451"/>
      <c r="N170" s="9"/>
      <c r="P170" s="9"/>
      <c r="Q170" s="9"/>
      <c r="R170" s="9"/>
      <c r="S170" s="686">
        <f>+IF(AGOSTO!S170=0,"",AGOSTO!S170)</f>
        <v>3000000</v>
      </c>
      <c r="T170" s="668" t="str">
        <f>+IF(AGOSTO!T170=0,"",AGOSTO!T170)</f>
        <v>TRANSFERENCIAS CORRIENTES</v>
      </c>
      <c r="U170" s="460">
        <f t="shared" ref="U170:AJ170" si="157">U172+U176+U185</f>
        <v>1240354144</v>
      </c>
      <c r="V170" s="461">
        <f t="shared" si="157"/>
        <v>52000000</v>
      </c>
      <c r="W170" s="461">
        <f t="shared" si="157"/>
        <v>0</v>
      </c>
      <c r="X170" s="462">
        <f t="shared" si="157"/>
        <v>1292354144</v>
      </c>
      <c r="Y170" s="369">
        <f t="shared" si="157"/>
        <v>724180864</v>
      </c>
      <c r="Z170" s="461">
        <f t="shared" si="157"/>
        <v>61677123</v>
      </c>
      <c r="AA170" s="462">
        <f t="shared" si="157"/>
        <v>785857987</v>
      </c>
      <c r="AB170" s="369">
        <f t="shared" si="157"/>
        <v>724180864</v>
      </c>
      <c r="AC170" s="461">
        <f t="shared" si="157"/>
        <v>61677123</v>
      </c>
      <c r="AD170" s="462">
        <f t="shared" si="157"/>
        <v>785857987</v>
      </c>
      <c r="AE170" s="369">
        <f t="shared" si="157"/>
        <v>720082034</v>
      </c>
      <c r="AF170" s="461">
        <f t="shared" si="157"/>
        <v>61315031</v>
      </c>
      <c r="AG170" s="462">
        <f t="shared" si="157"/>
        <v>781397065</v>
      </c>
      <c r="AH170" s="369">
        <f t="shared" si="157"/>
        <v>506496157</v>
      </c>
      <c r="AI170" s="461">
        <f t="shared" si="157"/>
        <v>506496157</v>
      </c>
      <c r="AJ170" s="370">
        <f t="shared" si="157"/>
        <v>510957079</v>
      </c>
      <c r="AK170" s="9"/>
      <c r="AL170" s="128">
        <f>AL172+AL176+AL185</f>
        <v>0</v>
      </c>
      <c r="AM170" s="130">
        <f>AM172+AM176+AM185</f>
        <v>0</v>
      </c>
      <c r="AN170" s="9"/>
    </row>
    <row r="171" spans="1:40" s="372" customFormat="1" ht="24.95" customHeight="1">
      <c r="A171" s="734"/>
      <c r="B171" s="643"/>
      <c r="I171" s="451"/>
      <c r="L171" s="451"/>
      <c r="N171" s="9"/>
      <c r="P171" s="9"/>
      <c r="Q171" s="9"/>
      <c r="R171" s="9"/>
      <c r="S171" s="356" t="str">
        <f>+IF(AGOSTO!S171=0,"",AGOSTO!S171)</f>
        <v/>
      </c>
      <c r="T171" s="678" t="str">
        <f>+IF(AGOSTO!T171=0,"",AGOSTO!T171)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I172" s="451"/>
      <c r="L172" s="451"/>
      <c r="N172" s="9"/>
      <c r="P172" s="9"/>
      <c r="Q172" s="9"/>
      <c r="R172" s="9"/>
      <c r="S172" s="687">
        <f>+IF(AGOSTO!S172=0,"",AGOSTO!S172)</f>
        <v>3100000</v>
      </c>
      <c r="T172" s="663" t="str">
        <f>+IF(AGOSTO!T172=0,"",AGOSTO!T172)</f>
        <v>Transferencias al Sector Público</v>
      </c>
      <c r="U172" s="132">
        <f t="shared" ref="U172:AJ172" si="158">SUM(U173:U174)</f>
        <v>50000000</v>
      </c>
      <c r="V172" s="122">
        <f t="shared" si="158"/>
        <v>44000000</v>
      </c>
      <c r="W172" s="122">
        <f t="shared" si="158"/>
        <v>0</v>
      </c>
      <c r="X172" s="129">
        <f t="shared" si="158"/>
        <v>94000000</v>
      </c>
      <c r="Y172" s="128">
        <f t="shared" si="158"/>
        <v>91353733</v>
      </c>
      <c r="Z172" s="122">
        <f t="shared" si="158"/>
        <v>0</v>
      </c>
      <c r="AA172" s="129">
        <f t="shared" si="158"/>
        <v>91353733</v>
      </c>
      <c r="AB172" s="128">
        <f t="shared" si="158"/>
        <v>91353733</v>
      </c>
      <c r="AC172" s="122">
        <f t="shared" si="158"/>
        <v>0</v>
      </c>
      <c r="AD172" s="129">
        <f t="shared" si="158"/>
        <v>91353733</v>
      </c>
      <c r="AE172" s="128">
        <f t="shared" si="158"/>
        <v>91353733</v>
      </c>
      <c r="AF172" s="122">
        <f t="shared" si="158"/>
        <v>0</v>
      </c>
      <c r="AG172" s="129">
        <f t="shared" si="158"/>
        <v>91353733</v>
      </c>
      <c r="AH172" s="128">
        <f t="shared" si="158"/>
        <v>2646267</v>
      </c>
      <c r="AI172" s="122">
        <f t="shared" si="158"/>
        <v>2646267</v>
      </c>
      <c r="AJ172" s="130">
        <f t="shared" si="158"/>
        <v>2646267</v>
      </c>
      <c r="AK172" s="9"/>
      <c r="AL172" s="128">
        <f>SUM(AL173:AL174)</f>
        <v>0</v>
      </c>
      <c r="AM172" s="130">
        <f>SUM(AM173:AM174)</f>
        <v>0</v>
      </c>
      <c r="AN172" s="9"/>
    </row>
    <row r="173" spans="1:40" s="372" customFormat="1" ht="24.95" customHeight="1">
      <c r="A173" s="734"/>
      <c r="B173" s="643"/>
      <c r="I173" s="451"/>
      <c r="L173" s="451"/>
      <c r="N173" s="9"/>
      <c r="P173" s="9"/>
      <c r="Q173" s="9"/>
      <c r="R173" s="9"/>
      <c r="S173" s="688">
        <f>+IF(AGOSTO!S173=0,"",AGOSTO!S173)</f>
        <v>3100003</v>
      </c>
      <c r="T173" s="664" t="str">
        <f>+IF(AGOSTO!T173=0,"",AGOSTO!T173)</f>
        <v>Entidades Públicas (Contraloria, Supersalud,…)</v>
      </c>
      <c r="U173" s="27">
        <f>+ENERO!U173</f>
        <v>50000000</v>
      </c>
      <c r="V173" s="15">
        <f>AGOSTO!V173+SEPTIEMBRE!AL173</f>
        <v>44000000</v>
      </c>
      <c r="W173" s="15">
        <f>AGOSTO!W173+SEPTIEMBRE!AM173</f>
        <v>0</v>
      </c>
      <c r="X173" s="18">
        <f>SUM(U173:W173)</f>
        <v>94000000</v>
      </c>
      <c r="Y173" s="19">
        <f>AGOSTO!AA173</f>
        <v>91353733</v>
      </c>
      <c r="Z173" s="364">
        <v>0</v>
      </c>
      <c r="AA173" s="18">
        <f>SUM(Y173:Z173)</f>
        <v>91353733</v>
      </c>
      <c r="AB173" s="19">
        <f>AGOSTO!AD173</f>
        <v>91353733</v>
      </c>
      <c r="AC173" s="364">
        <v>0</v>
      </c>
      <c r="AD173" s="18">
        <f>SUM(AB173:AC173)</f>
        <v>91353733</v>
      </c>
      <c r="AE173" s="19">
        <f>AGOSTO!AG173</f>
        <v>91353733</v>
      </c>
      <c r="AF173" s="364">
        <v>0</v>
      </c>
      <c r="AG173" s="18">
        <f>SUM(AE173:AF173)</f>
        <v>91353733</v>
      </c>
      <c r="AH173" s="19">
        <f>X173-AA173</f>
        <v>2646267</v>
      </c>
      <c r="AI173" s="15">
        <f>X173-AD173</f>
        <v>2646267</v>
      </c>
      <c r="AJ173" s="16">
        <f>X173-AG173</f>
        <v>2646267</v>
      </c>
      <c r="AK173" s="9"/>
      <c r="AL173" s="362">
        <v>0</v>
      </c>
      <c r="AM173" s="365">
        <v>0</v>
      </c>
      <c r="AN173" s="9"/>
    </row>
    <row r="174" spans="1:40" s="372" customFormat="1" ht="24.95" customHeight="1">
      <c r="A174" s="734"/>
      <c r="B174" s="643"/>
      <c r="I174" s="451"/>
      <c r="L174" s="451"/>
      <c r="N174" s="9"/>
      <c r="P174" s="9"/>
      <c r="Q174" s="9"/>
      <c r="R174" s="9"/>
      <c r="S174" s="688">
        <f>+IF(AGOSTO!S174=0,"",AGOSTO!S174)</f>
        <v>3199999</v>
      </c>
      <c r="T174" s="664" t="str">
        <f>+IF(AGOSTO!T174=0,"",AGOSTO!T174)</f>
        <v>Vigencias Anteriores</v>
      </c>
      <c r="U174" s="27">
        <f>+ENERO!U174</f>
        <v>0</v>
      </c>
      <c r="V174" s="15">
        <f>AGOSTO!V174+SEPTIEMBRE!AL174</f>
        <v>0</v>
      </c>
      <c r="W174" s="15">
        <f>AGOSTO!W174+SEPTIEMBRE!AM174</f>
        <v>0</v>
      </c>
      <c r="X174" s="18">
        <f>SUM(U174:W174)</f>
        <v>0</v>
      </c>
      <c r="Y174" s="19">
        <f>AGOSTO!AA174</f>
        <v>0</v>
      </c>
      <c r="Z174" s="364">
        <v>0</v>
      </c>
      <c r="AA174" s="18">
        <f>SUM(Y174:Z174)</f>
        <v>0</v>
      </c>
      <c r="AB174" s="19">
        <f>AGOSTO!AD174</f>
        <v>0</v>
      </c>
      <c r="AC174" s="364">
        <v>0</v>
      </c>
      <c r="AD174" s="18">
        <f>SUM(AB174:AC174)</f>
        <v>0</v>
      </c>
      <c r="AE174" s="19">
        <f>AGOSTO!AG174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I175" s="451"/>
      <c r="L175" s="451"/>
      <c r="N175" s="9"/>
      <c r="P175" s="9"/>
      <c r="Q175" s="9"/>
      <c r="R175" s="9"/>
      <c r="S175" s="356" t="str">
        <f>+IF(AGOSTO!S175=0,"",AGOSTO!S175)</f>
        <v/>
      </c>
      <c r="T175" s="678" t="str">
        <f>+IF(AGOSTO!T175=0,"",AGOSTO!T175)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I176" s="451"/>
      <c r="L176" s="451"/>
      <c r="N176" s="9"/>
      <c r="P176" s="9"/>
      <c r="Q176" s="9"/>
      <c r="R176" s="9"/>
      <c r="S176" s="687">
        <f>+IF(AGOSTO!S176=0,"",AGOSTO!S176)</f>
        <v>320000</v>
      </c>
      <c r="T176" s="663" t="str">
        <f>+IF(AGOSTO!T176=0,"",AGOSTO!T176)</f>
        <v>Transf. Previsión y Seguridad Social</v>
      </c>
      <c r="U176" s="132">
        <f t="shared" ref="U176:AJ176" si="159">SUM(U177:U183)</f>
        <v>1110354144</v>
      </c>
      <c r="V176" s="122">
        <f t="shared" si="159"/>
        <v>0</v>
      </c>
      <c r="W176" s="122">
        <f t="shared" si="159"/>
        <v>0</v>
      </c>
      <c r="X176" s="129">
        <f t="shared" si="159"/>
        <v>1110354144</v>
      </c>
      <c r="Y176" s="128">
        <f t="shared" si="159"/>
        <v>610373151</v>
      </c>
      <c r="Z176" s="122">
        <f t="shared" si="159"/>
        <v>61677123</v>
      </c>
      <c r="AA176" s="129">
        <f t="shared" si="159"/>
        <v>672050274</v>
      </c>
      <c r="AB176" s="128">
        <f t="shared" si="159"/>
        <v>610373151</v>
      </c>
      <c r="AC176" s="122">
        <f t="shared" si="159"/>
        <v>61677123</v>
      </c>
      <c r="AD176" s="129">
        <f t="shared" si="159"/>
        <v>672050274</v>
      </c>
      <c r="AE176" s="128">
        <f t="shared" si="159"/>
        <v>606274321</v>
      </c>
      <c r="AF176" s="122">
        <f t="shared" si="159"/>
        <v>61315031</v>
      </c>
      <c r="AG176" s="129">
        <f t="shared" si="159"/>
        <v>667589352</v>
      </c>
      <c r="AH176" s="128">
        <f t="shared" si="159"/>
        <v>438303870</v>
      </c>
      <c r="AI176" s="122">
        <f t="shared" si="159"/>
        <v>438303870</v>
      </c>
      <c r="AJ176" s="130">
        <f t="shared" si="159"/>
        <v>442764792</v>
      </c>
      <c r="AK176" s="9"/>
      <c r="AL176" s="128">
        <f>SUM(AL177:AL183)</f>
        <v>0</v>
      </c>
      <c r="AM176" s="130">
        <f>SUM(AM177:AM183)</f>
        <v>0</v>
      </c>
      <c r="AN176" s="9"/>
    </row>
    <row r="177" spans="1:40" s="372" customFormat="1" ht="24.95" customHeight="1">
      <c r="A177" s="734"/>
      <c r="B177" s="643"/>
      <c r="I177" s="451"/>
      <c r="L177" s="451"/>
      <c r="N177" s="9"/>
      <c r="P177" s="9"/>
      <c r="Q177" s="9"/>
      <c r="R177" s="9"/>
      <c r="S177" s="688">
        <f>+IF(AGOSTO!S177=0,"",AGOSTO!S177)</f>
        <v>3200100</v>
      </c>
      <c r="T177" s="664" t="str">
        <f>+IF(AGOSTO!T177=0,"",AGOSTO!T177)</f>
        <v>Pensiones y Jubilaciones (Pago Directo)</v>
      </c>
      <c r="U177" s="27">
        <f>+ENERO!U177</f>
        <v>965336472</v>
      </c>
      <c r="V177" s="15">
        <f>AGOSTO!V177+SEPTIEMBRE!AL177</f>
        <v>0</v>
      </c>
      <c r="W177" s="15">
        <f>AGOSTO!W177+SEPTIEMBRE!AM177</f>
        <v>0</v>
      </c>
      <c r="X177" s="18">
        <f t="shared" ref="X177:X183" si="160">SUM(U177:W177)</f>
        <v>965336472</v>
      </c>
      <c r="Y177" s="19">
        <f>AGOSTO!AA177</f>
        <v>555893405</v>
      </c>
      <c r="Z177" s="364">
        <v>61315031</v>
      </c>
      <c r="AA177" s="18">
        <f t="shared" ref="AA177:AA183" si="161">SUM(Y177:Z177)</f>
        <v>617208436</v>
      </c>
      <c r="AB177" s="19">
        <f>AGOSTO!AD177</f>
        <v>555893405</v>
      </c>
      <c r="AC177" s="364">
        <v>61315031</v>
      </c>
      <c r="AD177" s="18">
        <f t="shared" ref="AD177:AD183" si="162">SUM(AB177:AC177)</f>
        <v>617208436</v>
      </c>
      <c r="AE177" s="19">
        <f>AGOSTO!AG177</f>
        <v>552215305</v>
      </c>
      <c r="AF177" s="364">
        <v>61315031</v>
      </c>
      <c r="AG177" s="18">
        <f t="shared" ref="AG177:AG183" si="163">SUM(AE177:AF177)</f>
        <v>613530336</v>
      </c>
      <c r="AH177" s="19">
        <f t="shared" ref="AH177:AH183" si="164">X177-AA177</f>
        <v>348128036</v>
      </c>
      <c r="AI177" s="15">
        <f t="shared" ref="AI177:AI183" si="165">X177-AD177</f>
        <v>348128036</v>
      </c>
      <c r="AJ177" s="16">
        <f t="shared" ref="AJ177:AJ183" si="166">X177-AG177</f>
        <v>351806136</v>
      </c>
      <c r="AK177" s="9"/>
      <c r="AL177" s="362">
        <v>0</v>
      </c>
      <c r="AM177" s="365">
        <v>0</v>
      </c>
      <c r="AN177" s="9"/>
    </row>
    <row r="178" spans="1:40" s="372" customFormat="1" ht="24.95" customHeight="1">
      <c r="A178" s="734"/>
      <c r="B178" s="643"/>
      <c r="I178" s="451"/>
      <c r="L178" s="451"/>
      <c r="N178" s="9"/>
      <c r="P178" s="9"/>
      <c r="Q178" s="9"/>
      <c r="R178" s="9"/>
      <c r="S178" s="688">
        <f>+IF(AGOSTO!S178=0,"",AGOSTO!S178)</f>
        <v>3200200</v>
      </c>
      <c r="T178" s="664" t="str">
        <f>+IF(AGOSTO!T178=0,"",AGOSTO!T178)</f>
        <v>Cesantías Pago Directo (Pago Directo)</v>
      </c>
      <c r="U178" s="27">
        <f>+ENERO!U178</f>
        <v>20000000</v>
      </c>
      <c r="V178" s="15">
        <f>AGOSTO!V178+SEPTIEMBRE!AL178</f>
        <v>20000000</v>
      </c>
      <c r="W178" s="15">
        <f>AGOSTO!W178+SEPTIEMBRE!AM178</f>
        <v>0</v>
      </c>
      <c r="X178" s="18">
        <f t="shared" si="160"/>
        <v>40000000</v>
      </c>
      <c r="Y178" s="19">
        <f>AGOSTO!AA178</f>
        <v>18261466</v>
      </c>
      <c r="Z178" s="364">
        <v>356336</v>
      </c>
      <c r="AA178" s="18">
        <f t="shared" si="161"/>
        <v>18617802</v>
      </c>
      <c r="AB178" s="19">
        <f>AGOSTO!AD178</f>
        <v>18261466</v>
      </c>
      <c r="AC178" s="364">
        <v>356336</v>
      </c>
      <c r="AD178" s="18">
        <f t="shared" si="162"/>
        <v>18617802</v>
      </c>
      <c r="AE178" s="19">
        <f>AGOSTO!AG178</f>
        <v>17849008</v>
      </c>
      <c r="AF178" s="364">
        <v>0</v>
      </c>
      <c r="AG178" s="18">
        <f t="shared" si="163"/>
        <v>17849008</v>
      </c>
      <c r="AH178" s="19">
        <f t="shared" si="164"/>
        <v>21382198</v>
      </c>
      <c r="AI178" s="15">
        <f t="shared" si="165"/>
        <v>21382198</v>
      </c>
      <c r="AJ178" s="16">
        <f t="shared" si="166"/>
        <v>22150992</v>
      </c>
      <c r="AK178" s="9"/>
      <c r="AL178" s="362">
        <v>0</v>
      </c>
      <c r="AM178" s="365">
        <v>0</v>
      </c>
      <c r="AN178" s="9"/>
    </row>
    <row r="179" spans="1:40" s="372" customFormat="1" ht="24.95" customHeight="1">
      <c r="A179" s="734"/>
      <c r="B179" s="643"/>
      <c r="I179" s="451"/>
      <c r="L179" s="451"/>
      <c r="N179" s="9"/>
      <c r="P179" s="9"/>
      <c r="Q179" s="9"/>
      <c r="R179" s="9"/>
      <c r="S179" s="688">
        <f>+IF(AGOSTO!S179=0,"",AGOSTO!S179)</f>
        <v>3200300</v>
      </c>
      <c r="T179" s="664" t="str">
        <f>+IF(AGOSTO!T179=0,"",AGOSTO!T179)</f>
        <v>Bonos, Cuotas de Bonos y cuotas partes jubilatorias</v>
      </c>
      <c r="U179" s="27">
        <f>+ENERO!U179</f>
        <v>20000000</v>
      </c>
      <c r="V179" s="15">
        <f>AGOSTO!V179+SEPTIEMBRE!AL179</f>
        <v>0</v>
      </c>
      <c r="W179" s="15">
        <f>AGOSTO!W179+SEPTIEMBRE!AM179</f>
        <v>0</v>
      </c>
      <c r="X179" s="18">
        <f t="shared" si="160"/>
        <v>20000000</v>
      </c>
      <c r="Y179" s="19">
        <f>AGOSTO!AA179</f>
        <v>0</v>
      </c>
      <c r="Z179" s="364">
        <v>0</v>
      </c>
      <c r="AA179" s="18">
        <f t="shared" si="161"/>
        <v>0</v>
      </c>
      <c r="AB179" s="19">
        <f>AGOSTO!AD179</f>
        <v>0</v>
      </c>
      <c r="AC179" s="364">
        <v>0</v>
      </c>
      <c r="AD179" s="18">
        <f t="shared" si="162"/>
        <v>0</v>
      </c>
      <c r="AE179" s="19">
        <f>AGOSTO!AG179</f>
        <v>0</v>
      </c>
      <c r="AF179" s="364">
        <v>0</v>
      </c>
      <c r="AG179" s="18">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I180" s="451"/>
      <c r="L180" s="451"/>
      <c r="N180" s="9"/>
      <c r="P180" s="9"/>
      <c r="Q180" s="9"/>
      <c r="R180" s="9"/>
      <c r="S180" s="688">
        <f>+IF(AGOSTO!S180=0,"",AGOSTO!S180)</f>
        <v>3200400</v>
      </c>
      <c r="T180" s="664" t="str">
        <f>+IF(AGOSTO!T180=0,"",AGOSTO!T180)</f>
        <v>Intereses a las cesantias</v>
      </c>
      <c r="U180" s="27">
        <f>+ENERO!U180</f>
        <v>105017672</v>
      </c>
      <c r="V180" s="15">
        <f>AGOSTO!V180+SEPTIEMBRE!AL180</f>
        <v>-20000000</v>
      </c>
      <c r="W180" s="15">
        <f>AGOSTO!W180+SEPTIEMBRE!AM180</f>
        <v>0</v>
      </c>
      <c r="X180" s="18">
        <f t="shared" si="160"/>
        <v>85017672</v>
      </c>
      <c r="Y180" s="19">
        <f>AGOSTO!AA180</f>
        <v>36218280</v>
      </c>
      <c r="Z180" s="364">
        <v>5756</v>
      </c>
      <c r="AA180" s="18">
        <f t="shared" si="161"/>
        <v>36224036</v>
      </c>
      <c r="AB180" s="19">
        <f>AGOSTO!AD180</f>
        <v>36218280</v>
      </c>
      <c r="AC180" s="364">
        <v>5756</v>
      </c>
      <c r="AD180" s="18">
        <f t="shared" si="162"/>
        <v>36224036</v>
      </c>
      <c r="AE180" s="19">
        <f>AGOSTO!AG180</f>
        <v>36210008</v>
      </c>
      <c r="AF180" s="364">
        <v>0</v>
      </c>
      <c r="AG180" s="18">
        <f t="shared" si="163"/>
        <v>36210008</v>
      </c>
      <c r="AH180" s="19">
        <f t="shared" si="164"/>
        <v>48793636</v>
      </c>
      <c r="AI180" s="15">
        <f t="shared" si="165"/>
        <v>48793636</v>
      </c>
      <c r="AJ180" s="16">
        <f t="shared" si="166"/>
        <v>48807664</v>
      </c>
      <c r="AK180" s="9"/>
      <c r="AL180" s="362">
        <v>0</v>
      </c>
      <c r="AM180" s="365">
        <v>0</v>
      </c>
      <c r="AN180" s="9"/>
    </row>
    <row r="181" spans="1:40" s="372" customFormat="1" ht="24.95" customHeight="1">
      <c r="A181" s="734"/>
      <c r="B181" s="643"/>
      <c r="I181" s="451"/>
      <c r="L181" s="451"/>
      <c r="N181" s="9"/>
      <c r="P181" s="9"/>
      <c r="Q181" s="9"/>
      <c r="R181" s="9"/>
      <c r="S181" s="688">
        <f>+IF(AGOSTO!S181=0,"",AGOSTO!S181)</f>
        <v>3200500</v>
      </c>
      <c r="T181" s="664" t="str">
        <f>+IF(AGOSTO!T181=0,"",AGOSTO!T181)</f>
        <v/>
      </c>
      <c r="U181" s="27">
        <f>+ENERO!U181</f>
        <v>0</v>
      </c>
      <c r="V181" s="15">
        <f>AGOSTO!V181+SEPTIEMBRE!AL181</f>
        <v>0</v>
      </c>
      <c r="W181" s="15">
        <f>AGOSTO!W181+SEPTIEMBRE!AM181</f>
        <v>0</v>
      </c>
      <c r="X181" s="18">
        <f t="shared" si="160"/>
        <v>0</v>
      </c>
      <c r="Y181" s="19">
        <f>AGOSTO!AA181</f>
        <v>0</v>
      </c>
      <c r="Z181" s="364">
        <v>0</v>
      </c>
      <c r="AA181" s="18">
        <f t="shared" si="161"/>
        <v>0</v>
      </c>
      <c r="AB181" s="19">
        <f>AGOSTO!AD181</f>
        <v>0</v>
      </c>
      <c r="AC181" s="364">
        <v>0</v>
      </c>
      <c r="AD181" s="18">
        <f t="shared" si="162"/>
        <v>0</v>
      </c>
      <c r="AE181" s="19">
        <f>AGOSTO!AG181</f>
        <v>0</v>
      </c>
      <c r="AF181" s="364">
        <v>0</v>
      </c>
      <c r="AG181" s="18">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I182" s="451"/>
      <c r="L182" s="451"/>
      <c r="N182" s="9"/>
      <c r="P182" s="9"/>
      <c r="Q182" s="9"/>
      <c r="R182" s="9"/>
      <c r="S182" s="688">
        <f>+IF(AGOSTO!S182=0,"",AGOSTO!S182)</f>
        <v>3200600</v>
      </c>
      <c r="T182" s="664" t="str">
        <f>+IF(AGOSTO!T182=0,"",AGOSTO!T182)</f>
        <v/>
      </c>
      <c r="U182" s="27">
        <f>+ENERO!U182</f>
        <v>0</v>
      </c>
      <c r="V182" s="15">
        <f>AGOSTO!V182+SEPTIEMBRE!AL182</f>
        <v>0</v>
      </c>
      <c r="W182" s="15">
        <f>AGOSTO!W182+SEPTIEMBRE!AM182</f>
        <v>0</v>
      </c>
      <c r="X182" s="18">
        <f t="shared" si="160"/>
        <v>0</v>
      </c>
      <c r="Y182" s="19">
        <f>AGOSTO!AA182</f>
        <v>0</v>
      </c>
      <c r="Z182" s="364">
        <v>0</v>
      </c>
      <c r="AA182" s="18">
        <f t="shared" si="161"/>
        <v>0</v>
      </c>
      <c r="AB182" s="19">
        <f>AGOSTO!AD182</f>
        <v>0</v>
      </c>
      <c r="AC182" s="364">
        <v>0</v>
      </c>
      <c r="AD182" s="18">
        <f t="shared" si="162"/>
        <v>0</v>
      </c>
      <c r="AE182" s="19">
        <f>AGOSTO!AG182</f>
        <v>0</v>
      </c>
      <c r="AF182" s="364">
        <v>0</v>
      </c>
      <c r="AG182" s="18">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I183" s="451"/>
      <c r="L183" s="451"/>
      <c r="N183" s="9"/>
      <c r="P183" s="9"/>
      <c r="Q183" s="9"/>
      <c r="R183" s="9"/>
      <c r="S183" s="688">
        <f>+IF(AGOSTO!S183=0,"",AGOSTO!S183)</f>
        <v>3299999</v>
      </c>
      <c r="T183" s="664" t="str">
        <f>+IF(AGOSTO!T183=0,"",AGOSTO!T183)</f>
        <v>Vigencias Anteriores</v>
      </c>
      <c r="U183" s="27">
        <f>+ENERO!U183</f>
        <v>0</v>
      </c>
      <c r="V183" s="15">
        <f>AGOSTO!V183+SEPTIEMBRE!AL183</f>
        <v>0</v>
      </c>
      <c r="W183" s="15">
        <f>AGOSTO!W183+SEPTIEMBRE!AM183</f>
        <v>0</v>
      </c>
      <c r="X183" s="18">
        <f t="shared" si="160"/>
        <v>0</v>
      </c>
      <c r="Y183" s="19">
        <f>AGOSTO!AA183</f>
        <v>0</v>
      </c>
      <c r="Z183" s="364">
        <v>0</v>
      </c>
      <c r="AA183" s="18">
        <f t="shared" si="161"/>
        <v>0</v>
      </c>
      <c r="AB183" s="19">
        <f>AGOSTO!AD183</f>
        <v>0</v>
      </c>
      <c r="AC183" s="364">
        <v>0</v>
      </c>
      <c r="AD183" s="18">
        <f t="shared" si="162"/>
        <v>0</v>
      </c>
      <c r="AE183" s="19">
        <f>AGOSTO!AG183</f>
        <v>0</v>
      </c>
      <c r="AF183" s="364">
        <v>0</v>
      </c>
      <c r="AG183" s="18">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I184" s="451"/>
      <c r="L184" s="451"/>
      <c r="N184" s="9"/>
      <c r="P184" s="9"/>
      <c r="Q184" s="9"/>
      <c r="R184" s="9"/>
      <c r="S184" s="356" t="str">
        <f>+IF(AGOSTO!S184=0,"",AGOSTO!S184)</f>
        <v/>
      </c>
      <c r="T184" s="678" t="str">
        <f>+IF(AGOSTO!T184=0,"",AGOSTO!T184)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I185" s="451"/>
      <c r="L185" s="451"/>
      <c r="N185" s="9"/>
      <c r="P185" s="9"/>
      <c r="Q185" s="9"/>
      <c r="R185" s="9"/>
      <c r="S185" s="687">
        <f>+IF(AGOSTO!S185=0,"",AGOSTO!S185)</f>
        <v>3300000</v>
      </c>
      <c r="T185" s="663" t="str">
        <f>+IF(AGOSTO!T185=0,"",AGOSTO!T185)</f>
        <v>Otras Transferencias</v>
      </c>
      <c r="U185" s="132">
        <f t="shared" ref="U185:AJ185" si="167">U186+U187+U191</f>
        <v>80000000</v>
      </c>
      <c r="V185" s="122">
        <f t="shared" si="167"/>
        <v>8000000</v>
      </c>
      <c r="W185" s="122">
        <f t="shared" si="167"/>
        <v>0</v>
      </c>
      <c r="X185" s="129">
        <f t="shared" si="167"/>
        <v>88000000</v>
      </c>
      <c r="Y185" s="128">
        <f t="shared" si="167"/>
        <v>22453980</v>
      </c>
      <c r="Z185" s="122">
        <f t="shared" si="167"/>
        <v>0</v>
      </c>
      <c r="AA185" s="129">
        <f t="shared" si="167"/>
        <v>22453980</v>
      </c>
      <c r="AB185" s="128">
        <f t="shared" si="167"/>
        <v>22453980</v>
      </c>
      <c r="AC185" s="122">
        <f t="shared" si="167"/>
        <v>0</v>
      </c>
      <c r="AD185" s="129">
        <f t="shared" si="167"/>
        <v>22453980</v>
      </c>
      <c r="AE185" s="128">
        <f t="shared" si="167"/>
        <v>22453980</v>
      </c>
      <c r="AF185" s="122">
        <f t="shared" si="167"/>
        <v>0</v>
      </c>
      <c r="AG185" s="129">
        <f t="shared" si="167"/>
        <v>22453980</v>
      </c>
      <c r="AH185" s="128">
        <f t="shared" si="167"/>
        <v>65546020</v>
      </c>
      <c r="AI185" s="122">
        <f t="shared" si="167"/>
        <v>65546020</v>
      </c>
      <c r="AJ185" s="130">
        <f t="shared" si="167"/>
        <v>65546020</v>
      </c>
      <c r="AK185" s="9"/>
      <c r="AL185" s="128">
        <f>AL186+AL187+AL191</f>
        <v>0</v>
      </c>
      <c r="AM185" s="130">
        <f>AM186+AM187+AM191</f>
        <v>0</v>
      </c>
      <c r="AN185" s="9"/>
    </row>
    <row r="186" spans="1:40" s="372" customFormat="1" ht="24.95" customHeight="1">
      <c r="A186" s="734"/>
      <c r="B186" s="643"/>
      <c r="I186" s="451"/>
      <c r="L186" s="451"/>
      <c r="N186" s="9"/>
      <c r="P186" s="9"/>
      <c r="Q186" s="9"/>
      <c r="R186" s="9"/>
      <c r="S186" s="688">
        <f>+IF(AGOSTO!S186=0,"",AGOSTO!S186)</f>
        <v>3300100</v>
      </c>
      <c r="T186" s="664" t="str">
        <f>+IF(AGOSTO!T186=0,"",AGOSTO!T186)</f>
        <v>Sentencias y Conciliaciones</v>
      </c>
      <c r="U186" s="27">
        <f>+ENERO!U186</f>
        <v>60000000</v>
      </c>
      <c r="V186" s="15">
        <f>AGOSTO!V186+SEPTIEMBRE!AL186</f>
        <v>0</v>
      </c>
      <c r="W186" s="15">
        <f>AGOSTO!W186+SEPTIEMBRE!AM186</f>
        <v>0</v>
      </c>
      <c r="X186" s="18">
        <f>SUM(U186:W186)</f>
        <v>60000000</v>
      </c>
      <c r="Y186" s="19">
        <f>AGOSTO!AA186</f>
        <v>0</v>
      </c>
      <c r="Z186" s="364">
        <v>0</v>
      </c>
      <c r="AA186" s="18">
        <f>SUM(Y186:Z186)</f>
        <v>0</v>
      </c>
      <c r="AB186" s="19">
        <f>AGOSTO!AD186</f>
        <v>0</v>
      </c>
      <c r="AC186" s="364">
        <v>0</v>
      </c>
      <c r="AD186" s="18">
        <f>SUM(AB186:AC186)</f>
        <v>0</v>
      </c>
      <c r="AE186" s="19">
        <f>AGOSTO!AG186</f>
        <v>0</v>
      </c>
      <c r="AF186" s="364">
        <v>0</v>
      </c>
      <c r="AG186" s="18">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I187" s="451"/>
      <c r="L187" s="451"/>
      <c r="N187" s="9"/>
      <c r="P187" s="9"/>
      <c r="Q187" s="9"/>
      <c r="R187" s="9"/>
      <c r="S187" s="688">
        <f>+IF(AGOSTO!S187=0,"",AGOSTO!S187)</f>
        <v>3300200</v>
      </c>
      <c r="T187" s="664" t="str">
        <f>+IF(AGOSTO!T187=0,"",AGOSTO!T187)</f>
        <v>Destinatarios de otras transferencias</v>
      </c>
      <c r="U187" s="27">
        <f t="shared" ref="U187:AM187" si="168">SUM(U188:U190)</f>
        <v>20000000</v>
      </c>
      <c r="V187" s="15">
        <f t="shared" si="168"/>
        <v>8000000</v>
      </c>
      <c r="W187" s="15">
        <f t="shared" si="168"/>
        <v>0</v>
      </c>
      <c r="X187" s="18">
        <f t="shared" si="168"/>
        <v>28000000</v>
      </c>
      <c r="Y187" s="19">
        <f t="shared" si="168"/>
        <v>22453980</v>
      </c>
      <c r="Z187" s="142">
        <f t="shared" si="168"/>
        <v>0</v>
      </c>
      <c r="AA187" s="18">
        <f t="shared" si="168"/>
        <v>22453980</v>
      </c>
      <c r="AB187" s="19">
        <f t="shared" si="168"/>
        <v>22453980</v>
      </c>
      <c r="AC187" s="142">
        <f t="shared" si="168"/>
        <v>0</v>
      </c>
      <c r="AD187" s="18">
        <f t="shared" si="168"/>
        <v>22453980</v>
      </c>
      <c r="AE187" s="19">
        <f t="shared" si="168"/>
        <v>22453980</v>
      </c>
      <c r="AF187" s="142">
        <f t="shared" si="168"/>
        <v>0</v>
      </c>
      <c r="AG187" s="18">
        <f t="shared" si="168"/>
        <v>22453980</v>
      </c>
      <c r="AH187" s="19">
        <f t="shared" si="168"/>
        <v>5546020</v>
      </c>
      <c r="AI187" s="15">
        <f t="shared" si="168"/>
        <v>5546020</v>
      </c>
      <c r="AJ187" s="16">
        <f t="shared" si="168"/>
        <v>5546020</v>
      </c>
      <c r="AK187" s="9"/>
      <c r="AL187" s="29">
        <f t="shared" si="168"/>
        <v>0</v>
      </c>
      <c r="AM187" s="26">
        <f t="shared" si="168"/>
        <v>0</v>
      </c>
      <c r="AN187" s="9"/>
    </row>
    <row r="188" spans="1:40" s="372" customFormat="1" ht="24.95" customHeight="1">
      <c r="A188" s="734"/>
      <c r="B188" s="644"/>
      <c r="I188" s="451"/>
      <c r="L188" s="451"/>
      <c r="N188" s="9"/>
      <c r="P188" s="9"/>
      <c r="Q188" s="9"/>
      <c r="R188" s="9"/>
      <c r="S188" s="689" t="str">
        <f>+IF(AGOSTO!S188=0,"",AGOSTO!S188)</f>
        <v>3300200-1</v>
      </c>
      <c r="T188" s="664" t="str">
        <f>+IF(AGOSTO!T188=0,"",AGOSTO!T188)</f>
        <v>COHAN</v>
      </c>
      <c r="U188" s="27">
        <f>+ENERO!U188</f>
        <v>10000000</v>
      </c>
      <c r="V188" s="15">
        <f>AGOSTO!V188+SEPTIEMBRE!AL188</f>
        <v>8000000</v>
      </c>
      <c r="W188" s="15">
        <f>AGOSTO!W188+SEPTIEMBRE!AM188</f>
        <v>0</v>
      </c>
      <c r="X188" s="18">
        <f>SUM(U188:W188)</f>
        <v>18000000</v>
      </c>
      <c r="Y188" s="19">
        <f>AGOSTO!AA188</f>
        <v>17803516</v>
      </c>
      <c r="Z188" s="364">
        <v>0</v>
      </c>
      <c r="AA188" s="18">
        <f>SUM(Y188:Z188)</f>
        <v>17803516</v>
      </c>
      <c r="AB188" s="19">
        <f>AGOSTO!AD188</f>
        <v>17803516</v>
      </c>
      <c r="AC188" s="364">
        <v>0</v>
      </c>
      <c r="AD188" s="18">
        <f>SUM(AB188:AC188)</f>
        <v>17803516</v>
      </c>
      <c r="AE188" s="19">
        <f>AGOSTO!AG188</f>
        <v>17803516</v>
      </c>
      <c r="AF188" s="364">
        <v>0</v>
      </c>
      <c r="AG188" s="18">
        <f>SUM(AE188:AF188)</f>
        <v>17803516</v>
      </c>
      <c r="AH188" s="19">
        <f>X188-AA188</f>
        <v>196484</v>
      </c>
      <c r="AI188" s="15">
        <f>X188-AD188</f>
        <v>196484</v>
      </c>
      <c r="AJ188" s="16">
        <f>X188-AG188</f>
        <v>196484</v>
      </c>
      <c r="AK188" s="9"/>
      <c r="AL188" s="362">
        <v>0</v>
      </c>
      <c r="AM188" s="365">
        <v>0</v>
      </c>
      <c r="AN188" s="9"/>
    </row>
    <row r="189" spans="1:40" s="372" customFormat="1" ht="24.95" customHeight="1">
      <c r="A189" s="734"/>
      <c r="B189" s="644"/>
      <c r="I189" s="451"/>
      <c r="L189" s="451"/>
      <c r="N189" s="9"/>
      <c r="P189" s="9"/>
      <c r="Q189" s="9"/>
      <c r="R189" s="9"/>
      <c r="S189" s="689" t="str">
        <f>+IF(AGOSTO!S189=0,"",AGOSTO!S189)</f>
        <v>3300200-2</v>
      </c>
      <c r="T189" s="664" t="str">
        <f>+IF(AGOSTO!T189=0,"",AGOSTO!T189)</f>
        <v>AESA</v>
      </c>
      <c r="U189" s="27">
        <f>+ENERO!U189</f>
        <v>5000000</v>
      </c>
      <c r="V189" s="15">
        <f>AGOSTO!V189+SEPTIEMBRE!AL189</f>
        <v>0</v>
      </c>
      <c r="W189" s="15">
        <f>AGOSTO!W189+SEPTIEMBRE!AM189</f>
        <v>0</v>
      </c>
      <c r="X189" s="18">
        <f>SUM(U189:W189)</f>
        <v>5000000</v>
      </c>
      <c r="Y189" s="19">
        <f>AGOSTO!AA189</f>
        <v>3312464</v>
      </c>
      <c r="Z189" s="364">
        <v>0</v>
      </c>
      <c r="AA189" s="18">
        <f>SUM(Y189:Z189)</f>
        <v>3312464</v>
      </c>
      <c r="AB189" s="19">
        <f>AGOSTO!AD189</f>
        <v>3312464</v>
      </c>
      <c r="AC189" s="364">
        <v>0</v>
      </c>
      <c r="AD189" s="18">
        <f>SUM(AB189:AC189)</f>
        <v>3312464</v>
      </c>
      <c r="AE189" s="19">
        <f>AGOSTO!AG189</f>
        <v>3312464</v>
      </c>
      <c r="AF189" s="364">
        <v>0</v>
      </c>
      <c r="AG189" s="18">
        <f>SUM(AE189:AF189)</f>
        <v>3312464</v>
      </c>
      <c r="AH189" s="19">
        <f>X189-AA189</f>
        <v>1687536</v>
      </c>
      <c r="AI189" s="15">
        <f>X189-AD189</f>
        <v>1687536</v>
      </c>
      <c r="AJ189" s="16">
        <f>X189-AG189</f>
        <v>1687536</v>
      </c>
      <c r="AK189" s="9"/>
      <c r="AL189" s="362">
        <v>0</v>
      </c>
      <c r="AM189" s="365">
        <v>0</v>
      </c>
      <c r="AN189" s="9"/>
    </row>
    <row r="190" spans="1:40" s="372" customFormat="1" ht="24.95" customHeight="1">
      <c r="A190" s="734"/>
      <c r="B190" s="644"/>
      <c r="I190" s="451"/>
      <c r="L190" s="451"/>
      <c r="N190" s="9"/>
      <c r="P190" s="9"/>
      <c r="Q190" s="9"/>
      <c r="R190" s="9"/>
      <c r="S190" s="689" t="str">
        <f>+IF(AGOSTO!S190=0,"",AGOSTO!S190)</f>
        <v>3300200-3</v>
      </c>
      <c r="T190" s="664" t="str">
        <f>+IF(AGOSTO!T190=0,"",AGOSTO!T190)</f>
        <v xml:space="preserve">OTRAS </v>
      </c>
      <c r="U190" s="27">
        <f>+ENERO!U190</f>
        <v>5000000</v>
      </c>
      <c r="V190" s="15">
        <f>AGOSTO!V190+SEPTIEMBRE!AL190</f>
        <v>0</v>
      </c>
      <c r="W190" s="15">
        <f>AGOSTO!W190+SEPTIEMBRE!AM190</f>
        <v>0</v>
      </c>
      <c r="X190" s="18">
        <f>SUM(U190:W190)</f>
        <v>5000000</v>
      </c>
      <c r="Y190" s="19">
        <f>AGOSTO!AA190</f>
        <v>1338000</v>
      </c>
      <c r="Z190" s="364">
        <v>0</v>
      </c>
      <c r="AA190" s="18">
        <f>SUM(Y190:Z190)</f>
        <v>1338000</v>
      </c>
      <c r="AB190" s="19">
        <f>AGOSTO!AD190</f>
        <v>1338000</v>
      </c>
      <c r="AC190" s="364">
        <v>0</v>
      </c>
      <c r="AD190" s="18">
        <f>SUM(AB190:AC190)</f>
        <v>1338000</v>
      </c>
      <c r="AE190" s="19">
        <f>AGOSTO!AG190</f>
        <v>1338000</v>
      </c>
      <c r="AF190" s="364">
        <v>0</v>
      </c>
      <c r="AG190" s="18">
        <f>SUM(AE190:AF190)</f>
        <v>1338000</v>
      </c>
      <c r="AH190" s="19">
        <f>X190-AA190</f>
        <v>3662000</v>
      </c>
      <c r="AI190" s="15">
        <f>X190-AD190</f>
        <v>3662000</v>
      </c>
      <c r="AJ190" s="16">
        <f>X190-AG190</f>
        <v>3662000</v>
      </c>
      <c r="AK190" s="9"/>
      <c r="AL190" s="362">
        <v>0</v>
      </c>
      <c r="AM190" s="365">
        <v>0</v>
      </c>
      <c r="AN190" s="9"/>
    </row>
    <row r="191" spans="1:40" s="372" customFormat="1" ht="24.95" customHeight="1">
      <c r="A191" s="734"/>
      <c r="B191" s="644"/>
      <c r="I191" s="451"/>
      <c r="L191" s="451"/>
      <c r="N191" s="9"/>
      <c r="P191" s="9"/>
      <c r="Q191" s="9"/>
      <c r="R191" s="9"/>
      <c r="S191" s="688">
        <f>+IF(AGOSTO!S191=0,"",AGOSTO!S191)</f>
        <v>3399999</v>
      </c>
      <c r="T191" s="664" t="str">
        <f>+IF(AGOSTO!T191=0,"",AGOSTO!T191)</f>
        <v>Vigencias Anteriores</v>
      </c>
      <c r="U191" s="27">
        <f>+ENERO!U191</f>
        <v>0</v>
      </c>
      <c r="V191" s="15">
        <f>AGOSTO!V191+SEPTIEMBRE!AL191</f>
        <v>0</v>
      </c>
      <c r="W191" s="15">
        <f>AGOSTO!W191+SEPTIEMBRE!AM191</f>
        <v>0</v>
      </c>
      <c r="X191" s="18">
        <f>SUM(U191:W191)</f>
        <v>0</v>
      </c>
      <c r="Y191" s="19">
        <f>AGOSTO!AA191</f>
        <v>0</v>
      </c>
      <c r="Z191" s="364">
        <v>0</v>
      </c>
      <c r="AA191" s="18">
        <f>SUM(Y191:Z191)</f>
        <v>0</v>
      </c>
      <c r="AB191" s="19">
        <f>AGOSTO!AD191</f>
        <v>0</v>
      </c>
      <c r="AC191" s="364">
        <v>0</v>
      </c>
      <c r="AD191" s="18">
        <f>SUM(AB191:AC191)</f>
        <v>0</v>
      </c>
      <c r="AE191" s="19">
        <f>AGOSTO!AG191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I192" s="451"/>
      <c r="L192" s="451"/>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9.5" customHeight="1">
      <c r="A193" s="734"/>
      <c r="B193" s="644"/>
      <c r="I193" s="451"/>
      <c r="L193" s="451"/>
      <c r="N193" s="9"/>
      <c r="P193" s="9"/>
      <c r="Q193" s="9"/>
      <c r="R193" s="9"/>
      <c r="S193" s="483" t="s">
        <v>318</v>
      </c>
      <c r="T193" s="672" t="s">
        <v>561</v>
      </c>
      <c r="U193" s="460">
        <f>U195+U209</f>
        <v>10282942055</v>
      </c>
      <c r="V193" s="461">
        <f t="shared" ref="V193:AJ193" si="169">V195+V209</f>
        <v>5385317789</v>
      </c>
      <c r="W193" s="461">
        <f t="shared" si="169"/>
        <v>8759281439</v>
      </c>
      <c r="X193" s="370">
        <f t="shared" si="169"/>
        <v>24427541283</v>
      </c>
      <c r="Y193" s="369">
        <f t="shared" si="169"/>
        <v>22228980696</v>
      </c>
      <c r="Z193" s="484">
        <f t="shared" si="169"/>
        <v>1558445748</v>
      </c>
      <c r="AA193" s="370">
        <f t="shared" si="169"/>
        <v>23787426444</v>
      </c>
      <c r="AB193" s="460">
        <f t="shared" si="169"/>
        <v>19772600222</v>
      </c>
      <c r="AC193" s="484">
        <f t="shared" si="169"/>
        <v>1736403439</v>
      </c>
      <c r="AD193" s="462">
        <f t="shared" si="169"/>
        <v>21509003661</v>
      </c>
      <c r="AE193" s="369">
        <f t="shared" si="169"/>
        <v>13274921015</v>
      </c>
      <c r="AF193" s="484">
        <f t="shared" si="169"/>
        <v>891113682</v>
      </c>
      <c r="AG193" s="370">
        <f t="shared" si="169"/>
        <v>14166034697</v>
      </c>
      <c r="AH193" s="369">
        <f t="shared" si="169"/>
        <v>640114839</v>
      </c>
      <c r="AI193" s="461">
        <f t="shared" si="169"/>
        <v>2918537622</v>
      </c>
      <c r="AJ193" s="370">
        <f t="shared" si="169"/>
        <v>10261506586</v>
      </c>
      <c r="AK193" s="9"/>
      <c r="AL193" s="369">
        <f>AL195+AL209</f>
        <v>0</v>
      </c>
      <c r="AM193" s="370">
        <f>AM195+AM209</f>
        <v>0</v>
      </c>
      <c r="AN193" s="9"/>
    </row>
    <row r="194" spans="1:40" s="372" customFormat="1" ht="24.95" customHeight="1">
      <c r="A194" s="734"/>
      <c r="B194" s="644"/>
      <c r="I194" s="451"/>
      <c r="L194" s="451"/>
      <c r="N194" s="9"/>
      <c r="P194" s="9"/>
      <c r="Q194" s="9"/>
      <c r="R194" s="9"/>
      <c r="S194" s="356" t="str">
        <f>+IF(AGOSTO!S194=0,"",AGOSTO!S194)</f>
        <v/>
      </c>
      <c r="T194" s="678" t="str">
        <f>+IF(AGOSTO!T194=0,"",AGOSTO!T194)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I195" s="451"/>
      <c r="L195" s="451"/>
      <c r="N195" s="9"/>
      <c r="P195" s="9"/>
      <c r="Q195" s="9"/>
      <c r="R195" s="9"/>
      <c r="S195" s="686">
        <f>+IF(AGOSTO!S195=0,"",AGOSTO!S195)</f>
        <v>4000000</v>
      </c>
      <c r="T195" s="668" t="str">
        <f>+IF(AGOSTO!T195=0,"",AGOSTO!T195)</f>
        <v>GASTOS  DE PRESTACION DE SERVICIOS</v>
      </c>
      <c r="U195" s="460">
        <f t="shared" ref="U195:AJ195" si="170">U196</f>
        <v>10282942055</v>
      </c>
      <c r="V195" s="461">
        <f t="shared" si="170"/>
        <v>5385317789</v>
      </c>
      <c r="W195" s="461">
        <f t="shared" si="170"/>
        <v>8759281439</v>
      </c>
      <c r="X195" s="462">
        <f t="shared" si="170"/>
        <v>24427541283</v>
      </c>
      <c r="Y195" s="369">
        <f t="shared" si="170"/>
        <v>22228980696</v>
      </c>
      <c r="Z195" s="461">
        <f t="shared" si="170"/>
        <v>1558445748</v>
      </c>
      <c r="AA195" s="462">
        <f t="shared" si="170"/>
        <v>23787426444</v>
      </c>
      <c r="AB195" s="369">
        <f t="shared" si="170"/>
        <v>19772600222</v>
      </c>
      <c r="AC195" s="461">
        <f t="shared" si="170"/>
        <v>1736403439</v>
      </c>
      <c r="AD195" s="462">
        <f t="shared" si="170"/>
        <v>21509003661</v>
      </c>
      <c r="AE195" s="369">
        <f t="shared" si="170"/>
        <v>13274921015</v>
      </c>
      <c r="AF195" s="461">
        <f t="shared" si="170"/>
        <v>891113682</v>
      </c>
      <c r="AG195" s="462">
        <f t="shared" si="170"/>
        <v>14166034697</v>
      </c>
      <c r="AH195" s="369">
        <f t="shared" si="170"/>
        <v>640114839</v>
      </c>
      <c r="AI195" s="461">
        <f t="shared" si="170"/>
        <v>2918537622</v>
      </c>
      <c r="AJ195" s="370">
        <f t="shared" si="170"/>
        <v>10261506586</v>
      </c>
      <c r="AK195" s="9"/>
      <c r="AL195" s="128">
        <f>AL196</f>
        <v>0</v>
      </c>
      <c r="AM195" s="130">
        <f>AM196</f>
        <v>0</v>
      </c>
      <c r="AN195" s="9"/>
    </row>
    <row r="196" spans="1:40" s="372" customFormat="1" ht="24.95" customHeight="1">
      <c r="A196" s="734"/>
      <c r="B196" s="644"/>
      <c r="I196" s="451"/>
      <c r="L196" s="451"/>
      <c r="N196" s="9"/>
      <c r="P196" s="9"/>
      <c r="Q196" s="9"/>
      <c r="R196" s="9"/>
      <c r="S196" s="687">
        <f>+IF(AGOSTO!S196=0,"",AGOSTO!S196)</f>
        <v>4100000</v>
      </c>
      <c r="T196" s="663" t="str">
        <f>+IF(AGOSTO!T196=0,"",AGOSTO!T196)</f>
        <v>Insumos y Suministros Hospitalarios</v>
      </c>
      <c r="U196" s="132">
        <f t="shared" ref="U196:AJ196" si="171">U197+U205+U207</f>
        <v>10282942055</v>
      </c>
      <c r="V196" s="122">
        <f t="shared" si="171"/>
        <v>5385317789</v>
      </c>
      <c r="W196" s="122">
        <f t="shared" si="171"/>
        <v>8759281439</v>
      </c>
      <c r="X196" s="129">
        <f t="shared" si="171"/>
        <v>24427541283</v>
      </c>
      <c r="Y196" s="128">
        <f t="shared" si="171"/>
        <v>22228980696</v>
      </c>
      <c r="Z196" s="122">
        <f t="shared" si="171"/>
        <v>1558445748</v>
      </c>
      <c r="AA196" s="129">
        <f t="shared" si="171"/>
        <v>23787426444</v>
      </c>
      <c r="AB196" s="128">
        <f t="shared" si="171"/>
        <v>19772600222</v>
      </c>
      <c r="AC196" s="122">
        <f t="shared" si="171"/>
        <v>1736403439</v>
      </c>
      <c r="AD196" s="129">
        <f t="shared" si="171"/>
        <v>21509003661</v>
      </c>
      <c r="AE196" s="128">
        <f t="shared" si="171"/>
        <v>13274921015</v>
      </c>
      <c r="AF196" s="122">
        <f t="shared" si="171"/>
        <v>891113682</v>
      </c>
      <c r="AG196" s="129">
        <f t="shared" si="171"/>
        <v>14166034697</v>
      </c>
      <c r="AH196" s="128">
        <f t="shared" si="171"/>
        <v>640114839</v>
      </c>
      <c r="AI196" s="122">
        <f t="shared" si="171"/>
        <v>2918537622</v>
      </c>
      <c r="AJ196" s="130">
        <f t="shared" si="171"/>
        <v>10261506586</v>
      </c>
      <c r="AK196" s="10"/>
      <c r="AL196" s="128">
        <f>AL197+AL205+AL207</f>
        <v>0</v>
      </c>
      <c r="AM196" s="130">
        <f>AM197+AM205+AM207</f>
        <v>0</v>
      </c>
      <c r="AN196" s="9"/>
    </row>
    <row r="197" spans="1:40" s="372" customFormat="1" ht="24.95" customHeight="1">
      <c r="A197" s="734"/>
      <c r="B197" s="644"/>
      <c r="I197" s="451"/>
      <c r="L197" s="451"/>
      <c r="N197" s="9"/>
      <c r="P197" s="9"/>
      <c r="Q197" s="9"/>
      <c r="R197" s="9"/>
      <c r="S197" s="688">
        <f>+IF(AGOSTO!S197=0,"",AGOSTO!S197)</f>
        <v>4100100</v>
      </c>
      <c r="T197" s="664" t="str">
        <f>+IF(AGOSTO!T197=0,"",AGOSTO!T197)</f>
        <v>Compra de Bienes para la Prestacion de servicios</v>
      </c>
      <c r="U197" s="27">
        <f t="shared" ref="U197:AJ197" si="172">SUM(U198:U204)</f>
        <v>8084311192</v>
      </c>
      <c r="V197" s="15">
        <f t="shared" si="172"/>
        <v>4010190078</v>
      </c>
      <c r="W197" s="15">
        <f t="shared" si="172"/>
        <v>4321407445</v>
      </c>
      <c r="X197" s="18">
        <f t="shared" si="172"/>
        <v>16415908715</v>
      </c>
      <c r="Y197" s="19">
        <f t="shared" si="172"/>
        <v>14416951438</v>
      </c>
      <c r="Z197" s="142">
        <f t="shared" si="172"/>
        <v>1409587261</v>
      </c>
      <c r="AA197" s="18">
        <f t="shared" si="172"/>
        <v>15826538699</v>
      </c>
      <c r="AB197" s="19">
        <f t="shared" si="172"/>
        <v>12357991836</v>
      </c>
      <c r="AC197" s="142">
        <f t="shared" si="172"/>
        <v>1510036558</v>
      </c>
      <c r="AD197" s="18">
        <f t="shared" si="172"/>
        <v>13868028394</v>
      </c>
      <c r="AE197" s="19">
        <f t="shared" si="172"/>
        <v>6052197431</v>
      </c>
      <c r="AF197" s="142">
        <f t="shared" si="172"/>
        <v>646813983</v>
      </c>
      <c r="AG197" s="18">
        <f t="shared" si="172"/>
        <v>6699011414</v>
      </c>
      <c r="AH197" s="19">
        <f t="shared" si="172"/>
        <v>589370016</v>
      </c>
      <c r="AI197" s="15">
        <f t="shared" si="172"/>
        <v>2547880321</v>
      </c>
      <c r="AJ197" s="16">
        <f t="shared" si="172"/>
        <v>9716897301</v>
      </c>
      <c r="AK197" s="9"/>
      <c r="AL197" s="29">
        <f>SUM(AL198:AL204)</f>
        <v>-10000000</v>
      </c>
      <c r="AM197" s="26">
        <f>SUM(AM198:AM204)</f>
        <v>0</v>
      </c>
      <c r="AN197" s="9"/>
    </row>
    <row r="198" spans="1:40" s="372" customFormat="1" ht="24.95" customHeight="1">
      <c r="A198" s="734"/>
      <c r="B198" s="644"/>
      <c r="I198" s="451"/>
      <c r="L198" s="451"/>
      <c r="N198" s="9"/>
      <c r="P198" s="9"/>
      <c r="Q198" s="9"/>
      <c r="R198" s="9"/>
      <c r="S198" s="689" t="str">
        <f>+IF(AGOSTO!S198=0,"",AGOSTO!S198)</f>
        <v>4100100-1</v>
      </c>
      <c r="T198" s="665" t="str">
        <f>+IF(AGOSTO!T198=0,"",AGOSTO!T198)</f>
        <v>Productos Farmaceuticos</v>
      </c>
      <c r="U198" s="27">
        <f>+ENERO!U198</f>
        <v>4000000000</v>
      </c>
      <c r="V198" s="15">
        <f>AGOSTO!V198+SEPTIEMBRE!AL198</f>
        <v>1705190078</v>
      </c>
      <c r="W198" s="15">
        <f>AGOSTO!W198+SEPTIEMBRE!AM198</f>
        <v>1643274278</v>
      </c>
      <c r="X198" s="18">
        <f t="shared" ref="X198:X204" si="173">SUM(U198:W198)</f>
        <v>7348464356</v>
      </c>
      <c r="Y198" s="19">
        <f>AGOSTO!AA198</f>
        <v>6595283675</v>
      </c>
      <c r="Z198" s="364">
        <v>564590952</v>
      </c>
      <c r="AA198" s="18">
        <f t="shared" ref="AA198:AA204" si="174">SUM(Y198:Z198)</f>
        <v>7159874627</v>
      </c>
      <c r="AB198" s="19">
        <f>AGOSTO!AD198</f>
        <v>5762810067</v>
      </c>
      <c r="AC198" s="364">
        <v>661162150</v>
      </c>
      <c r="AD198" s="18">
        <f t="shared" ref="AD198:AD204" si="175">SUM(AB198:AC198)</f>
        <v>6423972217</v>
      </c>
      <c r="AE198" s="19">
        <f>AGOSTO!AG198</f>
        <v>2392405665</v>
      </c>
      <c r="AF198" s="364">
        <v>308067202</v>
      </c>
      <c r="AG198" s="18">
        <f t="shared" ref="AG198:AG204" si="176">SUM(AE198:AF198)</f>
        <v>2700472867</v>
      </c>
      <c r="AH198" s="19">
        <f t="shared" ref="AH198:AH204" si="177">X198-AA198</f>
        <v>188589729</v>
      </c>
      <c r="AI198" s="15">
        <f t="shared" ref="AI198:AI204" si="178">X198-AD198</f>
        <v>924492139</v>
      </c>
      <c r="AJ198" s="16">
        <f t="shared" ref="AJ198:AJ204" si="179">X198-AG198</f>
        <v>4647991489</v>
      </c>
      <c r="AK198" s="9"/>
      <c r="AL198" s="362">
        <v>-10000000</v>
      </c>
      <c r="AM198" s="365">
        <v>0</v>
      </c>
      <c r="AN198" s="9"/>
    </row>
    <row r="199" spans="1:40" s="372" customFormat="1" ht="24.95" customHeight="1">
      <c r="A199" s="734"/>
      <c r="B199" s="644"/>
      <c r="I199" s="451"/>
      <c r="L199" s="451"/>
      <c r="N199" s="9"/>
      <c r="P199" s="9"/>
      <c r="Q199" s="9"/>
      <c r="R199" s="9"/>
      <c r="S199" s="689" t="str">
        <f>+IF(AGOSTO!S199=0,"",AGOSTO!S199)</f>
        <v>4100100-2</v>
      </c>
      <c r="T199" s="665" t="str">
        <f>+IF(AGOSTO!T199=0,"",AGOSTO!T199)</f>
        <v>Material Médico Quirúrgico</v>
      </c>
      <c r="U199" s="27">
        <f>+ENERO!U199</f>
        <v>3244311192</v>
      </c>
      <c r="V199" s="15">
        <f>AGOSTO!V199+SEPTIEMBRE!AL199</f>
        <v>2305000000</v>
      </c>
      <c r="W199" s="15">
        <f>AGOSTO!W199+SEPTIEMBRE!AM199</f>
        <v>2678133167</v>
      </c>
      <c r="X199" s="18">
        <f t="shared" si="173"/>
        <v>8227444359</v>
      </c>
      <c r="Y199" s="19">
        <f>AGOSTO!AA199</f>
        <v>7294224237</v>
      </c>
      <c r="Z199" s="364">
        <v>763759934</v>
      </c>
      <c r="AA199" s="18">
        <f t="shared" si="174"/>
        <v>8057984171</v>
      </c>
      <c r="AB199" s="19">
        <f>AGOSTO!AD199</f>
        <v>6068532639</v>
      </c>
      <c r="AC199" s="364">
        <v>767737699</v>
      </c>
      <c r="AD199" s="18">
        <f t="shared" si="175"/>
        <v>6836270338</v>
      </c>
      <c r="AE199" s="19">
        <f>AGOSTO!AG199</f>
        <v>3346412667</v>
      </c>
      <c r="AF199" s="364">
        <v>312752541</v>
      </c>
      <c r="AG199" s="18">
        <f t="shared" si="176"/>
        <v>3659165208</v>
      </c>
      <c r="AH199" s="19">
        <f t="shared" si="177"/>
        <v>169460188</v>
      </c>
      <c r="AI199" s="15">
        <f t="shared" si="178"/>
        <v>1391174021</v>
      </c>
      <c r="AJ199" s="16">
        <f t="shared" si="179"/>
        <v>4568279151</v>
      </c>
      <c r="AK199" s="9"/>
      <c r="AL199" s="362">
        <v>0</v>
      </c>
      <c r="AM199" s="365">
        <v>0</v>
      </c>
      <c r="AN199" s="9"/>
    </row>
    <row r="200" spans="1:40" s="372" customFormat="1" ht="24.95" customHeight="1">
      <c r="A200" s="734"/>
      <c r="B200" s="644"/>
      <c r="I200" s="451"/>
      <c r="L200" s="451"/>
      <c r="N200" s="9"/>
      <c r="P200" s="9"/>
      <c r="Q200" s="9"/>
      <c r="R200" s="9"/>
      <c r="S200" s="689" t="str">
        <f>+IF(AGOSTO!S200=0,"",AGOSTO!S200)</f>
        <v>4100100-3</v>
      </c>
      <c r="T200" s="665" t="str">
        <f>+IF(AGOSTO!T200=0,"",AGOSTO!T200)</f>
        <v>Material de Laboratorio</v>
      </c>
      <c r="U200" s="27">
        <f>+ENERO!U200</f>
        <v>840000000</v>
      </c>
      <c r="V200" s="15">
        <f>AGOSTO!V200+SEPTIEMBRE!AL200</f>
        <v>0</v>
      </c>
      <c r="W200" s="15">
        <f>AGOSTO!W200+SEPTIEMBRE!AM200</f>
        <v>0</v>
      </c>
      <c r="X200" s="18">
        <f t="shared" si="173"/>
        <v>840000000</v>
      </c>
      <c r="Y200" s="19">
        <f>AGOSTO!AA200</f>
        <v>527443526</v>
      </c>
      <c r="Z200" s="364">
        <v>81236375</v>
      </c>
      <c r="AA200" s="18">
        <f t="shared" si="174"/>
        <v>608679901</v>
      </c>
      <c r="AB200" s="19">
        <f>AGOSTO!AD200</f>
        <v>526649130</v>
      </c>
      <c r="AC200" s="364">
        <v>81136709</v>
      </c>
      <c r="AD200" s="18">
        <f t="shared" si="175"/>
        <v>607785839</v>
      </c>
      <c r="AE200" s="19">
        <f>AGOSTO!AG200</f>
        <v>313379099</v>
      </c>
      <c r="AF200" s="364">
        <v>25994240</v>
      </c>
      <c r="AG200" s="18">
        <f t="shared" si="176"/>
        <v>339373339</v>
      </c>
      <c r="AH200" s="19">
        <f t="shared" si="177"/>
        <v>231320099</v>
      </c>
      <c r="AI200" s="15">
        <f t="shared" si="178"/>
        <v>232214161</v>
      </c>
      <c r="AJ200" s="16">
        <f t="shared" si="179"/>
        <v>500626661</v>
      </c>
      <c r="AK200" s="9"/>
      <c r="AL200" s="362">
        <v>0</v>
      </c>
      <c r="AM200" s="365">
        <v>0</v>
      </c>
      <c r="AN200" s="9"/>
    </row>
    <row r="201" spans="1:40" s="372" customFormat="1" ht="24.95" customHeight="1">
      <c r="A201" s="734"/>
      <c r="B201" s="644"/>
      <c r="I201" s="451"/>
      <c r="L201" s="451"/>
      <c r="N201" s="9"/>
      <c r="P201" s="9"/>
      <c r="Q201" s="9"/>
      <c r="R201" s="9"/>
      <c r="S201" s="689" t="str">
        <f>+IF(AGOSTO!S201=0,"",AGOSTO!S201)</f>
        <v>4100100-4</v>
      </c>
      <c r="T201" s="665" t="str">
        <f>+IF(AGOSTO!T201=0,"",AGOSTO!T201)</f>
        <v>Material para Odontologia</v>
      </c>
      <c r="U201" s="27">
        <f>+ENERO!U201</f>
        <v>0</v>
      </c>
      <c r="V201" s="15">
        <f>AGOSTO!V201+SEPTIEMBRE!AL201</f>
        <v>0</v>
      </c>
      <c r="W201" s="15">
        <f>AGOSTO!W201+SEPTIEMBRE!AM201</f>
        <v>0</v>
      </c>
      <c r="X201" s="18">
        <f t="shared" si="173"/>
        <v>0</v>
      </c>
      <c r="Y201" s="19">
        <f>AGOSTO!AA201</f>
        <v>0</v>
      </c>
      <c r="Z201" s="364">
        <v>0</v>
      </c>
      <c r="AA201" s="18">
        <f t="shared" si="174"/>
        <v>0</v>
      </c>
      <c r="AB201" s="19">
        <f>AGOSTO!AD201</f>
        <v>0</v>
      </c>
      <c r="AC201" s="364">
        <v>0</v>
      </c>
      <c r="AD201" s="18">
        <f t="shared" si="175"/>
        <v>0</v>
      </c>
      <c r="AE201" s="19">
        <f>AGOSTO!AG201</f>
        <v>0</v>
      </c>
      <c r="AF201" s="364">
        <v>0</v>
      </c>
      <c r="AG201" s="18">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I202" s="451"/>
      <c r="L202" s="451"/>
      <c r="N202" s="9"/>
      <c r="P202" s="9"/>
      <c r="Q202" s="9"/>
      <c r="R202" s="9"/>
      <c r="S202" s="689" t="str">
        <f>+IF(AGOSTO!S202=0,"",AGOSTO!S202)</f>
        <v>4100100-5</v>
      </c>
      <c r="T202" s="665" t="str">
        <f>+IF(AGOSTO!T202=0,"",AGOSTO!T202)</f>
        <v>Material para Rayos X</v>
      </c>
      <c r="U202" s="27">
        <f>+ENERO!U202</f>
        <v>0</v>
      </c>
      <c r="V202" s="15">
        <f>AGOSTO!V202+SEPTIEMBRE!AL202</f>
        <v>0</v>
      </c>
      <c r="W202" s="15">
        <f>AGOSTO!W202+SEPTIEMBRE!AM202</f>
        <v>0</v>
      </c>
      <c r="X202" s="18">
        <f t="shared" si="173"/>
        <v>0</v>
      </c>
      <c r="Y202" s="19">
        <f>AGOSTO!AA202</f>
        <v>0</v>
      </c>
      <c r="Z202" s="364">
        <v>0</v>
      </c>
      <c r="AA202" s="18">
        <f t="shared" si="174"/>
        <v>0</v>
      </c>
      <c r="AB202" s="19">
        <f>AGOSTO!AD202</f>
        <v>0</v>
      </c>
      <c r="AC202" s="364">
        <v>0</v>
      </c>
      <c r="AD202" s="18">
        <f t="shared" si="175"/>
        <v>0</v>
      </c>
      <c r="AE202" s="19">
        <f>AGOSTO!AG202</f>
        <v>0</v>
      </c>
      <c r="AF202" s="364">
        <v>0</v>
      </c>
      <c r="AG202" s="18">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I203" s="451"/>
      <c r="L203" s="451"/>
      <c r="N203" s="9"/>
      <c r="P203" s="9"/>
      <c r="Q203" s="9"/>
      <c r="R203" s="9"/>
      <c r="S203" s="689" t="str">
        <f>+IF(AGOSTO!S203=0,"",AGOSTO!S203)</f>
        <v>4100100-6</v>
      </c>
      <c r="T203" s="665" t="str">
        <f>+IF(AGOSTO!T203=0,"",AGOSTO!T203)</f>
        <v/>
      </c>
      <c r="U203" s="27">
        <f>+ENERO!U203</f>
        <v>0</v>
      </c>
      <c r="V203" s="15">
        <f>AGOSTO!V203+SEPTIEMBRE!AL203</f>
        <v>0</v>
      </c>
      <c r="W203" s="15">
        <f>AGOSTO!W203+SEPTIEMBRE!AM203</f>
        <v>0</v>
      </c>
      <c r="X203" s="18">
        <f t="shared" si="173"/>
        <v>0</v>
      </c>
      <c r="Y203" s="19">
        <f>AGOSTO!AA203</f>
        <v>0</v>
      </c>
      <c r="Z203" s="364">
        <v>0</v>
      </c>
      <c r="AA203" s="18">
        <f t="shared" si="174"/>
        <v>0</v>
      </c>
      <c r="AB203" s="19">
        <f>AGOSTO!AD203</f>
        <v>0</v>
      </c>
      <c r="AC203" s="364">
        <v>0</v>
      </c>
      <c r="AD203" s="18">
        <f t="shared" si="175"/>
        <v>0</v>
      </c>
      <c r="AE203" s="19">
        <f>AGOSTO!AG203</f>
        <v>0</v>
      </c>
      <c r="AF203" s="364">
        <v>0</v>
      </c>
      <c r="AG203" s="18">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I204" s="451"/>
      <c r="L204" s="451"/>
      <c r="N204" s="9"/>
      <c r="P204" s="9"/>
      <c r="Q204" s="9"/>
      <c r="R204" s="9"/>
      <c r="S204" s="689" t="str">
        <f>+IF(AGOSTO!S204=0,"",AGOSTO!S204)</f>
        <v>4100100-7</v>
      </c>
      <c r="T204" s="665" t="str">
        <f>+IF(AGOSTO!T204=0,"",AGOSTO!T204)</f>
        <v/>
      </c>
      <c r="U204" s="27">
        <f>+ENERO!U204</f>
        <v>0</v>
      </c>
      <c r="V204" s="15">
        <f>AGOSTO!V204+SEPTIEMBRE!AL204</f>
        <v>0</v>
      </c>
      <c r="W204" s="15">
        <f>AGOSTO!W204+SEPTIEMBRE!AM204</f>
        <v>0</v>
      </c>
      <c r="X204" s="18">
        <f t="shared" si="173"/>
        <v>0</v>
      </c>
      <c r="Y204" s="19">
        <f>AGOSTO!AA204</f>
        <v>0</v>
      </c>
      <c r="Z204" s="364">
        <v>0</v>
      </c>
      <c r="AA204" s="18">
        <f t="shared" si="174"/>
        <v>0</v>
      </c>
      <c r="AB204" s="19">
        <f>AGOSTO!AD204</f>
        <v>0</v>
      </c>
      <c r="AC204" s="364">
        <v>0</v>
      </c>
      <c r="AD204" s="18">
        <f t="shared" si="175"/>
        <v>0</v>
      </c>
      <c r="AE204" s="19">
        <f>AGOSTO!AG204</f>
        <v>0</v>
      </c>
      <c r="AF204" s="364">
        <v>0</v>
      </c>
      <c r="AG204" s="18">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I205" s="451"/>
      <c r="L205" s="451"/>
      <c r="N205" s="9"/>
      <c r="P205" s="9"/>
      <c r="Q205" s="9"/>
      <c r="R205" s="9"/>
      <c r="S205" s="688">
        <f>+IF(AGOSTO!S205=0,"",AGOSTO!S205)</f>
        <v>4100200</v>
      </c>
      <c r="T205" s="664" t="str">
        <f>+IF(AGOSTO!T205=0,"",AGOSTO!T205)</f>
        <v>Gastos Complementarios e Intermedios</v>
      </c>
      <c r="U205" s="27">
        <f t="shared" ref="U205:AJ205" si="180">U206</f>
        <v>1200000000</v>
      </c>
      <c r="V205" s="15">
        <f t="shared" si="180"/>
        <v>0</v>
      </c>
      <c r="W205" s="15">
        <f t="shared" si="180"/>
        <v>0</v>
      </c>
      <c r="X205" s="18">
        <f t="shared" si="180"/>
        <v>1200000000</v>
      </c>
      <c r="Y205" s="19">
        <f t="shared" si="180"/>
        <v>1152620440</v>
      </c>
      <c r="Z205" s="142">
        <f t="shared" si="180"/>
        <v>519800</v>
      </c>
      <c r="AA205" s="18">
        <f t="shared" si="180"/>
        <v>1153140240</v>
      </c>
      <c r="AB205" s="19">
        <f t="shared" si="180"/>
        <v>755199568</v>
      </c>
      <c r="AC205" s="142">
        <f t="shared" si="180"/>
        <v>78028194</v>
      </c>
      <c r="AD205" s="18">
        <f t="shared" si="180"/>
        <v>833227762</v>
      </c>
      <c r="AE205" s="19">
        <f t="shared" si="180"/>
        <v>563314766</v>
      </c>
      <c r="AF205" s="142">
        <f t="shared" si="180"/>
        <v>95961012</v>
      </c>
      <c r="AG205" s="18">
        <f t="shared" si="180"/>
        <v>659275778</v>
      </c>
      <c r="AH205" s="19">
        <f t="shared" si="180"/>
        <v>46859760</v>
      </c>
      <c r="AI205" s="15">
        <f t="shared" si="180"/>
        <v>366772238</v>
      </c>
      <c r="AJ205" s="16">
        <f t="shared" si="180"/>
        <v>540724222</v>
      </c>
      <c r="AK205" s="9"/>
      <c r="AL205" s="29">
        <f>AL206</f>
        <v>0</v>
      </c>
      <c r="AM205" s="26">
        <f>AM206</f>
        <v>0</v>
      </c>
      <c r="AN205" s="9"/>
    </row>
    <row r="206" spans="1:40" s="372" customFormat="1" ht="24.95" customHeight="1">
      <c r="A206" s="734"/>
      <c r="B206" s="644"/>
      <c r="I206" s="451"/>
      <c r="L206" s="451"/>
      <c r="N206" s="9"/>
      <c r="P206" s="9"/>
      <c r="Q206" s="9"/>
      <c r="R206" s="9"/>
      <c r="S206" s="689" t="str">
        <f>+IF(AGOSTO!S206=0,"",AGOSTO!S206)</f>
        <v>4100200-1</v>
      </c>
      <c r="T206" s="665" t="str">
        <f>+IF(AGOSTO!T206=0,"",AGOSTO!T206)</f>
        <v>Alimentación</v>
      </c>
      <c r="U206" s="27">
        <f>+ENERO!U206</f>
        <v>1200000000</v>
      </c>
      <c r="V206" s="15">
        <f>AGOSTO!V206+SEPTIEMBRE!AL206</f>
        <v>0</v>
      </c>
      <c r="W206" s="15">
        <f>AGOSTO!W206+SEPTIEMBRE!AM206</f>
        <v>0</v>
      </c>
      <c r="X206" s="18">
        <f>SUM(U206:W206)</f>
        <v>1200000000</v>
      </c>
      <c r="Y206" s="19">
        <f>AGOSTO!AA206</f>
        <v>1152620440</v>
      </c>
      <c r="Z206" s="364">
        <v>519800</v>
      </c>
      <c r="AA206" s="18">
        <f>SUM(Y206:Z206)</f>
        <v>1153140240</v>
      </c>
      <c r="AB206" s="19">
        <f>AGOSTO!AD206</f>
        <v>755199568</v>
      </c>
      <c r="AC206" s="364">
        <v>78028194</v>
      </c>
      <c r="AD206" s="18">
        <f>SUM(AB206:AC206)</f>
        <v>833227762</v>
      </c>
      <c r="AE206" s="19">
        <f>AGOSTO!AG206</f>
        <v>563314766</v>
      </c>
      <c r="AF206" s="364">
        <v>95961012</v>
      </c>
      <c r="AG206" s="18">
        <f>SUM(AE206:AF206)</f>
        <v>659275778</v>
      </c>
      <c r="AH206" s="19">
        <f>X206-AA206</f>
        <v>46859760</v>
      </c>
      <c r="AI206" s="15">
        <f>X206-AD206</f>
        <v>366772238</v>
      </c>
      <c r="AJ206" s="16">
        <f>X206-AG206</f>
        <v>540724222</v>
      </c>
      <c r="AK206" s="9"/>
      <c r="AL206" s="362">
        <v>0</v>
      </c>
      <c r="AM206" s="365">
        <v>0</v>
      </c>
      <c r="AN206" s="9"/>
    </row>
    <row r="207" spans="1:40" s="372" customFormat="1" ht="24.95" customHeight="1" thickBot="1">
      <c r="A207" s="734"/>
      <c r="B207" s="644"/>
      <c r="I207" s="451"/>
      <c r="L207" s="451"/>
      <c r="N207" s="9"/>
      <c r="P207" s="9"/>
      <c r="Q207" s="9"/>
      <c r="R207" s="9"/>
      <c r="S207" s="691">
        <f>+IF(AGOSTO!S207=0,"",AGOSTO!S207)</f>
        <v>4199999</v>
      </c>
      <c r="T207" s="670" t="str">
        <f>+IF(AGOSTO!T207=0,"",AGOSTO!T207)</f>
        <v>Vigencias Anteriores</v>
      </c>
      <c r="U207" s="133">
        <f>+ENERO!U207</f>
        <v>998630863</v>
      </c>
      <c r="V207" s="121">
        <f>AGOSTO!V207+SEPTIEMBRE!AL207</f>
        <v>1375127711</v>
      </c>
      <c r="W207" s="121">
        <f>AGOSTO!W207+SEPTIEMBRE!AM207</f>
        <v>4437873994</v>
      </c>
      <c r="X207" s="126">
        <f>SUM(U207:W207)</f>
        <v>6811632568</v>
      </c>
      <c r="Y207" s="124">
        <f>AGOSTO!AA207</f>
        <v>6659408818</v>
      </c>
      <c r="Z207" s="378">
        <v>148338687</v>
      </c>
      <c r="AA207" s="126">
        <f>SUM(Y207:Z207)</f>
        <v>6807747505</v>
      </c>
      <c r="AB207" s="124">
        <f>AGOSTO!AD207</f>
        <v>6659408818</v>
      </c>
      <c r="AC207" s="378">
        <v>148338687</v>
      </c>
      <c r="AD207" s="126">
        <f>SUM(AB207:AC207)</f>
        <v>6807747505</v>
      </c>
      <c r="AE207" s="124">
        <f>AGOSTO!AG207</f>
        <v>6659408818</v>
      </c>
      <c r="AF207" s="378">
        <v>148338687</v>
      </c>
      <c r="AG207" s="126">
        <f>SUM(AE207:AF207)</f>
        <v>6807747505</v>
      </c>
      <c r="AH207" s="124">
        <f>X207-AA207</f>
        <v>3885063</v>
      </c>
      <c r="AI207" s="121">
        <f>X207-AD207</f>
        <v>3885063</v>
      </c>
      <c r="AJ207" s="125">
        <f>X207-AG207</f>
        <v>3885063</v>
      </c>
      <c r="AK207" s="9"/>
      <c r="AL207" s="374">
        <v>10000000</v>
      </c>
      <c r="AM207" s="379">
        <v>0</v>
      </c>
      <c r="AN207" s="9"/>
    </row>
    <row r="208" spans="1:40" s="372" customFormat="1" ht="24.95" customHeight="1">
      <c r="A208" s="734"/>
      <c r="B208" s="644"/>
      <c r="I208" s="451"/>
      <c r="L208" s="451"/>
      <c r="N208" s="9"/>
      <c r="P208" s="9"/>
      <c r="Q208" s="9"/>
      <c r="R208" s="9"/>
      <c r="S208" s="479" t="str">
        <f>+IF(AGOSTO!S208=0,"",AGOSTO!S208)</f>
        <v/>
      </c>
      <c r="T208" s="671" t="str">
        <f>+IF(AGOSTO!T208=0,"",AGOSTO!T208)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I209" s="451"/>
      <c r="L209" s="451"/>
      <c r="N209" s="9"/>
      <c r="P209" s="9"/>
      <c r="Q209" s="9"/>
      <c r="R209" s="9"/>
      <c r="S209" s="686">
        <f>+IF(AGOSTO!S209=0,"",AGOSTO!S209)</f>
        <v>5000000</v>
      </c>
      <c r="T209" s="668" t="s">
        <v>435</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462">
        <f t="shared" si="181"/>
        <v>0</v>
      </c>
      <c r="AE209" s="369">
        <f t="shared" si="181"/>
        <v>0</v>
      </c>
      <c r="AF209" s="461">
        <f t="shared" si="181"/>
        <v>0</v>
      </c>
      <c r="AG209" s="462">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I210" s="451"/>
      <c r="L210" s="451"/>
      <c r="N210" s="9"/>
      <c r="P210" s="9"/>
      <c r="Q210" s="9"/>
      <c r="R210" s="9"/>
      <c r="S210" s="687">
        <f>+IF(AGOSTO!S210=0,"",AGOSTO!S210)</f>
        <v>5100000</v>
      </c>
      <c r="T210" s="663" t="str">
        <f>+IF(AGOSTO!T210=0,"",AGOSTO!T210)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29">
        <f t="shared" si="182"/>
        <v>0</v>
      </c>
      <c r="AE210" s="128">
        <f t="shared" si="182"/>
        <v>0</v>
      </c>
      <c r="AF210" s="122">
        <f t="shared" si="182"/>
        <v>0</v>
      </c>
      <c r="AG210" s="129">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I211" s="451"/>
      <c r="L211" s="451"/>
      <c r="N211" s="9"/>
      <c r="P211" s="9"/>
      <c r="Q211" s="9"/>
      <c r="R211" s="9"/>
      <c r="S211" s="688">
        <f>+IF(AGOSTO!S211=0,"",AGOSTO!S211)</f>
        <v>5100100</v>
      </c>
      <c r="T211" s="664" t="str">
        <f>+IF(AGOSTO!T211=0,"",AGOSTO!T211)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8">
        <f t="shared" si="183"/>
        <v>0</v>
      </c>
      <c r="AE211" s="19">
        <f t="shared" si="183"/>
        <v>0</v>
      </c>
      <c r="AF211" s="142">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I212" s="451"/>
      <c r="L212" s="451"/>
      <c r="N212" s="9"/>
      <c r="P212" s="9"/>
      <c r="Q212" s="9"/>
      <c r="R212" s="9"/>
      <c r="S212" s="689" t="str">
        <f>+IF(AGOSTO!S212=0,"",AGOSTO!S212)</f>
        <v>5100100-1</v>
      </c>
      <c r="T212" s="665" t="str">
        <f>+IF(AGOSTO!T212=0,"",AGOSTO!T212)</f>
        <v>Productos Farmaceuticos</v>
      </c>
      <c r="U212" s="27">
        <f>+ENERO!U212</f>
        <v>0</v>
      </c>
      <c r="V212" s="15">
        <f>AGOSTO!V212+SEPTIEMBRE!AL212</f>
        <v>0</v>
      </c>
      <c r="W212" s="15">
        <f>AGOSTO!W212+SEPTIEMBRE!AM212</f>
        <v>0</v>
      </c>
      <c r="X212" s="18">
        <f t="shared" ref="X212:X218" si="184">SUM(U212:W212)</f>
        <v>0</v>
      </c>
      <c r="Y212" s="19">
        <f>AGOSTO!AA212</f>
        <v>0</v>
      </c>
      <c r="Z212" s="364">
        <v>0</v>
      </c>
      <c r="AA212" s="18">
        <f t="shared" ref="AA212:AA218" si="185">SUM(Y212:Z212)</f>
        <v>0</v>
      </c>
      <c r="AB212" s="19">
        <f>AGOSTO!AD212</f>
        <v>0</v>
      </c>
      <c r="AC212" s="364">
        <v>0</v>
      </c>
      <c r="AD212" s="18">
        <f t="shared" ref="AD212:AD218" si="186">SUM(AB212:AC212)</f>
        <v>0</v>
      </c>
      <c r="AE212" s="19">
        <f>AGOSTO!AG212</f>
        <v>0</v>
      </c>
      <c r="AF212" s="364">
        <v>0</v>
      </c>
      <c r="AG212" s="1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I213" s="451"/>
      <c r="L213" s="451"/>
      <c r="N213" s="9"/>
      <c r="P213" s="9"/>
      <c r="Q213" s="9"/>
      <c r="R213" s="9"/>
      <c r="S213" s="689" t="str">
        <f>+IF(AGOSTO!S213=0,"",AGOSTO!S213)</f>
        <v>5100100-2</v>
      </c>
      <c r="T213" s="665" t="str">
        <f>+IF(AGOSTO!T213=0,"",AGOSTO!T213)</f>
        <v>Material Médico Quirúrgico</v>
      </c>
      <c r="U213" s="27">
        <f>+ENERO!U213</f>
        <v>0</v>
      </c>
      <c r="V213" s="15">
        <f>AGOSTO!V213+SEPTIEMBRE!AL213</f>
        <v>0</v>
      </c>
      <c r="W213" s="15">
        <f>AGOSTO!W213+SEPTIEMBRE!AM213</f>
        <v>0</v>
      </c>
      <c r="X213" s="18">
        <f t="shared" si="184"/>
        <v>0</v>
      </c>
      <c r="Y213" s="19">
        <f>AGOSTO!AA213</f>
        <v>0</v>
      </c>
      <c r="Z213" s="364">
        <v>0</v>
      </c>
      <c r="AA213" s="18">
        <f t="shared" si="185"/>
        <v>0</v>
      </c>
      <c r="AB213" s="19">
        <f>AGOSTO!AD213</f>
        <v>0</v>
      </c>
      <c r="AC213" s="364">
        <v>0</v>
      </c>
      <c r="AD213" s="18">
        <f t="shared" si="186"/>
        <v>0</v>
      </c>
      <c r="AE213" s="19">
        <f>AGOSTO!AG213</f>
        <v>0</v>
      </c>
      <c r="AF213" s="364">
        <v>0</v>
      </c>
      <c r="AG213" s="18">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I214" s="451"/>
      <c r="L214" s="451"/>
      <c r="N214" s="9"/>
      <c r="P214" s="9"/>
      <c r="Q214" s="9"/>
      <c r="R214" s="9"/>
      <c r="S214" s="689" t="str">
        <f>+IF(AGOSTO!S214=0,"",AGOSTO!S214)</f>
        <v>5100100-3</v>
      </c>
      <c r="T214" s="665" t="str">
        <f>+IF(AGOSTO!T214=0,"",AGOSTO!T214)</f>
        <v>Material de Laboratorio</v>
      </c>
      <c r="U214" s="27">
        <f>+ENERO!U214</f>
        <v>0</v>
      </c>
      <c r="V214" s="15">
        <f>AGOSTO!V214+SEPTIEMBRE!AL214</f>
        <v>0</v>
      </c>
      <c r="W214" s="15">
        <f>AGOSTO!W214+SEPTIEMBRE!AM214</f>
        <v>0</v>
      </c>
      <c r="X214" s="18">
        <f t="shared" si="184"/>
        <v>0</v>
      </c>
      <c r="Y214" s="19">
        <f>AGOSTO!AA214</f>
        <v>0</v>
      </c>
      <c r="Z214" s="364">
        <v>0</v>
      </c>
      <c r="AA214" s="18">
        <f t="shared" si="185"/>
        <v>0</v>
      </c>
      <c r="AB214" s="19">
        <f>AGOSTO!AD214</f>
        <v>0</v>
      </c>
      <c r="AC214" s="364">
        <v>0</v>
      </c>
      <c r="AD214" s="18">
        <f t="shared" si="186"/>
        <v>0</v>
      </c>
      <c r="AE214" s="19">
        <f>AGOSTO!AG214</f>
        <v>0</v>
      </c>
      <c r="AF214" s="364">
        <v>0</v>
      </c>
      <c r="AG214" s="18">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I215" s="451"/>
      <c r="L215" s="451"/>
      <c r="N215" s="9"/>
      <c r="P215" s="9"/>
      <c r="Q215" s="9"/>
      <c r="R215" s="9"/>
      <c r="S215" s="689" t="str">
        <f>+IF(AGOSTO!S215=0,"",AGOSTO!S215)</f>
        <v>5100100-4</v>
      </c>
      <c r="T215" s="665" t="str">
        <f>+IF(AGOSTO!T215=0,"",AGOSTO!T215)</f>
        <v>Material para Odontologia</v>
      </c>
      <c r="U215" s="27">
        <f>+ENERO!U215</f>
        <v>0</v>
      </c>
      <c r="V215" s="15">
        <f>AGOSTO!V215+SEPTIEMBRE!AL215</f>
        <v>0</v>
      </c>
      <c r="W215" s="15">
        <f>AGOSTO!W215+SEPTIEMBRE!AM215</f>
        <v>0</v>
      </c>
      <c r="X215" s="18">
        <f t="shared" si="184"/>
        <v>0</v>
      </c>
      <c r="Y215" s="19">
        <f>AGOSTO!AA215</f>
        <v>0</v>
      </c>
      <c r="Z215" s="364">
        <v>0</v>
      </c>
      <c r="AA215" s="18">
        <f t="shared" si="185"/>
        <v>0</v>
      </c>
      <c r="AB215" s="19">
        <f>AGOSTO!AD215</f>
        <v>0</v>
      </c>
      <c r="AC215" s="364">
        <v>0</v>
      </c>
      <c r="AD215" s="18">
        <f t="shared" si="186"/>
        <v>0</v>
      </c>
      <c r="AE215" s="19">
        <f>AGOSTO!AG215</f>
        <v>0</v>
      </c>
      <c r="AF215" s="364">
        <v>0</v>
      </c>
      <c r="AG215" s="18">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I216" s="451"/>
      <c r="L216" s="451"/>
      <c r="N216" s="9"/>
      <c r="P216" s="9"/>
      <c r="Q216" s="9"/>
      <c r="R216" s="9"/>
      <c r="S216" s="689" t="str">
        <f>+IF(AGOSTO!S216=0,"",AGOSTO!S216)</f>
        <v>5100100-5</v>
      </c>
      <c r="T216" s="665" t="str">
        <f>+IF(AGOSTO!T216=0,"",AGOSTO!T216)</f>
        <v>Material para Rayos X</v>
      </c>
      <c r="U216" s="27">
        <f>+ENERO!U216</f>
        <v>0</v>
      </c>
      <c r="V216" s="15">
        <f>AGOSTO!V216+SEPTIEMBRE!AL216</f>
        <v>0</v>
      </c>
      <c r="W216" s="15">
        <f>AGOSTO!W216+SEPTIEMBRE!AM216</f>
        <v>0</v>
      </c>
      <c r="X216" s="18">
        <f t="shared" si="184"/>
        <v>0</v>
      </c>
      <c r="Y216" s="19">
        <f>AGOSTO!AA216</f>
        <v>0</v>
      </c>
      <c r="Z216" s="364">
        <v>0</v>
      </c>
      <c r="AA216" s="18">
        <f t="shared" si="185"/>
        <v>0</v>
      </c>
      <c r="AB216" s="19">
        <f>AGOSTO!AD216</f>
        <v>0</v>
      </c>
      <c r="AC216" s="364">
        <v>0</v>
      </c>
      <c r="AD216" s="18">
        <f t="shared" si="186"/>
        <v>0</v>
      </c>
      <c r="AE216" s="19">
        <f>AGOSTO!AG216</f>
        <v>0</v>
      </c>
      <c r="AF216" s="364">
        <v>0</v>
      </c>
      <c r="AG216" s="18">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I217" s="451"/>
      <c r="L217" s="451"/>
      <c r="N217" s="9"/>
      <c r="P217" s="9"/>
      <c r="Q217" s="9"/>
      <c r="R217" s="9"/>
      <c r="S217" s="689" t="str">
        <f>+IF(AGOSTO!S217=0,"",AGOSTO!S217)</f>
        <v>5100100-6</v>
      </c>
      <c r="T217" s="665" t="str">
        <f>+IF(AGOSTO!T217=0,"",AGOSTO!T217)</f>
        <v>Material aseo personal, etc.</v>
      </c>
      <c r="U217" s="27">
        <f>+ENERO!U217</f>
        <v>0</v>
      </c>
      <c r="V217" s="15">
        <f>AGOSTO!V217+SEPTIEMBRE!AL217</f>
        <v>0</v>
      </c>
      <c r="W217" s="15">
        <f>AGOSTO!W217+SEPTIEMBRE!AM217</f>
        <v>0</v>
      </c>
      <c r="X217" s="18">
        <f t="shared" si="184"/>
        <v>0</v>
      </c>
      <c r="Y217" s="19">
        <f>AGOSTO!AA217</f>
        <v>0</v>
      </c>
      <c r="Z217" s="364">
        <v>0</v>
      </c>
      <c r="AA217" s="18">
        <f t="shared" si="185"/>
        <v>0</v>
      </c>
      <c r="AB217" s="19">
        <f>AGOSTO!AD217</f>
        <v>0</v>
      </c>
      <c r="AC217" s="364">
        <v>0</v>
      </c>
      <c r="AD217" s="18">
        <f t="shared" si="186"/>
        <v>0</v>
      </c>
      <c r="AE217" s="19">
        <f>AGOSTO!AG217</f>
        <v>0</v>
      </c>
      <c r="AF217" s="364">
        <v>0</v>
      </c>
      <c r="AG217" s="18">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I218" s="451"/>
      <c r="L218" s="451"/>
      <c r="N218" s="9"/>
      <c r="P218" s="9"/>
      <c r="Q218" s="9"/>
      <c r="R218" s="9"/>
      <c r="S218" s="698">
        <f>+IF(AGOSTO!S218=0,"",AGOSTO!S218)</f>
        <v>5199999</v>
      </c>
      <c r="T218" s="680" t="str">
        <f>+IF(AGOSTO!T218=0,"",AGOSTO!T218)</f>
        <v>Vigencias Anteriores</v>
      </c>
      <c r="U218" s="133">
        <f>+ENERO!U218</f>
        <v>0</v>
      </c>
      <c r="V218" s="121">
        <f>AGOSTO!V218+SEPTIEMBRE!AL218</f>
        <v>0</v>
      </c>
      <c r="W218" s="121">
        <f>AGOSTO!W218+SEPTIEMBRE!AM218</f>
        <v>0</v>
      </c>
      <c r="X218" s="126">
        <f t="shared" si="184"/>
        <v>0</v>
      </c>
      <c r="Y218" s="124">
        <f>AGOSTO!AA218</f>
        <v>0</v>
      </c>
      <c r="Z218" s="378">
        <v>0</v>
      </c>
      <c r="AA218" s="126">
        <f t="shared" si="185"/>
        <v>0</v>
      </c>
      <c r="AB218" s="124">
        <f>AGOSTO!AD218</f>
        <v>0</v>
      </c>
      <c r="AC218" s="378">
        <v>0</v>
      </c>
      <c r="AD218" s="126">
        <f t="shared" si="186"/>
        <v>0</v>
      </c>
      <c r="AE218" s="124">
        <f>AGOSTO!AG218</f>
        <v>0</v>
      </c>
      <c r="AF218" s="378">
        <v>0</v>
      </c>
      <c r="AG218" s="126">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I219" s="451"/>
      <c r="L219" s="451"/>
      <c r="N219" s="9"/>
      <c r="P219" s="9"/>
      <c r="Q219" s="9"/>
      <c r="R219" s="9"/>
      <c r="S219" s="485" t="str">
        <f>+IF(AGOSTO!S219=0,"",AGOSTO!S219)</f>
        <v/>
      </c>
      <c r="T219" s="677" t="str">
        <f>+IF(AGOSTO!T219=0,"",AGOSTO!T219)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I220" s="451"/>
      <c r="L220" s="451"/>
      <c r="N220" s="9"/>
      <c r="P220" s="9"/>
      <c r="Q220" s="9"/>
      <c r="R220" s="9"/>
      <c r="S220" s="347" t="str">
        <f>+IF(AGOSTO!S220=0,"",AGOSTO!S220)</f>
        <v>C</v>
      </c>
      <c r="T220" s="659" t="str">
        <f>+IF(AGOSTO!T220=0,"",AGOSTO!T220)</f>
        <v xml:space="preserve">SERVICIO DE LA DEUDA </v>
      </c>
      <c r="U220" s="348">
        <f t="shared" ref="U220:AJ220" si="191">U222+U227</f>
        <v>262344980</v>
      </c>
      <c r="V220" s="349">
        <f t="shared" si="191"/>
        <v>0</v>
      </c>
      <c r="W220" s="349">
        <f t="shared" si="191"/>
        <v>27000000</v>
      </c>
      <c r="X220" s="352">
        <f t="shared" si="191"/>
        <v>289344980</v>
      </c>
      <c r="Y220" s="351">
        <f t="shared" si="191"/>
        <v>231840261</v>
      </c>
      <c r="Z220" s="349">
        <f t="shared" si="191"/>
        <v>21324925</v>
      </c>
      <c r="AA220" s="352">
        <f t="shared" si="191"/>
        <v>253165186</v>
      </c>
      <c r="AB220" s="351">
        <f t="shared" si="191"/>
        <v>231840261</v>
      </c>
      <c r="AC220" s="349">
        <f t="shared" si="191"/>
        <v>21324925</v>
      </c>
      <c r="AD220" s="352">
        <f t="shared" si="191"/>
        <v>253165186</v>
      </c>
      <c r="AE220" s="351">
        <f t="shared" si="191"/>
        <v>206579010</v>
      </c>
      <c r="AF220" s="349">
        <f t="shared" si="191"/>
        <v>25261251</v>
      </c>
      <c r="AG220" s="352">
        <f t="shared" si="191"/>
        <v>231840261</v>
      </c>
      <c r="AH220" s="351">
        <f t="shared" si="191"/>
        <v>36179794</v>
      </c>
      <c r="AI220" s="349">
        <f t="shared" si="191"/>
        <v>36179794</v>
      </c>
      <c r="AJ220" s="350">
        <f t="shared" si="191"/>
        <v>57504719</v>
      </c>
      <c r="AK220" s="490"/>
      <c r="AL220" s="351">
        <f>AL222+AL227</f>
        <v>0</v>
      </c>
      <c r="AM220" s="350">
        <f>AM222+AM227</f>
        <v>0</v>
      </c>
      <c r="AN220" s="9"/>
    </row>
    <row r="221" spans="1:40" s="372" customFormat="1" ht="24.95" customHeight="1">
      <c r="A221" s="734"/>
      <c r="B221" s="644"/>
      <c r="I221" s="451"/>
      <c r="L221" s="451"/>
      <c r="N221" s="9"/>
      <c r="P221" s="9"/>
      <c r="Q221" s="9"/>
      <c r="R221" s="9"/>
      <c r="S221" s="356" t="str">
        <f>+IF(AGOSTO!S221=0,"",AGOSTO!S221)</f>
        <v/>
      </c>
      <c r="T221" s="678" t="str">
        <f>+IF(AGOSTO!T221=0,"",AGOSTO!T221)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I222" s="451"/>
      <c r="L222" s="451"/>
      <c r="N222" s="9"/>
      <c r="P222" s="9"/>
      <c r="Q222" s="9"/>
      <c r="R222" s="9"/>
      <c r="S222" s="687">
        <f>+IF(AGOSTO!S222=0,"",AGOSTO!S222)</f>
        <v>7001000</v>
      </c>
      <c r="T222" s="663" t="str">
        <f>+IF(AGOSTO!T222=0,"",AGOSTO!T222)</f>
        <v>SERVICIO DE LA DEUDA INTERNA</v>
      </c>
      <c r="U222" s="132">
        <f t="shared" ref="U222:AJ222" si="192">SUM(U223:U225)</f>
        <v>262344980</v>
      </c>
      <c r="V222" s="122">
        <f t="shared" si="192"/>
        <v>0</v>
      </c>
      <c r="W222" s="122">
        <f t="shared" si="192"/>
        <v>27000000</v>
      </c>
      <c r="X222" s="129">
        <f t="shared" si="192"/>
        <v>289344980</v>
      </c>
      <c r="Y222" s="128">
        <f t="shared" si="192"/>
        <v>231840261</v>
      </c>
      <c r="Z222" s="122">
        <f t="shared" si="192"/>
        <v>21324925</v>
      </c>
      <c r="AA222" s="129">
        <f t="shared" si="192"/>
        <v>253165186</v>
      </c>
      <c r="AB222" s="128">
        <f t="shared" si="192"/>
        <v>231840261</v>
      </c>
      <c r="AC222" s="122">
        <f t="shared" si="192"/>
        <v>21324925</v>
      </c>
      <c r="AD222" s="129">
        <f t="shared" si="192"/>
        <v>253165186</v>
      </c>
      <c r="AE222" s="128">
        <f t="shared" si="192"/>
        <v>206579010</v>
      </c>
      <c r="AF222" s="122">
        <f t="shared" si="192"/>
        <v>25261251</v>
      </c>
      <c r="AG222" s="129">
        <f t="shared" si="192"/>
        <v>231840261</v>
      </c>
      <c r="AH222" s="128">
        <f t="shared" si="192"/>
        <v>36179794</v>
      </c>
      <c r="AI222" s="122">
        <f t="shared" si="192"/>
        <v>36179794</v>
      </c>
      <c r="AJ222" s="130">
        <f t="shared" si="192"/>
        <v>57504719</v>
      </c>
      <c r="AK222" s="9"/>
      <c r="AL222" s="128">
        <f>SUM(AL223:AL225)</f>
        <v>0</v>
      </c>
      <c r="AM222" s="130">
        <f>SUM(AM223:AM225)</f>
        <v>0</v>
      </c>
      <c r="AN222" s="9"/>
    </row>
    <row r="223" spans="1:40" s="372" customFormat="1" ht="24.95" customHeight="1">
      <c r="A223" s="734"/>
      <c r="B223" s="644"/>
      <c r="I223" s="451"/>
      <c r="L223" s="451"/>
      <c r="N223" s="9"/>
      <c r="P223" s="9"/>
      <c r="Q223" s="9"/>
      <c r="R223" s="9"/>
      <c r="S223" s="688">
        <f>+IF(AGOSTO!S223=0,"",AGOSTO!S223)</f>
        <v>7001100</v>
      </c>
      <c r="T223" s="664" t="str">
        <f>+IF(AGOSTO!T223=0,"",AGOSTO!T223)</f>
        <v>Amortización deuda Pública Interna</v>
      </c>
      <c r="U223" s="27">
        <f>+ENERO!U223</f>
        <v>250000000</v>
      </c>
      <c r="V223" s="15">
        <f>AGOSTO!V223+SEPTIEMBRE!AL223</f>
        <v>0</v>
      </c>
      <c r="W223" s="15">
        <f>AGOSTO!W223+SEPTIEMBRE!AM223</f>
        <v>0</v>
      </c>
      <c r="X223" s="18">
        <f>SUM(U223:W223)</f>
        <v>250000000</v>
      </c>
      <c r="Y223" s="19">
        <f>AGOSTO!AA223</f>
        <v>200000000</v>
      </c>
      <c r="Z223" s="364">
        <v>21195509</v>
      </c>
      <c r="AA223" s="18">
        <f>SUM(Y223:Z223)</f>
        <v>221195509</v>
      </c>
      <c r="AB223" s="19">
        <f>AGOSTO!AD223</f>
        <v>200000000</v>
      </c>
      <c r="AC223" s="364">
        <v>21195509</v>
      </c>
      <c r="AD223" s="18">
        <f>SUM(AB223:AC223)</f>
        <v>221195509</v>
      </c>
      <c r="AE223" s="19">
        <f>AGOSTO!AG223</f>
        <v>175000000</v>
      </c>
      <c r="AF223" s="364">
        <v>25000000</v>
      </c>
      <c r="AG223" s="18">
        <f>SUM(AE223:AF223)</f>
        <v>200000000</v>
      </c>
      <c r="AH223" s="19">
        <f>X223-AA223</f>
        <v>28804491</v>
      </c>
      <c r="AI223" s="15">
        <f>X223-AD223</f>
        <v>28804491</v>
      </c>
      <c r="AJ223" s="16">
        <f>X223-AG223</f>
        <v>50000000</v>
      </c>
      <c r="AK223" s="9"/>
      <c r="AL223" s="362">
        <v>0</v>
      </c>
      <c r="AM223" s="365">
        <v>0</v>
      </c>
      <c r="AN223" s="9"/>
    </row>
    <row r="224" spans="1:40" s="372" customFormat="1" ht="24.95" customHeight="1">
      <c r="A224" s="734"/>
      <c r="B224" s="644"/>
      <c r="I224" s="451"/>
      <c r="L224" s="451"/>
      <c r="N224" s="9"/>
      <c r="P224" s="9"/>
      <c r="Q224" s="9"/>
      <c r="R224" s="9"/>
      <c r="S224" s="688">
        <f>+IF(AGOSTO!S224=0,"",AGOSTO!S224)</f>
        <v>7001200</v>
      </c>
      <c r="T224" s="664" t="str">
        <f>+IF(AGOSTO!T224=0,"",AGOSTO!T224)</f>
        <v>Intereses Comisiones y gastos de la Deuda Pública</v>
      </c>
      <c r="U224" s="27">
        <f>+ENERO!U224</f>
        <v>12344980</v>
      </c>
      <c r="V224" s="15">
        <f>AGOSTO!V224+SEPTIEMBRE!AL224</f>
        <v>0</v>
      </c>
      <c r="W224" s="15">
        <f>AGOSTO!W224+SEPTIEMBRE!AM224</f>
        <v>0</v>
      </c>
      <c r="X224" s="18">
        <f>SUM(U224:W224)</f>
        <v>12344980</v>
      </c>
      <c r="Y224" s="19">
        <f>AGOSTO!AA224</f>
        <v>5567607</v>
      </c>
      <c r="Z224" s="364">
        <v>129416</v>
      </c>
      <c r="AA224" s="18">
        <f>SUM(Y224:Z224)</f>
        <v>5697023</v>
      </c>
      <c r="AB224" s="19">
        <f>AGOSTO!AD224</f>
        <v>5567607</v>
      </c>
      <c r="AC224" s="364">
        <v>129416</v>
      </c>
      <c r="AD224" s="18">
        <f>SUM(AB224:AC224)</f>
        <v>5697023</v>
      </c>
      <c r="AE224" s="19">
        <f>AGOSTO!AG224</f>
        <v>5306356</v>
      </c>
      <c r="AF224" s="364">
        <v>261251</v>
      </c>
      <c r="AG224" s="18">
        <f>SUM(AE224:AF224)</f>
        <v>5567607</v>
      </c>
      <c r="AH224" s="19">
        <f>X224-AA224</f>
        <v>6647957</v>
      </c>
      <c r="AI224" s="15">
        <f>X224-AD224</f>
        <v>6647957</v>
      </c>
      <c r="AJ224" s="16">
        <f>X224-AG224</f>
        <v>6777373</v>
      </c>
      <c r="AK224" s="9"/>
      <c r="AL224" s="362">
        <v>0</v>
      </c>
      <c r="AM224" s="365">
        <v>0</v>
      </c>
      <c r="AN224" s="9"/>
    </row>
    <row r="225" spans="1:40" s="372" customFormat="1" ht="24.95" customHeight="1">
      <c r="A225" s="734"/>
      <c r="B225" s="644"/>
      <c r="I225" s="451"/>
      <c r="L225" s="451"/>
      <c r="N225" s="9"/>
      <c r="P225" s="9"/>
      <c r="Q225" s="9"/>
      <c r="R225" s="9"/>
      <c r="S225" s="688">
        <f>+IF(AGOSTO!S225=0,"",AGOSTO!S225)</f>
        <v>7001999</v>
      </c>
      <c r="T225" s="664" t="str">
        <f>+IF(AGOSTO!T225=0,"",AGOSTO!T225)</f>
        <v>Vigencias Anteriores</v>
      </c>
      <c r="U225" s="27">
        <f>+ENERO!U225</f>
        <v>0</v>
      </c>
      <c r="V225" s="15">
        <f>AGOSTO!V225+SEPTIEMBRE!AL225</f>
        <v>0</v>
      </c>
      <c r="W225" s="15">
        <f>AGOSTO!W225+SEPTIEMBRE!AM225</f>
        <v>27000000</v>
      </c>
      <c r="X225" s="18">
        <f>SUM(U225:W225)</f>
        <v>27000000</v>
      </c>
      <c r="Y225" s="19">
        <f>AGOSTO!AA225</f>
        <v>26272654</v>
      </c>
      <c r="Z225" s="364">
        <v>0</v>
      </c>
      <c r="AA225" s="18">
        <f>SUM(Y225:Z225)</f>
        <v>26272654</v>
      </c>
      <c r="AB225" s="19">
        <f>AGOSTO!AD225</f>
        <v>26272654</v>
      </c>
      <c r="AC225" s="364">
        <v>0</v>
      </c>
      <c r="AD225" s="18">
        <f>SUM(AB225:AC225)</f>
        <v>26272654</v>
      </c>
      <c r="AE225" s="19">
        <f>AGOSTO!AG225</f>
        <v>26272654</v>
      </c>
      <c r="AF225" s="364">
        <v>0</v>
      </c>
      <c r="AG225" s="18">
        <f>SUM(AE225:AF225)</f>
        <v>26272654</v>
      </c>
      <c r="AH225" s="19">
        <f>X225-AA225</f>
        <v>727346</v>
      </c>
      <c r="AI225" s="15">
        <f>X225-AD225</f>
        <v>727346</v>
      </c>
      <c r="AJ225" s="16">
        <f>X225-AG225</f>
        <v>727346</v>
      </c>
      <c r="AK225" s="9"/>
      <c r="AL225" s="362">
        <v>0</v>
      </c>
      <c r="AM225" s="365">
        <v>0</v>
      </c>
      <c r="AN225" s="9"/>
    </row>
    <row r="226" spans="1:40" s="372" customFormat="1" ht="24.95" customHeight="1">
      <c r="A226" s="734"/>
      <c r="B226" s="644"/>
      <c r="I226" s="451"/>
      <c r="L226" s="451"/>
      <c r="N226" s="9"/>
      <c r="P226" s="9"/>
      <c r="Q226" s="9"/>
      <c r="R226" s="9"/>
      <c r="S226" s="356" t="str">
        <f>+IF(AGOSTO!S226=0,"",AGOSTO!S226)</f>
        <v/>
      </c>
      <c r="T226" s="678" t="str">
        <f>+IF(AGOSTO!T226=0,"",AGOSTO!T226)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c r="A227" s="734"/>
      <c r="B227" s="644"/>
      <c r="I227" s="451"/>
      <c r="L227" s="451"/>
      <c r="N227" s="9"/>
      <c r="P227" s="9"/>
      <c r="Q227" s="9"/>
      <c r="R227" s="9"/>
      <c r="S227" s="687">
        <f>+IF(AGOSTO!S227=0,"",AGOSTO!S227)</f>
        <v>7002001</v>
      </c>
      <c r="T227" s="663" t="str">
        <f>+IF(AGOSTO!T227=0,"",AGOSTO!T227)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row>
    <row r="228" spans="1:40" s="372" customFormat="1" ht="24.95" customHeight="1">
      <c r="A228" s="734"/>
      <c r="B228" s="644"/>
      <c r="I228" s="451"/>
      <c r="L228" s="451"/>
      <c r="N228" s="9"/>
      <c r="P228" s="9"/>
      <c r="Q228" s="9"/>
      <c r="R228" s="9"/>
      <c r="S228" s="688">
        <f>+IF(AGOSTO!S228=0,"",AGOSTO!S228)</f>
        <v>7002100</v>
      </c>
      <c r="T228" s="664" t="str">
        <f>+IF(AGOSTO!T228=0,"",AGOSTO!T228)</f>
        <v>Amortización deuda Pública Externa</v>
      </c>
      <c r="U228" s="27">
        <f>+ENERO!U228</f>
        <v>0</v>
      </c>
      <c r="V228" s="15">
        <f>AGOSTO!V228+SEPTIEMBRE!AL228</f>
        <v>0</v>
      </c>
      <c r="W228" s="15">
        <f>AGOSTO!W228+SEPTIEMBRE!AM228</f>
        <v>0</v>
      </c>
      <c r="X228" s="18">
        <f>SUM(U228:W228)</f>
        <v>0</v>
      </c>
      <c r="Y228" s="19">
        <f>AGOSTO!AA228</f>
        <v>0</v>
      </c>
      <c r="Z228" s="364">
        <v>0</v>
      </c>
      <c r="AA228" s="18">
        <f>SUM(Y228:Z228)</f>
        <v>0</v>
      </c>
      <c r="AB228" s="19">
        <f>AGOSTO!AD228</f>
        <v>0</v>
      </c>
      <c r="AC228" s="364">
        <v>0</v>
      </c>
      <c r="AD228" s="18">
        <f>SUM(AB228:AC228)</f>
        <v>0</v>
      </c>
      <c r="AE228" s="19">
        <f>AGOSTO!AG228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c r="A229" s="734"/>
      <c r="B229" s="644"/>
      <c r="I229" s="451"/>
      <c r="L229" s="451"/>
      <c r="N229" s="9"/>
      <c r="P229" s="9"/>
      <c r="Q229" s="9"/>
      <c r="R229" s="9"/>
      <c r="S229" s="688">
        <f>+IF(AGOSTO!S229=0,"",AGOSTO!S229)</f>
        <v>7002200</v>
      </c>
      <c r="T229" s="664" t="str">
        <f>+IF(AGOSTO!T229=0,"",AGOSTO!T229)</f>
        <v>Intereses Comisiones y gastos de la Deuda Pública</v>
      </c>
      <c r="U229" s="27">
        <f>+ENERO!U229</f>
        <v>0</v>
      </c>
      <c r="V229" s="15">
        <f>AGOSTO!V229+SEPTIEMBRE!AL229</f>
        <v>0</v>
      </c>
      <c r="W229" s="15">
        <f>AGOSTO!W229+SEPTIEMBRE!AM229</f>
        <v>0</v>
      </c>
      <c r="X229" s="18">
        <f>SUM(U229:W229)</f>
        <v>0</v>
      </c>
      <c r="Y229" s="19">
        <f>AGOSTO!AA229</f>
        <v>0</v>
      </c>
      <c r="Z229" s="364">
        <v>0</v>
      </c>
      <c r="AA229" s="18">
        <f>SUM(Y229:Z229)</f>
        <v>0</v>
      </c>
      <c r="AB229" s="19">
        <f>AGOSTO!AD229</f>
        <v>0</v>
      </c>
      <c r="AC229" s="364">
        <v>0</v>
      </c>
      <c r="AD229" s="18">
        <f>SUM(AB229:AC229)</f>
        <v>0</v>
      </c>
      <c r="AE229" s="19">
        <f>AGOSTO!AG229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c r="A230" s="734"/>
      <c r="B230" s="644"/>
      <c r="I230" s="451"/>
      <c r="L230" s="451"/>
      <c r="N230" s="9"/>
      <c r="P230" s="9"/>
      <c r="Q230" s="9"/>
      <c r="R230" s="9"/>
      <c r="S230" s="691">
        <f>+IF(AGOSTO!S230=0,"",AGOSTO!S230)</f>
        <v>7002999</v>
      </c>
      <c r="T230" s="670" t="str">
        <f>+IF(AGOSTO!T230=0,"",AGOSTO!T230)</f>
        <v>Vigencias Anteriores</v>
      </c>
      <c r="U230" s="133">
        <f>+ENERO!U230</f>
        <v>0</v>
      </c>
      <c r="V230" s="121">
        <f>AGOSTO!V230+SEPTIEMBRE!AL230</f>
        <v>0</v>
      </c>
      <c r="W230" s="121">
        <f>AGOSTO!W230+SEPTIEMBRE!AM230</f>
        <v>0</v>
      </c>
      <c r="X230" s="126">
        <f>SUM(U230:W230)</f>
        <v>0</v>
      </c>
      <c r="Y230" s="124">
        <f>AGOSTO!AA230</f>
        <v>0</v>
      </c>
      <c r="Z230" s="378">
        <v>0</v>
      </c>
      <c r="AA230" s="126">
        <f>SUM(Y230:Z230)</f>
        <v>0</v>
      </c>
      <c r="AB230" s="124">
        <f>AGOSTO!AD230</f>
        <v>0</v>
      </c>
      <c r="AC230" s="378">
        <v>0</v>
      </c>
      <c r="AD230" s="126">
        <f>SUM(AB230:AC230)</f>
        <v>0</v>
      </c>
      <c r="AE230" s="124">
        <f>AGOSTO!AG230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c r="A231" s="734"/>
      <c r="B231" s="644"/>
      <c r="I231" s="451"/>
      <c r="L231" s="451"/>
      <c r="N231" s="9"/>
      <c r="P231" s="9"/>
      <c r="Q231" s="9"/>
      <c r="R231" s="9"/>
      <c r="S231" s="479" t="str">
        <f>+IF(AGOSTO!S231=0,"",AGOSTO!S231)</f>
        <v/>
      </c>
      <c r="T231" s="671" t="str">
        <f>+IF(AGOSTO!T231=0,"",AGOSTO!T231)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c r="A232" s="734"/>
      <c r="B232" s="644"/>
      <c r="I232" s="451"/>
      <c r="L232" s="451"/>
      <c r="N232" s="9"/>
      <c r="P232" s="9"/>
      <c r="Q232" s="9"/>
      <c r="R232" s="9"/>
      <c r="S232" s="495" t="str">
        <f>+IF(AGOSTO!S232=0,"",AGOSTO!S232)</f>
        <v>D</v>
      </c>
      <c r="T232" s="679" t="str">
        <f>+IF(AGOSTO!T232=0,"",AGOSTO!T232)</f>
        <v>INVERSION</v>
      </c>
      <c r="U232" s="460">
        <f>U234+U243</f>
        <v>5765730053</v>
      </c>
      <c r="V232" s="461">
        <f t="shared" ref="V232:AJ232" si="194">V234+V243</f>
        <v>0</v>
      </c>
      <c r="W232" s="461">
        <f t="shared" si="194"/>
        <v>26572523310</v>
      </c>
      <c r="X232" s="462">
        <f t="shared" si="194"/>
        <v>32338253363</v>
      </c>
      <c r="Y232" s="369">
        <f t="shared" si="194"/>
        <v>24874221450</v>
      </c>
      <c r="Z232" s="461">
        <f t="shared" si="194"/>
        <v>311992307</v>
      </c>
      <c r="AA232" s="462">
        <f t="shared" si="194"/>
        <v>25186213757</v>
      </c>
      <c r="AB232" s="369">
        <f t="shared" si="194"/>
        <v>13502858220</v>
      </c>
      <c r="AC232" s="461">
        <f t="shared" si="194"/>
        <v>2049471793</v>
      </c>
      <c r="AD232" s="462">
        <f t="shared" si="194"/>
        <v>15552330013</v>
      </c>
      <c r="AE232" s="369">
        <f t="shared" si="194"/>
        <v>11514927319</v>
      </c>
      <c r="AF232" s="461">
        <f t="shared" si="194"/>
        <v>1101887501</v>
      </c>
      <c r="AG232" s="462">
        <f t="shared" si="194"/>
        <v>12616814820</v>
      </c>
      <c r="AH232" s="369">
        <f t="shared" si="194"/>
        <v>7152039606</v>
      </c>
      <c r="AI232" s="461">
        <f t="shared" si="194"/>
        <v>16785923350</v>
      </c>
      <c r="AJ232" s="370">
        <f t="shared" si="194"/>
        <v>19721438543</v>
      </c>
      <c r="AK232" s="490"/>
      <c r="AL232" s="369">
        <f>AL234+AL243</f>
        <v>0</v>
      </c>
      <c r="AM232" s="370">
        <f>AM234+AM243</f>
        <v>0</v>
      </c>
      <c r="AN232" s="9"/>
    </row>
    <row r="233" spans="1:40" s="372" customFormat="1" ht="24.95" customHeight="1">
      <c r="A233" s="734"/>
      <c r="B233" s="644"/>
      <c r="I233" s="451"/>
      <c r="L233" s="451"/>
      <c r="N233" s="9"/>
      <c r="P233" s="9"/>
      <c r="Q233" s="9"/>
      <c r="R233" s="9"/>
      <c r="S233" s="356" t="str">
        <f>+IF(AGOSTO!S233=0,"",AGOSTO!S233)</f>
        <v/>
      </c>
      <c r="T233" s="678" t="str">
        <f>+IF(AGOSTO!T233=0,"",AGOSTO!T233)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c r="A234" s="734"/>
      <c r="B234" s="644"/>
      <c r="I234" s="451"/>
      <c r="L234" s="451"/>
      <c r="N234" s="9"/>
      <c r="P234" s="9"/>
      <c r="Q234" s="9"/>
      <c r="R234" s="9"/>
      <c r="S234" s="687">
        <f>+IF(AGOSTO!S234=0,"",AGOSTO!S234)</f>
        <v>8000000</v>
      </c>
      <c r="T234" s="663" t="str">
        <f>+IF(AGOSTO!T234=0,"",AGOSTO!T234)</f>
        <v>Programas de Inversión</v>
      </c>
      <c r="U234" s="132">
        <f>U235</f>
        <v>5265730053</v>
      </c>
      <c r="V234" s="122">
        <f t="shared" ref="V234:AJ234" si="195">V235</f>
        <v>0</v>
      </c>
      <c r="W234" s="122">
        <f t="shared" si="195"/>
        <v>13752626782</v>
      </c>
      <c r="X234" s="129">
        <f t="shared" si="195"/>
        <v>19018356835</v>
      </c>
      <c r="Y234" s="128">
        <f t="shared" si="195"/>
        <v>18853908934</v>
      </c>
      <c r="Z234" s="122">
        <f t="shared" si="195"/>
        <v>0</v>
      </c>
      <c r="AA234" s="129">
        <f t="shared" si="195"/>
        <v>18853908934</v>
      </c>
      <c r="AB234" s="128">
        <f t="shared" si="195"/>
        <v>8665743584</v>
      </c>
      <c r="AC234" s="122">
        <f t="shared" si="195"/>
        <v>1563002229</v>
      </c>
      <c r="AD234" s="129">
        <f t="shared" si="195"/>
        <v>10228745813</v>
      </c>
      <c r="AE234" s="128">
        <f t="shared" si="195"/>
        <v>7495640295</v>
      </c>
      <c r="AF234" s="122">
        <f t="shared" si="195"/>
        <v>875695965</v>
      </c>
      <c r="AG234" s="129">
        <f t="shared" si="195"/>
        <v>8371336260</v>
      </c>
      <c r="AH234" s="128">
        <f t="shared" si="195"/>
        <v>164447901</v>
      </c>
      <c r="AI234" s="122">
        <f t="shared" si="195"/>
        <v>8789611022</v>
      </c>
      <c r="AJ234" s="130">
        <f t="shared" si="195"/>
        <v>10647020575</v>
      </c>
      <c r="AK234" s="9"/>
      <c r="AL234" s="128">
        <f>AL235</f>
        <v>0</v>
      </c>
      <c r="AM234" s="130">
        <f>AM235</f>
        <v>0</v>
      </c>
      <c r="AN234" s="9"/>
    </row>
    <row r="235" spans="1:40" s="372" customFormat="1" ht="24.95" customHeight="1">
      <c r="A235" s="734"/>
      <c r="B235" s="644"/>
      <c r="I235" s="451"/>
      <c r="L235" s="451"/>
      <c r="N235" s="9"/>
      <c r="P235" s="9"/>
      <c r="Q235" s="9"/>
      <c r="R235" s="9"/>
      <c r="S235" s="688">
        <f>+IF(AGOSTO!S235=0,"",AGOSTO!S235)</f>
        <v>8001000</v>
      </c>
      <c r="T235" s="664" t="str">
        <f>+IF(AGOSTO!T235=0,"",AGOSTO!T235)</f>
        <v>Formación Bruta del Capital</v>
      </c>
      <c r="U235" s="27">
        <f t="shared" ref="U235:AJ235" si="196">SUM(U236:U241)</f>
        <v>5265730053</v>
      </c>
      <c r="V235" s="15">
        <f t="shared" si="196"/>
        <v>0</v>
      </c>
      <c r="W235" s="15">
        <f t="shared" si="196"/>
        <v>13752626782</v>
      </c>
      <c r="X235" s="18">
        <f t="shared" si="196"/>
        <v>19018356835</v>
      </c>
      <c r="Y235" s="19">
        <f t="shared" si="196"/>
        <v>18853908934</v>
      </c>
      <c r="Z235" s="142">
        <f t="shared" si="196"/>
        <v>0</v>
      </c>
      <c r="AA235" s="18">
        <f t="shared" si="196"/>
        <v>18853908934</v>
      </c>
      <c r="AB235" s="19">
        <f t="shared" si="196"/>
        <v>8665743584</v>
      </c>
      <c r="AC235" s="142">
        <f t="shared" si="196"/>
        <v>1563002229</v>
      </c>
      <c r="AD235" s="18">
        <f t="shared" si="196"/>
        <v>10228745813</v>
      </c>
      <c r="AE235" s="19">
        <f t="shared" si="196"/>
        <v>7495640295</v>
      </c>
      <c r="AF235" s="142">
        <f t="shared" si="196"/>
        <v>875695965</v>
      </c>
      <c r="AG235" s="18">
        <f t="shared" si="196"/>
        <v>8371336260</v>
      </c>
      <c r="AH235" s="19">
        <f t="shared" si="196"/>
        <v>164447901</v>
      </c>
      <c r="AI235" s="15">
        <f t="shared" si="196"/>
        <v>8789611022</v>
      </c>
      <c r="AJ235" s="16">
        <f t="shared" si="196"/>
        <v>10647020575</v>
      </c>
      <c r="AK235" s="9"/>
      <c r="AL235" s="29">
        <f>SUM(AL236:AL241)</f>
        <v>0</v>
      </c>
      <c r="AM235" s="26">
        <f>SUM(AM236:AM241)</f>
        <v>0</v>
      </c>
      <c r="AN235" s="9"/>
    </row>
    <row r="236" spans="1:40" s="372" customFormat="1" ht="24.95" customHeight="1">
      <c r="A236" s="734"/>
      <c r="B236" s="644"/>
      <c r="I236" s="451"/>
      <c r="L236" s="451"/>
      <c r="N236" s="9"/>
      <c r="P236" s="9"/>
      <c r="Q236" s="9"/>
      <c r="R236" s="9"/>
      <c r="S236" s="689" t="str">
        <f>+IF(AGOSTO!S236=0,"",AGOSTO!S236)</f>
        <v>8001000-1</v>
      </c>
      <c r="T236" s="665" t="str">
        <f>+IF(AGOSTO!T236=0,"",AGOSTO!T236)</f>
        <v>Subprogr.Construc. Remodelac. Adecuación y Apliac.1</v>
      </c>
      <c r="U236" s="27">
        <f>+ENERO!U236</f>
        <v>4765730053</v>
      </c>
      <c r="V236" s="15">
        <f>AGOSTO!V236+SEPTIEMBRE!AL236</f>
        <v>0</v>
      </c>
      <c r="W236" s="15">
        <f>AGOSTO!W236+SEPTIEMBRE!AM236</f>
        <v>8000000000</v>
      </c>
      <c r="X236" s="18">
        <f t="shared" ref="X236:X241" si="197">SUM(U236:W236)</f>
        <v>12765730053</v>
      </c>
      <c r="Y236" s="19">
        <f>AGOSTO!AA236</f>
        <v>12715773638</v>
      </c>
      <c r="Z236" s="364">
        <v>0</v>
      </c>
      <c r="AA236" s="18">
        <f t="shared" ref="AA236:AA241" si="198">SUM(Y236:Z236)</f>
        <v>12715773638</v>
      </c>
      <c r="AB236" s="19">
        <f>AGOSTO!AD236</f>
        <v>7432921757</v>
      </c>
      <c r="AC236" s="364">
        <v>75392308</v>
      </c>
      <c r="AD236" s="18">
        <f t="shared" ref="AD236:AD241" si="199">SUM(AB236:AC236)</f>
        <v>7508314065</v>
      </c>
      <c r="AE236" s="19">
        <f>AGOSTO!AG236</f>
        <v>7266568465</v>
      </c>
      <c r="AF236" s="364">
        <v>179328292</v>
      </c>
      <c r="AG236" s="18">
        <f t="shared" ref="AG236:AG241" si="200">SUM(AE236:AF236)</f>
        <v>7445896757</v>
      </c>
      <c r="AH236" s="19">
        <f t="shared" ref="AH236:AH241" si="201">X236-AA236</f>
        <v>49956415</v>
      </c>
      <c r="AI236" s="15">
        <f t="shared" ref="AI236:AI241" si="202">X236-AD236</f>
        <v>5257415988</v>
      </c>
      <c r="AJ236" s="16">
        <f t="shared" ref="AJ236:AJ241" si="203">X236-AG236</f>
        <v>5319833296</v>
      </c>
      <c r="AK236" s="9"/>
      <c r="AL236" s="362">
        <v>0</v>
      </c>
      <c r="AM236" s="365">
        <v>0</v>
      </c>
      <c r="AN236" s="9"/>
    </row>
    <row r="237" spans="1:40" s="372" customFormat="1" ht="24.95" customHeight="1">
      <c r="A237" s="734"/>
      <c r="B237" s="644"/>
      <c r="I237" s="451"/>
      <c r="L237" s="451"/>
      <c r="N237" s="9"/>
      <c r="P237" s="9"/>
      <c r="Q237" s="9"/>
      <c r="R237" s="9"/>
      <c r="S237" s="689" t="str">
        <f>+IF(AGOSTO!S237=0,"",AGOSTO!S237)</f>
        <v>8001000-2</v>
      </c>
      <c r="T237" s="665" t="str">
        <f>+IF(AGOSTO!T237=0,"",AGOSTO!T237)</f>
        <v>Subprogr.Construc. Remodelac. Adecuación y Apliac.2</v>
      </c>
      <c r="U237" s="27">
        <f>+ENERO!U237</f>
        <v>500000000</v>
      </c>
      <c r="V237" s="15">
        <f>AGOSTO!V237+SEPTIEMBRE!AL237</f>
        <v>0</v>
      </c>
      <c r="W237" s="15">
        <f>AGOSTO!W237+SEPTIEMBRE!AM237</f>
        <v>719283217</v>
      </c>
      <c r="X237" s="18">
        <f t="shared" si="197"/>
        <v>1219283217</v>
      </c>
      <c r="Y237" s="19">
        <f>AGOSTO!AA237</f>
        <v>1219283217</v>
      </c>
      <c r="Z237" s="364">
        <v>0</v>
      </c>
      <c r="AA237" s="18">
        <f t="shared" si="198"/>
        <v>1219283217</v>
      </c>
      <c r="AB237" s="19">
        <f>AGOSTO!AD237</f>
        <v>307382324</v>
      </c>
      <c r="AC237" s="364">
        <v>0</v>
      </c>
      <c r="AD237" s="18">
        <f t="shared" si="199"/>
        <v>307382324</v>
      </c>
      <c r="AE237" s="19">
        <f>AGOSTO!AG237</f>
        <v>0</v>
      </c>
      <c r="AF237" s="364">
        <v>0</v>
      </c>
      <c r="AG237" s="18">
        <f t="shared" si="200"/>
        <v>0</v>
      </c>
      <c r="AH237" s="19">
        <f t="shared" si="201"/>
        <v>0</v>
      </c>
      <c r="AI237" s="15">
        <f t="shared" si="202"/>
        <v>911900893</v>
      </c>
      <c r="AJ237" s="16">
        <f t="shared" si="203"/>
        <v>1219283217</v>
      </c>
      <c r="AK237" s="9"/>
      <c r="AL237" s="362">
        <v>0</v>
      </c>
      <c r="AM237" s="365">
        <v>0</v>
      </c>
      <c r="AN237" s="9"/>
    </row>
    <row r="238" spans="1:40" s="372" customFormat="1" ht="24.95" customHeight="1">
      <c r="A238" s="734"/>
      <c r="B238" s="644"/>
      <c r="I238" s="451"/>
      <c r="L238" s="451"/>
      <c r="N238" s="9"/>
      <c r="P238" s="9"/>
      <c r="Q238" s="9"/>
      <c r="R238" s="9"/>
      <c r="S238" s="689" t="str">
        <f>+IF(AGOSTO!S238=0,"",AGOSTO!S238)</f>
        <v>8001000-3</v>
      </c>
      <c r="T238" s="665" t="str">
        <f>+IF(AGOSTO!T238=0,"",AGOSTO!T238)</f>
        <v>Subprogr.Construc. Remodelac. Adecuación y Apliac.3</v>
      </c>
      <c r="U238" s="27">
        <f>+ENERO!U238</f>
        <v>0</v>
      </c>
      <c r="V238" s="15">
        <f>AGOSTO!V238+SEPTIEMBRE!AL238</f>
        <v>0</v>
      </c>
      <c r="W238" s="15">
        <f>AGOSTO!W238+SEPTIEMBRE!AM238</f>
        <v>0</v>
      </c>
      <c r="X238" s="18">
        <f t="shared" si="197"/>
        <v>0</v>
      </c>
      <c r="Y238" s="19">
        <f>AGOSTO!AA238</f>
        <v>0</v>
      </c>
      <c r="Z238" s="364">
        <v>0</v>
      </c>
      <c r="AA238" s="18">
        <f t="shared" si="198"/>
        <v>0</v>
      </c>
      <c r="AB238" s="19">
        <f>AGOSTO!AD238</f>
        <v>0</v>
      </c>
      <c r="AC238" s="364">
        <v>0</v>
      </c>
      <c r="AD238" s="18">
        <f t="shared" si="199"/>
        <v>0</v>
      </c>
      <c r="AE238" s="19">
        <f>AGOSTO!AG238</f>
        <v>0</v>
      </c>
      <c r="AF238" s="364">
        <v>0</v>
      </c>
      <c r="AG238" s="18">
        <f t="shared" si="200"/>
        <v>0</v>
      </c>
      <c r="AH238" s="19">
        <f t="shared" si="201"/>
        <v>0</v>
      </c>
      <c r="AI238" s="15">
        <f t="shared" si="202"/>
        <v>0</v>
      </c>
      <c r="AJ238" s="16">
        <f t="shared" si="203"/>
        <v>0</v>
      </c>
      <c r="AK238" s="9"/>
      <c r="AL238" s="362">
        <v>0</v>
      </c>
      <c r="AM238" s="365">
        <v>0</v>
      </c>
      <c r="AN238" s="9"/>
    </row>
    <row r="239" spans="1:40" s="372" customFormat="1" ht="24.95" customHeight="1">
      <c r="A239" s="734"/>
      <c r="B239" s="644"/>
      <c r="I239" s="451"/>
      <c r="L239" s="451"/>
      <c r="N239" s="9"/>
      <c r="P239" s="9"/>
      <c r="Q239" s="9"/>
      <c r="S239" s="689" t="str">
        <f>+IF(AGOSTO!S239=0,"",AGOSTO!S239)</f>
        <v>8001000-4</v>
      </c>
      <c r="T239" s="665" t="str">
        <f>+IF(AGOSTO!T239=0,"",AGOSTO!T239)</f>
        <v>Subprogr.Construc. Remodelac. Adecuación y Apliac.4</v>
      </c>
      <c r="U239" s="27">
        <f>+ENERO!U239</f>
        <v>0</v>
      </c>
      <c r="V239" s="15">
        <f>AGOSTO!V239+SEPTIEMBRE!AL239</f>
        <v>0</v>
      </c>
      <c r="W239" s="15">
        <f>AGOSTO!W239+SEPTIEMBRE!AM239</f>
        <v>0</v>
      </c>
      <c r="X239" s="18">
        <f t="shared" si="197"/>
        <v>0</v>
      </c>
      <c r="Y239" s="19">
        <f>AGOSTO!AA239</f>
        <v>0</v>
      </c>
      <c r="Z239" s="364">
        <v>0</v>
      </c>
      <c r="AA239" s="18">
        <f t="shared" si="198"/>
        <v>0</v>
      </c>
      <c r="AB239" s="19">
        <f>AGOSTO!AD239</f>
        <v>0</v>
      </c>
      <c r="AC239" s="364">
        <v>0</v>
      </c>
      <c r="AD239" s="18">
        <f t="shared" si="199"/>
        <v>0</v>
      </c>
      <c r="AE239" s="19">
        <f>AGOSTO!AG239</f>
        <v>0</v>
      </c>
      <c r="AF239" s="364">
        <v>0</v>
      </c>
      <c r="AG239" s="18">
        <f t="shared" si="200"/>
        <v>0</v>
      </c>
      <c r="AH239" s="19">
        <f t="shared" si="201"/>
        <v>0</v>
      </c>
      <c r="AI239" s="15">
        <f t="shared" si="202"/>
        <v>0</v>
      </c>
      <c r="AJ239" s="16">
        <f t="shared" si="203"/>
        <v>0</v>
      </c>
      <c r="AK239" s="9"/>
      <c r="AL239" s="362">
        <v>0</v>
      </c>
      <c r="AM239" s="365">
        <v>0</v>
      </c>
      <c r="AN239" s="9"/>
    </row>
    <row r="240" spans="1:40" s="372" customFormat="1" ht="24.95" customHeight="1">
      <c r="A240" s="734"/>
      <c r="B240" s="644"/>
      <c r="I240" s="451"/>
      <c r="L240" s="451"/>
      <c r="N240" s="9"/>
      <c r="P240" s="9"/>
      <c r="Q240" s="9"/>
      <c r="S240" s="689" t="str">
        <f>+IF(AGOSTO!S240=0,"",AGOSTO!S240)</f>
        <v>8001000-5</v>
      </c>
      <c r="T240" s="665" t="str">
        <f>+IF(AGOSTO!T240=0,"",AGOSTO!T240)</f>
        <v>Subprogr.Construc. Remodelac. Adecuación y Apliac.5</v>
      </c>
      <c r="U240" s="27">
        <f>+ENERO!U240</f>
        <v>0</v>
      </c>
      <c r="V240" s="15">
        <f>AGOSTO!V240+SEPTIEMBRE!AL240</f>
        <v>0</v>
      </c>
      <c r="W240" s="15">
        <f>AGOSTO!W240+SEPTIEMBRE!AM240</f>
        <v>0</v>
      </c>
      <c r="X240" s="18">
        <f t="shared" si="197"/>
        <v>0</v>
      </c>
      <c r="Y240" s="19">
        <f>AGOSTO!AA240</f>
        <v>0</v>
      </c>
      <c r="Z240" s="364">
        <v>0</v>
      </c>
      <c r="AA240" s="18">
        <f t="shared" si="198"/>
        <v>0</v>
      </c>
      <c r="AB240" s="19">
        <f>AGOSTO!AD240</f>
        <v>0</v>
      </c>
      <c r="AC240" s="364">
        <v>0</v>
      </c>
      <c r="AD240" s="18">
        <f t="shared" si="199"/>
        <v>0</v>
      </c>
      <c r="AE240" s="19">
        <f>AGOSTO!AG240</f>
        <v>0</v>
      </c>
      <c r="AF240" s="364">
        <v>0</v>
      </c>
      <c r="AG240" s="18">
        <f t="shared" si="200"/>
        <v>0</v>
      </c>
      <c r="AH240" s="19">
        <f t="shared" si="201"/>
        <v>0</v>
      </c>
      <c r="AI240" s="15">
        <f t="shared" si="202"/>
        <v>0</v>
      </c>
      <c r="AJ240" s="16">
        <f t="shared" si="203"/>
        <v>0</v>
      </c>
      <c r="AK240" s="9"/>
      <c r="AL240" s="362">
        <v>0</v>
      </c>
      <c r="AM240" s="365">
        <v>0</v>
      </c>
      <c r="AN240" s="9"/>
    </row>
    <row r="241" spans="1:70" ht="24.95" customHeight="1">
      <c r="A241" s="734"/>
      <c r="B241" s="644"/>
      <c r="C241" s="372"/>
      <c r="D241" s="372"/>
      <c r="E241" s="372"/>
      <c r="F241" s="372"/>
      <c r="G241" s="372"/>
      <c r="H241" s="372"/>
      <c r="I241" s="451"/>
      <c r="J241" s="372"/>
      <c r="K241" s="372"/>
      <c r="L241" s="451"/>
      <c r="M241" s="372"/>
      <c r="N241" s="9"/>
      <c r="O241" s="372"/>
      <c r="P241" s="9"/>
      <c r="Q241" s="9"/>
      <c r="S241" s="697">
        <f>+IF(AGOSTO!S241=0,"",AGOSTO!S241)</f>
        <v>8001999</v>
      </c>
      <c r="T241" s="665" t="str">
        <f>+IF(AGOSTO!T241=0,"",AGOSTO!T241)</f>
        <v>Vigencias Anteriores</v>
      </c>
      <c r="U241" s="27">
        <f>+ENERO!U241</f>
        <v>0</v>
      </c>
      <c r="V241" s="15">
        <f>AGOSTO!V241+SEPTIEMBRE!AL241</f>
        <v>0</v>
      </c>
      <c r="W241" s="15">
        <f>AGOSTO!W241+SEPTIEMBRE!AM241</f>
        <v>5033343565</v>
      </c>
      <c r="X241" s="18">
        <f t="shared" si="197"/>
        <v>5033343565</v>
      </c>
      <c r="Y241" s="19">
        <f>AGOSTO!AA241</f>
        <v>4918852079</v>
      </c>
      <c r="Z241" s="364">
        <v>0</v>
      </c>
      <c r="AA241" s="18">
        <f t="shared" si="198"/>
        <v>4918852079</v>
      </c>
      <c r="AB241" s="19">
        <f>AGOSTO!AD241</f>
        <v>925439503</v>
      </c>
      <c r="AC241" s="364">
        <v>1487609921</v>
      </c>
      <c r="AD241" s="18">
        <f t="shared" si="199"/>
        <v>2413049424</v>
      </c>
      <c r="AE241" s="19">
        <f>AGOSTO!AG241</f>
        <v>229071830</v>
      </c>
      <c r="AF241" s="364">
        <v>696367673</v>
      </c>
      <c r="AG241" s="18">
        <f t="shared" si="200"/>
        <v>925439503</v>
      </c>
      <c r="AH241" s="19">
        <f t="shared" si="201"/>
        <v>114491486</v>
      </c>
      <c r="AI241" s="15">
        <f t="shared" si="202"/>
        <v>2620294141</v>
      </c>
      <c r="AJ241" s="16">
        <f t="shared" si="203"/>
        <v>4107904062</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451"/>
      <c r="J242" s="372"/>
      <c r="K242" s="372"/>
      <c r="L242" s="451"/>
      <c r="M242" s="372"/>
      <c r="N242" s="9"/>
      <c r="O242" s="372"/>
      <c r="P242" s="9"/>
      <c r="Q242" s="9"/>
      <c r="S242" s="356" t="str">
        <f>+IF(AGOSTO!S242=0,"",AGOSTO!S242)</f>
        <v/>
      </c>
      <c r="T242" s="678" t="str">
        <f>+IF(AGOSTO!T242=0,"",AGOSTO!T242)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c r="A243" s="734"/>
      <c r="B243" s="644"/>
      <c r="C243" s="372"/>
      <c r="D243" s="372"/>
      <c r="E243" s="372"/>
      <c r="F243" s="372"/>
      <c r="G243" s="372"/>
      <c r="H243" s="372"/>
      <c r="I243" s="451"/>
      <c r="J243" s="372"/>
      <c r="K243" s="372"/>
      <c r="L243" s="451"/>
      <c r="M243" s="372"/>
      <c r="N243" s="9"/>
      <c r="O243" s="372"/>
      <c r="P243" s="9"/>
      <c r="Q243" s="9"/>
      <c r="S243" s="687">
        <f>+IF(AGOSTO!S243=0,"",AGOSTO!S243)</f>
        <v>8002001</v>
      </c>
      <c r="T243" s="663" t="str">
        <f>+IF(AGOSTO!T243=0,"",AGOSTO!T243)</f>
        <v>Gastos Operativos de Inversion   (Programas Especiales)</v>
      </c>
      <c r="U243" s="132">
        <f t="shared" ref="U243:AJ243" si="204">SUM(U244:U256)</f>
        <v>500000000</v>
      </c>
      <c r="V243" s="122">
        <f t="shared" si="204"/>
        <v>0</v>
      </c>
      <c r="W243" s="122">
        <f t="shared" si="204"/>
        <v>12819896528</v>
      </c>
      <c r="X243" s="129">
        <f t="shared" si="204"/>
        <v>13319896528</v>
      </c>
      <c r="Y243" s="128">
        <f t="shared" si="204"/>
        <v>6020312516</v>
      </c>
      <c r="Z243" s="122">
        <f t="shared" si="204"/>
        <v>311992307</v>
      </c>
      <c r="AA243" s="129">
        <f t="shared" si="204"/>
        <v>6332304823</v>
      </c>
      <c r="AB243" s="128">
        <f t="shared" si="204"/>
        <v>4837114636</v>
      </c>
      <c r="AC243" s="122">
        <f t="shared" si="204"/>
        <v>486469564</v>
      </c>
      <c r="AD243" s="129">
        <f t="shared" si="204"/>
        <v>5323584200</v>
      </c>
      <c r="AE243" s="128">
        <f t="shared" si="204"/>
        <v>4019287024</v>
      </c>
      <c r="AF243" s="122">
        <f t="shared" si="204"/>
        <v>226191536</v>
      </c>
      <c r="AG243" s="129">
        <f t="shared" si="204"/>
        <v>4245478560</v>
      </c>
      <c r="AH243" s="128">
        <f t="shared" si="204"/>
        <v>6987591705</v>
      </c>
      <c r="AI243" s="122">
        <f t="shared" si="204"/>
        <v>7996312328</v>
      </c>
      <c r="AJ243" s="130">
        <f t="shared" si="204"/>
        <v>9074417968</v>
      </c>
      <c r="AK243" s="9"/>
      <c r="AL243" s="128">
        <f>SUM(AL244:AL256)</f>
        <v>0</v>
      </c>
      <c r="AM243" s="130">
        <f>SUM(AM244:AM256)</f>
        <v>0</v>
      </c>
    </row>
    <row r="244" spans="1:70" ht="24.95" customHeight="1">
      <c r="A244" s="734"/>
      <c r="B244" s="644"/>
      <c r="C244" s="372"/>
      <c r="D244" s="372"/>
      <c r="E244" s="372"/>
      <c r="F244" s="372"/>
      <c r="G244" s="372"/>
      <c r="H244" s="372"/>
      <c r="I244" s="451"/>
      <c r="J244" s="372"/>
      <c r="K244" s="372"/>
      <c r="L244" s="451"/>
      <c r="M244" s="372"/>
      <c r="N244" s="9"/>
      <c r="O244" s="372"/>
      <c r="P244" s="9"/>
      <c r="Q244" s="9"/>
      <c r="S244" s="689" t="str">
        <f>+IF(AGOSTO!S244=0,"",AGOSTO!S244)</f>
        <v>8002100-1</v>
      </c>
      <c r="T244" s="665" t="str">
        <f>+IF(AGOSTO!T244=0,"",AGOSTO!T244)</f>
        <v>Fondo de la Vivienda</v>
      </c>
      <c r="U244" s="27">
        <f>+ENERO!U244</f>
        <v>0</v>
      </c>
      <c r="V244" s="15">
        <f>AGOSTO!V244+SEPTIEMBRE!AL244</f>
        <v>0</v>
      </c>
      <c r="W244" s="15">
        <f>AGOSTO!W244+SEPTIEMBRE!AM244</f>
        <v>0</v>
      </c>
      <c r="X244" s="18">
        <f t="shared" ref="X244:X256" si="205">SUM(U244:W244)</f>
        <v>0</v>
      </c>
      <c r="Y244" s="19">
        <f>AGOSTO!AA244</f>
        <v>0</v>
      </c>
      <c r="Z244" s="364">
        <v>0</v>
      </c>
      <c r="AA244" s="18">
        <f t="shared" ref="AA244:AA256" si="206">SUM(Y244:Z244)</f>
        <v>0</v>
      </c>
      <c r="AB244" s="19">
        <f>AGOSTO!AD244</f>
        <v>0</v>
      </c>
      <c r="AC244" s="364">
        <v>0</v>
      </c>
      <c r="AD244" s="18">
        <f t="shared" ref="AD244:AD256" si="207">SUM(AB244:AC244)</f>
        <v>0</v>
      </c>
      <c r="AE244" s="19">
        <f>AGOSTO!AG244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451"/>
      <c r="J245" s="372"/>
      <c r="K245" s="372"/>
      <c r="L245" s="451"/>
      <c r="M245" s="372"/>
      <c r="N245" s="9"/>
      <c r="O245" s="372"/>
      <c r="P245" s="9"/>
      <c r="Q245" s="9"/>
      <c r="S245" s="689" t="str">
        <f>+IF(AGOSTO!S245=0,"",AGOSTO!S245)</f>
        <v>8002100-2</v>
      </c>
      <c r="T245" s="665" t="str">
        <f>+IF(AGOSTO!T245=0,"",AGOSTO!T245)</f>
        <v>Programas Especial 01</v>
      </c>
      <c r="U245" s="27">
        <f>+ENERO!U245</f>
        <v>0</v>
      </c>
      <c r="V245" s="15">
        <f>AGOSTO!V245+SEPTIEMBRE!AL245</f>
        <v>0</v>
      </c>
      <c r="W245" s="15">
        <f>AGOSTO!W245+SEPTIEMBRE!AM245</f>
        <v>152517826</v>
      </c>
      <c r="X245" s="18">
        <f t="shared" si="205"/>
        <v>152517826</v>
      </c>
      <c r="Y245" s="19">
        <f>AGOSTO!AA245</f>
        <v>0</v>
      </c>
      <c r="Z245" s="364">
        <v>0</v>
      </c>
      <c r="AA245" s="18">
        <f t="shared" si="206"/>
        <v>0</v>
      </c>
      <c r="AB245" s="19">
        <f>AGOSTO!AD245</f>
        <v>0</v>
      </c>
      <c r="AC245" s="364">
        <v>0</v>
      </c>
      <c r="AD245" s="18">
        <f t="shared" si="207"/>
        <v>0</v>
      </c>
      <c r="AE245" s="19">
        <f>AGOSTO!AG245</f>
        <v>0</v>
      </c>
      <c r="AF245" s="364">
        <v>0</v>
      </c>
      <c r="AG245" s="18">
        <f t="shared" si="208"/>
        <v>0</v>
      </c>
      <c r="AH245" s="19">
        <f t="shared" si="209"/>
        <v>152517826</v>
      </c>
      <c r="AI245" s="15">
        <f t="shared" si="210"/>
        <v>152517826</v>
      </c>
      <c r="AJ245" s="16">
        <f t="shared" si="211"/>
        <v>152517826</v>
      </c>
      <c r="AK245" s="9"/>
      <c r="AL245" s="362">
        <v>0</v>
      </c>
      <c r="AM245" s="365">
        <v>0</v>
      </c>
    </row>
    <row r="246" spans="1:70" ht="24.95" customHeight="1">
      <c r="A246" s="734"/>
      <c r="B246" s="644"/>
      <c r="C246" s="372"/>
      <c r="D246" s="372"/>
      <c r="E246" s="372"/>
      <c r="F246" s="372"/>
      <c r="G246" s="372"/>
      <c r="H246" s="372"/>
      <c r="I246" s="451"/>
      <c r="J246" s="372"/>
      <c r="K246" s="372"/>
      <c r="L246" s="451"/>
      <c r="M246" s="372"/>
      <c r="N246" s="9"/>
      <c r="O246" s="372"/>
      <c r="P246" s="9"/>
      <c r="Q246" s="9"/>
      <c r="S246" s="689" t="str">
        <f>+IF(AGOSTO!S246=0,"",AGOSTO!S246)</f>
        <v>8002100-3</v>
      </c>
      <c r="T246" s="665" t="str">
        <f>+IF(AGOSTO!T246=0,"",AGOSTO!T246)</f>
        <v>Programas Especial 02</v>
      </c>
      <c r="U246" s="27">
        <f>+ENERO!U246</f>
        <v>0</v>
      </c>
      <c r="V246" s="15">
        <f>AGOSTO!V246+SEPTIEMBRE!AL246</f>
        <v>0</v>
      </c>
      <c r="W246" s="15">
        <f>AGOSTO!W246+SEPTIEMBRE!AM246</f>
        <v>0</v>
      </c>
      <c r="X246" s="18">
        <f t="shared" si="205"/>
        <v>0</v>
      </c>
      <c r="Y246" s="19">
        <f>AGOSTO!AA246</f>
        <v>0</v>
      </c>
      <c r="Z246" s="364">
        <v>0</v>
      </c>
      <c r="AA246" s="18">
        <f t="shared" si="206"/>
        <v>0</v>
      </c>
      <c r="AB246" s="19">
        <f>AGOSTO!AD246</f>
        <v>0</v>
      </c>
      <c r="AC246" s="364">
        <v>0</v>
      </c>
      <c r="AD246" s="18">
        <f t="shared" si="207"/>
        <v>0</v>
      </c>
      <c r="AE246" s="19">
        <f>AGOSTO!AG246</f>
        <v>0</v>
      </c>
      <c r="AF246" s="364">
        <v>0</v>
      </c>
      <c r="AG246" s="18">
        <f t="shared" si="208"/>
        <v>0</v>
      </c>
      <c r="AH246" s="19">
        <f t="shared" si="209"/>
        <v>0</v>
      </c>
      <c r="AI246" s="15">
        <f t="shared" si="210"/>
        <v>0</v>
      </c>
      <c r="AJ246" s="16">
        <f t="shared" si="211"/>
        <v>0</v>
      </c>
      <c r="AK246" s="9"/>
      <c r="AL246" s="362">
        <v>0</v>
      </c>
      <c r="AM246" s="365">
        <v>0</v>
      </c>
    </row>
    <row r="247" spans="1:70" ht="24.95" customHeight="1">
      <c r="A247" s="734"/>
      <c r="B247" s="644"/>
      <c r="C247" s="372"/>
      <c r="D247" s="372"/>
      <c r="E247" s="372"/>
      <c r="F247" s="372"/>
      <c r="G247" s="372"/>
      <c r="H247" s="372"/>
      <c r="I247" s="451"/>
      <c r="J247" s="372"/>
      <c r="K247" s="372"/>
      <c r="L247" s="451"/>
      <c r="M247" s="372"/>
      <c r="N247" s="9"/>
      <c r="O247" s="372"/>
      <c r="P247" s="9"/>
      <c r="Q247" s="9"/>
      <c r="S247" s="689" t="str">
        <f>+IF(AGOSTO!S247=0,"",AGOSTO!S247)</f>
        <v>8002100-4</v>
      </c>
      <c r="T247" s="665" t="str">
        <f>+IF(AGOSTO!T247=0,"",AGOSTO!T247)</f>
        <v>Programas Especial 03</v>
      </c>
      <c r="U247" s="27">
        <f>+ENERO!U247</f>
        <v>0</v>
      </c>
      <c r="V247" s="15">
        <f>AGOSTO!V247+SEPTIEMBRE!AL247</f>
        <v>0</v>
      </c>
      <c r="W247" s="15">
        <f>AGOSTO!W247+SEPTIEMBRE!AM247</f>
        <v>193911300</v>
      </c>
      <c r="X247" s="18">
        <f t="shared" si="205"/>
        <v>193911300</v>
      </c>
      <c r="Y247" s="19">
        <f>AGOSTO!AA247</f>
        <v>135351040</v>
      </c>
      <c r="Z247" s="364">
        <v>120000</v>
      </c>
      <c r="AA247" s="18">
        <f t="shared" si="206"/>
        <v>135471040</v>
      </c>
      <c r="AB247" s="19">
        <f>AGOSTO!AD247</f>
        <v>107129040</v>
      </c>
      <c r="AC247" s="364">
        <v>14231000</v>
      </c>
      <c r="AD247" s="18">
        <f t="shared" si="207"/>
        <v>121360040</v>
      </c>
      <c r="AE247" s="19">
        <f>AGOSTO!AG247</f>
        <v>90846600</v>
      </c>
      <c r="AF247" s="364">
        <v>28342000</v>
      </c>
      <c r="AG247" s="18">
        <f t="shared" si="208"/>
        <v>119188600</v>
      </c>
      <c r="AH247" s="19">
        <f t="shared" si="209"/>
        <v>58440260</v>
      </c>
      <c r="AI247" s="15">
        <f t="shared" si="210"/>
        <v>72551260</v>
      </c>
      <c r="AJ247" s="16">
        <f t="shared" si="211"/>
        <v>74722700</v>
      </c>
      <c r="AK247" s="9"/>
      <c r="AL247" s="362">
        <v>0</v>
      </c>
      <c r="AM247" s="365">
        <v>0</v>
      </c>
    </row>
    <row r="248" spans="1:70" ht="24.95" customHeight="1">
      <c r="A248" s="734"/>
      <c r="B248" s="644"/>
      <c r="C248" s="372"/>
      <c r="D248" s="372"/>
      <c r="E248" s="372"/>
      <c r="F248" s="372"/>
      <c r="G248" s="372"/>
      <c r="H248" s="372"/>
      <c r="I248" s="451"/>
      <c r="J248" s="372"/>
      <c r="K248" s="372"/>
      <c r="L248" s="451"/>
      <c r="M248" s="372"/>
      <c r="N248" s="9"/>
      <c r="O248" s="372"/>
      <c r="P248" s="9"/>
      <c r="Q248" s="9"/>
      <c r="S248" s="689" t="str">
        <f>+IF(AGOSTO!S248=0,"",AGOSTO!S248)</f>
        <v>8002100-5</v>
      </c>
      <c r="T248" s="665" t="str">
        <f>+IF(AGOSTO!T248=0,"",AGOSTO!T248)</f>
        <v>Programas Especial 04</v>
      </c>
      <c r="U248" s="27">
        <f>+ENERO!U248</f>
        <v>500000000</v>
      </c>
      <c r="V248" s="15">
        <f>AGOSTO!V248+SEPTIEMBRE!AL248</f>
        <v>0</v>
      </c>
      <c r="W248" s="15">
        <f>AGOSTO!W248+SEPTIEMBRE!AM248</f>
        <v>2619976000</v>
      </c>
      <c r="X248" s="18">
        <f t="shared" si="205"/>
        <v>3119976000</v>
      </c>
      <c r="Y248" s="19">
        <f>AGOSTO!AA248</f>
        <v>2183689603</v>
      </c>
      <c r="Z248" s="364">
        <v>0</v>
      </c>
      <c r="AA248" s="18">
        <f t="shared" si="206"/>
        <v>2183689603</v>
      </c>
      <c r="AB248" s="19">
        <f>AGOSTO!AD248</f>
        <v>2183095998</v>
      </c>
      <c r="AC248" s="364">
        <v>0</v>
      </c>
      <c r="AD248" s="18">
        <f t="shared" si="207"/>
        <v>2183095998</v>
      </c>
      <c r="AE248" s="19">
        <f>AGOSTO!AG248</f>
        <v>2183095998</v>
      </c>
      <c r="AF248" s="364">
        <v>0</v>
      </c>
      <c r="AG248" s="18">
        <f t="shared" si="208"/>
        <v>2183095998</v>
      </c>
      <c r="AH248" s="19">
        <f t="shared" si="209"/>
        <v>936286397</v>
      </c>
      <c r="AI248" s="15">
        <f t="shared" si="210"/>
        <v>936880002</v>
      </c>
      <c r="AJ248" s="16">
        <f t="shared" si="211"/>
        <v>936880002</v>
      </c>
      <c r="AK248" s="9"/>
      <c r="AL248" s="362">
        <v>0</v>
      </c>
      <c r="AM248" s="365">
        <v>0</v>
      </c>
    </row>
    <row r="249" spans="1:70" ht="24.95" customHeight="1">
      <c r="A249" s="734"/>
      <c r="B249" s="644"/>
      <c r="C249" s="372"/>
      <c r="D249" s="372"/>
      <c r="E249" s="372"/>
      <c r="F249" s="372"/>
      <c r="G249" s="372"/>
      <c r="H249" s="372"/>
      <c r="I249" s="451"/>
      <c r="J249" s="372"/>
      <c r="K249" s="372"/>
      <c r="L249" s="451"/>
      <c r="M249" s="372"/>
      <c r="N249" s="9"/>
      <c r="O249" s="372"/>
      <c r="P249" s="9"/>
      <c r="Q249" s="9"/>
      <c r="S249" s="689" t="str">
        <f>+IF(AGOSTO!S249=0,"",AGOSTO!S249)</f>
        <v>8002100-6</v>
      </c>
      <c r="T249" s="665" t="str">
        <f>+IF(AGOSTO!T249=0,"",AGOSTO!T249)</f>
        <v>Programas Especial 05</v>
      </c>
      <c r="U249" s="27">
        <f>+ENERO!U249</f>
        <v>0</v>
      </c>
      <c r="V249" s="15">
        <f>AGOSTO!V249+SEPTIEMBRE!AL249</f>
        <v>0</v>
      </c>
      <c r="W249" s="15">
        <f>AGOSTO!W249+SEPTIEMBRE!AM249</f>
        <v>20000000</v>
      </c>
      <c r="X249" s="18">
        <f t="shared" si="205"/>
        <v>20000000</v>
      </c>
      <c r="Y249" s="19">
        <f>AGOSTO!AA249</f>
        <v>0</v>
      </c>
      <c r="Z249" s="364">
        <v>0</v>
      </c>
      <c r="AA249" s="18">
        <f t="shared" si="206"/>
        <v>0</v>
      </c>
      <c r="AB249" s="19">
        <f>AGOSTO!AD249</f>
        <v>0</v>
      </c>
      <c r="AC249" s="364">
        <v>0</v>
      </c>
      <c r="AD249" s="18">
        <f t="shared" si="207"/>
        <v>0</v>
      </c>
      <c r="AE249" s="19">
        <f>AGOSTO!AG249</f>
        <v>0</v>
      </c>
      <c r="AF249" s="364">
        <v>0</v>
      </c>
      <c r="AG249" s="1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451"/>
      <c r="J250" s="372"/>
      <c r="K250" s="372"/>
      <c r="L250" s="451"/>
      <c r="M250" s="372"/>
      <c r="N250" s="9"/>
      <c r="O250" s="372"/>
      <c r="P250" s="9"/>
      <c r="Q250" s="9"/>
      <c r="S250" s="689" t="str">
        <f>+IF(AGOSTO!S250=0,"",AGOSTO!S250)</f>
        <v>8002100-7</v>
      </c>
      <c r="T250" s="665" t="str">
        <f>+IF(AGOSTO!T250=0,"",AGOSTO!T250)</f>
        <v>Programas Especial 06</v>
      </c>
      <c r="U250" s="27">
        <f>+ENERO!U250</f>
        <v>0</v>
      </c>
      <c r="V250" s="15">
        <f>AGOSTO!V250+SEPTIEMBRE!AL250</f>
        <v>0</v>
      </c>
      <c r="W250" s="15">
        <f>AGOSTO!W250+SEPTIEMBRE!AM250</f>
        <v>9358200000</v>
      </c>
      <c r="X250" s="18">
        <f>SUM(U250:W250)</f>
        <v>9358200000</v>
      </c>
      <c r="Y250" s="19">
        <f>AGOSTO!AA250</f>
        <v>3234732389</v>
      </c>
      <c r="Z250" s="364">
        <v>311872307</v>
      </c>
      <c r="AA250" s="18">
        <f>SUM(Y250:Z250)</f>
        <v>3546604696</v>
      </c>
      <c r="AB250" s="19">
        <f>AGOSTO!AD250</f>
        <v>2080350114</v>
      </c>
      <c r="AC250" s="364">
        <v>472238564</v>
      </c>
      <c r="AD250" s="18">
        <f>SUM(AB250:AC250)</f>
        <v>2552588678</v>
      </c>
      <c r="AE250" s="19">
        <f>AGOSTO!AG250</f>
        <v>1278804942</v>
      </c>
      <c r="AF250" s="364">
        <v>197849536</v>
      </c>
      <c r="AG250" s="18">
        <f>SUM(AE250:AF250)</f>
        <v>1476654478</v>
      </c>
      <c r="AH250" s="19">
        <f>X250-AA250</f>
        <v>5811595304</v>
      </c>
      <c r="AI250" s="15">
        <f>X250-AD250</f>
        <v>6805611322</v>
      </c>
      <c r="AJ250" s="16">
        <f>X250-AG250</f>
        <v>7881545522</v>
      </c>
      <c r="AK250" s="9"/>
      <c r="AL250" s="362">
        <v>0</v>
      </c>
      <c r="AM250" s="365">
        <v>0</v>
      </c>
    </row>
    <row r="251" spans="1:70" ht="24.95" customHeight="1">
      <c r="A251" s="734"/>
      <c r="B251" s="644"/>
      <c r="C251" s="372"/>
      <c r="D251" s="372"/>
      <c r="E251" s="372"/>
      <c r="F251" s="372"/>
      <c r="G251" s="372"/>
      <c r="H251" s="372"/>
      <c r="I251" s="451"/>
      <c r="J251" s="372"/>
      <c r="K251" s="372"/>
      <c r="L251" s="451"/>
      <c r="M251" s="372"/>
      <c r="N251" s="9"/>
      <c r="O251" s="372"/>
      <c r="P251" s="9"/>
      <c r="Q251" s="9"/>
      <c r="S251" s="689" t="str">
        <f>+IF(AGOSTO!S251=0,"",AGOSTO!S251)</f>
        <v>8002100-8</v>
      </c>
      <c r="T251" s="665" t="str">
        <f>+IF(AGOSTO!T251=0,"",AGOSTO!T251)</f>
        <v>Programas Especial 07</v>
      </c>
      <c r="U251" s="27">
        <f>+ENERO!U251</f>
        <v>0</v>
      </c>
      <c r="V251" s="15">
        <f>AGOSTO!V251+SEPTIEMBRE!AL251</f>
        <v>0</v>
      </c>
      <c r="W251" s="15">
        <f>AGOSTO!W251+SEPTIEMBRE!AM251</f>
        <v>0</v>
      </c>
      <c r="X251" s="18">
        <f>SUM(U251:W251)</f>
        <v>0</v>
      </c>
      <c r="Y251" s="19">
        <f>AGOSTO!AA251</f>
        <v>0</v>
      </c>
      <c r="Z251" s="364">
        <v>0</v>
      </c>
      <c r="AA251" s="18">
        <f>SUM(Y251:Z251)</f>
        <v>0</v>
      </c>
      <c r="AB251" s="19">
        <f>AGOSTO!AD251</f>
        <v>0</v>
      </c>
      <c r="AC251" s="364">
        <v>0</v>
      </c>
      <c r="AD251" s="18">
        <f>SUM(AB251:AC251)</f>
        <v>0</v>
      </c>
      <c r="AE251" s="19">
        <f>AGOSTO!AG251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451"/>
      <c r="J252" s="372"/>
      <c r="K252" s="372"/>
      <c r="L252" s="451"/>
      <c r="M252" s="372"/>
      <c r="N252" s="9"/>
      <c r="O252" s="372"/>
      <c r="P252" s="9"/>
      <c r="Q252" s="9"/>
      <c r="S252" s="689" t="str">
        <f>+IF(AGOSTO!S252=0,"",AGOSTO!S252)</f>
        <v>8002100-9</v>
      </c>
      <c r="T252" s="665" t="str">
        <f>+IF(AGOSTO!T252=0,"",AGOSTO!T252)</f>
        <v>Programas Especial 08</v>
      </c>
      <c r="U252" s="27">
        <f>+ENERO!U252</f>
        <v>0</v>
      </c>
      <c r="V252" s="15">
        <f>AGOSTO!V252+SEPTIEMBRE!AL252</f>
        <v>0</v>
      </c>
      <c r="W252" s="15">
        <f>AGOSTO!W252+SEPTIEMBRE!AM252</f>
        <v>0</v>
      </c>
      <c r="X252" s="18">
        <f>SUM(U252:W252)</f>
        <v>0</v>
      </c>
      <c r="Y252" s="19">
        <f>AGOSTO!AA252</f>
        <v>0</v>
      </c>
      <c r="Z252" s="364">
        <v>0</v>
      </c>
      <c r="AA252" s="18">
        <f>SUM(Y252:Z252)</f>
        <v>0</v>
      </c>
      <c r="AB252" s="19">
        <f>AGOSTO!AD252</f>
        <v>0</v>
      </c>
      <c r="AC252" s="364">
        <v>0</v>
      </c>
      <c r="AD252" s="18">
        <f>SUM(AB252:AC252)</f>
        <v>0</v>
      </c>
      <c r="AE252" s="19">
        <f>AGOSTO!AG252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451"/>
      <c r="J253" s="372"/>
      <c r="K253" s="372"/>
      <c r="L253" s="451"/>
      <c r="M253" s="372"/>
      <c r="N253" s="9"/>
      <c r="O253" s="372"/>
      <c r="P253" s="9"/>
      <c r="Q253" s="9"/>
      <c r="S253" s="689" t="str">
        <f>+IF(AGOSTO!S253=0,"",AGOSTO!S253)</f>
        <v>8002100-10</v>
      </c>
      <c r="T253" s="665" t="str">
        <f>+IF(AGOSTO!T253=0,"",AGOSTO!T253)</f>
        <v>Programas Especial 09</v>
      </c>
      <c r="U253" s="27">
        <f>+ENERO!U253</f>
        <v>0</v>
      </c>
      <c r="V253" s="15">
        <f>AGOSTO!V253+SEPTIEMBRE!AL253</f>
        <v>0</v>
      </c>
      <c r="W253" s="15">
        <f>AGOSTO!W253+SEPTIEMBRE!AM253</f>
        <v>0</v>
      </c>
      <c r="X253" s="18">
        <f>SUM(U253:W253)</f>
        <v>0</v>
      </c>
      <c r="Y253" s="19">
        <f>AGOSTO!AA253</f>
        <v>0</v>
      </c>
      <c r="Z253" s="364">
        <v>0</v>
      </c>
      <c r="AA253" s="18">
        <f>SUM(Y253:Z253)</f>
        <v>0</v>
      </c>
      <c r="AB253" s="19">
        <f>AGOSTO!AD253</f>
        <v>0</v>
      </c>
      <c r="AC253" s="364">
        <v>0</v>
      </c>
      <c r="AD253" s="18">
        <f>SUM(AB253:AC253)</f>
        <v>0</v>
      </c>
      <c r="AE253" s="19">
        <f>AGOSTO!AG253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451"/>
      <c r="J254" s="372"/>
      <c r="K254" s="372"/>
      <c r="L254" s="451"/>
      <c r="M254" s="372"/>
      <c r="N254" s="9"/>
      <c r="O254" s="372"/>
      <c r="P254" s="9"/>
      <c r="Q254" s="9"/>
      <c r="S254" s="689" t="str">
        <f>+IF(AGOSTO!S254=0,"",AGOSTO!S254)</f>
        <v>8002100-11</v>
      </c>
      <c r="T254" s="665" t="str">
        <f>+IF(AGOSTO!T254=0,"",AGOSTO!T254)</f>
        <v>Programas Especial 10</v>
      </c>
      <c r="U254" s="27">
        <f>+ENERO!U254</f>
        <v>0</v>
      </c>
      <c r="V254" s="15">
        <f>AGOSTO!V254+SEPTIEMBRE!AL254</f>
        <v>0</v>
      </c>
      <c r="W254" s="15">
        <f>AGOSTO!W254+SEPTIEMBRE!AM254</f>
        <v>0</v>
      </c>
      <c r="X254" s="18">
        <f>SUM(U254:W254)</f>
        <v>0</v>
      </c>
      <c r="Y254" s="19">
        <f>AGOSTO!AA254</f>
        <v>0</v>
      </c>
      <c r="Z254" s="364">
        <v>0</v>
      </c>
      <c r="AA254" s="18">
        <f>SUM(Y254:Z254)</f>
        <v>0</v>
      </c>
      <c r="AB254" s="19">
        <f>AGOSTO!AD254</f>
        <v>0</v>
      </c>
      <c r="AC254" s="364">
        <v>0</v>
      </c>
      <c r="AD254" s="18">
        <f>SUM(AB254:AC254)</f>
        <v>0</v>
      </c>
      <c r="AE254" s="19">
        <f>AGOSTO!AG254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451"/>
      <c r="J255" s="372"/>
      <c r="K255" s="372"/>
      <c r="L255" s="451"/>
      <c r="M255" s="372"/>
      <c r="N255" s="9"/>
      <c r="O255" s="372"/>
      <c r="P255" s="9"/>
      <c r="Q255" s="9"/>
      <c r="S255" s="689" t="str">
        <f>+IF(AGOSTO!S255=0,"",AGOSTO!S255)</f>
        <v>8002100-12</v>
      </c>
      <c r="T255" s="665" t="str">
        <f>+IF(AGOSTO!T255=0,"",AGOSTO!T255)</f>
        <v>Programas Especial 11</v>
      </c>
      <c r="U255" s="27">
        <f>+ENERO!U255</f>
        <v>0</v>
      </c>
      <c r="V255" s="15">
        <f>AGOSTO!V255+SEPTIEMBRE!AL255</f>
        <v>0</v>
      </c>
      <c r="W255" s="15">
        <f>AGOSTO!W255+SEPTIEMBRE!AM255</f>
        <v>0</v>
      </c>
      <c r="X255" s="18">
        <f t="shared" si="205"/>
        <v>0</v>
      </c>
      <c r="Y255" s="19">
        <f>AGOSTO!AA255</f>
        <v>0</v>
      </c>
      <c r="Z255" s="364">
        <v>0</v>
      </c>
      <c r="AA255" s="18">
        <f t="shared" si="206"/>
        <v>0</v>
      </c>
      <c r="AB255" s="19">
        <f>AGOSTO!AD255</f>
        <v>0</v>
      </c>
      <c r="AC255" s="364">
        <v>0</v>
      </c>
      <c r="AD255" s="18">
        <f t="shared" si="207"/>
        <v>0</v>
      </c>
      <c r="AE255" s="19">
        <f>AGOSTO!AG255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451"/>
      <c r="J256" s="372"/>
      <c r="K256" s="372"/>
      <c r="L256" s="451"/>
      <c r="M256" s="372"/>
      <c r="N256" s="9"/>
      <c r="O256" s="372"/>
      <c r="P256" s="9"/>
      <c r="Q256" s="9"/>
      <c r="S256" s="698">
        <f>+IF(AGOSTO!S256=0,"",AGOSTO!S256)</f>
        <v>8002999</v>
      </c>
      <c r="T256" s="680" t="str">
        <f>+IF(AGOSTO!T256=0,"",AGOSTO!T256)</f>
        <v>Vigencias Anteriores</v>
      </c>
      <c r="U256" s="133">
        <f>+ENERO!U256</f>
        <v>0</v>
      </c>
      <c r="V256" s="121">
        <f>AGOSTO!V256+SEPTIEMBRE!AL256</f>
        <v>0</v>
      </c>
      <c r="W256" s="121">
        <f>AGOSTO!W256+SEPTIEMBRE!AM256</f>
        <v>475291402</v>
      </c>
      <c r="X256" s="126">
        <f t="shared" si="205"/>
        <v>475291402</v>
      </c>
      <c r="Y256" s="124">
        <f>AGOSTO!AA256</f>
        <v>466539484</v>
      </c>
      <c r="Z256" s="378">
        <v>0</v>
      </c>
      <c r="AA256" s="126">
        <f t="shared" si="206"/>
        <v>466539484</v>
      </c>
      <c r="AB256" s="124">
        <f>AGOSTO!AD256</f>
        <v>466539484</v>
      </c>
      <c r="AC256" s="378">
        <v>0</v>
      </c>
      <c r="AD256" s="126">
        <f t="shared" si="207"/>
        <v>466539484</v>
      </c>
      <c r="AE256" s="124">
        <f>AGOSTO!AG256</f>
        <v>466539484</v>
      </c>
      <c r="AF256" s="378">
        <v>0</v>
      </c>
      <c r="AG256" s="126">
        <f t="shared" si="208"/>
        <v>466539484</v>
      </c>
      <c r="AH256" s="124">
        <f t="shared" si="209"/>
        <v>8751918</v>
      </c>
      <c r="AI256" s="121">
        <f t="shared" si="210"/>
        <v>8751918</v>
      </c>
      <c r="AJ256" s="125">
        <f t="shared" si="211"/>
        <v>8751918</v>
      </c>
      <c r="AK256" s="9"/>
      <c r="AL256" s="374">
        <v>0</v>
      </c>
      <c r="AM256" s="379">
        <v>0</v>
      </c>
    </row>
    <row r="257" spans="1:39" ht="24.95" customHeight="1" thickBot="1">
      <c r="A257" s="734"/>
      <c r="B257" s="644"/>
      <c r="C257" s="372"/>
      <c r="D257" s="372"/>
      <c r="E257" s="372"/>
      <c r="F257" s="372"/>
      <c r="G257" s="372"/>
      <c r="H257" s="372"/>
      <c r="I257" s="451"/>
      <c r="J257" s="372"/>
      <c r="K257" s="372"/>
      <c r="L257" s="451"/>
      <c r="M257" s="372"/>
      <c r="N257" s="9"/>
      <c r="O257" s="372"/>
      <c r="P257" s="9"/>
      <c r="Q257" s="9"/>
      <c r="S257" s="485" t="str">
        <f>+IF(AGOSTO!S257=0,"",AGOSTO!S257)</f>
        <v/>
      </c>
      <c r="T257" s="677" t="str">
        <f>+IF(AGOSTO!T257=0,"",AGOSTO!T257)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2">+(D10+D17+D113)-(V10+V193+V220+V232)</f>
        <v>0</v>
      </c>
      <c r="W258" s="330">
        <f t="shared" si="212"/>
        <v>0</v>
      </c>
      <c r="X258" s="330">
        <f t="shared" si="212"/>
        <v>0</v>
      </c>
      <c r="Y258" s="330">
        <f t="shared" si="212"/>
        <v>-6370618846</v>
      </c>
      <c r="Z258" s="330">
        <f t="shared" si="212"/>
        <v>5734650419</v>
      </c>
      <c r="AA258" s="330">
        <f t="shared" si="212"/>
        <v>-635968427</v>
      </c>
      <c r="AB258" s="330">
        <f t="shared" si="212"/>
        <v>-5464894118.2400055</v>
      </c>
      <c r="AC258" s="330">
        <f t="shared" si="212"/>
        <v>-2150249298</v>
      </c>
      <c r="AD258" s="330">
        <f t="shared" si="212"/>
        <v>-7615143416.2399979</v>
      </c>
      <c r="AE258" s="330">
        <f t="shared" si="212"/>
        <v>-35780930534</v>
      </c>
      <c r="AF258" s="330">
        <f t="shared" si="212"/>
        <v>34368940150.240005</v>
      </c>
      <c r="AG258" s="330">
        <f t="shared" si="212"/>
        <v>-54928363449</v>
      </c>
      <c r="AH258" s="330">
        <f t="shared" si="212"/>
        <v>-13069562941</v>
      </c>
      <c r="AI258" s="330">
        <f t="shared" si="212"/>
        <v>-32195698281</v>
      </c>
      <c r="AJ258" s="768">
        <f t="shared" si="212"/>
        <v>-51234901711</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562</v>
      </c>
      <c r="T260" s="786"/>
      <c r="U260" s="761">
        <f>+U8-U262</f>
        <v>62391028787</v>
      </c>
      <c r="V260" s="761">
        <f t="shared" ref="V260:AJ260" si="213">+V8-V262</f>
        <v>-3175127711</v>
      </c>
      <c r="W260" s="761">
        <f t="shared" si="213"/>
        <v>26526213520</v>
      </c>
      <c r="X260" s="761">
        <f t="shared" si="213"/>
        <v>85742114596</v>
      </c>
      <c r="Y260" s="761">
        <f t="shared" si="213"/>
        <v>70475121497</v>
      </c>
      <c r="Z260" s="761">
        <f t="shared" si="213"/>
        <v>2506574104</v>
      </c>
      <c r="AA260" s="761">
        <f t="shared" si="213"/>
        <v>72981695601</v>
      </c>
      <c r="AB260" s="761">
        <f t="shared" si="213"/>
        <v>51070441974</v>
      </c>
      <c r="AC260" s="761">
        <f t="shared" si="213"/>
        <v>5290920942</v>
      </c>
      <c r="AD260" s="761">
        <f t="shared" si="213"/>
        <v>56361362916</v>
      </c>
      <c r="AE260" s="761">
        <f t="shared" si="213"/>
        <v>34289989056</v>
      </c>
      <c r="AF260" s="761">
        <f t="shared" si="213"/>
        <v>4519780351</v>
      </c>
      <c r="AG260" s="761">
        <f t="shared" si="213"/>
        <v>38809769407</v>
      </c>
      <c r="AH260" s="761">
        <f t="shared" si="213"/>
        <v>12760418995</v>
      </c>
      <c r="AI260" s="761">
        <f t="shared" si="213"/>
        <v>29380751680</v>
      </c>
      <c r="AJ260" s="762">
        <f t="shared" si="213"/>
        <v>46932345189</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563</v>
      </c>
      <c r="T262" s="788"/>
      <c r="U262" s="765">
        <f>+SUMIF($T$8:$T$256,$T$33,U8:U256)</f>
        <v>4029331818</v>
      </c>
      <c r="V262" s="765">
        <f t="shared" ref="V262:AJ262" si="214">+SUMIF($T$8:$T$256,$T$33,V8:V256)</f>
        <v>3175127711</v>
      </c>
      <c r="W262" s="765">
        <f t="shared" si="214"/>
        <v>13216691035</v>
      </c>
      <c r="X262" s="765">
        <f t="shared" si="214"/>
        <v>20421150564</v>
      </c>
      <c r="Y262" s="765">
        <f t="shared" si="214"/>
        <v>19886253095</v>
      </c>
      <c r="Z262" s="765">
        <f t="shared" si="214"/>
        <v>225753523</v>
      </c>
      <c r="AA262" s="765">
        <f t="shared" si="214"/>
        <v>20112006618</v>
      </c>
      <c r="AB262" s="765">
        <f t="shared" si="214"/>
        <v>15892840519</v>
      </c>
      <c r="AC262" s="765">
        <f t="shared" si="214"/>
        <v>1713363444</v>
      </c>
      <c r="AD262" s="765">
        <f t="shared" si="214"/>
        <v>17606203963</v>
      </c>
      <c r="AE262" s="765">
        <f t="shared" si="214"/>
        <v>15196472846</v>
      </c>
      <c r="AF262" s="765">
        <f t="shared" si="214"/>
        <v>922121196</v>
      </c>
      <c r="AG262" s="765">
        <f t="shared" si="214"/>
        <v>16118594042</v>
      </c>
      <c r="AH262" s="765">
        <f t="shared" si="214"/>
        <v>309143946</v>
      </c>
      <c r="AI262" s="765">
        <f t="shared" si="214"/>
        <v>2814946601</v>
      </c>
      <c r="AJ262" s="789">
        <f t="shared" si="214"/>
        <v>4302556522</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39742904555</v>
      </c>
      <c r="X264" s="783">
        <f t="shared" si="215"/>
        <v>106163265160</v>
      </c>
      <c r="Y264" s="783">
        <f t="shared" si="215"/>
        <v>90361374592</v>
      </c>
      <c r="Z264" s="783">
        <f t="shared" si="215"/>
        <v>2732327627</v>
      </c>
      <c r="AA264" s="783">
        <f t="shared" si="215"/>
        <v>93093702219</v>
      </c>
      <c r="AB264" s="783">
        <f t="shared" si="215"/>
        <v>66963282493</v>
      </c>
      <c r="AC264" s="783">
        <f t="shared" si="215"/>
        <v>7004284386</v>
      </c>
      <c r="AD264" s="783">
        <f t="shared" si="215"/>
        <v>73967566879</v>
      </c>
      <c r="AE264" s="783">
        <f t="shared" si="215"/>
        <v>49486461902</v>
      </c>
      <c r="AF264" s="783">
        <f t="shared" si="215"/>
        <v>5441901547</v>
      </c>
      <c r="AG264" s="783">
        <f t="shared" si="215"/>
        <v>54928363449</v>
      </c>
      <c r="AH264" s="783">
        <f t="shared" si="215"/>
        <v>13069562941</v>
      </c>
      <c r="AI264" s="783">
        <f t="shared" si="215"/>
        <v>32195698281</v>
      </c>
      <c r="AJ264" s="784">
        <f t="shared" si="215"/>
        <v>51234901711</v>
      </c>
    </row>
  </sheetData>
  <sheetProtection password="ECF6" sheet="1" objects="1" scenarios="1" formatCells="0" formatColumns="0"/>
  <mergeCells count="48">
    <mergeCell ref="S5:S6"/>
    <mergeCell ref="A5:A6"/>
    <mergeCell ref="B5:B6"/>
    <mergeCell ref="N3:N4"/>
    <mergeCell ref="L3:M4"/>
    <mergeCell ref="C5:F5"/>
    <mergeCell ref="S259:T259"/>
    <mergeCell ref="BM5:BM6"/>
    <mergeCell ref="AL2:AM2"/>
    <mergeCell ref="BB2:BC2"/>
    <mergeCell ref="BB3:BC3"/>
    <mergeCell ref="AE5:AG5"/>
    <mergeCell ref="BL5:BL6"/>
    <mergeCell ref="AW4:AZ4"/>
    <mergeCell ref="BH5:BK5"/>
    <mergeCell ref="T3:T4"/>
    <mergeCell ref="BF5:BF6"/>
    <mergeCell ref="AH5:AJ5"/>
    <mergeCell ref="T5:T6"/>
    <mergeCell ref="V3:X4"/>
    <mergeCell ref="BG3:BI3"/>
    <mergeCell ref="AL3:AL5"/>
    <mergeCell ref="BM2:BO2"/>
    <mergeCell ref="BM3:BO3"/>
    <mergeCell ref="V2:X2"/>
    <mergeCell ref="Y3:AG4"/>
    <mergeCell ref="Y2:AG2"/>
    <mergeCell ref="AH3:AI4"/>
    <mergeCell ref="AJ3:AJ4"/>
    <mergeCell ref="AH2:AI2"/>
    <mergeCell ref="BG2:BI2"/>
    <mergeCell ref="AM3:AM5"/>
    <mergeCell ref="AW19:AZ19"/>
    <mergeCell ref="C1:J1"/>
    <mergeCell ref="B3:B4"/>
    <mergeCell ref="D3:E4"/>
    <mergeCell ref="F3:K4"/>
    <mergeCell ref="A1:B1"/>
    <mergeCell ref="K1:N1"/>
    <mergeCell ref="D2:E2"/>
    <mergeCell ref="P2:Q2"/>
    <mergeCell ref="L2:M2"/>
    <mergeCell ref="AB5:AD5"/>
    <mergeCell ref="G5:I5"/>
    <mergeCell ref="P3:P5"/>
    <mergeCell ref="M5:N5"/>
    <mergeCell ref="J5:L5"/>
    <mergeCell ref="Q3:Q5"/>
  </mergeCells>
  <phoneticPr fontId="1" type="noConversion"/>
  <conditionalFormatting sqref="B5:B7">
    <cfRule type="expression" dxfId="3"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BS264"/>
  <sheetViews>
    <sheetView showGridLines="0" topLeftCell="A64" zoomScale="80" zoomScaleNormal="80" workbookViewId="0">
      <selection activeCell="H27" sqref="H27"/>
    </sheetView>
  </sheetViews>
  <sheetFormatPr baseColWidth="10" defaultColWidth="0" defaultRowHeight="24.95" customHeight="1"/>
  <cols>
    <col min="1" max="1" width="14" style="735" customWidth="1"/>
    <col min="2" max="2" width="51" style="645" customWidth="1"/>
    <col min="3" max="3" width="18.140625" style="262" customWidth="1"/>
    <col min="4" max="4" width="16.140625" style="262" customWidth="1"/>
    <col min="5" max="7" width="14.42578125" style="262" customWidth="1"/>
    <col min="8" max="8" width="16.28515625" style="262" bestFit="1" customWidth="1"/>
    <col min="9" max="10" width="14.42578125" style="262" customWidth="1"/>
    <col min="11" max="11" width="19.28515625"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8.85546875" style="681" customWidth="1"/>
    <col min="20" max="20" width="44.7109375" style="657" customWidth="1"/>
    <col min="21" max="21" width="17.7109375" style="262" bestFit="1" customWidth="1"/>
    <col min="22" max="23" width="14.7109375" style="262" customWidth="1"/>
    <col min="24" max="24" width="17.85546875" style="262" bestFit="1" customWidth="1"/>
    <col min="25" max="25" width="17.7109375" style="262" bestFit="1" customWidth="1"/>
    <col min="26" max="26" width="16.28515625" style="262" bestFit="1" customWidth="1"/>
    <col min="27" max="27" width="17.7109375" style="508" bestFit="1" customWidth="1"/>
    <col min="28" max="28" width="17.7109375" style="262" bestFit="1" customWidth="1"/>
    <col min="29" max="29" width="16.28515625" style="262" bestFit="1" customWidth="1"/>
    <col min="30" max="30" width="17.7109375" style="508" bestFit="1" customWidth="1"/>
    <col min="31" max="31" width="18.7109375" style="262" bestFit="1" customWidth="1"/>
    <col min="32" max="32" width="17.140625" style="262" bestFit="1" customWidth="1"/>
    <col min="33" max="33" width="18.7109375" style="508" bestFit="1"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1"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10</v>
      </c>
      <c r="AP2" s="270" t="s">
        <v>7</v>
      </c>
      <c r="AQ2" s="271"/>
      <c r="AR2" s="3"/>
      <c r="AS2" s="3"/>
      <c r="AT2" s="3"/>
      <c r="AU2" s="3"/>
      <c r="AV2" s="3"/>
      <c r="AW2" s="3"/>
      <c r="AX2" s="3"/>
      <c r="AY2" s="3"/>
      <c r="AZ2" s="4"/>
      <c r="BB2" s="941" t="s">
        <v>588</v>
      </c>
      <c r="BC2" s="958"/>
      <c r="BD2" s="51" t="s">
        <v>380</v>
      </c>
      <c r="BE2" s="268" t="str">
        <f>+L3</f>
        <v>OCTUBRE</v>
      </c>
      <c r="BF2" s="263"/>
      <c r="BG2" s="941" t="s">
        <v>589</v>
      </c>
      <c r="BH2" s="958"/>
      <c r="BI2" s="958"/>
      <c r="BJ2" s="51" t="s">
        <v>380</v>
      </c>
      <c r="BK2" s="268" t="str">
        <f>+BE2</f>
        <v>OCTUBRE</v>
      </c>
      <c r="BM2" s="941" t="s">
        <v>589</v>
      </c>
      <c r="BN2" s="958"/>
      <c r="BO2" s="958"/>
      <c r="BP2" s="51" t="s">
        <v>380</v>
      </c>
      <c r="BQ2" s="268" t="str">
        <f>+BK2</f>
        <v>OCTUBRE</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366</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OCTUBRE</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2" customHeight="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842"/>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66" t="str">
        <f>+CONCATENATE("ACUMULADO ",N3)</f>
        <v>ACUMULADO 2019</v>
      </c>
      <c r="BI5" s="967"/>
      <c r="BJ5" s="967"/>
      <c r="BK5" s="968"/>
      <c r="BM5" s="964" t="s">
        <v>32</v>
      </c>
      <c r="BN5" s="298" t="str">
        <f>+CONCATENATE("ACUMULADO ",BQ3)</f>
        <v>ACUMULADO 2019</v>
      </c>
      <c r="BO5" s="299"/>
      <c r="BP5" s="300"/>
      <c r="BQ5" s="301"/>
    </row>
    <row r="6" spans="1:69" ht="24.9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39" t="s">
        <v>42</v>
      </c>
      <c r="T6" s="992"/>
      <c r="U6" s="302" t="s">
        <v>33</v>
      </c>
      <c r="V6" s="41" t="s">
        <v>34</v>
      </c>
      <c r="W6" s="41" t="s">
        <v>35</v>
      </c>
      <c r="X6" s="42" t="s">
        <v>36</v>
      </c>
      <c r="Y6" s="303" t="s">
        <v>37</v>
      </c>
      <c r="Z6" s="41" t="s">
        <v>38</v>
      </c>
      <c r="AA6" s="843" t="s">
        <v>39</v>
      </c>
      <c r="AB6" s="303" t="s">
        <v>37</v>
      </c>
      <c r="AC6" s="41" t="s">
        <v>38</v>
      </c>
      <c r="AD6" s="843" t="s">
        <v>39</v>
      </c>
      <c r="AE6" s="303" t="s">
        <v>37</v>
      </c>
      <c r="AF6" s="41" t="s">
        <v>38</v>
      </c>
      <c r="AG6" s="843" t="s">
        <v>39</v>
      </c>
      <c r="AH6" s="303" t="s">
        <v>43</v>
      </c>
      <c r="AI6" s="41" t="s">
        <v>44</v>
      </c>
      <c r="AJ6" s="42" t="s">
        <v>22</v>
      </c>
      <c r="AL6" s="127" t="s">
        <v>41</v>
      </c>
      <c r="AM6" s="120" t="s">
        <v>452</v>
      </c>
      <c r="AO6" s="304"/>
      <c r="AP6" s="305"/>
      <c r="AQ6" s="306" t="s">
        <v>36</v>
      </c>
      <c r="AR6" s="306" t="str">
        <f>+L3</f>
        <v>OCTUBRE</v>
      </c>
      <c r="AS6" s="306" t="str">
        <f>AR6</f>
        <v>OCTUBRE</v>
      </c>
      <c r="AT6" s="306" t="str">
        <f>AR6</f>
        <v>OCTUBRE</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65"/>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828"/>
      <c r="AB7" s="164"/>
      <c r="AC7" s="164"/>
      <c r="AD7" s="828"/>
      <c r="AE7" s="164"/>
      <c r="AF7" s="164"/>
      <c r="AG7" s="828"/>
      <c r="AH7" s="164"/>
      <c r="AI7" s="164"/>
      <c r="AJ7" s="163"/>
      <c r="AK7" s="1"/>
      <c r="AL7" s="180"/>
      <c r="AM7" s="181"/>
      <c r="AO7" s="21"/>
      <c r="AP7" s="11" t="s">
        <v>52</v>
      </c>
      <c r="AQ7" s="317">
        <f>F22</f>
        <v>3910592110</v>
      </c>
      <c r="AR7" s="317">
        <f>I22</f>
        <v>3582984245</v>
      </c>
      <c r="AS7" s="317">
        <f>L22</f>
        <v>1791949339</v>
      </c>
      <c r="AT7" s="13"/>
      <c r="AU7" s="318">
        <f t="shared" ref="AU7:AU17" si="0">IF(AQ7=0," ",AR7/AQ7)</f>
        <v>0.91622550862252927</v>
      </c>
      <c r="AV7" s="318">
        <f t="shared" ref="AV7:AV17" si="1">IF(AQ7=0," ",AS7/AQ7)</f>
        <v>0.45822967177213481</v>
      </c>
      <c r="AW7" s="317">
        <f>I23/AO$2*12+I24</f>
        <v>4132673114.2000003</v>
      </c>
      <c r="AX7" s="317">
        <f>L23/AO$2*12+L24</f>
        <v>1983431227</v>
      </c>
      <c r="AY7" s="317">
        <f t="shared" ref="AY7:AY16" si="2">AW7-AQ7</f>
        <v>222081004.20000029</v>
      </c>
      <c r="AZ7" s="319">
        <f t="shared" ref="AZ7:AZ16" si="3">AX7-AQ7</f>
        <v>-1927160883</v>
      </c>
      <c r="BB7" s="320" t="s">
        <v>53</v>
      </c>
      <c r="BC7" s="54">
        <f>F10</f>
        <v>10176865038</v>
      </c>
      <c r="BD7" s="55">
        <f>I10</f>
        <v>10176865038</v>
      </c>
      <c r="BE7" s="56">
        <f>K10</f>
        <v>0</v>
      </c>
      <c r="BF7" s="57"/>
      <c r="BG7" s="91" t="s">
        <v>54</v>
      </c>
      <c r="BH7" s="116">
        <f>+SUM(BH8:BH11)</f>
        <v>42554442505</v>
      </c>
      <c r="BI7" s="116">
        <f>+SUM(BI8:BI11)</f>
        <v>36886120215</v>
      </c>
      <c r="BJ7" s="116">
        <f>+SUM(BJ8:BJ11)</f>
        <v>31849748063</v>
      </c>
      <c r="BK7" s="116">
        <f>+SUM(BK8:BK11)</f>
        <v>3246224342</v>
      </c>
      <c r="BM7" s="61" t="s">
        <v>54</v>
      </c>
      <c r="BN7" s="62">
        <f>BN8+BN15+BN22</f>
        <v>42554442505</v>
      </c>
      <c r="BO7" s="63">
        <f>BO8+BO15+BO22</f>
        <v>36886120215</v>
      </c>
      <c r="BP7" s="63">
        <f>BP8+BP15+BP22</f>
        <v>31849748063</v>
      </c>
      <c r="BQ7" s="64">
        <f>BQ8+BQ15+BQ22</f>
        <v>3246224342</v>
      </c>
    </row>
    <row r="8" spans="1:69" s="9" customFormat="1" ht="24.95" customHeight="1" thickBot="1">
      <c r="A8" s="711">
        <f>+IF(SEPTIEMBRE!A8=0,"",SEPTIEMBRE!A8)</f>
        <v>1</v>
      </c>
      <c r="B8" s="618" t="str">
        <f>+IF(SEPTIEMBRE!B8=0,"",SEPTIEMBRE!B8)</f>
        <v>INGRESOS</v>
      </c>
      <c r="C8" s="321">
        <f>C10+C17+C113</f>
        <v>66420360605</v>
      </c>
      <c r="D8" s="321">
        <f t="shared" ref="D8:Q8" si="4">D10+D17+D113</f>
        <v>0</v>
      </c>
      <c r="E8" s="321">
        <f t="shared" si="4"/>
        <v>45224901253</v>
      </c>
      <c r="F8" s="321">
        <f t="shared" si="4"/>
        <v>111645261858</v>
      </c>
      <c r="G8" s="321">
        <f t="shared" si="4"/>
        <v>92457733792</v>
      </c>
      <c r="H8" s="321">
        <f t="shared" si="4"/>
        <v>15905761730</v>
      </c>
      <c r="I8" s="321">
        <f t="shared" si="4"/>
        <v>108363495522</v>
      </c>
      <c r="J8" s="321">
        <f t="shared" si="4"/>
        <v>66352423462.760002</v>
      </c>
      <c r="K8" s="321">
        <f t="shared" si="4"/>
        <v>8617723101</v>
      </c>
      <c r="L8" s="321">
        <f t="shared" si="4"/>
        <v>74970146563.76001</v>
      </c>
      <c r="M8" s="321">
        <f t="shared" si="4"/>
        <v>3281766336</v>
      </c>
      <c r="N8" s="321">
        <f t="shared" si="4"/>
        <v>36675115294.240005</v>
      </c>
      <c r="O8" s="323"/>
      <c r="P8" s="324">
        <f t="shared" si="4"/>
        <v>0</v>
      </c>
      <c r="Q8" s="322">
        <f t="shared" si="4"/>
        <v>5481996698</v>
      </c>
      <c r="S8" s="684" t="str">
        <f>+IF(SEPTIEMBRE!S8=0,"",SEPTIEMBRE!S8)</f>
        <v/>
      </c>
      <c r="T8" s="658" t="str">
        <f>+IF(SEPTIEMBRE!T8=0,"",SEPTIEMBRE!T8)</f>
        <v>GASTOS</v>
      </c>
      <c r="U8" s="325">
        <f>U10+U193+U220+U232</f>
        <v>66420360605</v>
      </c>
      <c r="V8" s="326">
        <f t="shared" ref="V8:AJ8" si="5">V10+V193+V220+V232</f>
        <v>0</v>
      </c>
      <c r="W8" s="326">
        <f t="shared" si="5"/>
        <v>45224901253</v>
      </c>
      <c r="X8" s="327">
        <f t="shared" si="5"/>
        <v>111645261858</v>
      </c>
      <c r="Y8" s="328">
        <f t="shared" si="5"/>
        <v>93093702219</v>
      </c>
      <c r="Z8" s="326">
        <f t="shared" si="5"/>
        <v>3841908956</v>
      </c>
      <c r="AA8" s="844">
        <f t="shared" si="5"/>
        <v>96935611175</v>
      </c>
      <c r="AB8" s="328">
        <f t="shared" si="5"/>
        <v>73967566879</v>
      </c>
      <c r="AC8" s="326">
        <f t="shared" si="5"/>
        <v>6256692892</v>
      </c>
      <c r="AD8" s="844">
        <f t="shared" si="5"/>
        <v>80224259771</v>
      </c>
      <c r="AE8" s="328">
        <f t="shared" si="5"/>
        <v>54928363449</v>
      </c>
      <c r="AF8" s="326">
        <f t="shared" si="5"/>
        <v>9913005945</v>
      </c>
      <c r="AG8" s="844">
        <f t="shared" si="5"/>
        <v>64841369394</v>
      </c>
      <c r="AH8" s="328">
        <f t="shared" si="5"/>
        <v>14709650683</v>
      </c>
      <c r="AI8" s="326">
        <f t="shared" si="5"/>
        <v>31421002087</v>
      </c>
      <c r="AJ8" s="329">
        <f t="shared" si="5"/>
        <v>46803892464</v>
      </c>
      <c r="AL8" s="330">
        <f>AL10+AL193+AL220+AL232</f>
        <v>0</v>
      </c>
      <c r="AM8" s="331">
        <f>AM10+AM193+AM220+AM232</f>
        <v>5481996698</v>
      </c>
      <c r="AO8" s="21"/>
      <c r="AP8" s="11" t="s">
        <v>56</v>
      </c>
      <c r="AQ8" s="12">
        <f>F25</f>
        <v>41282129950</v>
      </c>
      <c r="AR8" s="12">
        <f>I25</f>
        <v>43463270447</v>
      </c>
      <c r="AS8" s="12">
        <f>L25</f>
        <v>26777657640</v>
      </c>
      <c r="AT8" s="13"/>
      <c r="AU8" s="332">
        <f t="shared" si="0"/>
        <v>1.0528349796786587</v>
      </c>
      <c r="AV8" s="332">
        <f t="shared" si="1"/>
        <v>0.64865009805532092</v>
      </c>
      <c r="AW8" s="12">
        <f>I26/AO$2*12+I27</f>
        <v>50229421699.600006</v>
      </c>
      <c r="AX8" s="12">
        <f>L26/AO$2*12+L27</f>
        <v>30206686331.199997</v>
      </c>
      <c r="AY8" s="12">
        <f t="shared" si="2"/>
        <v>8947291749.6000061</v>
      </c>
      <c r="AZ8" s="333">
        <f t="shared" si="3"/>
        <v>-11075443618.800003</v>
      </c>
      <c r="BB8" s="140" t="s">
        <v>57</v>
      </c>
      <c r="BC8" s="65">
        <f>BC9+BC19</f>
        <v>84521760963</v>
      </c>
      <c r="BD8" s="66">
        <f>BD9+BD19</f>
        <v>79544070433</v>
      </c>
      <c r="BE8" s="67">
        <f>BE9+BE19</f>
        <v>6721510864</v>
      </c>
      <c r="BF8" s="57"/>
      <c r="BG8" s="68" t="s">
        <v>58</v>
      </c>
      <c r="BH8" s="69">
        <f>BN9+BN13</f>
        <v>6664797719</v>
      </c>
      <c r="BI8" s="69">
        <f>BO9+BO13</f>
        <v>4282336596</v>
      </c>
      <c r="BJ8" s="69">
        <f>BP9+BP13</f>
        <v>4282336596</v>
      </c>
      <c r="BK8" s="69">
        <f>BQ9+BQ13</f>
        <v>405937001</v>
      </c>
      <c r="BM8" s="71" t="s">
        <v>59</v>
      </c>
      <c r="BN8" s="72">
        <f>BN9+BN14+BN13</f>
        <v>29078954105</v>
      </c>
      <c r="BO8" s="69">
        <f>BO9+BO14+BO13</f>
        <v>26329712936</v>
      </c>
      <c r="BP8" s="69">
        <f>BP9+BP14+BP13</f>
        <v>22495359800</v>
      </c>
      <c r="BQ8" s="70">
        <f>BQ9+BQ14+BQ13</f>
        <v>2182165441</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828"/>
      <c r="AB9" s="164"/>
      <c r="AC9" s="164"/>
      <c r="AD9" s="828"/>
      <c r="AE9" s="164"/>
      <c r="AF9" s="164"/>
      <c r="AG9" s="828"/>
      <c r="AH9" s="164"/>
      <c r="AI9" s="164"/>
      <c r="AJ9" s="163"/>
      <c r="AL9" s="337"/>
      <c r="AM9" s="338"/>
      <c r="AO9" s="339"/>
      <c r="AP9" s="11" t="s">
        <v>61</v>
      </c>
      <c r="AQ9" s="12">
        <f>F28+F75</f>
        <v>13432813390</v>
      </c>
      <c r="AR9" s="12">
        <f>I28+I75</f>
        <v>15841197122</v>
      </c>
      <c r="AS9" s="12">
        <f>L28+L75</f>
        <v>6491385010</v>
      </c>
      <c r="AT9" s="13"/>
      <c r="AU9" s="340">
        <f t="shared" si="0"/>
        <v>1.1792910883279977</v>
      </c>
      <c r="AV9" s="340">
        <f t="shared" si="1"/>
        <v>0.48324835769939928</v>
      </c>
      <c r="AW9" s="341">
        <f>(I30+I33+I36+I76)/AO$2*12+I31+I34+I37+I38+I39+I40+I77</f>
        <v>17831182194</v>
      </c>
      <c r="AX9" s="341">
        <f>(L30+L33+L36+L76)/AO$2*12+L31+L34+L37+L38+L39+L40+L77</f>
        <v>6611407659.6000004</v>
      </c>
      <c r="AY9" s="341">
        <f t="shared" si="2"/>
        <v>4398368804</v>
      </c>
      <c r="AZ9" s="342">
        <f t="shared" si="3"/>
        <v>-6821405730.3999996</v>
      </c>
      <c r="BB9" s="343" t="s">
        <v>412</v>
      </c>
      <c r="BC9" s="73">
        <f>BC10+BC18</f>
        <v>84421382900</v>
      </c>
      <c r="BD9" s="74">
        <f>BD10+BD18</f>
        <v>79422898033</v>
      </c>
      <c r="BE9" s="75">
        <f>BE10+BE18</f>
        <v>6710991578</v>
      </c>
      <c r="BF9" s="76"/>
      <c r="BG9" s="77" t="s">
        <v>62</v>
      </c>
      <c r="BH9" s="78">
        <f t="shared" ref="BH9:BK10" si="6">BN14</f>
        <v>22414156386</v>
      </c>
      <c r="BI9" s="78">
        <f t="shared" si="6"/>
        <v>22047376340</v>
      </c>
      <c r="BJ9" s="78">
        <f t="shared" si="6"/>
        <v>18213023204</v>
      </c>
      <c r="BK9" s="78">
        <f t="shared" si="6"/>
        <v>1776228440</v>
      </c>
      <c r="BM9" s="137" t="s">
        <v>63</v>
      </c>
      <c r="BN9" s="80">
        <f>SUM(BN10:BN12)</f>
        <v>4908685503</v>
      </c>
      <c r="BO9" s="78">
        <f>SUM(BO10:BO12)</f>
        <v>3277803310</v>
      </c>
      <c r="BP9" s="78">
        <f>SUM(BP10:BP12)</f>
        <v>3277803310</v>
      </c>
      <c r="BQ9" s="79">
        <f>SUM(BQ10:BQ12)</f>
        <v>303837770</v>
      </c>
    </row>
    <row r="10" spans="1:69" s="9" customFormat="1" ht="24.95" customHeight="1">
      <c r="A10" s="712">
        <f>+IF(SEPTIEMBRE!A10=0,"",SEPTIEMBRE!A10)</f>
        <v>10</v>
      </c>
      <c r="B10" s="620" t="str">
        <f>+IF(SEPTIEMBRE!B10=0,"",SEPTIEMBRE!B10)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346">
        <f t="shared" si="7"/>
        <v>10176865038</v>
      </c>
      <c r="J10" s="174">
        <f t="shared" si="7"/>
        <v>10176865038</v>
      </c>
      <c r="K10" s="344">
        <f t="shared" si="7"/>
        <v>0</v>
      </c>
      <c r="L10" s="175">
        <f t="shared" si="7"/>
        <v>10176865038</v>
      </c>
      <c r="M10" s="174">
        <f t="shared" si="7"/>
        <v>0</v>
      </c>
      <c r="N10" s="175">
        <f t="shared" si="7"/>
        <v>0</v>
      </c>
      <c r="O10" s="13"/>
      <c r="P10" s="174">
        <f>SUM(P12:P15)</f>
        <v>0</v>
      </c>
      <c r="Q10" s="175">
        <f>SUM(Q12:Q15)</f>
        <v>0</v>
      </c>
      <c r="S10" s="347" t="str">
        <f>+IF(SEPTIEMBRE!S10=0,"",SEPTIEMBRE!S10)</f>
        <v>A</v>
      </c>
      <c r="T10" s="659" t="str">
        <f>+IF(SEPTIEMBRE!T10=0,"",SEPTIEMBRE!T10)</f>
        <v>GASTOS DE FUNCIONAMIENTO</v>
      </c>
      <c r="U10" s="348">
        <f>U12+U110+U170</f>
        <v>50109343517</v>
      </c>
      <c r="V10" s="349">
        <f t="shared" ref="V10:AJ10" si="8">V12+V110+V170</f>
        <v>-5370317789</v>
      </c>
      <c r="W10" s="349">
        <f t="shared" si="8"/>
        <v>6041601711</v>
      </c>
      <c r="X10" s="352">
        <f t="shared" si="8"/>
        <v>50780627439</v>
      </c>
      <c r="Y10" s="351">
        <f t="shared" si="8"/>
        <v>43866896832</v>
      </c>
      <c r="Z10" s="349">
        <f t="shared" si="8"/>
        <v>922072315</v>
      </c>
      <c r="AA10" s="845">
        <f t="shared" si="8"/>
        <v>44788969147</v>
      </c>
      <c r="AB10" s="351">
        <f t="shared" si="8"/>
        <v>36653068019</v>
      </c>
      <c r="AC10" s="349">
        <f t="shared" si="8"/>
        <v>3099528976</v>
      </c>
      <c r="AD10" s="845">
        <f t="shared" si="8"/>
        <v>39752596995</v>
      </c>
      <c r="AE10" s="351">
        <f t="shared" si="8"/>
        <v>27913673671</v>
      </c>
      <c r="AF10" s="349">
        <f t="shared" si="8"/>
        <v>3256478378</v>
      </c>
      <c r="AG10" s="845">
        <f t="shared" si="8"/>
        <v>31170152049</v>
      </c>
      <c r="AH10" s="351">
        <f t="shared" si="8"/>
        <v>5991658292</v>
      </c>
      <c r="AI10" s="349">
        <f t="shared" si="8"/>
        <v>11028030444</v>
      </c>
      <c r="AJ10" s="350">
        <f t="shared" si="8"/>
        <v>19610475390</v>
      </c>
      <c r="AL10" s="353">
        <f>AL12+AL110+AL170</f>
        <v>15000000</v>
      </c>
      <c r="AM10" s="354">
        <f>AM12+AM110+AM170</f>
        <v>1657501905</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66123181922</v>
      </c>
      <c r="BD10" s="74">
        <f>BD11+BD12+BD13+BD14+BD16+BD17+BD15</f>
        <v>61140635277</v>
      </c>
      <c r="BE10" s="75">
        <f>BE11+BE12+BE13+BE14+BE16+BE17+BE15</f>
        <v>3241217176</v>
      </c>
      <c r="BF10" s="76"/>
      <c r="BG10" s="68" t="s">
        <v>66</v>
      </c>
      <c r="BH10" s="81">
        <f t="shared" si="6"/>
        <v>12183134256</v>
      </c>
      <c r="BI10" s="81">
        <f t="shared" si="6"/>
        <v>9709536260</v>
      </c>
      <c r="BJ10" s="81">
        <f t="shared" si="6"/>
        <v>8507517244</v>
      </c>
      <c r="BK10" s="81">
        <f t="shared" si="6"/>
        <v>1002695087</v>
      </c>
      <c r="BM10" s="134" t="s">
        <v>425</v>
      </c>
      <c r="BN10" s="83">
        <f>X17+X66</f>
        <v>3409004812</v>
      </c>
      <c r="BO10" s="81">
        <f>AA17+AA66</f>
        <v>2805515698</v>
      </c>
      <c r="BP10" s="81">
        <f>AD17+AD66</f>
        <v>2805515698</v>
      </c>
      <c r="BQ10" s="82">
        <f>AF17+AF66</f>
        <v>280984762</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846"/>
      <c r="AB11" s="161"/>
      <c r="AC11" s="161"/>
      <c r="AD11" s="846"/>
      <c r="AE11" s="161"/>
      <c r="AF11" s="161"/>
      <c r="AG11" s="846"/>
      <c r="AH11" s="161"/>
      <c r="AI11" s="161"/>
      <c r="AJ11" s="166"/>
      <c r="AL11" s="358"/>
      <c r="AM11" s="359"/>
      <c r="AO11" s="360" t="s">
        <v>11</v>
      </c>
      <c r="AP11" s="517" t="s">
        <v>522</v>
      </c>
      <c r="AQ11" s="12">
        <f>F88</f>
        <v>222386275</v>
      </c>
      <c r="AR11" s="12">
        <f>I88</f>
        <v>222380129</v>
      </c>
      <c r="AS11" s="12">
        <f>L88</f>
        <v>222380129</v>
      </c>
      <c r="AT11" s="361">
        <f>AO2/12</f>
        <v>0.83333333333333337</v>
      </c>
      <c r="AU11" s="340">
        <f t="shared" si="0"/>
        <v>0.99997236340237272</v>
      </c>
      <c r="AV11" s="340">
        <f t="shared" si="1"/>
        <v>0.99997236340237272</v>
      </c>
      <c r="AW11" s="341">
        <f>I88</f>
        <v>222380129</v>
      </c>
      <c r="AX11" s="341">
        <f>L88</f>
        <v>222380129</v>
      </c>
      <c r="AY11" s="341">
        <f t="shared" si="2"/>
        <v>-6146</v>
      </c>
      <c r="AZ11" s="342">
        <f t="shared" si="3"/>
        <v>-6146</v>
      </c>
      <c r="BB11" s="355" t="s">
        <v>414</v>
      </c>
      <c r="BC11" s="73">
        <f>F26</f>
        <v>32167564656</v>
      </c>
      <c r="BD11" s="74">
        <f>I26</f>
        <v>33830756263</v>
      </c>
      <c r="BE11" s="75">
        <f>K26</f>
        <v>1925531612</v>
      </c>
      <c r="BF11" s="76"/>
      <c r="BG11" s="68" t="s">
        <v>67</v>
      </c>
      <c r="BH11" s="84">
        <f>BN22</f>
        <v>1292354144</v>
      </c>
      <c r="BI11" s="84">
        <f>BO22</f>
        <v>846871019</v>
      </c>
      <c r="BJ11" s="84">
        <f>BP22</f>
        <v>846871019</v>
      </c>
      <c r="BK11" s="84">
        <f>BQ22</f>
        <v>61363814</v>
      </c>
      <c r="BM11" s="135" t="s">
        <v>426</v>
      </c>
      <c r="BN11" s="86">
        <f>X18+X67</f>
        <v>276902465</v>
      </c>
      <c r="BO11" s="84">
        <f>AA18+AA67</f>
        <v>114620601</v>
      </c>
      <c r="BP11" s="84">
        <f>AD18+AD67</f>
        <v>114620601</v>
      </c>
      <c r="BQ11" s="85">
        <f>AF18+AF67</f>
        <v>12395531</v>
      </c>
    </row>
    <row r="12" spans="1:69" s="9" customFormat="1" ht="24.95" customHeight="1">
      <c r="A12" s="593">
        <f>+IF(SEPTIEMBRE!A12=0,"",SEPTIEMBRE!A12)</f>
        <v>1001</v>
      </c>
      <c r="B12" s="621" t="str">
        <f>+IF(SEPTIEMBRE!B12=0,"",SEPTIEMBRE!B12)</f>
        <v>Bienestar Social (Caja, Bancos, Inversiones Tempor.) a Dic-31-2018</v>
      </c>
      <c r="C12" s="655">
        <f>+ENERO!C12</f>
        <v>0</v>
      </c>
      <c r="D12" s="363">
        <f>SEPTIEMBRE!D12+OCTUBRE!P12</f>
        <v>0</v>
      </c>
      <c r="E12" s="363">
        <f>SEPTIEMBRE!E12+OCTUBRE!Q12</f>
        <v>0</v>
      </c>
      <c r="F12" s="143">
        <f>SUM(C12:E12)</f>
        <v>0</v>
      </c>
      <c r="G12" s="216">
        <f>SEPTIEMBRE!I12</f>
        <v>0</v>
      </c>
      <c r="H12" s="364">
        <v>0</v>
      </c>
      <c r="I12" s="143">
        <f>SUM(G12:H12)</f>
        <v>0</v>
      </c>
      <c r="J12" s="216">
        <f>SEPTIEMBRE!L12</f>
        <v>0</v>
      </c>
      <c r="K12" s="131">
        <v>0</v>
      </c>
      <c r="L12" s="143">
        <f>SUM(J12:K12)</f>
        <v>0</v>
      </c>
      <c r="M12" s="216">
        <f>F12-I12</f>
        <v>0</v>
      </c>
      <c r="N12" s="143">
        <f>F12-L12</f>
        <v>0</v>
      </c>
      <c r="O12" s="284"/>
      <c r="P12" s="362">
        <v>0</v>
      </c>
      <c r="Q12" s="365">
        <v>0</v>
      </c>
      <c r="S12" s="685">
        <f>+IF(SEPTIEMBRE!S12=0,"",SEPTIEMBRE!S12)</f>
        <v>1000000</v>
      </c>
      <c r="T12" s="661" t="str">
        <f>+IF(SEPTIEMBRE!T12=0,"",SEPTIEMBRE!T12)</f>
        <v>GASTOS DE PERSONAL</v>
      </c>
      <c r="U12" s="366">
        <f t="shared" ref="U12:AJ12" si="9">U14+U63</f>
        <v>36893269846</v>
      </c>
      <c r="V12" s="367">
        <f t="shared" si="9"/>
        <v>-4454317789</v>
      </c>
      <c r="W12" s="367">
        <f t="shared" si="9"/>
        <v>2441985077</v>
      </c>
      <c r="X12" s="368">
        <f t="shared" si="9"/>
        <v>34880937134</v>
      </c>
      <c r="Y12" s="353">
        <f t="shared" si="9"/>
        <v>31822841023</v>
      </c>
      <c r="Z12" s="367">
        <f t="shared" si="9"/>
        <v>223631261</v>
      </c>
      <c r="AA12" s="847">
        <f t="shared" si="9"/>
        <v>32046472284</v>
      </c>
      <c r="AB12" s="353">
        <f t="shared" si="9"/>
        <v>26215398528</v>
      </c>
      <c r="AC12" s="367">
        <f t="shared" si="9"/>
        <v>1996720620</v>
      </c>
      <c r="AD12" s="847">
        <f t="shared" si="9"/>
        <v>28212119148</v>
      </c>
      <c r="AE12" s="353">
        <f t="shared" si="9"/>
        <v>19325194850</v>
      </c>
      <c r="AF12" s="367">
        <f t="shared" si="9"/>
        <v>2132605343</v>
      </c>
      <c r="AG12" s="847">
        <f t="shared" si="9"/>
        <v>21457800193</v>
      </c>
      <c r="AH12" s="353">
        <f t="shared" si="9"/>
        <v>2834464850</v>
      </c>
      <c r="AI12" s="367">
        <f t="shared" si="9"/>
        <v>6668817986</v>
      </c>
      <c r="AJ12" s="354">
        <f t="shared" si="9"/>
        <v>13423136941</v>
      </c>
      <c r="AK12" s="10"/>
      <c r="AL12" s="369">
        <f>AL14+AL63</f>
        <v>-160000000</v>
      </c>
      <c r="AM12" s="370">
        <f>AM14+AM63</f>
        <v>462200000</v>
      </c>
      <c r="AO12" s="360"/>
      <c r="AP12" s="518" t="s">
        <v>523</v>
      </c>
      <c r="AQ12" s="12">
        <f>F89</f>
        <v>450000000</v>
      </c>
      <c r="AR12" s="12">
        <f>I89</f>
        <v>0</v>
      </c>
      <c r="AS12" s="12">
        <f>L89</f>
        <v>0</v>
      </c>
      <c r="AT12" s="13"/>
      <c r="AU12" s="340">
        <f t="shared" si="0"/>
        <v>0</v>
      </c>
      <c r="AV12" s="340">
        <f t="shared" si="1"/>
        <v>0</v>
      </c>
      <c r="AW12" s="341">
        <f>I89</f>
        <v>0</v>
      </c>
      <c r="AX12" s="341">
        <f>L89</f>
        <v>0</v>
      </c>
      <c r="AY12" s="341">
        <f t="shared" si="2"/>
        <v>-450000000</v>
      </c>
      <c r="AZ12" s="342">
        <f t="shared" si="3"/>
        <v>-450000000</v>
      </c>
      <c r="BB12" s="355" t="s">
        <v>415</v>
      </c>
      <c r="BC12" s="73">
        <f>F23</f>
        <v>3087894380</v>
      </c>
      <c r="BD12" s="74">
        <f>I23</f>
        <v>2748444346</v>
      </c>
      <c r="BE12" s="75">
        <f>K23</f>
        <v>163837831</v>
      </c>
      <c r="BF12" s="76"/>
      <c r="BG12" s="371" t="s">
        <v>383</v>
      </c>
      <c r="BH12" s="84">
        <f>BN25</f>
        <v>19665908715</v>
      </c>
      <c r="BI12" s="15">
        <f>BO25</f>
        <v>18894936294</v>
      </c>
      <c r="BJ12" s="84">
        <f>BP25</f>
        <v>16632097087</v>
      </c>
      <c r="BK12" s="84">
        <f>BQ25</f>
        <v>3937514274</v>
      </c>
      <c r="BM12" s="136" t="s">
        <v>427</v>
      </c>
      <c r="BN12" s="86">
        <f>X16+X65-X81-X33-BN10-BN11</f>
        <v>1222778226</v>
      </c>
      <c r="BO12" s="84">
        <f>AA16+AA65-AA81-AA33-BO10-BO11</f>
        <v>357667011</v>
      </c>
      <c r="BP12" s="84">
        <f>AD16+AD65-AD81-AD33-BP10-BP11</f>
        <v>357667011</v>
      </c>
      <c r="BQ12" s="85">
        <f>AF16+AF65-AF81-AF33-BQ10-BQ11</f>
        <v>10457477</v>
      </c>
    </row>
    <row r="13" spans="1:69" s="9" customFormat="1" ht="24.95" customHeight="1">
      <c r="A13" s="593">
        <f>+IF(SEPTIEMBRE!A13=0,"",SEPTIEMBRE!A13)</f>
        <v>1002</v>
      </c>
      <c r="B13" s="621" t="str">
        <f>+IF(SEPTIEMBRE!B13=0,"",SEPTIEMBRE!B13)</f>
        <v>Fondo Vivienda (Caja, Bancos, Inversiones Tempor.) a Dic-31-2018</v>
      </c>
      <c r="C13" s="655">
        <f>+ENERO!C13</f>
        <v>0</v>
      </c>
      <c r="D13" s="363">
        <f>SEPTIEMBRE!D13+OCTUBRE!P13</f>
        <v>0</v>
      </c>
      <c r="E13" s="363">
        <f>SEPTIEMBRE!E13+OCTUBRE!Q13</f>
        <v>0</v>
      </c>
      <c r="F13" s="143">
        <f>SUM(C13:E13)</f>
        <v>0</v>
      </c>
      <c r="G13" s="216">
        <f>SEPTIEMBRE!I13</f>
        <v>0</v>
      </c>
      <c r="H13" s="364">
        <v>0</v>
      </c>
      <c r="I13" s="143">
        <f>SUM(G13:H13)</f>
        <v>0</v>
      </c>
      <c r="J13" s="216">
        <f>SEPTIEMBRE!L13</f>
        <v>0</v>
      </c>
      <c r="K13" s="131">
        <v>0</v>
      </c>
      <c r="L13" s="143">
        <f>SUM(J13:K13)</f>
        <v>0</v>
      </c>
      <c r="M13" s="216">
        <f>F13-I13</f>
        <v>0</v>
      </c>
      <c r="N13" s="143">
        <f>F13-L13</f>
        <v>0</v>
      </c>
      <c r="O13" s="372"/>
      <c r="P13" s="362">
        <v>0</v>
      </c>
      <c r="Q13" s="365">
        <v>0</v>
      </c>
      <c r="S13" s="356"/>
      <c r="T13" s="678"/>
      <c r="U13" s="161"/>
      <c r="V13" s="161"/>
      <c r="W13" s="161"/>
      <c r="X13" s="161"/>
      <c r="Y13" s="161"/>
      <c r="Z13" s="161"/>
      <c r="AA13" s="846"/>
      <c r="AB13" s="161"/>
      <c r="AC13" s="161"/>
      <c r="AD13" s="846"/>
      <c r="AE13" s="161"/>
      <c r="AF13" s="161"/>
      <c r="AG13" s="846"/>
      <c r="AH13" s="161"/>
      <c r="AI13" s="161"/>
      <c r="AJ13" s="166"/>
      <c r="AK13" s="10"/>
      <c r="AL13" s="358"/>
      <c r="AM13" s="359"/>
      <c r="AO13" s="20"/>
      <c r="AP13" s="518"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10644438101</v>
      </c>
      <c r="BE13" s="89">
        <f>+K30+K33+K36+K38+K39+K40</f>
        <v>111016841</v>
      </c>
      <c r="BF13" s="90"/>
      <c r="BG13" s="91" t="s">
        <v>70</v>
      </c>
      <c r="BH13" s="84">
        <f t="shared" ref="BH13:BK15" si="10">BN29</f>
        <v>27279618396</v>
      </c>
      <c r="BI13" s="84">
        <f t="shared" si="10"/>
        <v>20284940656</v>
      </c>
      <c r="BJ13" s="84">
        <f t="shared" si="10"/>
        <v>13378603266</v>
      </c>
      <c r="BK13" s="84">
        <f t="shared" si="10"/>
        <v>689617623</v>
      </c>
      <c r="BM13" s="139" t="s">
        <v>428</v>
      </c>
      <c r="BN13" s="83">
        <f>X43-X55+X57-X61+X90-X102+X104-X108</f>
        <v>1756112216</v>
      </c>
      <c r="BO13" s="81">
        <f>AA43-AA55+AA57-AA61+AA90-AA102+AA104-AA108</f>
        <v>1004533286</v>
      </c>
      <c r="BP13" s="81">
        <f>AD43-AD55+AD57-AD61+AD90-AD102+AD104-AD108</f>
        <v>1004533286</v>
      </c>
      <c r="BQ13" s="82">
        <f>AF43-AF55+AF57-AF61+AF90-AF102+AF104-AF108</f>
        <v>102099231</v>
      </c>
    </row>
    <row r="14" spans="1:69" s="9" customFormat="1" ht="24.95" customHeight="1">
      <c r="A14" s="593">
        <f>+IF(SEPTIEMBRE!A14=0,"",SEPTIEMBRE!A14)</f>
        <v>1003</v>
      </c>
      <c r="B14" s="621" t="str">
        <f>+IF(SEPTIEMBRE!B14=0,"",SEPTIEMBRE!B14)</f>
        <v>Fondos Comunes y Especiales (Caja, Bancos, Invers. Tempor.) a Dic-31-2018</v>
      </c>
      <c r="C14" s="655">
        <f>+ENERO!C14</f>
        <v>4565434734</v>
      </c>
      <c r="D14" s="363">
        <f>SEPTIEMBRE!D14+OCTUBRE!P14</f>
        <v>0</v>
      </c>
      <c r="E14" s="363">
        <f>SEPTIEMBRE!E14+OCTUBRE!Q14</f>
        <v>5318248230</v>
      </c>
      <c r="F14" s="143">
        <f>SUM(C14:E14)</f>
        <v>9883682964</v>
      </c>
      <c r="G14" s="216">
        <f>SEPTIEMBRE!I14</f>
        <v>9883682964</v>
      </c>
      <c r="H14" s="364">
        <v>0</v>
      </c>
      <c r="I14" s="143">
        <f>SUM(G14:H14)</f>
        <v>9883682964</v>
      </c>
      <c r="J14" s="216">
        <f>SEPTIEMBRE!L14</f>
        <v>9883682964</v>
      </c>
      <c r="K14" s="131">
        <v>0</v>
      </c>
      <c r="L14" s="143">
        <f>SUM(J14:K14)</f>
        <v>9883682964</v>
      </c>
      <c r="M14" s="216">
        <f>F14-I14</f>
        <v>0</v>
      </c>
      <c r="N14" s="143">
        <f>F14-L14</f>
        <v>0</v>
      </c>
      <c r="O14" s="372"/>
      <c r="P14" s="362">
        <v>0</v>
      </c>
      <c r="Q14" s="365">
        <v>0</v>
      </c>
      <c r="S14" s="686">
        <f>+IF(SEPTIEMBRE!S14=0,"",SEPTIEMBRE!S14)</f>
        <v>1010000</v>
      </c>
      <c r="T14" s="662" t="str">
        <f>+IF(SEPTIEMBRE!T14=0,"",SEPTIEMBRE!T14)</f>
        <v>Gastos de Administración</v>
      </c>
      <c r="U14" s="132">
        <f t="shared" ref="U14:AJ14" si="11">U16+U35+U43+U57</f>
        <v>6899222078</v>
      </c>
      <c r="V14" s="122">
        <f t="shared" si="11"/>
        <v>-468979942</v>
      </c>
      <c r="W14" s="122">
        <f t="shared" si="11"/>
        <v>312200000</v>
      </c>
      <c r="X14" s="129">
        <f t="shared" si="11"/>
        <v>6742442136</v>
      </c>
      <c r="Y14" s="128">
        <f t="shared" si="11"/>
        <v>5895988613</v>
      </c>
      <c r="Z14" s="122">
        <f t="shared" si="11"/>
        <v>107374155</v>
      </c>
      <c r="AA14" s="215">
        <f t="shared" si="11"/>
        <v>6003362768</v>
      </c>
      <c r="AB14" s="128">
        <f t="shared" si="11"/>
        <v>5080900790</v>
      </c>
      <c r="AC14" s="122">
        <f t="shared" si="11"/>
        <v>483916268</v>
      </c>
      <c r="AD14" s="215">
        <f t="shared" si="11"/>
        <v>5564817058</v>
      </c>
      <c r="AE14" s="128">
        <f t="shared" si="11"/>
        <v>4533861797</v>
      </c>
      <c r="AF14" s="122">
        <f t="shared" si="11"/>
        <v>499289924</v>
      </c>
      <c r="AG14" s="215">
        <f t="shared" si="11"/>
        <v>5033151721</v>
      </c>
      <c r="AH14" s="128">
        <f t="shared" si="11"/>
        <v>739079368</v>
      </c>
      <c r="AI14" s="122">
        <f t="shared" si="11"/>
        <v>1177625078</v>
      </c>
      <c r="AJ14" s="130">
        <f t="shared" si="11"/>
        <v>1709290415</v>
      </c>
      <c r="AK14" s="10"/>
      <c r="AL14" s="128">
        <f>AL16+AL35+AL43+AL57</f>
        <v>10000000</v>
      </c>
      <c r="AM14" s="130">
        <f>AM16+AM35+AM43+AM57</f>
        <v>42200000</v>
      </c>
      <c r="AO14" s="21"/>
      <c r="AP14" s="11" t="s">
        <v>73</v>
      </c>
      <c r="AQ14" s="12">
        <f>F19-AQ7-AQ8-AQ9-AQ10-AQ11-AQ12-AQ13</f>
        <v>22968571958</v>
      </c>
      <c r="AR14" s="12">
        <f>I19-AR7-AR8-AR9-AR10-AR11-AR12-AR13</f>
        <v>15916033410</v>
      </c>
      <c r="AS14" s="12">
        <f>L19-AS7-AS8-AS9-AS10-AS11-AS12-AS13</f>
        <v>10405213697.760002</v>
      </c>
      <c r="AT14" s="372"/>
      <c r="AU14" s="340">
        <f t="shared" si="0"/>
        <v>0.69294832256458216</v>
      </c>
      <c r="AV14" s="340">
        <f t="shared" si="1"/>
        <v>0.45301961814547398</v>
      </c>
      <c r="AW14" s="341">
        <f>(I41+I46+I49+I52+I55+I58+I61+I64+I67+I70+I73+I78+I81+I82+I83+I85+I94+I104)/AO$2*12+I47+I50+I53+I56+I59+I62+I65+I68+I71+I74</f>
        <v>41030134836.399994</v>
      </c>
      <c r="AX14" s="341">
        <f>(L41+L46+L49+L52+L55+L58+L61+L64+L67+L70+L73+L78+L81+L82+L83+L85+L94+L104)/AO$2*12+L47+L50+L53+L56+L59+L62+L65+L68+L71+L74</f>
        <v>34349867876.574001</v>
      </c>
      <c r="AY14" s="341">
        <f t="shared" si="2"/>
        <v>18061562878.399994</v>
      </c>
      <c r="AZ14" s="342">
        <f t="shared" si="3"/>
        <v>11381295918.574001</v>
      </c>
      <c r="BB14" s="373" t="s">
        <v>417</v>
      </c>
      <c r="BC14" s="92">
        <f>+F64</f>
        <v>8371510292</v>
      </c>
      <c r="BD14" s="93">
        <f>+I64</f>
        <v>4540943395</v>
      </c>
      <c r="BE14" s="94">
        <f>K64</f>
        <v>360567621</v>
      </c>
      <c r="BF14" s="95"/>
      <c r="BG14" s="91" t="s">
        <v>74</v>
      </c>
      <c r="BH14" s="81">
        <f t="shared" si="10"/>
        <v>247344980</v>
      </c>
      <c r="BI14" s="81">
        <f t="shared" si="10"/>
        <v>226892532</v>
      </c>
      <c r="BJ14" s="81">
        <f t="shared" si="10"/>
        <v>226892532</v>
      </c>
      <c r="BK14" s="81">
        <f t="shared" si="10"/>
        <v>21324925</v>
      </c>
      <c r="BM14" s="138" t="s">
        <v>424</v>
      </c>
      <c r="BN14" s="86">
        <f>X35-X41+X83-X88</f>
        <v>22414156386</v>
      </c>
      <c r="BO14" s="84">
        <f>AA35-AA41+AA83-AA88</f>
        <v>22047376340</v>
      </c>
      <c r="BP14" s="84">
        <f>AD35-AD41+AD83-AD88</f>
        <v>18213023204</v>
      </c>
      <c r="BQ14" s="85">
        <f>AF35-AF41+AF83-AF88</f>
        <v>1776228440</v>
      </c>
    </row>
    <row r="15" spans="1:69" s="9" customFormat="1" ht="24.95" customHeight="1" thickBot="1">
      <c r="A15" s="594">
        <f>+IF(SEPTIEMBRE!A15=0,"",SEPTIEMBRE!A15)</f>
        <v>1004</v>
      </c>
      <c r="B15" s="621" t="str">
        <f>+IF(SEPTIEMBRE!B15=0,"",SEPTIEMBRE!B15)</f>
        <v>Cesantias Ley 50/1990 a Dic-31-2018</v>
      </c>
      <c r="C15" s="759">
        <f>+ENERO!C15</f>
        <v>280000000</v>
      </c>
      <c r="D15" s="375">
        <f>SEPTIEMBRE!D15+OCTUBRE!P15</f>
        <v>0</v>
      </c>
      <c r="E15" s="375">
        <f>SEPTIEMBRE!E15+OCTUBRE!Q15</f>
        <v>13182074</v>
      </c>
      <c r="F15" s="376">
        <f>SUM(C15:E15)</f>
        <v>293182074</v>
      </c>
      <c r="G15" s="377">
        <f>SEPTIEMBRE!I15</f>
        <v>293182074</v>
      </c>
      <c r="H15" s="378">
        <v>0</v>
      </c>
      <c r="I15" s="376">
        <f>SUM(G15:H15)</f>
        <v>293182074</v>
      </c>
      <c r="J15" s="377">
        <f>SEPTIEMBRE!L15</f>
        <v>293182074</v>
      </c>
      <c r="K15" s="165">
        <v>0</v>
      </c>
      <c r="L15" s="376">
        <f>SUM(J15:K15)</f>
        <v>293182074</v>
      </c>
      <c r="M15" s="377">
        <f>F15-I15</f>
        <v>0</v>
      </c>
      <c r="N15" s="376">
        <f>F15-L15</f>
        <v>0</v>
      </c>
      <c r="O15" s="372"/>
      <c r="P15" s="374">
        <v>0</v>
      </c>
      <c r="Q15" s="379">
        <v>0</v>
      </c>
      <c r="S15" s="356" t="str">
        <f>+IF(SEPTIEMBRE!S15=0,"",SEPTIEMBRE!S15)</f>
        <v/>
      </c>
      <c r="T15" s="678" t="str">
        <f>+IF(SEPTIEMBRE!T15=0,"",SEPTIEMBRE!T15)</f>
        <v xml:space="preserve"> </v>
      </c>
      <c r="U15" s="161"/>
      <c r="V15" s="161"/>
      <c r="W15" s="161"/>
      <c r="X15" s="161"/>
      <c r="Y15" s="161"/>
      <c r="Z15" s="161"/>
      <c r="AA15" s="846"/>
      <c r="AB15" s="161"/>
      <c r="AC15" s="161"/>
      <c r="AD15" s="846"/>
      <c r="AE15" s="161"/>
      <c r="AF15" s="161"/>
      <c r="AG15" s="846"/>
      <c r="AH15" s="161"/>
      <c r="AI15" s="161"/>
      <c r="AJ15" s="166"/>
      <c r="AK15" s="10"/>
      <c r="AL15" s="170"/>
      <c r="AM15" s="171"/>
      <c r="AO15" s="20"/>
      <c r="AP15" s="11" t="s">
        <v>76</v>
      </c>
      <c r="AQ15" s="12">
        <f>F113</f>
        <v>803324096</v>
      </c>
      <c r="AR15" s="12">
        <f>I113</f>
        <v>757329975</v>
      </c>
      <c r="AS15" s="12">
        <f>L113</f>
        <v>757329975</v>
      </c>
      <c r="AT15" s="13"/>
      <c r="AU15" s="340">
        <f t="shared" si="0"/>
        <v>0.94274524911051594</v>
      </c>
      <c r="AV15" s="340">
        <f t="shared" si="1"/>
        <v>0.94274524911051594</v>
      </c>
      <c r="AW15" s="12">
        <f>+AR15</f>
        <v>757329975</v>
      </c>
      <c r="AX15" s="12">
        <f>+AS15</f>
        <v>757329975</v>
      </c>
      <c r="AY15" s="12">
        <f t="shared" si="2"/>
        <v>-45994121</v>
      </c>
      <c r="AZ15" s="333">
        <f t="shared" si="3"/>
        <v>-45994121</v>
      </c>
      <c r="BA15" s="372"/>
      <c r="BB15" s="373" t="s">
        <v>77</v>
      </c>
      <c r="BC15" s="92">
        <f>F46+F49</f>
        <v>130489617</v>
      </c>
      <c r="BD15" s="93">
        <f>I46+I49</f>
        <v>941158545</v>
      </c>
      <c r="BE15" s="94">
        <f>K46+K49</f>
        <v>0</v>
      </c>
      <c r="BF15" s="95"/>
      <c r="BG15" s="91" t="s">
        <v>78</v>
      </c>
      <c r="BH15" s="81">
        <f t="shared" si="10"/>
        <v>21897947262</v>
      </c>
      <c r="BI15" s="81">
        <f t="shared" si="10"/>
        <v>20642721478</v>
      </c>
      <c r="BJ15" s="81">
        <f t="shared" si="10"/>
        <v>18136918823</v>
      </c>
      <c r="BK15" s="81">
        <f t="shared" si="10"/>
        <v>2018324781</v>
      </c>
      <c r="BM15" s="71" t="s">
        <v>66</v>
      </c>
      <c r="BN15" s="83">
        <f>SUM(BN16:BN21)</f>
        <v>12183134256</v>
      </c>
      <c r="BO15" s="81">
        <f>SUM(BO16:BO21)</f>
        <v>9709536260</v>
      </c>
      <c r="BP15" s="81">
        <f>SUM(BP16:BP21)</f>
        <v>8507517244</v>
      </c>
      <c r="BQ15" s="82">
        <f>SUM(BQ16:BQ21)</f>
        <v>1002695087</v>
      </c>
    </row>
    <row r="16" spans="1:69" s="9" customFormat="1" ht="24.95" customHeight="1" thickBot="1">
      <c r="A16" s="713" t="str">
        <f>+IF(SEPTIEMBRE!A16=0,"",SEPTIEMBRE!A16)</f>
        <v/>
      </c>
      <c r="B16" s="622" t="str">
        <f>+IF(SEPTIEMBRE!B16=0,"",SEPTIEMBRE!B16)</f>
        <v/>
      </c>
      <c r="C16" s="380"/>
      <c r="D16" s="380"/>
      <c r="E16" s="380"/>
      <c r="F16" s="380"/>
      <c r="G16" s="380"/>
      <c r="H16" s="380"/>
      <c r="I16" s="380"/>
      <c r="J16" s="380"/>
      <c r="K16" s="380"/>
      <c r="L16" s="380"/>
      <c r="M16" s="380"/>
      <c r="N16" s="381"/>
      <c r="O16" s="372"/>
      <c r="P16" s="382"/>
      <c r="Q16" s="383"/>
      <c r="S16" s="687">
        <f>+IF(SEPTIEMBRE!S16=0,"",SEPTIEMBRE!S16)</f>
        <v>1010100</v>
      </c>
      <c r="T16" s="663" t="str">
        <f>+IF(SEPTIEMBRE!T16=0,"",SEPTIEMBRE!T16)</f>
        <v>Servicios Personales Asociados a Nómina</v>
      </c>
      <c r="U16" s="132">
        <f t="shared" ref="U16:AJ16" si="12">SUM(U17:U20)+U33</f>
        <v>1868719642</v>
      </c>
      <c r="V16" s="122">
        <f t="shared" si="12"/>
        <v>-315000000</v>
      </c>
      <c r="W16" s="122">
        <f t="shared" si="12"/>
        <v>120000000</v>
      </c>
      <c r="X16" s="129">
        <f t="shared" si="12"/>
        <v>1673719642</v>
      </c>
      <c r="Y16" s="128">
        <f t="shared" si="12"/>
        <v>1091406005</v>
      </c>
      <c r="Z16" s="122">
        <f t="shared" si="12"/>
        <v>107887921</v>
      </c>
      <c r="AA16" s="215">
        <f t="shared" si="12"/>
        <v>1199293926</v>
      </c>
      <c r="AB16" s="128">
        <f t="shared" si="12"/>
        <v>1091406005</v>
      </c>
      <c r="AC16" s="122">
        <f t="shared" si="12"/>
        <v>107887921</v>
      </c>
      <c r="AD16" s="215">
        <f t="shared" si="12"/>
        <v>1199293926</v>
      </c>
      <c r="AE16" s="128">
        <f t="shared" si="12"/>
        <v>1091406005</v>
      </c>
      <c r="AF16" s="122">
        <f t="shared" si="12"/>
        <v>107887921</v>
      </c>
      <c r="AG16" s="215">
        <f t="shared" si="12"/>
        <v>1199293926</v>
      </c>
      <c r="AH16" s="128">
        <f t="shared" si="12"/>
        <v>474425716</v>
      </c>
      <c r="AI16" s="122">
        <f t="shared" si="12"/>
        <v>474425716</v>
      </c>
      <c r="AJ16" s="130">
        <f t="shared" si="12"/>
        <v>474425716</v>
      </c>
      <c r="AK16" s="10"/>
      <c r="AL16" s="128">
        <f>SUM(AL17:AL20)+AL33</f>
        <v>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76"/>
      <c r="BG16" s="91" t="s">
        <v>82</v>
      </c>
      <c r="BH16" s="96">
        <f>BH7+BH12+BH13+BH14+BH15</f>
        <v>111645261858</v>
      </c>
      <c r="BI16" s="96">
        <f>BI7+BI12+BI13+BI14+BI15</f>
        <v>96935611175</v>
      </c>
      <c r="BJ16" s="96">
        <f>BJ7+BJ12+BJ13+BJ14+BJ15</f>
        <v>80224259771</v>
      </c>
      <c r="BK16" s="96">
        <f>BK7+BK12+BK13+BK14+BK15</f>
        <v>9913005945</v>
      </c>
      <c r="BM16" s="137" t="s">
        <v>83</v>
      </c>
      <c r="BN16" s="83">
        <f>X114-X121+X147-X148-X153</f>
        <v>2097314729</v>
      </c>
      <c r="BO16" s="81">
        <f>AA114-AA121+AA147-AA148-AA153</f>
        <v>1261017228</v>
      </c>
      <c r="BP16" s="81">
        <f>AD114-AD121+AD147-AD148-AD153</f>
        <v>1128090823</v>
      </c>
      <c r="BQ16" s="82">
        <f>AF114-AF121+AF147-AF148-AF153</f>
        <v>70433748</v>
      </c>
    </row>
    <row r="17" spans="1:70" s="372" customFormat="1" ht="24.95" customHeight="1" thickBot="1">
      <c r="A17" s="712">
        <f>+IF(SEPTIEMBRE!A17=0,"",SEPTIEMBRE!A17)</f>
        <v>11</v>
      </c>
      <c r="B17" s="623" t="str">
        <f>+IF(SEPTIEMBRE!B17=0,"",SEPTIEMBRE!B17)</f>
        <v>INGRESOS  CORRIENTES</v>
      </c>
      <c r="C17" s="324">
        <f>C19+C94+C104</f>
        <v>61374630552</v>
      </c>
      <c r="D17" s="321">
        <f t="shared" ref="D17:Q17" si="13">D19+D94+D104</f>
        <v>0</v>
      </c>
      <c r="E17" s="321">
        <f t="shared" si="13"/>
        <v>39290442172</v>
      </c>
      <c r="F17" s="321">
        <f t="shared" si="13"/>
        <v>100665072724</v>
      </c>
      <c r="G17" s="321">
        <f t="shared" si="13"/>
        <v>81677832701</v>
      </c>
      <c r="H17" s="321">
        <f t="shared" si="13"/>
        <v>15751467808</v>
      </c>
      <c r="I17" s="321">
        <f t="shared" si="13"/>
        <v>97429300509</v>
      </c>
      <c r="J17" s="321">
        <f t="shared" si="13"/>
        <v>55572522371.760002</v>
      </c>
      <c r="K17" s="321">
        <f t="shared" si="13"/>
        <v>8463429179</v>
      </c>
      <c r="L17" s="321">
        <f t="shared" si="13"/>
        <v>64035951550.760002</v>
      </c>
      <c r="M17" s="321">
        <f t="shared" si="13"/>
        <v>3235772215</v>
      </c>
      <c r="N17" s="322">
        <f t="shared" si="13"/>
        <v>36629121173.240005</v>
      </c>
      <c r="P17" s="174">
        <f t="shared" si="13"/>
        <v>0</v>
      </c>
      <c r="Q17" s="175">
        <f t="shared" si="13"/>
        <v>5464736705</v>
      </c>
      <c r="R17" s="9"/>
      <c r="S17" s="688">
        <f>+IF(SEPTIEMBRE!S17=0,"",SEPTIEMBRE!S17)</f>
        <v>1010101</v>
      </c>
      <c r="T17" s="664" t="str">
        <f>+IF(SEPTIEMBRE!T17=0,"",SEPTIEMBRE!T17)</f>
        <v>Sueldos del Personal de nómina</v>
      </c>
      <c r="U17" s="27">
        <f>+ENERO!U17</f>
        <v>1519896974</v>
      </c>
      <c r="V17" s="15">
        <f>SEPTIEMBRE!V17+OCTUBRE!AL17</f>
        <v>-200000000</v>
      </c>
      <c r="W17" s="15">
        <f>SEPTIEMBRE!W17+OCTUBRE!AM17</f>
        <v>0</v>
      </c>
      <c r="X17" s="18">
        <f>SUM(U17:W17)</f>
        <v>1319896974</v>
      </c>
      <c r="Y17" s="19">
        <f>SEPTIEMBRE!AA17</f>
        <v>967213077</v>
      </c>
      <c r="Z17" s="364">
        <v>104114680</v>
      </c>
      <c r="AA17" s="848">
        <f>SUM(Y17:Z17)</f>
        <v>1071327757</v>
      </c>
      <c r="AB17" s="19">
        <f>SEPTIEMBRE!AD17</f>
        <v>967213077</v>
      </c>
      <c r="AC17" s="364">
        <v>104114680</v>
      </c>
      <c r="AD17" s="848">
        <f>SUM(AB17:AC17)</f>
        <v>1071327757</v>
      </c>
      <c r="AE17" s="19">
        <f>SEPTIEMBRE!AG17</f>
        <v>967213077</v>
      </c>
      <c r="AF17" s="364">
        <v>104114680</v>
      </c>
      <c r="AG17" s="848">
        <f>SUM(AE17:AF17)</f>
        <v>1071327757</v>
      </c>
      <c r="AH17" s="19">
        <f>X17-AA17</f>
        <v>248569217</v>
      </c>
      <c r="AI17" s="15">
        <f>X17-AD17</f>
        <v>248569217</v>
      </c>
      <c r="AJ17" s="16">
        <f>X17-AG17</f>
        <v>248569217</v>
      </c>
      <c r="AK17" s="9"/>
      <c r="AL17" s="362">
        <v>0</v>
      </c>
      <c r="AM17" s="365">
        <v>0</v>
      </c>
      <c r="AN17" s="9"/>
      <c r="AO17" s="339"/>
      <c r="AP17" s="389" t="s">
        <v>85</v>
      </c>
      <c r="AQ17" s="390">
        <f>SUM(AQ7:AQ16)</f>
        <v>93246682817</v>
      </c>
      <c r="AR17" s="391">
        <f>SUM(AR7:AR16)</f>
        <v>89960060366</v>
      </c>
      <c r="AS17" s="392">
        <f>SUM(AS7:AS16)</f>
        <v>56622780828.760002</v>
      </c>
      <c r="AT17" s="393"/>
      <c r="AU17" s="391">
        <f t="shared" si="0"/>
        <v>0.96475346519886274</v>
      </c>
      <c r="AV17" s="391">
        <f t="shared" si="1"/>
        <v>0.60723640904078346</v>
      </c>
      <c r="AW17" s="394">
        <f>SUM(AX7:AX16)</f>
        <v>84307968236.373993</v>
      </c>
      <c r="AX17" s="394">
        <f>SUM(AX7:AX16)</f>
        <v>84307968236.373993</v>
      </c>
      <c r="AY17" s="394">
        <f>SUM(AY7:AY16)</f>
        <v>31133304169.200001</v>
      </c>
      <c r="AZ17" s="395">
        <f>SUM(AZ7:AZ16)</f>
        <v>-8938714580.6260033</v>
      </c>
      <c r="BA17" s="9"/>
      <c r="BB17" s="355" t="s">
        <v>419</v>
      </c>
      <c r="BC17" s="73">
        <f>F41+F52+F55+F58+F61+F67+F70+F73+F76+F79+F82+F86+F87+F88+F89+F90+F91</f>
        <v>13413361837</v>
      </c>
      <c r="BD17" s="74">
        <f>I41+I52+I55+I58+I61+I67+I70+I73+I76+I79+I82+I86+I87+I88+I89+I90+I91</f>
        <v>8434894627</v>
      </c>
      <c r="BE17" s="75">
        <f>K41+K52+K55+K58+K61+K67+K70+K73+K76+K79+K82+K86+K87+K88+K89+K90+K91</f>
        <v>680263271</v>
      </c>
      <c r="BF17" s="76"/>
      <c r="BG17" s="98" t="s">
        <v>86</v>
      </c>
      <c r="BH17" s="99">
        <f>BC23-BH16</f>
        <v>-111645261858</v>
      </c>
      <c r="BI17" s="99"/>
      <c r="BJ17" s="99"/>
      <c r="BK17" s="99"/>
      <c r="BM17" s="137" t="s">
        <v>434</v>
      </c>
      <c r="BN17" s="83">
        <f>X123-X126-X139+X155-X156-X167-X168</f>
        <v>5144712263</v>
      </c>
      <c r="BO17" s="81">
        <f>AA123-AA126-AA139+AA155-AA156-AA167-AA168</f>
        <v>4668641124</v>
      </c>
      <c r="BP17" s="81">
        <f>AD123-AD126-AD139+AD155-AD156-AD167-AD168</f>
        <v>3966394975</v>
      </c>
      <c r="BQ17" s="82">
        <f>AF123-AF126-AF139+AF155-AF156-AF167-AF168</f>
        <v>387511616</v>
      </c>
      <c r="BR17" s="9"/>
    </row>
    <row r="18" spans="1:70" s="9" customFormat="1" ht="24.95" customHeight="1" thickBot="1">
      <c r="A18" s="593" t="str">
        <f>+IF(SEPTIEMBRE!A18=0,"",SEPTIEMBRE!A18)</f>
        <v/>
      </c>
      <c r="B18" s="624" t="str">
        <f>+IF(SEPTIEMBRE!B18=0,"",SEPTIEMBRE!B18)</f>
        <v/>
      </c>
      <c r="C18" s="284"/>
      <c r="D18" s="284"/>
      <c r="E18" s="284"/>
      <c r="F18" s="284"/>
      <c r="G18" s="284"/>
      <c r="H18" s="284"/>
      <c r="I18" s="284"/>
      <c r="J18" s="284"/>
      <c r="K18" s="284"/>
      <c r="L18" s="284"/>
      <c r="M18" s="284"/>
      <c r="N18" s="453"/>
      <c r="P18" s="397"/>
      <c r="Q18" s="396"/>
      <c r="S18" s="688">
        <f>+IF(SEPTIEMBRE!S18=0,"",SEPTIEMBRE!S18)</f>
        <v>1010102</v>
      </c>
      <c r="T18" s="664" t="str">
        <f>+IF(SEPTIEMBRE!T18=0,"",SEPTIEMBRE!T18)</f>
        <v>Horas Extras,Dominic.,Festivos y Rec. Nocturnos</v>
      </c>
      <c r="U18" s="27">
        <f>+ENERO!U18</f>
        <v>7017105</v>
      </c>
      <c r="V18" s="15">
        <f>SEPTIEMBRE!V18+OCTUBRE!AL18</f>
        <v>5000000</v>
      </c>
      <c r="W18" s="15">
        <f>SEPTIEMBRE!W18+OCTUBRE!AM18</f>
        <v>0</v>
      </c>
      <c r="X18" s="18">
        <f>SUM(U18:W18)</f>
        <v>12017105</v>
      </c>
      <c r="Y18" s="19">
        <f>SEPTIEMBRE!AA18</f>
        <v>7629954</v>
      </c>
      <c r="Z18" s="364">
        <v>823558</v>
      </c>
      <c r="AA18" s="848">
        <f>SUM(Y18:Z18)</f>
        <v>8453512</v>
      </c>
      <c r="AB18" s="19">
        <f>SEPTIEMBRE!AD18</f>
        <v>7629954</v>
      </c>
      <c r="AC18" s="364">
        <v>823558</v>
      </c>
      <c r="AD18" s="848">
        <f>SUM(AB18:AC18)</f>
        <v>8453512</v>
      </c>
      <c r="AE18" s="19">
        <f>SEPTIEMBRE!AG18</f>
        <v>7629954</v>
      </c>
      <c r="AF18" s="364">
        <v>823558</v>
      </c>
      <c r="AG18" s="848">
        <f>SUM(AE18:AF18)</f>
        <v>8453512</v>
      </c>
      <c r="AH18" s="19">
        <f>X18-AA18</f>
        <v>3563593</v>
      </c>
      <c r="AI18" s="15">
        <f>X18-AD18</f>
        <v>3563593</v>
      </c>
      <c r="AJ18" s="16">
        <f>X18-AG18</f>
        <v>3563593</v>
      </c>
      <c r="AL18" s="362">
        <v>0</v>
      </c>
      <c r="AM18" s="365">
        <v>0</v>
      </c>
      <c r="AO18" s="21"/>
      <c r="AP18" s="284" t="s">
        <v>51</v>
      </c>
      <c r="AQ18" s="284"/>
      <c r="AR18" s="284"/>
      <c r="AS18" s="284"/>
      <c r="AT18" s="284"/>
      <c r="AU18" s="284"/>
      <c r="AV18" s="284"/>
      <c r="AW18" s="284"/>
      <c r="AX18" s="284"/>
      <c r="AY18" s="284"/>
      <c r="AZ18" s="284"/>
      <c r="BA18" s="372"/>
      <c r="BB18" s="373" t="s">
        <v>420</v>
      </c>
      <c r="BC18" s="73">
        <f>+F95+F96+F97+F99</f>
        <v>18298200978</v>
      </c>
      <c r="BD18" s="74">
        <f>+I95+I96+I97+I99</f>
        <v>18282262756</v>
      </c>
      <c r="BE18" s="75">
        <f>+K95+K96+K97+K99</f>
        <v>3469774402</v>
      </c>
      <c r="BF18" s="95"/>
      <c r="BM18" s="137" t="s">
        <v>87</v>
      </c>
      <c r="BN18" s="83">
        <f>X148+X156</f>
        <v>3674025000</v>
      </c>
      <c r="BO18" s="81">
        <f>AA148+AA156</f>
        <v>2955584568</v>
      </c>
      <c r="BP18" s="81">
        <f>AD148+AD156</f>
        <v>2588738106</v>
      </c>
      <c r="BQ18" s="82">
        <f>AF148+AF156</f>
        <v>427623739</v>
      </c>
      <c r="BR18" s="372"/>
    </row>
    <row r="19" spans="1:70" s="9" customFormat="1" ht="24.95" customHeight="1" thickBot="1">
      <c r="A19" s="714">
        <f>+IF(SEPTIEMBRE!A19=0,"",SEPTIEMBRE!A19)</f>
        <v>113</v>
      </c>
      <c r="B19" s="625" t="str">
        <f>+IF(SEPTIEMBRE!B19=0,"",SEPTIEMBRE!B19)</f>
        <v>VENTA DE SERVICIOS</v>
      </c>
      <c r="C19" s="324">
        <f t="shared" ref="C19:N19" si="14">C21+C85</f>
        <v>53293559356</v>
      </c>
      <c r="D19" s="321">
        <f t="shared" si="14"/>
        <v>0</v>
      </c>
      <c r="E19" s="321">
        <f t="shared" si="14"/>
        <v>28972934327</v>
      </c>
      <c r="F19" s="322">
        <f t="shared" si="14"/>
        <v>82266493683</v>
      </c>
      <c r="G19" s="324">
        <f t="shared" si="14"/>
        <v>66753501747</v>
      </c>
      <c r="H19" s="321">
        <f t="shared" si="14"/>
        <v>12272363606</v>
      </c>
      <c r="I19" s="322">
        <f t="shared" si="14"/>
        <v>79025865353</v>
      </c>
      <c r="J19" s="324">
        <f t="shared" si="14"/>
        <v>40705450324.760002</v>
      </c>
      <c r="K19" s="321">
        <f t="shared" si="14"/>
        <v>4983135491</v>
      </c>
      <c r="L19" s="322">
        <f t="shared" si="14"/>
        <v>45688585815.760002</v>
      </c>
      <c r="M19" s="324">
        <f t="shared" si="14"/>
        <v>3240628330</v>
      </c>
      <c r="N19" s="322">
        <f t="shared" si="14"/>
        <v>36577907867.240005</v>
      </c>
      <c r="O19" s="372"/>
      <c r="P19" s="43">
        <f>P21+P85</f>
        <v>0</v>
      </c>
      <c r="Q19" s="45">
        <f>Q21+Q85</f>
        <v>3149434800</v>
      </c>
      <c r="S19" s="688">
        <f>+IF(SEPTIEMBRE!S19=0,"",SEPTIEMBRE!S19)</f>
        <v>1010103</v>
      </c>
      <c r="T19" s="664" t="str">
        <f>+IF(SEPTIEMBRE!T19=0,"",SEPTIEMBRE!T19)</f>
        <v>Prima Técnica</v>
      </c>
      <c r="U19" s="27">
        <f>+ENERO!U19</f>
        <v>0</v>
      </c>
      <c r="V19" s="15">
        <f>SEPTIEMBRE!V19+OCTUBRE!AL19</f>
        <v>0</v>
      </c>
      <c r="W19" s="15">
        <f>SEPTIEMBRE!W19+OCTUBRE!AM19</f>
        <v>0</v>
      </c>
      <c r="X19" s="18">
        <f>SUM(U19:W19)</f>
        <v>0</v>
      </c>
      <c r="Y19" s="19">
        <f>SEPTIEMBRE!AA19</f>
        <v>0</v>
      </c>
      <c r="Z19" s="364">
        <v>0</v>
      </c>
      <c r="AA19" s="848">
        <f>SUM(Y19:Z19)</f>
        <v>0</v>
      </c>
      <c r="AB19" s="19">
        <f>SEPTIEMBRE!AD19</f>
        <v>0</v>
      </c>
      <c r="AC19" s="364">
        <v>0</v>
      </c>
      <c r="AD19" s="848">
        <f>SUM(AB19:AC19)</f>
        <v>0</v>
      </c>
      <c r="AE19" s="19">
        <f>SEPTIEMBRE!AG19</f>
        <v>0</v>
      </c>
      <c r="AF19" s="364">
        <v>0</v>
      </c>
      <c r="AG19" s="84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100378063</v>
      </c>
      <c r="BD19" s="93">
        <f>+I105+I106+I107+I108+I109+I110+I98+I100+I101</f>
        <v>121172400</v>
      </c>
      <c r="BE19" s="94">
        <f>+K105+K106+K107+K108+K109+K110+K98+K100+K101</f>
        <v>10519286</v>
      </c>
      <c r="BF19" s="57"/>
      <c r="BG19" s="372"/>
      <c r="BH19" s="372">
        <f>BN33</f>
        <v>0</v>
      </c>
      <c r="BI19" s="372"/>
      <c r="BJ19" s="372"/>
      <c r="BK19" s="372"/>
      <c r="BM19" s="137" t="s">
        <v>94</v>
      </c>
      <c r="BN19" s="83">
        <f>X126+X167</f>
        <v>740000000</v>
      </c>
      <c r="BO19" s="81">
        <f>AA126+AA167</f>
        <v>592833738</v>
      </c>
      <c r="BP19" s="81">
        <f>AD126+AD167</f>
        <v>592833738</v>
      </c>
      <c r="BQ19" s="82">
        <f>AF126+AF167</f>
        <v>99971091</v>
      </c>
    </row>
    <row r="20" spans="1:70" s="412" customFormat="1" ht="24.95" customHeight="1" thickBot="1">
      <c r="A20" s="593" t="str">
        <f>+IF(SEPTIEMBRE!A20=0,"",SEPTIEMBRE!A20)</f>
        <v/>
      </c>
      <c r="B20" s="626" t="str">
        <f>+IF(SEPTIEMBRE!B20=0,"",SEPTIEMBRE!B20)</f>
        <v/>
      </c>
      <c r="C20" s="284"/>
      <c r="D20" s="284"/>
      <c r="E20" s="284"/>
      <c r="F20" s="284"/>
      <c r="G20" s="284"/>
      <c r="H20" s="284"/>
      <c r="I20" s="284"/>
      <c r="J20" s="284"/>
      <c r="K20" s="284"/>
      <c r="L20" s="284"/>
      <c r="M20" s="284"/>
      <c r="N20" s="453"/>
      <c r="O20" s="9"/>
      <c r="P20" s="397"/>
      <c r="Q20" s="396"/>
      <c r="R20" s="9"/>
      <c r="S20" s="688">
        <f>+IF(SEPTIEMBRE!S20=0,"",SEPTIEMBRE!S20)</f>
        <v>1010104</v>
      </c>
      <c r="T20" s="664" t="str">
        <f>+IF(SEPTIEMBRE!T20=0,"",SEPTIEMBRE!T20)</f>
        <v>Otros</v>
      </c>
      <c r="U20" s="27">
        <f t="shared" ref="U20:AJ20" si="15">SUM(U21:U32)</f>
        <v>341805563</v>
      </c>
      <c r="V20" s="15">
        <f t="shared" si="15"/>
        <v>0</v>
      </c>
      <c r="W20" s="15">
        <f t="shared" si="15"/>
        <v>0</v>
      </c>
      <c r="X20" s="18">
        <f t="shared" si="15"/>
        <v>341805563</v>
      </c>
      <c r="Y20" s="19">
        <f t="shared" si="15"/>
        <v>116562974</v>
      </c>
      <c r="Z20" s="142">
        <f t="shared" si="15"/>
        <v>2949683</v>
      </c>
      <c r="AA20" s="848">
        <f t="shared" si="15"/>
        <v>119512657</v>
      </c>
      <c r="AB20" s="19">
        <f t="shared" si="15"/>
        <v>116562974</v>
      </c>
      <c r="AC20" s="142">
        <f t="shared" si="15"/>
        <v>2949683</v>
      </c>
      <c r="AD20" s="848">
        <f t="shared" si="15"/>
        <v>119512657</v>
      </c>
      <c r="AE20" s="19">
        <f t="shared" si="15"/>
        <v>116562974</v>
      </c>
      <c r="AF20" s="142">
        <f t="shared" si="15"/>
        <v>2949683</v>
      </c>
      <c r="AG20" s="848">
        <f t="shared" si="15"/>
        <v>119512657</v>
      </c>
      <c r="AH20" s="19">
        <f t="shared" si="15"/>
        <v>222292906</v>
      </c>
      <c r="AI20" s="15">
        <f t="shared" si="15"/>
        <v>222292906</v>
      </c>
      <c r="AJ20" s="16">
        <f t="shared" si="15"/>
        <v>222292906</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803324096</v>
      </c>
      <c r="BD20" s="66">
        <f>+I115+I117+I119+I120+I121+I123+I124</f>
        <v>757329975</v>
      </c>
      <c r="BE20" s="67">
        <f>+K115+K117+K119+K120+K121+K123+K124</f>
        <v>154293922</v>
      </c>
      <c r="BF20" s="57"/>
      <c r="BG20" s="372"/>
      <c r="BH20" s="372">
        <f>BH19-BH16</f>
        <v>-111645261858</v>
      </c>
      <c r="BI20" s="372"/>
      <c r="BJ20" s="372"/>
      <c r="BK20" s="372"/>
      <c r="BL20" s="372"/>
      <c r="BM20" s="139" t="s">
        <v>429</v>
      </c>
      <c r="BN20" s="83">
        <f>+X141-X143</f>
        <v>527082264</v>
      </c>
      <c r="BO20" s="81">
        <f>+AA141-AA143</f>
        <v>231459602</v>
      </c>
      <c r="BP20" s="81">
        <f>+AD141-AD143</f>
        <v>231459602</v>
      </c>
      <c r="BQ20" s="82">
        <f>+AF141-AF143</f>
        <v>17154893</v>
      </c>
      <c r="BR20" s="9"/>
    </row>
    <row r="21" spans="1:70" s="412" customFormat="1" ht="24.95" customHeight="1" thickBot="1">
      <c r="A21" s="715">
        <f>+IF(SEPTIEMBRE!A21=0,"",SEPTIEMBRE!A21)</f>
        <v>11301</v>
      </c>
      <c r="B21" s="627" t="str">
        <f>+IF(SEPTIEMBRE!B21=0,"",SEPTIEMBRE!B21)</f>
        <v>Venta de Servicios de Salud</v>
      </c>
      <c r="C21" s="174">
        <f t="shared" ref="C21:N21" si="16">C22+C25+C28+C41+C42+C45+C48+C51+C54+C57+C60+C63+C66+C69+C72+C75+C78+C81</f>
        <v>53293559356</v>
      </c>
      <c r="D21" s="344">
        <f t="shared" si="16"/>
        <v>0</v>
      </c>
      <c r="E21" s="344">
        <f t="shared" si="16"/>
        <v>16322372052</v>
      </c>
      <c r="F21" s="344">
        <f t="shared" si="16"/>
        <v>69615931408</v>
      </c>
      <c r="G21" s="344">
        <f t="shared" si="16"/>
        <v>60196531381</v>
      </c>
      <c r="H21" s="344">
        <f t="shared" si="16"/>
        <v>10811787696</v>
      </c>
      <c r="I21" s="344">
        <f t="shared" si="16"/>
        <v>71008319077</v>
      </c>
      <c r="J21" s="344">
        <f t="shared" si="16"/>
        <v>36178230165.760002</v>
      </c>
      <c r="K21" s="344">
        <f t="shared" si="16"/>
        <v>3954169581</v>
      </c>
      <c r="L21" s="344">
        <f t="shared" si="16"/>
        <v>40132399746.760002</v>
      </c>
      <c r="M21" s="344">
        <f t="shared" si="16"/>
        <v>-1392387669</v>
      </c>
      <c r="N21" s="175">
        <f t="shared" si="16"/>
        <v>29483531661.240002</v>
      </c>
      <c r="O21" s="372"/>
      <c r="P21" s="43">
        <f>P22+P25+P28+P41+P42+P45+P48+P51+P54+P57+P60+P63+P66+P69+P72+P75+P78+P81</f>
        <v>0</v>
      </c>
      <c r="Q21" s="45">
        <f>Q22+Q25+Q28+Q41+Q42+Q45+Q48+Q51+Q54+Q57+Q60+Q63+Q66+Q69+Q72+Q75+Q78+Q81</f>
        <v>2699434800</v>
      </c>
      <c r="R21" s="9"/>
      <c r="S21" s="689" t="str">
        <f>+IF(SEPTIEMBRE!S21=0,"",SEPTIEMBRE!S21)</f>
        <v>1010104-1</v>
      </c>
      <c r="T21" s="665" t="str">
        <f>+IF(SEPTIEMBRE!T21=0,"",SEPTIEMBRE!T21)</f>
        <v xml:space="preserve">Prima de Navidad </v>
      </c>
      <c r="U21" s="27">
        <f>+ENERO!U21</f>
        <v>142096948</v>
      </c>
      <c r="V21" s="15">
        <f>SEPTIEMBRE!V21+OCTUBRE!AL21</f>
        <v>0</v>
      </c>
      <c r="W21" s="15">
        <f>SEPTIEMBRE!W21+OCTUBRE!AM21</f>
        <v>0</v>
      </c>
      <c r="X21" s="18">
        <f t="shared" ref="X21:X33" si="17">SUM(U21:W21)</f>
        <v>142096948</v>
      </c>
      <c r="Y21" s="19">
        <f>SEPTIEMBRE!AA21</f>
        <v>4580537</v>
      </c>
      <c r="Z21" s="364">
        <v>0</v>
      </c>
      <c r="AA21" s="848">
        <f t="shared" ref="AA21:AA33" si="18">SUM(Y21:Z21)</f>
        <v>4580537</v>
      </c>
      <c r="AB21" s="19">
        <f>SEPTIEMBRE!AD21</f>
        <v>4580537</v>
      </c>
      <c r="AC21" s="364">
        <v>0</v>
      </c>
      <c r="AD21" s="848">
        <f t="shared" ref="AD21:AD33" si="19">SUM(AB21:AC21)</f>
        <v>4580537</v>
      </c>
      <c r="AE21" s="19">
        <f>SEPTIEMBRE!AG21</f>
        <v>4580537</v>
      </c>
      <c r="AF21" s="364">
        <v>0</v>
      </c>
      <c r="AG21" s="848">
        <f t="shared" ref="AG21:AG33" si="20">SUM(AE21:AF21)</f>
        <v>4580537</v>
      </c>
      <c r="AH21" s="19">
        <f t="shared" ref="AH21:AH33" si="21">X21-AA21</f>
        <v>137516411</v>
      </c>
      <c r="AI21" s="15">
        <f t="shared" ref="AI21:AI33" si="22">X21-AD21</f>
        <v>137516411</v>
      </c>
      <c r="AJ21" s="16">
        <f t="shared" ref="AJ21:AJ33" si="23">X21-AG21</f>
        <v>137516411</v>
      </c>
      <c r="AK21" s="9"/>
      <c r="AL21" s="362">
        <v>0</v>
      </c>
      <c r="AM21" s="365">
        <v>0</v>
      </c>
      <c r="AN21" s="9"/>
      <c r="AO21" s="339"/>
      <c r="AP21" s="413"/>
      <c r="AQ21" s="414"/>
      <c r="AR21" s="415" t="str">
        <f>AR6</f>
        <v>OCTUBRE</v>
      </c>
      <c r="AS21" s="416" t="str">
        <f>AR6</f>
        <v>OCTUBRE</v>
      </c>
      <c r="AT21" s="415" t="str">
        <f>AR6</f>
        <v>OCTUBRE</v>
      </c>
      <c r="AU21" s="415" t="s">
        <v>44</v>
      </c>
      <c r="AV21" s="415" t="s">
        <v>22</v>
      </c>
      <c r="AW21" s="417"/>
      <c r="AX21" s="417"/>
      <c r="AY21" s="415" t="s">
        <v>44</v>
      </c>
      <c r="AZ21" s="418" t="s">
        <v>22</v>
      </c>
      <c r="BA21" s="9"/>
      <c r="BB21" s="101" t="s">
        <v>422</v>
      </c>
      <c r="BC21" s="65">
        <f>SUMIF($B8:B122,$B24,F8:F122)+F122</f>
        <v>16143311761</v>
      </c>
      <c r="BD21" s="66">
        <f>SUMIF($B8:B122,$B24,I8:I122)+I122</f>
        <v>17885230076</v>
      </c>
      <c r="BE21" s="67">
        <f>SUMIF($B8:B122,$B24,K8:K122)+K122</f>
        <v>1741918315</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+IF(SEPTIEMBRE!A22=0,"",SEPTIEMBRE!A22)</f>
        <v>1130101</v>
      </c>
      <c r="B22" s="628" t="str">
        <f>+IF(SEPTIEMBRE!B22=0,"",SEPTIEMBRE!B22)</f>
        <v>EPS - REGIMEN CONTRIBUTIVO</v>
      </c>
      <c r="C22" s="43">
        <f t="shared" ref="C22:N22" si="24">SUM(C23:C24)</f>
        <v>3087894380</v>
      </c>
      <c r="D22" s="44">
        <f t="shared" si="24"/>
        <v>0</v>
      </c>
      <c r="E22" s="44">
        <f t="shared" si="24"/>
        <v>822697730</v>
      </c>
      <c r="F22" s="44">
        <f t="shared" si="24"/>
        <v>3910592110</v>
      </c>
      <c r="G22" s="44">
        <f t="shared" si="24"/>
        <v>3144912312</v>
      </c>
      <c r="H22" s="44">
        <f t="shared" si="24"/>
        <v>438071933</v>
      </c>
      <c r="I22" s="44">
        <f t="shared" si="24"/>
        <v>3582984245</v>
      </c>
      <c r="J22" s="44">
        <f t="shared" si="24"/>
        <v>1616269339</v>
      </c>
      <c r="K22" s="44">
        <f t="shared" si="24"/>
        <v>175680000</v>
      </c>
      <c r="L22" s="44">
        <f t="shared" si="24"/>
        <v>1791949339</v>
      </c>
      <c r="M22" s="44">
        <f t="shared" si="24"/>
        <v>327607865</v>
      </c>
      <c r="N22" s="45">
        <f t="shared" si="24"/>
        <v>2118642771</v>
      </c>
      <c r="P22" s="43">
        <f>SUM(P23:P24)</f>
        <v>0</v>
      </c>
      <c r="Q22" s="45">
        <f>SUM(Q23:Q24)</f>
        <v>97209521</v>
      </c>
      <c r="S22" s="689" t="str">
        <f>+IF(SEPTIEMBRE!S22=0,"",SEPTIEMBRE!S22)</f>
        <v>1010104-2</v>
      </c>
      <c r="T22" s="665" t="str">
        <f>+IF(SEPTIEMBRE!T22=0,"",SEPTIEMBRE!T22)</f>
        <v>Prima de Vacaciones</v>
      </c>
      <c r="U22" s="27">
        <f>+ENERO!U22</f>
        <v>72708845</v>
      </c>
      <c r="V22" s="15">
        <f>SEPTIEMBRE!V22+OCTUBRE!AL22</f>
        <v>0</v>
      </c>
      <c r="W22" s="15">
        <f>SEPTIEMBRE!W22+OCTUBRE!AM22</f>
        <v>0</v>
      </c>
      <c r="X22" s="18">
        <f t="shared" si="17"/>
        <v>72708845</v>
      </c>
      <c r="Y22" s="19">
        <f>SEPTIEMBRE!AA22</f>
        <v>29338460</v>
      </c>
      <c r="Z22" s="364">
        <v>1141697</v>
      </c>
      <c r="AA22" s="848">
        <f t="shared" si="18"/>
        <v>30480157</v>
      </c>
      <c r="AB22" s="19">
        <f>SEPTIEMBRE!AD22</f>
        <v>29338460</v>
      </c>
      <c r="AC22" s="364">
        <v>1141697</v>
      </c>
      <c r="AD22" s="848">
        <f t="shared" si="19"/>
        <v>30480157</v>
      </c>
      <c r="AE22" s="19">
        <f>SEPTIEMBRE!AG22</f>
        <v>29338460</v>
      </c>
      <c r="AF22" s="364">
        <v>1141697</v>
      </c>
      <c r="AG22" s="848">
        <f t="shared" si="20"/>
        <v>30480157</v>
      </c>
      <c r="AH22" s="19">
        <f t="shared" si="21"/>
        <v>42228688</v>
      </c>
      <c r="AI22" s="15">
        <f t="shared" si="22"/>
        <v>42228688</v>
      </c>
      <c r="AJ22" s="16">
        <f t="shared" si="23"/>
        <v>42228688</v>
      </c>
      <c r="AL22" s="362">
        <v>0</v>
      </c>
      <c r="AM22" s="365">
        <v>0</v>
      </c>
      <c r="AO22" s="21"/>
      <c r="AP22" s="419" t="s">
        <v>104</v>
      </c>
      <c r="AQ22" s="420">
        <f>X17+X66</f>
        <v>3409004812</v>
      </c>
      <c r="AR22" s="420">
        <f>AD17+AD66</f>
        <v>2805515698</v>
      </c>
      <c r="AS22" s="420">
        <f>AG17+AG66</f>
        <v>2805345607</v>
      </c>
      <c r="AT22" s="421"/>
      <c r="AU22" s="422">
        <f t="shared" ref="AU22:AU32" si="25">IF(AQ22=0," ",AR22/AQ22)</f>
        <v>0.82297205569330245</v>
      </c>
      <c r="AV22" s="422">
        <f t="shared" ref="AV22:AV32" si="26">IF(AQ22=0," ",AS22/AQ22)</f>
        <v>0.82292216107320648</v>
      </c>
      <c r="AW22" s="423">
        <f>AR22/$AO$2*12</f>
        <v>3366618837.6000004</v>
      </c>
      <c r="AX22" s="423">
        <f>AS22/$AO$2*12</f>
        <v>3366414728.3999996</v>
      </c>
      <c r="AY22" s="423">
        <f t="shared" ref="AY22:AY31" si="27">AW22-AQ22</f>
        <v>-42385974.399999619</v>
      </c>
      <c r="AZ22" s="424">
        <f t="shared" ref="AZ22:AZ31" si="28">AQ22-AX22</f>
        <v>42590083.600000381</v>
      </c>
      <c r="BA22" s="372"/>
      <c r="BB22" s="102" t="s">
        <v>109</v>
      </c>
      <c r="BC22" s="103">
        <f>BC7+BC8+BC20+BC21</f>
        <v>111645261858</v>
      </c>
      <c r="BD22" s="104">
        <f>BD7+BD8+BD20+BD21</f>
        <v>108363495522</v>
      </c>
      <c r="BE22" s="105">
        <f>BE7+BE8+BE20+BE21</f>
        <v>8617723101</v>
      </c>
      <c r="BF22" s="57"/>
      <c r="BG22" s="372"/>
      <c r="BH22" s="372"/>
      <c r="BI22" s="372"/>
      <c r="BJ22" s="372"/>
      <c r="BK22" s="372"/>
      <c r="BM22" s="71" t="s">
        <v>67</v>
      </c>
      <c r="BN22" s="83">
        <f>BN23+BN24</f>
        <v>1292354144</v>
      </c>
      <c r="BO22" s="81">
        <f>BO23+BO24</f>
        <v>846871019</v>
      </c>
      <c r="BP22" s="81">
        <f>BP23+BP24</f>
        <v>846871019</v>
      </c>
      <c r="BQ22" s="82">
        <f>BQ23+BQ24</f>
        <v>61363814</v>
      </c>
      <c r="BR22" s="372"/>
    </row>
    <row r="23" spans="1:70" s="412" customFormat="1" ht="24.95" customHeight="1">
      <c r="A23" s="593" t="str">
        <f>+IF(SEPTIEMBRE!A23=0,"",SEPTIEMBRE!A23)</f>
        <v>1130101-1</v>
      </c>
      <c r="B23" s="629" t="str">
        <f>+CONCATENATE("Vigencia ",INSTRUCCIONES!$F$3)</f>
        <v>Vigencia 2019</v>
      </c>
      <c r="C23" s="655">
        <f>+ENERO!C23</f>
        <v>3087894380</v>
      </c>
      <c r="D23" s="363">
        <f>SEPTIEMBRE!D23+OCTUBRE!P23</f>
        <v>0</v>
      </c>
      <c r="E23" s="363">
        <f>SEPTIEMBRE!E23+OCTUBRE!Q23</f>
        <v>0</v>
      </c>
      <c r="F23" s="363">
        <f>SUM(C23:E23)</f>
        <v>3087894380</v>
      </c>
      <c r="G23" s="363">
        <f>SEPTIEMBRE!I23</f>
        <v>2322214582</v>
      </c>
      <c r="H23" s="364">
        <v>426229764</v>
      </c>
      <c r="I23" s="363">
        <f>SUM(G23:H23)</f>
        <v>2748444346</v>
      </c>
      <c r="J23" s="363">
        <f>SEPTIEMBRE!L23</f>
        <v>793571609</v>
      </c>
      <c r="K23" s="364">
        <v>163837831</v>
      </c>
      <c r="L23" s="363">
        <f>SUM(J23:K23)</f>
        <v>957409440</v>
      </c>
      <c r="M23" s="363">
        <f>F23-I23</f>
        <v>339450034</v>
      </c>
      <c r="N23" s="143">
        <f>F23-L23</f>
        <v>2130484940</v>
      </c>
      <c r="O23" s="9"/>
      <c r="P23" s="362">
        <v>0</v>
      </c>
      <c r="Q23" s="365">
        <v>0</v>
      </c>
      <c r="R23" s="9"/>
      <c r="S23" s="689" t="str">
        <f>+IF(SEPTIEMBRE!S23=0,"",SEPTIEMBRE!S23)</f>
        <v>1010104-3</v>
      </c>
      <c r="T23" s="665" t="str">
        <f>+IF(SEPTIEMBRE!T23=0,"",SEPTIEMBRE!T23)</f>
        <v>Bonificación  por servicios prestados</v>
      </c>
      <c r="U23" s="27">
        <f>+ENERO!U23</f>
        <v>44330324</v>
      </c>
      <c r="V23" s="15">
        <f>SEPTIEMBRE!V23+OCTUBRE!AL23</f>
        <v>0</v>
      </c>
      <c r="W23" s="15">
        <f>SEPTIEMBRE!W23+OCTUBRE!AM23</f>
        <v>0</v>
      </c>
      <c r="X23" s="18">
        <f t="shared" si="17"/>
        <v>44330324</v>
      </c>
      <c r="Y23" s="19">
        <f>SEPTIEMBRE!AA23</f>
        <v>24482807</v>
      </c>
      <c r="Z23" s="364">
        <v>1573382</v>
      </c>
      <c r="AA23" s="848">
        <f t="shared" si="18"/>
        <v>26056189</v>
      </c>
      <c r="AB23" s="19">
        <f>SEPTIEMBRE!AD23</f>
        <v>24482807</v>
      </c>
      <c r="AC23" s="364">
        <v>1573382</v>
      </c>
      <c r="AD23" s="848">
        <f t="shared" si="19"/>
        <v>26056189</v>
      </c>
      <c r="AE23" s="19">
        <f>SEPTIEMBRE!AG23</f>
        <v>24482807</v>
      </c>
      <c r="AF23" s="364">
        <v>1573382</v>
      </c>
      <c r="AG23" s="848">
        <f t="shared" si="20"/>
        <v>26056189</v>
      </c>
      <c r="AH23" s="19">
        <f t="shared" si="21"/>
        <v>18274135</v>
      </c>
      <c r="AI23" s="15">
        <f t="shared" si="22"/>
        <v>18274135</v>
      </c>
      <c r="AJ23" s="16">
        <f t="shared" si="23"/>
        <v>18274135</v>
      </c>
      <c r="AK23" s="9"/>
      <c r="AL23" s="362">
        <v>0</v>
      </c>
      <c r="AM23" s="365">
        <v>0</v>
      </c>
      <c r="AN23" s="9"/>
      <c r="AO23" s="360"/>
      <c r="AP23" s="425" t="s">
        <v>108</v>
      </c>
      <c r="AQ23" s="426">
        <f>X16+X65-AQ22</f>
        <v>1499680691</v>
      </c>
      <c r="AR23" s="426">
        <f>AD16+AD65-AR22</f>
        <v>472287612</v>
      </c>
      <c r="AS23" s="426">
        <f>AG16+AG65-AS22</f>
        <v>472231280</v>
      </c>
      <c r="AT23" s="317"/>
      <c r="AU23" s="332">
        <f t="shared" si="25"/>
        <v>0.31492544701970826</v>
      </c>
      <c r="AV23" s="332">
        <f t="shared" si="26"/>
        <v>0.31488788435697745</v>
      </c>
      <c r="AW23" s="426">
        <f>(AR23-AD21-AD22-AD23-AD25-AD30-AD33-AD70-AD71-AD72-AD74-AD78-AD81)/$AO$2*12+AX22/12*2.5+AD30+AD33+AD78+AD81</f>
        <v>1024521034.75</v>
      </c>
      <c r="AX23" s="426">
        <f>(AS23-AG21-AG22-AG23-AG25-AG30-AG33-AG70-AG71-AG72-AG74-AG78-AG81)/$AO$2*12+AX22/12*2.5+AG30+AG33+AG78+AG81</f>
        <v>1024488894.75</v>
      </c>
      <c r="AY23" s="426">
        <f t="shared" si="27"/>
        <v>-475159656.25</v>
      </c>
      <c r="AZ23" s="46">
        <f t="shared" si="28"/>
        <v>475191796.25</v>
      </c>
      <c r="BA23" s="372"/>
      <c r="BF23" s="372"/>
      <c r="BG23" s="372"/>
      <c r="BH23" s="372"/>
      <c r="BI23" s="372"/>
      <c r="BJ23" s="372"/>
      <c r="BK23" s="372"/>
      <c r="BL23" s="372"/>
      <c r="BM23" s="137" t="s">
        <v>105</v>
      </c>
      <c r="BN23" s="83">
        <f>X177</f>
        <v>965336472</v>
      </c>
      <c r="BO23" s="81">
        <f>AA177</f>
        <v>678221468</v>
      </c>
      <c r="BP23" s="81">
        <f>AD177</f>
        <v>678221468</v>
      </c>
      <c r="BQ23" s="82">
        <f>AF177</f>
        <v>61013032</v>
      </c>
      <c r="BR23" s="9"/>
    </row>
    <row r="24" spans="1:70" s="412" customFormat="1" ht="24.95" customHeight="1">
      <c r="A24" s="593" t="str">
        <f>+IF(SEPTIEMBRE!A24=0,"",SEPTIEMBRE!A24)</f>
        <v>1130101-2</v>
      </c>
      <c r="B24" s="629" t="str">
        <f>+IF(SEPTIEMBRE!B24=0,"",SEPTIEMBRE!B24)</f>
        <v>Vigencia Anterior</v>
      </c>
      <c r="C24" s="655">
        <f>+ENERO!C24</f>
        <v>0</v>
      </c>
      <c r="D24" s="363">
        <f>SEPTIEMBRE!D24+OCTUBRE!P24</f>
        <v>0</v>
      </c>
      <c r="E24" s="363">
        <f>SEPTIEMBRE!E24+OCTUBRE!Q24</f>
        <v>822697730</v>
      </c>
      <c r="F24" s="363">
        <f>SUM(C24:E24)</f>
        <v>822697730</v>
      </c>
      <c r="G24" s="363">
        <f>SEPTIEMBRE!I24</f>
        <v>822697730</v>
      </c>
      <c r="H24" s="364">
        <v>11842169</v>
      </c>
      <c r="I24" s="363">
        <f>SUM(G24:H24)</f>
        <v>834539899</v>
      </c>
      <c r="J24" s="363">
        <f>SEPTIEMBRE!L24</f>
        <v>822697730</v>
      </c>
      <c r="K24" s="364">
        <v>11842169</v>
      </c>
      <c r="L24" s="363">
        <f>SUM(J24:K24)</f>
        <v>834539899</v>
      </c>
      <c r="M24" s="363">
        <f>F24-I24</f>
        <v>-11842169</v>
      </c>
      <c r="N24" s="143">
        <f>F24-L24</f>
        <v>-11842169</v>
      </c>
      <c r="O24" s="372"/>
      <c r="P24" s="362">
        <v>0</v>
      </c>
      <c r="Q24" s="365">
        <v>97209521</v>
      </c>
      <c r="R24" s="9"/>
      <c r="S24" s="689" t="str">
        <f>+IF(SEPTIEMBRE!S24=0,"",SEPTIEMBRE!S24)</f>
        <v>1010104-4</v>
      </c>
      <c r="T24" s="665" t="str">
        <f>+IF(SEPTIEMBRE!T24=0,"",SEPTIEMBRE!T24)</f>
        <v>Prima de Servicios</v>
      </c>
      <c r="U24" s="27">
        <f>+ENERO!U24</f>
        <v>67115850</v>
      </c>
      <c r="V24" s="15">
        <f>SEPTIEMBRE!V24+OCTUBRE!AL24</f>
        <v>0</v>
      </c>
      <c r="W24" s="15">
        <f>SEPTIEMBRE!W24+OCTUBRE!AM24</f>
        <v>0</v>
      </c>
      <c r="X24" s="18">
        <f t="shared" si="17"/>
        <v>67115850</v>
      </c>
      <c r="Y24" s="19">
        <f>SEPTIEMBRE!AA24</f>
        <v>53399562</v>
      </c>
      <c r="Z24" s="364">
        <v>0</v>
      </c>
      <c r="AA24" s="848">
        <f t="shared" si="18"/>
        <v>53399562</v>
      </c>
      <c r="AB24" s="19">
        <f>SEPTIEMBRE!AD24</f>
        <v>53399562</v>
      </c>
      <c r="AC24" s="364">
        <v>0</v>
      </c>
      <c r="AD24" s="848">
        <f t="shared" si="19"/>
        <v>53399562</v>
      </c>
      <c r="AE24" s="19">
        <f>SEPTIEMBRE!AG24</f>
        <v>53399562</v>
      </c>
      <c r="AF24" s="364">
        <v>0</v>
      </c>
      <c r="AG24" s="848">
        <f t="shared" si="20"/>
        <v>53399562</v>
      </c>
      <c r="AH24" s="19">
        <f t="shared" si="21"/>
        <v>13716288</v>
      </c>
      <c r="AI24" s="15">
        <f t="shared" si="22"/>
        <v>13716288</v>
      </c>
      <c r="AJ24" s="16">
        <f t="shared" si="23"/>
        <v>13716288</v>
      </c>
      <c r="AK24" s="9"/>
      <c r="AL24" s="362">
        <v>0</v>
      </c>
      <c r="AM24" s="365">
        <v>0</v>
      </c>
      <c r="AN24" s="9"/>
      <c r="AO24" s="360"/>
      <c r="AP24" s="405" t="s">
        <v>113</v>
      </c>
      <c r="AQ24" s="421">
        <f>X35+X83</f>
        <v>27922957341</v>
      </c>
      <c r="AR24" s="421">
        <f>AD35+AD83</f>
        <v>23636600478</v>
      </c>
      <c r="AS24" s="421">
        <f>AG35+AG83</f>
        <v>16981434697</v>
      </c>
      <c r="AT24" s="421"/>
      <c r="AU24" s="363">
        <f t="shared" si="25"/>
        <v>0.84649344943466176</v>
      </c>
      <c r="AV24" s="363">
        <f t="shared" si="26"/>
        <v>0.60815315833562233</v>
      </c>
      <c r="AW24" s="363">
        <f>(AR24-AD41-AD88)/$AO$2*12+AD41+AD88</f>
        <v>27279205118.800003</v>
      </c>
      <c r="AX24" s="363">
        <f>(AS24-AG41-AG88)/$AO$2*12+AG41+AG88</f>
        <v>19293006181.599998</v>
      </c>
      <c r="AY24" s="363">
        <f t="shared" si="27"/>
        <v>-643752222.19999695</v>
      </c>
      <c r="AZ24" s="143">
        <f t="shared" si="28"/>
        <v>8629951159.4000015</v>
      </c>
      <c r="BA24" s="9"/>
      <c r="BB24" s="427"/>
      <c r="BC24" s="372"/>
      <c r="BD24" s="372"/>
      <c r="BE24" s="372"/>
      <c r="BF24" s="372"/>
      <c r="BG24" s="372"/>
      <c r="BH24" s="372"/>
      <c r="BI24" s="372"/>
      <c r="BJ24" s="372"/>
      <c r="BK24" s="372"/>
      <c r="BL24" s="372"/>
      <c r="BM24" s="137" t="s">
        <v>110</v>
      </c>
      <c r="BN24" s="83">
        <f>X170-X177-X174-X183-X191</f>
        <v>327017672</v>
      </c>
      <c r="BO24" s="81">
        <f>AA170-AA177-AA174-AA183-AA191</f>
        <v>168649551</v>
      </c>
      <c r="BP24" s="81">
        <f>AD170-AD177-AD174-AD183-AD191</f>
        <v>168649551</v>
      </c>
      <c r="BQ24" s="82">
        <f>AF170-AF177-AF174-AF183-AF191</f>
        <v>350782</v>
      </c>
      <c r="BR24" s="372"/>
    </row>
    <row r="25" spans="1:70" s="372" customFormat="1" ht="24.95" customHeight="1">
      <c r="A25" s="714">
        <f>+IF(SEPTIEMBRE!A25=0,"",SEPTIEMBRE!A25)</f>
        <v>1130102</v>
      </c>
      <c r="B25" s="628" t="str">
        <f>+IF(SEPTIEMBRE!B25=0,"",SEPTIEMBRE!B25)</f>
        <v>ARS - REGIMEN SUBSIDIADO</v>
      </c>
      <c r="C25" s="43">
        <f t="shared" ref="C25:N25" si="29">SUM(C26:C27)</f>
        <v>32167564656</v>
      </c>
      <c r="D25" s="44">
        <f t="shared" si="29"/>
        <v>0</v>
      </c>
      <c r="E25" s="44">
        <f t="shared" si="29"/>
        <v>9114565294</v>
      </c>
      <c r="F25" s="44">
        <f t="shared" si="29"/>
        <v>41282129950</v>
      </c>
      <c r="G25" s="44">
        <f t="shared" si="29"/>
        <v>35519858695</v>
      </c>
      <c r="H25" s="44">
        <f t="shared" si="29"/>
        <v>7943411752</v>
      </c>
      <c r="I25" s="44">
        <f t="shared" si="29"/>
        <v>43463270447</v>
      </c>
      <c r="J25" s="44">
        <f t="shared" si="29"/>
        <v>24334177138</v>
      </c>
      <c r="K25" s="44">
        <f t="shared" si="29"/>
        <v>2443480502</v>
      </c>
      <c r="L25" s="44">
        <f t="shared" si="29"/>
        <v>26777657640</v>
      </c>
      <c r="M25" s="44">
        <f t="shared" si="29"/>
        <v>-2181140497</v>
      </c>
      <c r="N25" s="45">
        <f t="shared" si="29"/>
        <v>14504472310</v>
      </c>
      <c r="P25" s="43">
        <f>SUM(P26:P27)</f>
        <v>0</v>
      </c>
      <c r="Q25" s="45">
        <f>SUM(Q26:Q27)</f>
        <v>1174465954</v>
      </c>
      <c r="R25" s="9"/>
      <c r="S25" s="689" t="str">
        <f>+IF(SEPTIEMBRE!S25=0,"",SEPTIEMBRE!S25)</f>
        <v>1010104-5</v>
      </c>
      <c r="T25" s="665" t="str">
        <f>+IF(SEPTIEMBRE!T25=0,"",SEPTIEMBRE!T25)</f>
        <v>Bonificación Convencional</v>
      </c>
      <c r="U25" s="27">
        <f>+ENERO!U25</f>
        <v>0</v>
      </c>
      <c r="V25" s="15">
        <f>SEPTIEMBRE!V25+OCTUBRE!AL25</f>
        <v>0</v>
      </c>
      <c r="W25" s="15">
        <f>SEPTIEMBRE!W25+OCTUBRE!AM25</f>
        <v>0</v>
      </c>
      <c r="X25" s="18">
        <f t="shared" si="17"/>
        <v>0</v>
      </c>
      <c r="Y25" s="19">
        <f>SEPTIEMBRE!AA25</f>
        <v>0</v>
      </c>
      <c r="Z25" s="364">
        <v>0</v>
      </c>
      <c r="AA25" s="848">
        <f t="shared" si="18"/>
        <v>0</v>
      </c>
      <c r="AB25" s="19">
        <f>SEPTIEMBRE!AD25</f>
        <v>0</v>
      </c>
      <c r="AC25" s="364">
        <v>0</v>
      </c>
      <c r="AD25" s="848">
        <f t="shared" si="19"/>
        <v>0</v>
      </c>
      <c r="AE25" s="19">
        <f>SEPTIEMBRE!AG25</f>
        <v>0</v>
      </c>
      <c r="AF25" s="364">
        <v>0</v>
      </c>
      <c r="AG25" s="848">
        <f t="shared" si="20"/>
        <v>0</v>
      </c>
      <c r="AH25" s="19">
        <f t="shared" si="21"/>
        <v>0</v>
      </c>
      <c r="AI25" s="15">
        <f t="shared" si="22"/>
        <v>0</v>
      </c>
      <c r="AJ25" s="16">
        <f t="shared" si="23"/>
        <v>0</v>
      </c>
      <c r="AK25" s="9"/>
      <c r="AL25" s="362">
        <v>0</v>
      </c>
      <c r="AM25" s="365">
        <v>0</v>
      </c>
      <c r="AN25" s="9"/>
      <c r="AO25" s="21"/>
      <c r="AP25" s="428" t="s">
        <v>116</v>
      </c>
      <c r="AQ25" s="363">
        <f>X43+X57+X90+X104</f>
        <v>2049294290</v>
      </c>
      <c r="AR25" s="363">
        <f>AD43+AD57+AD90+AD104</f>
        <v>1297715360</v>
      </c>
      <c r="AS25" s="363">
        <f>AG43+AG57+AG90+AG104</f>
        <v>1198788609</v>
      </c>
      <c r="AT25" s="421"/>
      <c r="AU25" s="363">
        <f t="shared" si="25"/>
        <v>0.63324987842522118</v>
      </c>
      <c r="AV25" s="363">
        <f t="shared" si="26"/>
        <v>0.58497630860036209</v>
      </c>
      <c r="AW25" s="363">
        <f>(AR25-AD55-AD61-AD102-AD108)/$AO$2*12+AD55+AD61+AD102+AD108</f>
        <v>1498622017.1999998</v>
      </c>
      <c r="AX25" s="363">
        <f>(AS25-AG55-AG61-AG102-AG108)/$AO$2*12+AG55+AG61+AG102+AG108</f>
        <v>1379909916</v>
      </c>
      <c r="AY25" s="363">
        <f t="shared" si="27"/>
        <v>-550672272.80000019</v>
      </c>
      <c r="AZ25" s="143">
        <f t="shared" si="28"/>
        <v>669384374</v>
      </c>
      <c r="BM25" s="140" t="s">
        <v>430</v>
      </c>
      <c r="BN25" s="106">
        <f>+SUM(BN26:BN28)</f>
        <v>19665908715</v>
      </c>
      <c r="BO25" s="107">
        <f>+SUM(BO26:BO28)</f>
        <v>18894936294</v>
      </c>
      <c r="BP25" s="107">
        <f>+SUM(BP26:BP28)</f>
        <v>16632097087</v>
      </c>
      <c r="BQ25" s="108">
        <f>+SUM(BQ26:BQ28)</f>
        <v>3937514274</v>
      </c>
    </row>
    <row r="26" spans="1:70" s="9" customFormat="1" ht="24.95" customHeight="1">
      <c r="A26" s="593" t="str">
        <f>+IF(SEPTIEMBRE!A26=0,"",SEPTIEMBRE!A26)</f>
        <v>1130102-1</v>
      </c>
      <c r="B26" s="629" t="str">
        <f>+CONCATENATE("Vigencia ",INSTRUCCIONES!$F$3)</f>
        <v>Vigencia 2019</v>
      </c>
      <c r="C26" s="655">
        <f>+ENERO!C26</f>
        <v>32167564656</v>
      </c>
      <c r="D26" s="363">
        <f>SEPTIEMBRE!D26+OCTUBRE!P26</f>
        <v>0</v>
      </c>
      <c r="E26" s="363">
        <f>SEPTIEMBRE!E26+OCTUBRE!Q26</f>
        <v>0</v>
      </c>
      <c r="F26" s="363">
        <f>SUM(C26:E26)</f>
        <v>32167564656</v>
      </c>
      <c r="G26" s="363">
        <f>SEPTIEMBRE!I26</f>
        <v>26405293401</v>
      </c>
      <c r="H26" s="364">
        <f>3862842336+3562620526</f>
        <v>7425462862</v>
      </c>
      <c r="I26" s="363">
        <f>SUM(G26:H26)</f>
        <v>33830756263</v>
      </c>
      <c r="J26" s="363">
        <f>SEPTIEMBRE!L26</f>
        <v>15219611844</v>
      </c>
      <c r="K26" s="364">
        <v>1925531612</v>
      </c>
      <c r="L26" s="363">
        <f>SUM(J26:K26)</f>
        <v>17145143456</v>
      </c>
      <c r="M26" s="363">
        <f>F26-I26</f>
        <v>-1663191607</v>
      </c>
      <c r="N26" s="143">
        <f>F26-L26</f>
        <v>15022421200</v>
      </c>
      <c r="P26" s="362">
        <v>0</v>
      </c>
      <c r="Q26" s="365">
        <v>0</v>
      </c>
      <c r="S26" s="689" t="str">
        <f>+IF(SEPTIEMBRE!S26=0,"",SEPTIEMBRE!S26)</f>
        <v>1010104-6</v>
      </c>
      <c r="T26" s="665" t="str">
        <f>+IF(SEPTIEMBRE!T26=0,"",SEPTIEMBRE!T26)</f>
        <v>Auxilio de Transporte</v>
      </c>
      <c r="U26" s="27">
        <f>+ENERO!U26</f>
        <v>7017105</v>
      </c>
      <c r="V26" s="15">
        <f>SEPTIEMBRE!V26+OCTUBRE!AL26</f>
        <v>0</v>
      </c>
      <c r="W26" s="15">
        <f>SEPTIEMBRE!W26+OCTUBRE!AM26</f>
        <v>0</v>
      </c>
      <c r="X26" s="18">
        <f t="shared" si="17"/>
        <v>7017105</v>
      </c>
      <c r="Y26" s="19">
        <f>SEPTIEMBRE!AA26</f>
        <v>798897</v>
      </c>
      <c r="Z26" s="364">
        <v>90563</v>
      </c>
      <c r="AA26" s="848">
        <f t="shared" si="18"/>
        <v>889460</v>
      </c>
      <c r="AB26" s="19">
        <f>SEPTIEMBRE!AD26</f>
        <v>798897</v>
      </c>
      <c r="AC26" s="364">
        <v>90563</v>
      </c>
      <c r="AD26" s="848">
        <f t="shared" si="19"/>
        <v>889460</v>
      </c>
      <c r="AE26" s="19">
        <f>SEPTIEMBRE!AG26</f>
        <v>798897</v>
      </c>
      <c r="AF26" s="364">
        <v>90563</v>
      </c>
      <c r="AG26" s="848">
        <f t="shared" si="20"/>
        <v>889460</v>
      </c>
      <c r="AH26" s="19">
        <f t="shared" si="21"/>
        <v>6127645</v>
      </c>
      <c r="AI26" s="15">
        <f t="shared" si="22"/>
        <v>6127645</v>
      </c>
      <c r="AJ26" s="16">
        <f t="shared" si="23"/>
        <v>6127645</v>
      </c>
      <c r="AL26" s="362">
        <v>0</v>
      </c>
      <c r="AM26" s="365">
        <v>0</v>
      </c>
      <c r="AO26" s="21"/>
      <c r="AP26" s="429" t="s">
        <v>120</v>
      </c>
      <c r="AQ26" s="317">
        <f>X110</f>
        <v>14607336161</v>
      </c>
      <c r="AR26" s="317">
        <f>AD110</f>
        <v>10693606828</v>
      </c>
      <c r="AS26" s="317">
        <f>AG110</f>
        <v>8869590977</v>
      </c>
      <c r="AT26" s="361">
        <f>AO2/12</f>
        <v>0.83333333333333337</v>
      </c>
      <c r="AU26" s="332">
        <f t="shared" si="25"/>
        <v>0.73207097516868047</v>
      </c>
      <c r="AV26" s="332">
        <f t="shared" si="26"/>
        <v>0.60720112683384697</v>
      </c>
      <c r="AW26" s="426">
        <f>(AR26-AD121-AD139-AD143-AD153-AD168)/$AO$2*12+AD121+AD139+AD143+AD153+AD168</f>
        <v>12395110276.799999</v>
      </c>
      <c r="AX26" s="426">
        <f>(AS26-AG121-AG139-AG143-AG153-AG168)/$AO$2*12+AG121+AG139+AG143+AG153+AG168</f>
        <v>10206291255.599998</v>
      </c>
      <c r="AY26" s="426">
        <f t="shared" si="27"/>
        <v>-2212225884.2000008</v>
      </c>
      <c r="AZ26" s="46">
        <f t="shared" si="28"/>
        <v>4401044905.4000015</v>
      </c>
      <c r="BA26" s="372"/>
      <c r="BB26" s="372"/>
      <c r="BC26" s="372"/>
      <c r="BD26" s="372"/>
      <c r="BE26" s="372"/>
      <c r="BF26" s="372"/>
      <c r="BG26" s="372"/>
      <c r="BH26" s="372"/>
      <c r="BI26" s="372"/>
      <c r="BJ26" s="372"/>
      <c r="BK26" s="372"/>
      <c r="BM26" s="109" t="s">
        <v>431</v>
      </c>
      <c r="BN26" s="86">
        <f>+X198+X212</f>
        <v>8478464356</v>
      </c>
      <c r="BO26" s="84">
        <f>+AA198+AA212</f>
        <v>7984756313</v>
      </c>
      <c r="BP26" s="84">
        <f>+AD198+AD212</f>
        <v>7224229913</v>
      </c>
      <c r="BQ26" s="85">
        <f>+AF198+AF212</f>
        <v>1653616784</v>
      </c>
      <c r="BR26" s="372"/>
    </row>
    <row r="27" spans="1:70" s="412" customFormat="1" ht="24.95" customHeight="1">
      <c r="A27" s="593" t="str">
        <f>+IF(SEPTIEMBRE!A27=0,"",SEPTIEMBRE!A27)</f>
        <v>1130102-2</v>
      </c>
      <c r="B27" s="629" t="str">
        <f>+IF(SEPTIEMBRE!B27=0,"",SEPTIEMBRE!B27)</f>
        <v>Vigencia Anterior</v>
      </c>
      <c r="C27" s="655">
        <f>+ENERO!C27</f>
        <v>0</v>
      </c>
      <c r="D27" s="363">
        <f>SEPTIEMBRE!D27+OCTUBRE!P27</f>
        <v>0</v>
      </c>
      <c r="E27" s="363">
        <f>SEPTIEMBRE!E27+OCTUBRE!Q27</f>
        <v>9114565294</v>
      </c>
      <c r="F27" s="363">
        <f>SUM(C27:E27)</f>
        <v>9114565294</v>
      </c>
      <c r="G27" s="363">
        <f>SEPTIEMBRE!I27</f>
        <v>9114565294</v>
      </c>
      <c r="H27" s="364">
        <v>517948890</v>
      </c>
      <c r="I27" s="363">
        <f>SUM(G27:H27)</f>
        <v>9632514184</v>
      </c>
      <c r="J27" s="363">
        <f>SEPTIEMBRE!L27</f>
        <v>9114565294</v>
      </c>
      <c r="K27" s="364">
        <v>517948890</v>
      </c>
      <c r="L27" s="363">
        <f>SUM(J27:K27)</f>
        <v>9632514184</v>
      </c>
      <c r="M27" s="363">
        <f>F27-I27</f>
        <v>-517948890</v>
      </c>
      <c r="N27" s="143">
        <f>F27-L27</f>
        <v>-517948890</v>
      </c>
      <c r="O27" s="372"/>
      <c r="P27" s="362">
        <v>0</v>
      </c>
      <c r="Q27" s="365">
        <v>1174465954</v>
      </c>
      <c r="R27" s="9"/>
      <c r="S27" s="689" t="str">
        <f>+IF(SEPTIEMBRE!S27=0,"",SEPTIEMBRE!S27)</f>
        <v>1010104-7</v>
      </c>
      <c r="T27" s="665" t="str">
        <f>+IF(SEPTIEMBRE!T27=0,"",SEPTIEMBRE!T27)</f>
        <v>Auxilio de Alimentación</v>
      </c>
      <c r="U27" s="27">
        <f>+ENERO!U27</f>
        <v>92622</v>
      </c>
      <c r="V27" s="15">
        <f>SEPTIEMBRE!V27+OCTUBRE!AL27</f>
        <v>0</v>
      </c>
      <c r="W27" s="15">
        <f>SEPTIEMBRE!W27+OCTUBRE!AM27</f>
        <v>0</v>
      </c>
      <c r="X27" s="18">
        <f t="shared" si="17"/>
        <v>92622</v>
      </c>
      <c r="Y27" s="19">
        <f>SEPTIEMBRE!AA27</f>
        <v>0</v>
      </c>
      <c r="Z27" s="364">
        <v>0</v>
      </c>
      <c r="AA27" s="848">
        <f t="shared" si="18"/>
        <v>0</v>
      </c>
      <c r="AB27" s="19">
        <f>SEPTIEMBRE!AD27</f>
        <v>0</v>
      </c>
      <c r="AC27" s="364">
        <v>0</v>
      </c>
      <c r="AD27" s="848">
        <f t="shared" si="19"/>
        <v>0</v>
      </c>
      <c r="AE27" s="19">
        <f>SEPTIEMBRE!AG27</f>
        <v>0</v>
      </c>
      <c r="AF27" s="364">
        <v>0</v>
      </c>
      <c r="AG27" s="848">
        <f t="shared" si="20"/>
        <v>0</v>
      </c>
      <c r="AH27" s="19">
        <f t="shared" si="21"/>
        <v>92622</v>
      </c>
      <c r="AI27" s="15">
        <f t="shared" si="22"/>
        <v>92622</v>
      </c>
      <c r="AJ27" s="16">
        <f t="shared" si="23"/>
        <v>92622</v>
      </c>
      <c r="AK27" s="9"/>
      <c r="AL27" s="362">
        <v>0</v>
      </c>
      <c r="AM27" s="365">
        <v>0</v>
      </c>
      <c r="AN27" s="9"/>
      <c r="AO27" s="339"/>
      <c r="AP27" s="428" t="s">
        <v>123</v>
      </c>
      <c r="AQ27" s="363">
        <f>X170</f>
        <v>1292354144</v>
      </c>
      <c r="AR27" s="363">
        <f>AD170</f>
        <v>846871019</v>
      </c>
      <c r="AS27" s="363">
        <f>AG170</f>
        <v>842760879</v>
      </c>
      <c r="AT27" s="421"/>
      <c r="AU27" s="363">
        <f t="shared" si="25"/>
        <v>0.65529330557862941</v>
      </c>
      <c r="AV27" s="363">
        <f t="shared" si="26"/>
        <v>0.65211295441940409</v>
      </c>
      <c r="AW27" s="363">
        <f>(AR27-AD174-AD183-AD191)/$AO$2*12+AD174+AD183+AD191</f>
        <v>1016245222.8000001</v>
      </c>
      <c r="AX27" s="363">
        <f>(AS27-AG174-AG183-AG191)/$AO$2*12+AG174+AG183+AG191</f>
        <v>1011313054.8000001</v>
      </c>
      <c r="AY27" s="363">
        <f t="shared" si="27"/>
        <v>-276108921.19999993</v>
      </c>
      <c r="AZ27" s="143">
        <f t="shared" si="28"/>
        <v>281041089.19999993</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+IF(SEPTIEMBRE!A28=0,"",SEPTIEMBRE!A28)</f>
        <v>1130103</v>
      </c>
      <c r="B28" s="605" t="str">
        <f>+IF(SEPTIEMBRE!B28=0,"",SEPTIEMBRE!B28)</f>
        <v>SUBSIDIO A LA OFERTA- ATENCION PERSONAS POBRES NO CUBIERTOS CON SUBSIDIO A LA DEMANDA</v>
      </c>
      <c r="C28" s="43">
        <f>C29+C32+C35+C38+C39+C40</f>
        <v>8952361140</v>
      </c>
      <c r="D28" s="44">
        <f>+D29+D32+D35+D38+D39+D40</f>
        <v>0</v>
      </c>
      <c r="E28" s="44">
        <f>+E29+E32+E35+E38+E39+E40</f>
        <v>4127907592</v>
      </c>
      <c r="F28" s="44">
        <f>+F29+F32+F35+F38+F39+F40</f>
        <v>13080268732</v>
      </c>
      <c r="G28" s="44">
        <f t="shared" ref="G28:N28" si="30">G29+G32+G35+G38+G39+G40</f>
        <v>13707274206</v>
      </c>
      <c r="H28" s="44">
        <f t="shared" si="30"/>
        <v>1833689711</v>
      </c>
      <c r="I28" s="44">
        <f t="shared" si="30"/>
        <v>15540963917</v>
      </c>
      <c r="J28" s="44">
        <f t="shared" si="30"/>
        <v>5420158043</v>
      </c>
      <c r="K28" s="44">
        <f t="shared" si="30"/>
        <v>879635065</v>
      </c>
      <c r="L28" s="44">
        <f t="shared" si="30"/>
        <v>6299793108</v>
      </c>
      <c r="M28" s="44">
        <f t="shared" si="30"/>
        <v>-2460695185</v>
      </c>
      <c r="N28" s="45">
        <f t="shared" si="30"/>
        <v>6780475624</v>
      </c>
      <c r="O28" s="372"/>
      <c r="P28" s="43">
        <f>P29+P32+P35+P38+P39+P940</f>
        <v>0</v>
      </c>
      <c r="Q28" s="45">
        <f>Q29+Q32+Q35+Q38+Q39+Q40</f>
        <v>1325318485</v>
      </c>
      <c r="R28" s="9"/>
      <c r="S28" s="689" t="str">
        <f>+IF(SEPTIEMBRE!S28=0,"",SEPTIEMBRE!S28)</f>
        <v>1010104-8</v>
      </c>
      <c r="T28" s="665" t="str">
        <f>+IF(SEPTIEMBRE!T28=0,"",SEPTIEMBRE!T28)</f>
        <v>Indemnizaciones por Vacaciones o Supresión de Cargos por Reestructuración</v>
      </c>
      <c r="U28" s="27">
        <f>+ENERO!U28</f>
        <v>0</v>
      </c>
      <c r="V28" s="15">
        <f>SEPTIEMBRE!V28+OCTUBRE!AL28</f>
        <v>0</v>
      </c>
      <c r="W28" s="15">
        <f>SEPTIEMBRE!W28+OCTUBRE!AM28</f>
        <v>0</v>
      </c>
      <c r="X28" s="18">
        <f t="shared" si="17"/>
        <v>0</v>
      </c>
      <c r="Y28" s="19">
        <f>SEPTIEMBRE!AA28</f>
        <v>0</v>
      </c>
      <c r="Z28" s="364">
        <v>0</v>
      </c>
      <c r="AA28" s="848">
        <f t="shared" si="18"/>
        <v>0</v>
      </c>
      <c r="AB28" s="19">
        <f>SEPTIEMBRE!AD28</f>
        <v>0</v>
      </c>
      <c r="AC28" s="364">
        <v>0</v>
      </c>
      <c r="AD28" s="848">
        <f t="shared" si="19"/>
        <v>0</v>
      </c>
      <c r="AE28" s="19">
        <f>SEPTIEMBRE!AG28</f>
        <v>0</v>
      </c>
      <c r="AF28" s="364">
        <v>0</v>
      </c>
      <c r="AG28" s="848">
        <f t="shared" si="20"/>
        <v>0</v>
      </c>
      <c r="AH28" s="19">
        <f t="shared" si="21"/>
        <v>0</v>
      </c>
      <c r="AI28" s="15">
        <f t="shared" si="22"/>
        <v>0</v>
      </c>
      <c r="AJ28" s="16">
        <f t="shared" si="23"/>
        <v>0</v>
      </c>
      <c r="AK28" s="9"/>
      <c r="AL28" s="362">
        <v>0</v>
      </c>
      <c r="AM28" s="365">
        <v>0</v>
      </c>
      <c r="AN28" s="9"/>
      <c r="AO28" s="339"/>
      <c r="AP28" s="777" t="s">
        <v>566</v>
      </c>
      <c r="AQ28" s="363">
        <f>X195</f>
        <v>27802036076</v>
      </c>
      <c r="AR28" s="363">
        <f>AD195</f>
        <v>23960937416</v>
      </c>
      <c r="AS28" s="363">
        <f>AG195</f>
        <v>18624641795</v>
      </c>
      <c r="AT28" s="421"/>
      <c r="AU28" s="363">
        <f t="shared" si="25"/>
        <v>0.86184110223078902</v>
      </c>
      <c r="AV28" s="363">
        <f t="shared" si="26"/>
        <v>0.66990207998030937</v>
      </c>
      <c r="AW28" s="363">
        <f>(AR28-AD207)/$AO$2*12+AD207</f>
        <v>27287356833.400002</v>
      </c>
      <c r="AX28" s="363">
        <f>(AS28-AG207)/$AO$2*12+AG207</f>
        <v>20883802088.199997</v>
      </c>
      <c r="AY28" s="363">
        <f t="shared" si="27"/>
        <v>-514679242.59999847</v>
      </c>
      <c r="AZ28" s="143">
        <f t="shared" si="28"/>
        <v>6918233987.8000031</v>
      </c>
      <c r="BA28" s="372"/>
      <c r="BB28" s="372"/>
      <c r="BC28" s="372"/>
      <c r="BD28" s="372"/>
      <c r="BE28" s="372"/>
      <c r="BF28" s="372"/>
      <c r="BG28" s="372"/>
      <c r="BH28" s="372"/>
      <c r="BI28" s="372"/>
      <c r="BJ28" s="372"/>
      <c r="BK28" s="372"/>
      <c r="BL28" s="372"/>
      <c r="BM28" s="71" t="s">
        <v>433</v>
      </c>
      <c r="BN28" s="83">
        <f>+X196-X198-X207</f>
        <v>11187444359</v>
      </c>
      <c r="BO28" s="81">
        <f>+AA196-AA198-AA207</f>
        <v>10910179981</v>
      </c>
      <c r="BP28" s="81">
        <f>+AD196-AD198-AD207</f>
        <v>9407867174</v>
      </c>
      <c r="BQ28" s="82">
        <f>+AF196-AF198-AF207</f>
        <v>2283897490</v>
      </c>
      <c r="BR28" s="9"/>
    </row>
    <row r="29" spans="1:70" s="9" customFormat="1" ht="24.95" customHeight="1">
      <c r="A29" s="593" t="str">
        <f>+IF(SEPTIEMBRE!A29=0,"",SEPTIEMBRE!A29)</f>
        <v>1130103-1</v>
      </c>
      <c r="B29" s="630" t="str">
        <f>+IF(SEPTIEMBRE!B29=0,"",SEPTIEMBRE!B29)</f>
        <v>Prestación de Servicios de salud  1er Nivel</v>
      </c>
      <c r="C29" s="19">
        <f t="shared" ref="C29:N29" si="31">SUM(C30:C31)</f>
        <v>0</v>
      </c>
      <c r="D29" s="15">
        <f t="shared" si="31"/>
        <v>0</v>
      </c>
      <c r="E29" s="15">
        <f t="shared" si="31"/>
        <v>0</v>
      </c>
      <c r="F29" s="15">
        <f t="shared" si="31"/>
        <v>0</v>
      </c>
      <c r="G29" s="15">
        <f t="shared" si="31"/>
        <v>0</v>
      </c>
      <c r="H29" s="15">
        <f t="shared" si="31"/>
        <v>0</v>
      </c>
      <c r="I29" s="15">
        <f t="shared" si="31"/>
        <v>0</v>
      </c>
      <c r="J29" s="15">
        <f t="shared" si="31"/>
        <v>0</v>
      </c>
      <c r="K29" s="15">
        <f t="shared" si="31"/>
        <v>0</v>
      </c>
      <c r="L29" s="15">
        <f t="shared" si="31"/>
        <v>0</v>
      </c>
      <c r="M29" s="15">
        <f t="shared" si="31"/>
        <v>0</v>
      </c>
      <c r="N29" s="16">
        <f t="shared" si="31"/>
        <v>0</v>
      </c>
      <c r="O29" s="372"/>
      <c r="P29" s="144">
        <f>SUM(P30:P31)</f>
        <v>0</v>
      </c>
      <c r="Q29" s="145">
        <f>SUM(Q30:Q31)</f>
        <v>0</v>
      </c>
      <c r="S29" s="689" t="str">
        <f>+IF(SEPTIEMBRE!S29=0,"",SEPTIEMBRE!S29)</f>
        <v>1010104-9</v>
      </c>
      <c r="T29" s="665" t="str">
        <f>+IF(SEPTIEMBRE!T29=0,"",SEPTIEMBRE!T29)</f>
        <v>Bonificación Especial por Recreación</v>
      </c>
      <c r="U29" s="27">
        <f>+ENERO!U29</f>
        <v>8443869</v>
      </c>
      <c r="V29" s="15">
        <f>SEPTIEMBRE!V29+OCTUBRE!AL29</f>
        <v>0</v>
      </c>
      <c r="W29" s="15">
        <f>SEPTIEMBRE!W29+OCTUBRE!AM29</f>
        <v>0</v>
      </c>
      <c r="X29" s="18">
        <f t="shared" si="17"/>
        <v>8443869</v>
      </c>
      <c r="Y29" s="19">
        <f>SEPTIEMBRE!AA29</f>
        <v>3962711</v>
      </c>
      <c r="Z29" s="364">
        <v>144041</v>
      </c>
      <c r="AA29" s="848">
        <f t="shared" si="18"/>
        <v>4106752</v>
      </c>
      <c r="AB29" s="19">
        <f>SEPTIEMBRE!AD29</f>
        <v>3962711</v>
      </c>
      <c r="AC29" s="364">
        <v>144041</v>
      </c>
      <c r="AD29" s="848">
        <f t="shared" si="19"/>
        <v>4106752</v>
      </c>
      <c r="AE29" s="19">
        <f>SEPTIEMBRE!AG29</f>
        <v>3962711</v>
      </c>
      <c r="AF29" s="364">
        <v>144041</v>
      </c>
      <c r="AG29" s="848">
        <f t="shared" si="20"/>
        <v>4106752</v>
      </c>
      <c r="AH29" s="19">
        <f t="shared" si="21"/>
        <v>4337117</v>
      </c>
      <c r="AI29" s="15">
        <f t="shared" si="22"/>
        <v>4337117</v>
      </c>
      <c r="AJ29" s="16">
        <f t="shared" si="23"/>
        <v>4337117</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27279618396</v>
      </c>
      <c r="BO29" s="107">
        <f>AA232-AA256-AA241</f>
        <v>20284940656</v>
      </c>
      <c r="BP29" s="107">
        <f>AD232-AD256-AD241</f>
        <v>13378603266</v>
      </c>
      <c r="BQ29" s="108">
        <f>AF232-AF256-AF241</f>
        <v>689617623</v>
      </c>
      <c r="BR29" s="372"/>
    </row>
    <row r="30" spans="1:70" s="412" customFormat="1" ht="24.95" customHeight="1">
      <c r="A30" s="593" t="str">
        <f>+IF(SEPTIEMBRE!A30=0,"",SEPTIEMBRE!A30)</f>
        <v>1130103-1-1</v>
      </c>
      <c r="B30" s="629" t="str">
        <f>+CONCATENATE("Vigencia ",INSTRUCCIONES!$F$3)</f>
        <v>Vigencia 2019</v>
      </c>
      <c r="C30" s="655">
        <f>+ENERO!C30</f>
        <v>0</v>
      </c>
      <c r="D30" s="363">
        <f>SEPTIEMBRE!D30+OCTUBRE!P30</f>
        <v>0</v>
      </c>
      <c r="E30" s="363">
        <f>SEPTIEMBRE!E30+OCTUBRE!Q30</f>
        <v>0</v>
      </c>
      <c r="F30" s="363">
        <f>SUM(C30:E30)</f>
        <v>0</v>
      </c>
      <c r="G30" s="363">
        <f>SEPTIEMBRE!I30</f>
        <v>0</v>
      </c>
      <c r="H30" s="364">
        <v>0</v>
      </c>
      <c r="I30" s="363">
        <f>SUM(G30:H30)</f>
        <v>0</v>
      </c>
      <c r="J30" s="363">
        <f>SEPTIEMBRE!L30</f>
        <v>0</v>
      </c>
      <c r="K30" s="364">
        <v>0</v>
      </c>
      <c r="L30" s="363">
        <f>SUM(J30:K30)</f>
        <v>0</v>
      </c>
      <c r="M30" s="363">
        <f>F30-I30</f>
        <v>0</v>
      </c>
      <c r="N30" s="143">
        <f>F30-L30</f>
        <v>0</v>
      </c>
      <c r="O30" s="9"/>
      <c r="P30" s="362">
        <v>0</v>
      </c>
      <c r="Q30" s="365">
        <v>0</v>
      </c>
      <c r="R30" s="9"/>
      <c r="S30" s="689" t="str">
        <f>+IF(SEPTIEMBRE!S30=0,"",SEPTIEMBRE!S30)</f>
        <v>1010104-10</v>
      </c>
      <c r="T30" s="665" t="str">
        <f>+IF(SEPTIEMBRE!T30=0,"",SEPTIEMBRE!T30)</f>
        <v>Gastos de Representación</v>
      </c>
      <c r="U30" s="27">
        <f>+ENERO!U30</f>
        <v>0</v>
      </c>
      <c r="V30" s="15">
        <f>SEPTIEMBRE!V30+OCTUBRE!AL30</f>
        <v>0</v>
      </c>
      <c r="W30" s="15">
        <f>SEPTIEMBRE!W30+OCTUBRE!AM30</f>
        <v>0</v>
      </c>
      <c r="X30" s="18">
        <f t="shared" si="17"/>
        <v>0</v>
      </c>
      <c r="Y30" s="19">
        <f>SEPTIEMBRE!AA30</f>
        <v>0</v>
      </c>
      <c r="Z30" s="364">
        <v>0</v>
      </c>
      <c r="AA30" s="848">
        <f t="shared" si="18"/>
        <v>0</v>
      </c>
      <c r="AB30" s="19">
        <f>SEPTIEMBRE!AD30</f>
        <v>0</v>
      </c>
      <c r="AC30" s="364">
        <v>0</v>
      </c>
      <c r="AD30" s="848">
        <f t="shared" si="19"/>
        <v>0</v>
      </c>
      <c r="AE30" s="19">
        <f>SEPTIEMBRE!AG30</f>
        <v>0</v>
      </c>
      <c r="AF30" s="364">
        <v>0</v>
      </c>
      <c r="AG30" s="848">
        <f t="shared" si="20"/>
        <v>0</v>
      </c>
      <c r="AH30" s="19">
        <f t="shared" si="21"/>
        <v>0</v>
      </c>
      <c r="AI30" s="15">
        <f t="shared" si="22"/>
        <v>0</v>
      </c>
      <c r="AJ30" s="16">
        <f t="shared" si="23"/>
        <v>0</v>
      </c>
      <c r="AK30" s="9"/>
      <c r="AL30" s="362">
        <v>0</v>
      </c>
      <c r="AM30" s="365">
        <v>0</v>
      </c>
      <c r="AN30" s="9"/>
      <c r="AO30" s="360" t="s">
        <v>51</v>
      </c>
      <c r="AP30" s="428" t="s">
        <v>130</v>
      </c>
      <c r="AQ30" s="363">
        <f>X220+X232</f>
        <v>33062598343</v>
      </c>
      <c r="AR30" s="363">
        <f>AD220+AD232</f>
        <v>16510725360</v>
      </c>
      <c r="AS30" s="363">
        <f>AG220+AG232</f>
        <v>15046575550</v>
      </c>
      <c r="AT30" s="421"/>
      <c r="AU30" s="363">
        <f t="shared" si="25"/>
        <v>0.4993777315597957</v>
      </c>
      <c r="AV30" s="363">
        <f t="shared" si="26"/>
        <v>0.45509355900897169</v>
      </c>
      <c r="AW30" s="363">
        <f>(AR30-AD225-AD230-AD241-AD256)/$AO$2*12+AD225+AD230+AD241+AD256</f>
        <v>19231824519.599998</v>
      </c>
      <c r="AX30" s="363">
        <f>(AS30-AG225-AG230-AG241-AG256)/$AO$2*12+AG225+AG230+AG241+AG256</f>
        <v>17474844747.599998</v>
      </c>
      <c r="AY30" s="363">
        <f t="shared" si="27"/>
        <v>-13830773823.400002</v>
      </c>
      <c r="AZ30" s="143">
        <f t="shared" si="28"/>
        <v>15587753595.400002</v>
      </c>
      <c r="BA30" s="372"/>
      <c r="BG30" s="372"/>
      <c r="BH30" s="372"/>
      <c r="BI30" s="372"/>
      <c r="BJ30" s="372"/>
      <c r="BK30" s="372"/>
      <c r="BL30" s="372"/>
      <c r="BM30" s="110" t="s">
        <v>74</v>
      </c>
      <c r="BN30" s="106">
        <f>X220-X225-X230</f>
        <v>247344980</v>
      </c>
      <c r="BO30" s="107">
        <f>AA220-AA225-AA230</f>
        <v>226892532</v>
      </c>
      <c r="BP30" s="107">
        <f>AD220-AD225-AD230</f>
        <v>226892532</v>
      </c>
      <c r="BQ30" s="108">
        <f>AF220-AF225-AF230</f>
        <v>21324925</v>
      </c>
      <c r="BR30" s="372"/>
    </row>
    <row r="31" spans="1:70" s="412" customFormat="1" ht="24.95" customHeight="1">
      <c r="A31" s="593" t="str">
        <f>+IF(SEPTIEMBRE!A31=0,"",SEPTIEMBRE!A31)</f>
        <v>1130103-1-2</v>
      </c>
      <c r="B31" s="629" t="str">
        <f>+IF(SEPTIEMBRE!B31=0,"",SEPTIEMBRE!B31)</f>
        <v>Vigencia Anterior</v>
      </c>
      <c r="C31" s="655">
        <f>+ENERO!C31</f>
        <v>0</v>
      </c>
      <c r="D31" s="363">
        <f>SEPTIEMBRE!D31+OCTUBRE!P31</f>
        <v>0</v>
      </c>
      <c r="E31" s="363">
        <f>SEPTIEMBRE!E31+OCTUBRE!Q31</f>
        <v>0</v>
      </c>
      <c r="F31" s="363">
        <f>SUM(C31:E31)</f>
        <v>0</v>
      </c>
      <c r="G31" s="363">
        <f>SEPTIEMBRE!I31</f>
        <v>0</v>
      </c>
      <c r="H31" s="364">
        <v>0</v>
      </c>
      <c r="I31" s="363">
        <f>SUM(G31:H31)</f>
        <v>0</v>
      </c>
      <c r="J31" s="363">
        <f>SEPTIEMBRE!L31</f>
        <v>0</v>
      </c>
      <c r="K31" s="364">
        <v>0</v>
      </c>
      <c r="L31" s="363">
        <f>SUM(J31:K31)</f>
        <v>0</v>
      </c>
      <c r="M31" s="363">
        <f>F31-I31</f>
        <v>0</v>
      </c>
      <c r="N31" s="143">
        <f>F31-L31</f>
        <v>0</v>
      </c>
      <c r="O31" s="372"/>
      <c r="P31" s="362">
        <v>0</v>
      </c>
      <c r="Q31" s="365">
        <v>0</v>
      </c>
      <c r="R31" s="9"/>
      <c r="S31" s="689" t="str">
        <f>+IF(SEPTIEMBRE!S31=0,"",SEPTIEMBRE!S31)</f>
        <v>1010104-11</v>
      </c>
      <c r="T31" s="665" t="str">
        <f>+IF(SEPTIEMBRE!T31=0,"",SEPTIEMBRE!T31)</f>
        <v/>
      </c>
      <c r="U31" s="27">
        <f>+ENERO!U31</f>
        <v>0</v>
      </c>
      <c r="V31" s="15">
        <f>SEPTIEMBRE!V31+OCTUBRE!AL31</f>
        <v>0</v>
      </c>
      <c r="W31" s="15">
        <f>SEPTIEMBRE!W31+OCTUBRE!AM31</f>
        <v>0</v>
      </c>
      <c r="X31" s="18">
        <f t="shared" si="17"/>
        <v>0</v>
      </c>
      <c r="Y31" s="19">
        <f>SEPTIEMBRE!AA31</f>
        <v>0</v>
      </c>
      <c r="Z31" s="364">
        <v>0</v>
      </c>
      <c r="AA31" s="848">
        <f t="shared" si="18"/>
        <v>0</v>
      </c>
      <c r="AB31" s="19">
        <f>SEPTIEMBRE!AD31</f>
        <v>0</v>
      </c>
      <c r="AC31" s="364">
        <v>0</v>
      </c>
      <c r="AD31" s="848">
        <f t="shared" si="19"/>
        <v>0</v>
      </c>
      <c r="AE31" s="19">
        <f>SEPTIEMBRE!AG31</f>
        <v>0</v>
      </c>
      <c r="AF31" s="364">
        <v>0</v>
      </c>
      <c r="AG31" s="848">
        <f t="shared" si="20"/>
        <v>0</v>
      </c>
      <c r="AH31" s="19">
        <f t="shared" si="21"/>
        <v>0</v>
      </c>
      <c r="AI31" s="15">
        <f t="shared" si="22"/>
        <v>0</v>
      </c>
      <c r="AJ31" s="16">
        <f t="shared" si="23"/>
        <v>0</v>
      </c>
      <c r="AK31" s="9"/>
      <c r="AL31" s="362">
        <v>0</v>
      </c>
      <c r="AM31" s="365">
        <v>0</v>
      </c>
      <c r="AN31" s="9"/>
      <c r="AO31" s="339"/>
      <c r="AP31" s="405" t="s">
        <v>133</v>
      </c>
      <c r="AQ31" s="421">
        <f>X258</f>
        <v>0</v>
      </c>
      <c r="AR31" s="421">
        <f>AD258</f>
        <v>-5254113207.2399902</v>
      </c>
      <c r="AS31" s="421">
        <f>AG258</f>
        <v>-64841369394</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21897947262</v>
      </c>
      <c r="BO31" s="107">
        <f>AA33+AA41+AA55+AA61+AA81+AA88+AA102+AA108+AA121+AA139+AA143+AA153+AA168+AA174+AA183+AA191+AA207+AA218+AA230+AA241+AA256+AA225</f>
        <v>20642721478</v>
      </c>
      <c r="BP31" s="107">
        <f>AD33+AD41+AD55+AD61+AD81+AD88+AD102+AD108+AD121+AD139+AD143+AD153+AD168+AD174+AD183+AD191+AD207+AD218+AD230+AD241+AD256+AD225</f>
        <v>18136918823</v>
      </c>
      <c r="BQ31" s="108">
        <f>AF33+AF41+AF55+AF61+AF81+AF88+AF102+AF108+AF121+AF139+AF143+AF153+AF168+AF174+AF183+AF191+AF207+AF218+AF230+AF241+AF256+AF225</f>
        <v>2018324781</v>
      </c>
      <c r="BR31" s="9"/>
    </row>
    <row r="32" spans="1:70" s="9" customFormat="1" ht="24.95" customHeight="1" thickBot="1">
      <c r="A32" s="593" t="str">
        <f>+IF(SEPTIEMBRE!A32=0,"",SEPTIEMBRE!A32)</f>
        <v>1130103-2</v>
      </c>
      <c r="B32" s="630" t="str">
        <f>+IF(SEPTIEMBRE!B32=0,"",SEPTIEMBRE!B32)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72"/>
      <c r="P32" s="144">
        <f>SUM(P33:P34)</f>
        <v>0</v>
      </c>
      <c r="Q32" s="145">
        <f>SUM(Q33:Q34)</f>
        <v>0</v>
      </c>
      <c r="S32" s="689" t="str">
        <f>+IF(SEPTIEMBRE!S32=0,"",SEPTIEMBRE!S32)</f>
        <v>1010104-12</v>
      </c>
      <c r="T32" s="665" t="str">
        <f>+IF(SEPTIEMBRE!T32=0,"",SEPTIEMBRE!T32)</f>
        <v/>
      </c>
      <c r="U32" s="27">
        <f>+ENERO!U32</f>
        <v>0</v>
      </c>
      <c r="V32" s="15">
        <f>SEPTIEMBRE!V32+OCTUBRE!AL32</f>
        <v>0</v>
      </c>
      <c r="W32" s="15">
        <f>SEPTIEMBRE!W32+OCTUBRE!AM32</f>
        <v>0</v>
      </c>
      <c r="X32" s="18">
        <f t="shared" si="17"/>
        <v>0</v>
      </c>
      <c r="Y32" s="19">
        <f>SEPTIEMBRE!AA32</f>
        <v>0</v>
      </c>
      <c r="Z32" s="364">
        <v>0</v>
      </c>
      <c r="AA32" s="848">
        <f t="shared" si="18"/>
        <v>0</v>
      </c>
      <c r="AB32" s="19">
        <f>SEPTIEMBRE!AD32</f>
        <v>0</v>
      </c>
      <c r="AC32" s="364">
        <v>0</v>
      </c>
      <c r="AD32" s="848">
        <f t="shared" si="19"/>
        <v>0</v>
      </c>
      <c r="AE32" s="19">
        <f>SEPTIEMBRE!AG32</f>
        <v>0</v>
      </c>
      <c r="AF32" s="364">
        <v>0</v>
      </c>
      <c r="AG32" s="848">
        <f t="shared" si="20"/>
        <v>0</v>
      </c>
      <c r="AH32" s="19">
        <f t="shared" si="21"/>
        <v>0</v>
      </c>
      <c r="AI32" s="15">
        <f t="shared" si="22"/>
        <v>0</v>
      </c>
      <c r="AJ32" s="16">
        <f t="shared" si="23"/>
        <v>0</v>
      </c>
      <c r="AL32" s="362">
        <v>0</v>
      </c>
      <c r="AM32" s="365">
        <v>0</v>
      </c>
      <c r="AO32" s="21"/>
      <c r="AP32" s="430" t="s">
        <v>138</v>
      </c>
      <c r="AQ32" s="385">
        <f>SUM(AQ22:AQ31)</f>
        <v>111645261858</v>
      </c>
      <c r="AR32" s="385">
        <f>SUM(AR22:AR31)</f>
        <v>74970146563.76001</v>
      </c>
      <c r="AS32" s="385">
        <f>SUM(AS22:AS31)</f>
        <v>0</v>
      </c>
      <c r="AT32" s="431"/>
      <c r="AU32" s="432">
        <f t="shared" si="25"/>
        <v>0.67150316382537989</v>
      </c>
      <c r="AV32" s="432">
        <f t="shared" si="26"/>
        <v>0</v>
      </c>
      <c r="AW32" s="341">
        <f>SUM(AW22:AW31)</f>
        <v>93099503860.950012</v>
      </c>
      <c r="AX32" s="341">
        <f>SUM(AX22:AX31)</f>
        <v>74640070866.949997</v>
      </c>
      <c r="AY32" s="341">
        <f>SUM(AY22:AY31)</f>
        <v>-18545757997.049995</v>
      </c>
      <c r="AZ32" s="342">
        <f>SUM(AZ22:AZ31)</f>
        <v>37005190991.050011</v>
      </c>
      <c r="BA32" s="372"/>
      <c r="BB32" s="412"/>
      <c r="BC32" s="412"/>
      <c r="BD32" s="412"/>
      <c r="BE32" s="412"/>
      <c r="BF32" s="412"/>
      <c r="BG32" s="372"/>
      <c r="BH32" s="372"/>
      <c r="BI32" s="372"/>
      <c r="BJ32" s="372"/>
      <c r="BK32" s="372"/>
      <c r="BM32" s="110" t="s">
        <v>134</v>
      </c>
      <c r="BN32" s="106">
        <f>+BN7+BN25+BN29+BN30+BN31</f>
        <v>111645261858</v>
      </c>
      <c r="BO32" s="107">
        <f>+BO7+BO25+BO29+BO30+BO31</f>
        <v>96935611175</v>
      </c>
      <c r="BP32" s="107">
        <f>+BP7+BP25+BP29+BP30+BP31</f>
        <v>80224259771</v>
      </c>
      <c r="BQ32" s="108">
        <f>+BQ7+BQ25+BQ29+BQ30+BQ31</f>
        <v>9913005945</v>
      </c>
      <c r="BR32" s="372"/>
    </row>
    <row r="33" spans="1:70" s="412" customFormat="1" ht="24.95" customHeight="1" thickBot="1">
      <c r="A33" s="593" t="str">
        <f>+IF(SEPTIEMBRE!A33=0,"",SEPTIEMBRE!A33)</f>
        <v>1130103-2-1</v>
      </c>
      <c r="B33" s="629" t="str">
        <f>+CONCATENATE("Vigencia ",INSTRUCCIONES!$F$3)</f>
        <v>Vigencia 2019</v>
      </c>
      <c r="C33" s="655">
        <f>+ENERO!C33</f>
        <v>0</v>
      </c>
      <c r="D33" s="363">
        <f>SEPTIEMBRE!D33+OCTUBRE!P33</f>
        <v>0</v>
      </c>
      <c r="E33" s="363">
        <f>SEPTIEMBRE!E33+OCTUBRE!Q33</f>
        <v>0</v>
      </c>
      <c r="F33" s="363">
        <f>SUM(C33:E33)</f>
        <v>0</v>
      </c>
      <c r="G33" s="363">
        <f>SEPTIEMBRE!I33</f>
        <v>0</v>
      </c>
      <c r="H33" s="364">
        <v>0</v>
      </c>
      <c r="I33" s="363">
        <f>SUM(G33:H33)</f>
        <v>0</v>
      </c>
      <c r="J33" s="363">
        <f>SEPTIEMBRE!L33</f>
        <v>0</v>
      </c>
      <c r="K33" s="364">
        <v>0</v>
      </c>
      <c r="L33" s="363">
        <f>SUM(J33:K33)</f>
        <v>0</v>
      </c>
      <c r="M33" s="363">
        <f>F33-I33</f>
        <v>0</v>
      </c>
      <c r="N33" s="143">
        <f>F33-L33</f>
        <v>0</v>
      </c>
      <c r="O33" s="9"/>
      <c r="P33" s="362">
        <v>0</v>
      </c>
      <c r="Q33" s="365">
        <v>0</v>
      </c>
      <c r="R33" s="9"/>
      <c r="S33" s="688">
        <f>+IF(SEPTIEMBRE!S33=0,"",SEPTIEMBRE!S33)</f>
        <v>1010199</v>
      </c>
      <c r="T33" s="664" t="str">
        <f>+IF(SEPTIEMBRE!T33=0,"",SEPTIEMBRE!T33)</f>
        <v>Vigencias Anteriores</v>
      </c>
      <c r="U33" s="27">
        <f>+ENERO!U33</f>
        <v>0</v>
      </c>
      <c r="V33" s="15">
        <f>SEPTIEMBRE!V33+OCTUBRE!AL33</f>
        <v>-120000000</v>
      </c>
      <c r="W33" s="15">
        <f>SEPTIEMBRE!W33+OCTUBRE!AM33</f>
        <v>120000000</v>
      </c>
      <c r="X33" s="18">
        <f t="shared" si="17"/>
        <v>0</v>
      </c>
      <c r="Y33" s="19">
        <f>SEPTIEMBRE!AA33</f>
        <v>0</v>
      </c>
      <c r="Z33" s="364">
        <v>0</v>
      </c>
      <c r="AA33" s="848">
        <f t="shared" si="18"/>
        <v>0</v>
      </c>
      <c r="AB33" s="19">
        <f>SEPTIEMBRE!AD33</f>
        <v>0</v>
      </c>
      <c r="AC33" s="364">
        <v>0</v>
      </c>
      <c r="AD33" s="848">
        <f t="shared" si="19"/>
        <v>0</v>
      </c>
      <c r="AE33" s="19">
        <f>SEPTIEMBRE!AG33</f>
        <v>0</v>
      </c>
      <c r="AF33" s="364">
        <v>0</v>
      </c>
      <c r="AG33" s="84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11427884347</v>
      </c>
      <c r="BP33" s="113">
        <f>AD258</f>
        <v>-5254113207.2399902</v>
      </c>
      <c r="BQ33" s="114">
        <f>AF258</f>
        <v>26762109349.240005</v>
      </c>
      <c r="BR33" s="372"/>
    </row>
    <row r="34" spans="1:70" s="412" customFormat="1" ht="24.95" customHeight="1" thickBot="1">
      <c r="A34" s="593" t="str">
        <f>+IF(SEPTIEMBRE!A34=0,"",SEPTIEMBRE!A34)</f>
        <v>1130103-2-2</v>
      </c>
      <c r="B34" s="629" t="str">
        <f>+IF(SEPTIEMBRE!B34=0,"",SEPTIEMBRE!B34)</f>
        <v>Vigencia Anterior</v>
      </c>
      <c r="C34" s="655">
        <f>+ENERO!C34</f>
        <v>0</v>
      </c>
      <c r="D34" s="363">
        <f>SEPTIEMBRE!D34+OCTUBRE!P34</f>
        <v>0</v>
      </c>
      <c r="E34" s="363">
        <f>SEPTIEMBRE!E34+OCTUBRE!Q34</f>
        <v>0</v>
      </c>
      <c r="F34" s="363">
        <f>SUM(C34:E34)</f>
        <v>0</v>
      </c>
      <c r="G34" s="363">
        <f>SEPTIEMBRE!I34</f>
        <v>0</v>
      </c>
      <c r="H34" s="364">
        <v>0</v>
      </c>
      <c r="I34" s="363">
        <f>SUM(G34:H34)</f>
        <v>0</v>
      </c>
      <c r="J34" s="363">
        <f>SEPTIEMBRE!L34</f>
        <v>0</v>
      </c>
      <c r="K34" s="364">
        <v>0</v>
      </c>
      <c r="L34" s="363">
        <f>SUM(J34:K34)</f>
        <v>0</v>
      </c>
      <c r="M34" s="363">
        <f>F34-I34</f>
        <v>0</v>
      </c>
      <c r="N34" s="143">
        <f>F34-L34</f>
        <v>0</v>
      </c>
      <c r="O34" s="372"/>
      <c r="P34" s="362">
        <v>0</v>
      </c>
      <c r="Q34" s="365">
        <v>0</v>
      </c>
      <c r="R34" s="9"/>
      <c r="S34" s="356" t="str">
        <f>+IF(SEPTIEMBRE!S34=0,"",SEPTIEMBRE!S34)</f>
        <v/>
      </c>
      <c r="T34" s="678" t="str">
        <f>+IF(SEPTIEMBRE!T34=0,"",SEPTIEMBRE!T34)</f>
        <v/>
      </c>
      <c r="U34" s="161"/>
      <c r="V34" s="161"/>
      <c r="W34" s="161"/>
      <c r="X34" s="161"/>
      <c r="Y34" s="161"/>
      <c r="Z34" s="161"/>
      <c r="AA34" s="846"/>
      <c r="AB34" s="161"/>
      <c r="AC34" s="161"/>
      <c r="AD34" s="846"/>
      <c r="AE34" s="161"/>
      <c r="AF34" s="161"/>
      <c r="AG34" s="846"/>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+IF(SEPTIEMBRE!A35=0,"",SEPTIEMBRE!A35)</f>
        <v>1130103-3</v>
      </c>
      <c r="B35" s="630" t="str">
        <f>+IF(SEPTIEMBRE!B35=0,"",SEPTIEMBRE!B35)</f>
        <v>Prestación de Servicios de salud  3o. Nivel</v>
      </c>
      <c r="C35" s="19">
        <f t="shared" ref="C35:N35" si="33">SUM(C36:C37)</f>
        <v>7627600802</v>
      </c>
      <c r="D35" s="15">
        <f t="shared" si="33"/>
        <v>0</v>
      </c>
      <c r="E35" s="15">
        <f t="shared" si="33"/>
        <v>4127907592</v>
      </c>
      <c r="F35" s="15">
        <f t="shared" si="33"/>
        <v>11755508394</v>
      </c>
      <c r="G35" s="15">
        <f t="shared" si="33"/>
        <v>12824100646</v>
      </c>
      <c r="H35" s="15">
        <f t="shared" si="33"/>
        <v>1723293016</v>
      </c>
      <c r="I35" s="15">
        <f t="shared" si="33"/>
        <v>14547393662</v>
      </c>
      <c r="J35" s="15">
        <f t="shared" si="33"/>
        <v>4536984483</v>
      </c>
      <c r="K35" s="15">
        <f t="shared" si="33"/>
        <v>769238370</v>
      </c>
      <c r="L35" s="15">
        <f t="shared" si="33"/>
        <v>5306222853</v>
      </c>
      <c r="M35" s="15">
        <f t="shared" si="33"/>
        <v>-2791885268</v>
      </c>
      <c r="N35" s="16">
        <f t="shared" si="33"/>
        <v>6449285541</v>
      </c>
      <c r="P35" s="144">
        <f>SUM(P36:P37)</f>
        <v>0</v>
      </c>
      <c r="Q35" s="145">
        <f>SUM(Q36:Q37)</f>
        <v>1325318485</v>
      </c>
      <c r="R35" s="9"/>
      <c r="S35" s="687">
        <f>+IF(SEPTIEMBRE!S35=0,"",SEPTIEMBRE!S35)</f>
        <v>1010200</v>
      </c>
      <c r="T35" s="663" t="str">
        <f>+IF(SEPTIEMBRE!T35=0,"",SEPTIEMBRE!T35)</f>
        <v>Servicios Personales Indirectos</v>
      </c>
      <c r="U35" s="132">
        <f t="shared" ref="U35:AJ35" si="34">SUM(U36:U41)</f>
        <v>4253886796</v>
      </c>
      <c r="V35" s="122">
        <f t="shared" si="34"/>
        <v>200000000</v>
      </c>
      <c r="W35" s="122">
        <f t="shared" si="34"/>
        <v>150000000</v>
      </c>
      <c r="X35" s="129">
        <f t="shared" si="34"/>
        <v>4603886796</v>
      </c>
      <c r="Y35" s="128">
        <f t="shared" si="34"/>
        <v>4477097525</v>
      </c>
      <c r="Z35" s="122">
        <f t="shared" si="34"/>
        <v>-24585942</v>
      </c>
      <c r="AA35" s="215">
        <f t="shared" si="34"/>
        <v>4452511583</v>
      </c>
      <c r="AB35" s="128">
        <f t="shared" si="34"/>
        <v>3662009702</v>
      </c>
      <c r="AC35" s="122">
        <f t="shared" si="34"/>
        <v>351956171</v>
      </c>
      <c r="AD35" s="215">
        <f t="shared" si="34"/>
        <v>4013965873</v>
      </c>
      <c r="AE35" s="128">
        <f t="shared" si="34"/>
        <v>3139641633</v>
      </c>
      <c r="AF35" s="122">
        <f t="shared" si="34"/>
        <v>366731079</v>
      </c>
      <c r="AG35" s="215">
        <f t="shared" si="34"/>
        <v>3506372712</v>
      </c>
      <c r="AH35" s="128">
        <f t="shared" si="34"/>
        <v>151375213</v>
      </c>
      <c r="AI35" s="122">
        <f t="shared" si="34"/>
        <v>589920923</v>
      </c>
      <c r="AJ35" s="130">
        <f t="shared" si="34"/>
        <v>1097514084</v>
      </c>
      <c r="AK35" s="9"/>
      <c r="AL35" s="128">
        <f>SUM(AL36:AL41)</f>
        <v>10000000</v>
      </c>
      <c r="AM35" s="130">
        <f>SUM(AM36:AM41)</f>
        <v>0</v>
      </c>
      <c r="AN35" s="9"/>
      <c r="AO35" s="339"/>
      <c r="AP35" s="440"/>
      <c r="AQ35" s="282"/>
      <c r="AR35" s="441"/>
      <c r="AS35" s="441"/>
      <c r="AT35" s="441"/>
      <c r="AU35" s="442">
        <f>AR17-AR32</f>
        <v>14989913802.23999</v>
      </c>
      <c r="AV35" s="443">
        <f>AS17-AR32</f>
        <v>-18347365735.000008</v>
      </c>
      <c r="AW35" s="443" t="s">
        <v>151</v>
      </c>
      <c r="AX35" s="444"/>
      <c r="AY35" s="443">
        <f>AY17+AY32</f>
        <v>12587546172.150005</v>
      </c>
      <c r="AZ35" s="445">
        <f>AZ17+AY32</f>
        <v>-27484472577.675999</v>
      </c>
      <c r="BB35" s="412"/>
      <c r="BC35" s="412"/>
      <c r="BD35" s="412"/>
      <c r="BE35" s="412"/>
      <c r="BF35" s="412"/>
    </row>
    <row r="36" spans="1:70" s="372" customFormat="1" ht="24.95" customHeight="1" thickBot="1">
      <c r="A36" s="593" t="str">
        <f>+IF(SEPTIEMBRE!A36=0,"",SEPTIEMBRE!A36)</f>
        <v>1130103-3-1</v>
      </c>
      <c r="B36" s="629" t="str">
        <f>+CONCATENATE("Vigencia ",INSTRUCCIONES!$F$3)</f>
        <v>Vigencia 2019</v>
      </c>
      <c r="C36" s="655">
        <f>+ENERO!C36</f>
        <v>7627600802</v>
      </c>
      <c r="D36" s="363">
        <f>SEPTIEMBRE!D36+OCTUBRE!P36</f>
        <v>0</v>
      </c>
      <c r="E36" s="363">
        <f>SEPTIEMBRE!E36+OCTUBRE!Q36</f>
        <v>0</v>
      </c>
      <c r="F36" s="363">
        <f t="shared" ref="F36:F41" si="35">SUM(C36:E36)</f>
        <v>7627600802</v>
      </c>
      <c r="G36" s="363">
        <f>SEPTIEMBRE!I36</f>
        <v>8696193054</v>
      </c>
      <c r="H36" s="364">
        <v>954674792</v>
      </c>
      <c r="I36" s="363">
        <f t="shared" ref="I36:I41" si="36">SUM(G36:H36)</f>
        <v>9650867846</v>
      </c>
      <c r="J36" s="363">
        <f>SEPTIEMBRE!L36</f>
        <v>409076891</v>
      </c>
      <c r="K36" s="364">
        <v>620146</v>
      </c>
      <c r="L36" s="363">
        <f t="shared" ref="L36:L41" si="37">SUM(J36:K36)</f>
        <v>409697037</v>
      </c>
      <c r="M36" s="363">
        <f t="shared" ref="M36:M41" si="38">F36-I36</f>
        <v>-2023267044</v>
      </c>
      <c r="N36" s="143">
        <f t="shared" ref="N36:N41" si="39">F36-L36</f>
        <v>7217903765</v>
      </c>
      <c r="O36" s="9"/>
      <c r="P36" s="362">
        <v>0</v>
      </c>
      <c r="Q36" s="365">
        <v>0</v>
      </c>
      <c r="R36" s="9"/>
      <c r="S36" s="688" t="str">
        <f>+IF(SEPTIEMBRE!S36=0,"",SEPTIEMBRE!S36)</f>
        <v>1010200-1</v>
      </c>
      <c r="T36" s="664" t="str">
        <f>+IF(SEPTIEMBRE!T36=0,"",SEPTIEMBRE!T36)</f>
        <v>Remuneración y Honorarios por Servicios Técnicos y Profesionales</v>
      </c>
      <c r="U36" s="27">
        <f>+ENERO!U36</f>
        <v>1270340000</v>
      </c>
      <c r="V36" s="15">
        <f>SEPTIEMBRE!V36+OCTUBRE!AL36</f>
        <v>80000000</v>
      </c>
      <c r="W36" s="15">
        <f>SEPTIEMBRE!W36+OCTUBRE!AM36</f>
        <v>100000000</v>
      </c>
      <c r="X36" s="18">
        <f t="shared" ref="X36:X41" si="40">SUM(U36:W36)</f>
        <v>1450340000</v>
      </c>
      <c r="Y36" s="19">
        <f>SEPTIEMBRE!AA36</f>
        <v>1409562234</v>
      </c>
      <c r="Z36" s="364">
        <v>-25000000</v>
      </c>
      <c r="AA36" s="848">
        <f t="shared" ref="AA36:AA41" si="41">SUM(Y36:Z36)</f>
        <v>1384562234</v>
      </c>
      <c r="AB36" s="19">
        <f>SEPTIEMBRE!AD36</f>
        <v>1034711234</v>
      </c>
      <c r="AC36" s="364">
        <v>107478976</v>
      </c>
      <c r="AD36" s="848">
        <f t="shared" ref="AD36:AD41" si="42">SUM(AB36:AC36)</f>
        <v>1142190210</v>
      </c>
      <c r="AE36" s="19">
        <f>SEPTIEMBRE!AG36</f>
        <v>1010978661</v>
      </c>
      <c r="AF36" s="364">
        <v>109716667</v>
      </c>
      <c r="AG36" s="848">
        <f t="shared" ref="AG36:AG41" si="43">SUM(AE36:AF36)</f>
        <v>1120695328</v>
      </c>
      <c r="AH36" s="19">
        <f t="shared" ref="AH36:AH41" si="44">X36-AA36</f>
        <v>65777766</v>
      </c>
      <c r="AI36" s="15">
        <f t="shared" ref="AI36:AI41" si="45">X36-AD36</f>
        <v>308149790</v>
      </c>
      <c r="AJ36" s="16">
        <f t="shared" ref="AJ36:AJ41" si="46">X36-AG36</f>
        <v>329644672</v>
      </c>
      <c r="AK36" s="9"/>
      <c r="AL36" s="362">
        <v>10000000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+IF(SEPTIEMBRE!A37=0,"",SEPTIEMBRE!A37)</f>
        <v>1130103-3-2</v>
      </c>
      <c r="B37" s="629" t="str">
        <f>+IF(SEPTIEMBRE!B37=0,"",SEPTIEMBRE!B37)</f>
        <v>Vigencia Anterior</v>
      </c>
      <c r="C37" s="655">
        <f>+ENERO!C37</f>
        <v>0</v>
      </c>
      <c r="D37" s="363">
        <f>SEPTIEMBRE!D37+OCTUBRE!P37</f>
        <v>0</v>
      </c>
      <c r="E37" s="363">
        <f>SEPTIEMBRE!E37+OCTUBRE!Q37</f>
        <v>4127907592</v>
      </c>
      <c r="F37" s="363">
        <f t="shared" si="35"/>
        <v>4127907592</v>
      </c>
      <c r="G37" s="363">
        <f>SEPTIEMBRE!I37</f>
        <v>4127907592</v>
      </c>
      <c r="H37" s="364">
        <v>768618224</v>
      </c>
      <c r="I37" s="363">
        <f t="shared" si="36"/>
        <v>4896525816</v>
      </c>
      <c r="J37" s="363">
        <f>SEPTIEMBRE!L37</f>
        <v>4127907592</v>
      </c>
      <c r="K37" s="364">
        <v>768618224</v>
      </c>
      <c r="L37" s="363">
        <f t="shared" si="37"/>
        <v>4896525816</v>
      </c>
      <c r="M37" s="363">
        <f t="shared" si="38"/>
        <v>-768618224</v>
      </c>
      <c r="N37" s="143">
        <f t="shared" si="39"/>
        <v>-768618224</v>
      </c>
      <c r="P37" s="362">
        <v>0</v>
      </c>
      <c r="Q37" s="365">
        <v>1325318485</v>
      </c>
      <c r="R37" s="9"/>
      <c r="S37" s="688" t="str">
        <f>+IF(SEPTIEMBRE!S37=0,"",SEPTIEMBRE!S37)</f>
        <v>1010200-2</v>
      </c>
      <c r="T37" s="664" t="str">
        <f>+IF(SEPTIEMBRE!T37=0,"",SEPTIEMBRE!T37)</f>
        <v>Personal Supernumerario</v>
      </c>
      <c r="U37" s="27">
        <f>+ENERO!U37</f>
        <v>0</v>
      </c>
      <c r="V37" s="15">
        <f>SEPTIEMBRE!V37+OCTUBRE!AL37</f>
        <v>0</v>
      </c>
      <c r="W37" s="15">
        <f>SEPTIEMBRE!W37+OCTUBRE!AM37</f>
        <v>0</v>
      </c>
      <c r="X37" s="18">
        <f t="shared" si="40"/>
        <v>0</v>
      </c>
      <c r="Y37" s="19">
        <f>SEPTIEMBRE!AA37</f>
        <v>0</v>
      </c>
      <c r="Z37" s="364">
        <v>0</v>
      </c>
      <c r="AA37" s="848">
        <f t="shared" si="41"/>
        <v>0</v>
      </c>
      <c r="AB37" s="19">
        <f>SEPTIEMBRE!AD37</f>
        <v>0</v>
      </c>
      <c r="AC37" s="364">
        <v>0</v>
      </c>
      <c r="AD37" s="848">
        <f t="shared" si="42"/>
        <v>0</v>
      </c>
      <c r="AE37" s="19">
        <f>SEPTIEMBRE!AG37</f>
        <v>0</v>
      </c>
      <c r="AF37" s="364">
        <v>0</v>
      </c>
      <c r="AG37" s="848">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+IF(SEPTIEMBRE!A38=0,"",SEPTIEMBRE!A38)</f>
        <v>1130103-4</v>
      </c>
      <c r="B38" s="631" t="str">
        <f>+IF(SEPTIEMBRE!B38=0,"",SEPTIEMBRE!B38)</f>
        <v xml:space="preserve"> Aportes Patronales  1o. Nivel</v>
      </c>
      <c r="C38" s="655">
        <f>+ENERO!C38</f>
        <v>0</v>
      </c>
      <c r="D38" s="363">
        <f>SEPTIEMBRE!D38+OCTUBRE!P38</f>
        <v>0</v>
      </c>
      <c r="E38" s="363">
        <f>SEPTIEMBRE!E38+OCTUBRE!Q38</f>
        <v>0</v>
      </c>
      <c r="F38" s="363">
        <f t="shared" si="35"/>
        <v>0</v>
      </c>
      <c r="G38" s="363">
        <f>SEPTIEMBRE!I38</f>
        <v>0</v>
      </c>
      <c r="H38" s="364">
        <v>0</v>
      </c>
      <c r="I38" s="363">
        <f t="shared" si="36"/>
        <v>0</v>
      </c>
      <c r="J38" s="363">
        <f>SEPTIEMBRE!L38</f>
        <v>0</v>
      </c>
      <c r="K38" s="364">
        <v>0</v>
      </c>
      <c r="L38" s="363">
        <f t="shared" si="37"/>
        <v>0</v>
      </c>
      <c r="M38" s="363">
        <f t="shared" si="38"/>
        <v>0</v>
      </c>
      <c r="N38" s="143">
        <f t="shared" si="39"/>
        <v>0</v>
      </c>
      <c r="O38" s="515"/>
      <c r="P38" s="362">
        <v>0</v>
      </c>
      <c r="Q38" s="365">
        <v>0</v>
      </c>
      <c r="R38" s="9"/>
      <c r="S38" s="688" t="str">
        <f>+IF(SEPTIEMBRE!S38=0,"",SEPTIEMBRE!S38)</f>
        <v>1010200-3</v>
      </c>
      <c r="T38" s="664" t="str">
        <f>+IF(SEPTIEMBRE!T38=0,"",SEPTIEMBRE!T38)</f>
        <v>Honorarios de la Junta Directiva</v>
      </c>
      <c r="U38" s="27">
        <f>+ENERO!U38</f>
        <v>5000000</v>
      </c>
      <c r="V38" s="15">
        <f>SEPTIEMBRE!V38+OCTUBRE!AL38</f>
        <v>0</v>
      </c>
      <c r="W38" s="15">
        <f>SEPTIEMBRE!W38+OCTUBRE!AM38</f>
        <v>0</v>
      </c>
      <c r="X38" s="18">
        <f t="shared" si="40"/>
        <v>5000000</v>
      </c>
      <c r="Y38" s="19">
        <f>SEPTIEMBRE!AA38</f>
        <v>3312464</v>
      </c>
      <c r="Z38" s="364">
        <v>414058</v>
      </c>
      <c r="AA38" s="848">
        <f t="shared" si="41"/>
        <v>3726522</v>
      </c>
      <c r="AB38" s="19">
        <f>SEPTIEMBRE!AD38</f>
        <v>3312464</v>
      </c>
      <c r="AC38" s="364">
        <v>414058</v>
      </c>
      <c r="AD38" s="848">
        <f t="shared" si="42"/>
        <v>3726522</v>
      </c>
      <c r="AE38" s="19">
        <f>SEPTIEMBRE!AG38</f>
        <v>3312464</v>
      </c>
      <c r="AF38" s="364">
        <v>0</v>
      </c>
      <c r="AG38" s="848">
        <f t="shared" si="43"/>
        <v>3312464</v>
      </c>
      <c r="AH38" s="19">
        <f t="shared" si="44"/>
        <v>1273478</v>
      </c>
      <c r="AI38" s="15">
        <f t="shared" si="45"/>
        <v>1273478</v>
      </c>
      <c r="AJ38" s="16">
        <f t="shared" si="46"/>
        <v>1687536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+IF(SEPTIEMBRE!A39=0,"",SEPTIEMBRE!A39)</f>
        <v>1130103-5</v>
      </c>
      <c r="B39" s="631" t="str">
        <f>+IF(SEPTIEMBRE!B39=0,"",SEPTIEMBRE!B39)</f>
        <v xml:space="preserve"> Aportes Patronales  2o. Nivel</v>
      </c>
      <c r="C39" s="655">
        <f>+ENERO!C39</f>
        <v>0</v>
      </c>
      <c r="D39" s="363">
        <f>SEPTIEMBRE!D39+OCTUBRE!P39</f>
        <v>0</v>
      </c>
      <c r="E39" s="363">
        <f>SEPTIEMBRE!E39+OCTUBRE!Q39</f>
        <v>0</v>
      </c>
      <c r="F39" s="363">
        <f t="shared" si="35"/>
        <v>0</v>
      </c>
      <c r="G39" s="363">
        <f>SEPTIEMBRE!I39</f>
        <v>0</v>
      </c>
      <c r="H39" s="364">
        <v>0</v>
      </c>
      <c r="I39" s="363">
        <f t="shared" si="36"/>
        <v>0</v>
      </c>
      <c r="J39" s="363">
        <f>SEPTIEMBRE!L39</f>
        <v>0</v>
      </c>
      <c r="K39" s="364">
        <v>0</v>
      </c>
      <c r="L39" s="363">
        <f t="shared" si="37"/>
        <v>0</v>
      </c>
      <c r="M39" s="363">
        <f t="shared" si="38"/>
        <v>0</v>
      </c>
      <c r="N39" s="143">
        <f t="shared" si="39"/>
        <v>0</v>
      </c>
      <c r="O39" s="515"/>
      <c r="P39" s="362">
        <v>0</v>
      </c>
      <c r="Q39" s="365">
        <v>0</v>
      </c>
      <c r="R39" s="9"/>
      <c r="S39" s="688" t="str">
        <f>+IF(SEPTIEMBRE!S39=0,"",SEPTIEMBRE!S39)</f>
        <v>1010200-4</v>
      </c>
      <c r="T39" s="664" t="str">
        <f>+IF(SEPTIEMBRE!T39=0,"",SEPTIEMBRE!T39)</f>
        <v>Otros Honorarios</v>
      </c>
      <c r="U39" s="27">
        <f>+ENERO!U39</f>
        <v>2589745841</v>
      </c>
      <c r="V39" s="15">
        <f>SEPTIEMBRE!V39+OCTUBRE!AL39</f>
        <v>0</v>
      </c>
      <c r="W39" s="15">
        <f>SEPTIEMBRE!W39+OCTUBRE!AM39</f>
        <v>50000000</v>
      </c>
      <c r="X39" s="18">
        <f t="shared" si="40"/>
        <v>2639745841</v>
      </c>
      <c r="Y39" s="19">
        <f>SEPTIEMBRE!AA39</f>
        <v>2589745626</v>
      </c>
      <c r="Z39" s="364">
        <v>0</v>
      </c>
      <c r="AA39" s="848">
        <f t="shared" si="41"/>
        <v>2589745626</v>
      </c>
      <c r="AB39" s="19">
        <f>SEPTIEMBRE!AD39</f>
        <v>2149508803</v>
      </c>
      <c r="AC39" s="364">
        <v>244063137</v>
      </c>
      <c r="AD39" s="848">
        <f t="shared" si="42"/>
        <v>2393571940</v>
      </c>
      <c r="AE39" s="19">
        <f>SEPTIEMBRE!AG39</f>
        <v>1650873307</v>
      </c>
      <c r="AF39" s="364">
        <v>257014412</v>
      </c>
      <c r="AG39" s="848">
        <f t="shared" si="43"/>
        <v>1907887719</v>
      </c>
      <c r="AH39" s="19">
        <f t="shared" si="44"/>
        <v>50000215</v>
      </c>
      <c r="AI39" s="15">
        <f t="shared" si="45"/>
        <v>246173901</v>
      </c>
      <c r="AJ39" s="16">
        <f t="shared" si="46"/>
        <v>731858122</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+IF(SEPTIEMBRE!A40=0,"",SEPTIEMBRE!A40)</f>
        <v>1130103-6</v>
      </c>
      <c r="B40" s="631" t="str">
        <f>+IF(SEPTIEMBRE!B40=0,"",SEPTIEMBRE!B40)</f>
        <v xml:space="preserve"> Aportes Patronales  3er. Nivel</v>
      </c>
      <c r="C40" s="655">
        <f>+ENERO!C40</f>
        <v>1324760338</v>
      </c>
      <c r="D40" s="363">
        <f>SEPTIEMBRE!D40+OCTUBRE!P40</f>
        <v>0</v>
      </c>
      <c r="E40" s="363">
        <f>SEPTIEMBRE!E40+OCTUBRE!Q40</f>
        <v>0</v>
      </c>
      <c r="F40" s="363">
        <f t="shared" si="35"/>
        <v>1324760338</v>
      </c>
      <c r="G40" s="363">
        <f>SEPTIEMBRE!I40</f>
        <v>883173560</v>
      </c>
      <c r="H40" s="364">
        <v>110396695</v>
      </c>
      <c r="I40" s="363">
        <f t="shared" si="36"/>
        <v>993570255</v>
      </c>
      <c r="J40" s="363">
        <f>SEPTIEMBRE!L40</f>
        <v>883173560</v>
      </c>
      <c r="K40" s="364">
        <v>110396695</v>
      </c>
      <c r="L40" s="363">
        <f t="shared" si="37"/>
        <v>993570255</v>
      </c>
      <c r="M40" s="363">
        <f t="shared" si="38"/>
        <v>331190083</v>
      </c>
      <c r="N40" s="143">
        <f t="shared" si="39"/>
        <v>331190083</v>
      </c>
      <c r="O40" s="515"/>
      <c r="P40" s="362">
        <v>0</v>
      </c>
      <c r="Q40" s="365">
        <v>0</v>
      </c>
      <c r="R40" s="9"/>
      <c r="S40" s="688" t="str">
        <f>+IF(SEPTIEMBRE!S40=0,"",SEPTIEMBRE!S40)</f>
        <v>1010200-5</v>
      </c>
      <c r="T40" s="664" t="str">
        <f>+IF(SEPTIEMBRE!T40=0,"",SEPTIEMBRE!T40)</f>
        <v>Certificación, Habilitación y Acreditación</v>
      </c>
      <c r="U40" s="27">
        <f>+ENERO!U40</f>
        <v>0</v>
      </c>
      <c r="V40" s="15">
        <f>SEPTIEMBRE!V40+OCTUBRE!AL40</f>
        <v>0</v>
      </c>
      <c r="W40" s="15">
        <f>SEPTIEMBRE!W40+OCTUBRE!AM40</f>
        <v>0</v>
      </c>
      <c r="X40" s="18">
        <f t="shared" si="40"/>
        <v>0</v>
      </c>
      <c r="Y40" s="19">
        <f>SEPTIEMBRE!AA40</f>
        <v>0</v>
      </c>
      <c r="Z40" s="364">
        <v>0</v>
      </c>
      <c r="AA40" s="848">
        <f t="shared" si="41"/>
        <v>0</v>
      </c>
      <c r="AB40" s="19">
        <f>SEPTIEMBRE!AD40</f>
        <v>0</v>
      </c>
      <c r="AC40" s="364">
        <v>0</v>
      </c>
      <c r="AD40" s="848">
        <f t="shared" si="42"/>
        <v>0</v>
      </c>
      <c r="AE40" s="19">
        <f>SEPTIEMBRE!AG40</f>
        <v>0</v>
      </c>
      <c r="AF40" s="364">
        <v>0</v>
      </c>
      <c r="AG40" s="84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+IF(SEPTIEMBRE!A41=0,"",SEPTIEMBRE!A41)</f>
        <v>1130104</v>
      </c>
      <c r="B41" s="628" t="str">
        <f>+IF(SEPTIEMBRE!B41=0,"",SEPTIEMBRE!B41)</f>
        <v>SUBSIDIO A LA OFERTA- ACTIVIDADES NO POS-S</v>
      </c>
      <c r="C41" s="655">
        <f>+ENERO!C41</f>
        <v>0</v>
      </c>
      <c r="D41" s="122">
        <f>SEPTIEMBRE!D41+OCTUBRE!P41</f>
        <v>0</v>
      </c>
      <c r="E41" s="122">
        <f>SEPTIEMBRE!E41+OCTUBRE!Q41</f>
        <v>0</v>
      </c>
      <c r="F41" s="122">
        <f t="shared" si="35"/>
        <v>0</v>
      </c>
      <c r="G41" s="122">
        <f>SEPTIEMBRE!I41</f>
        <v>0</v>
      </c>
      <c r="H41" s="364">
        <v>0</v>
      </c>
      <c r="I41" s="122">
        <f t="shared" si="36"/>
        <v>0</v>
      </c>
      <c r="J41" s="122">
        <f>SEPTIEMBRE!L41</f>
        <v>0</v>
      </c>
      <c r="K41" s="364">
        <v>0</v>
      </c>
      <c r="L41" s="122">
        <f t="shared" si="37"/>
        <v>0</v>
      </c>
      <c r="M41" s="122">
        <f t="shared" si="38"/>
        <v>0</v>
      </c>
      <c r="N41" s="130">
        <f t="shared" si="39"/>
        <v>0</v>
      </c>
      <c r="O41" s="372"/>
      <c r="P41" s="364">
        <v>0</v>
      </c>
      <c r="Q41" s="365">
        <v>0</v>
      </c>
      <c r="R41" s="9"/>
      <c r="S41" s="688">
        <f>+IF(SEPTIEMBRE!S41=0,"",SEPTIEMBRE!S41)</f>
        <v>1010299</v>
      </c>
      <c r="T41" s="664" t="str">
        <f>+IF(SEPTIEMBRE!T41=0,"",SEPTIEMBRE!T41)</f>
        <v>Vigencias Anteriores</v>
      </c>
      <c r="U41" s="27">
        <f>+ENERO!U41</f>
        <v>388800955</v>
      </c>
      <c r="V41" s="15">
        <f>SEPTIEMBRE!V41+OCTUBRE!AL41</f>
        <v>120000000</v>
      </c>
      <c r="W41" s="15">
        <f>SEPTIEMBRE!W41+OCTUBRE!AM41</f>
        <v>0</v>
      </c>
      <c r="X41" s="18">
        <f t="shared" si="40"/>
        <v>508800955</v>
      </c>
      <c r="Y41" s="19">
        <f>SEPTIEMBRE!AA41</f>
        <v>474477201</v>
      </c>
      <c r="Z41" s="364">
        <v>0</v>
      </c>
      <c r="AA41" s="848">
        <f t="shared" si="41"/>
        <v>474477201</v>
      </c>
      <c r="AB41" s="19">
        <f>SEPTIEMBRE!AD41</f>
        <v>474477201</v>
      </c>
      <c r="AC41" s="364">
        <v>0</v>
      </c>
      <c r="AD41" s="848">
        <f t="shared" si="42"/>
        <v>474477201</v>
      </c>
      <c r="AE41" s="19">
        <f>SEPTIEMBRE!AG41</f>
        <v>474477201</v>
      </c>
      <c r="AF41" s="364">
        <v>0</v>
      </c>
      <c r="AG41" s="84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+IF(SEPTIEMBRE!A42=0,"",SEPTIEMBRE!A42)</f>
        <v>1130106</v>
      </c>
      <c r="B42" s="628" t="str">
        <f>+IF(SEPTIEMBRE!B42=0,"",SEPTIEMBRE!B42)</f>
        <v>SALUD PUBLICA - PLAN DE INTERVENCIONES COLECTIVAS</v>
      </c>
      <c r="C42" s="43">
        <f t="shared" ref="C42:N42" si="47">SUM(C43:C44)</f>
        <v>0</v>
      </c>
      <c r="D42" s="44">
        <f t="shared" si="47"/>
        <v>0</v>
      </c>
      <c r="E42" s="44">
        <f t="shared" si="47"/>
        <v>0</v>
      </c>
      <c r="F42" s="44">
        <f t="shared" si="47"/>
        <v>0</v>
      </c>
      <c r="G42" s="44">
        <f t="shared" si="47"/>
        <v>0</v>
      </c>
      <c r="H42" s="44">
        <f t="shared" si="47"/>
        <v>0</v>
      </c>
      <c r="I42" s="44">
        <f t="shared" si="47"/>
        <v>0</v>
      </c>
      <c r="J42" s="44">
        <f t="shared" si="47"/>
        <v>0</v>
      </c>
      <c r="K42" s="44">
        <f t="shared" si="47"/>
        <v>0</v>
      </c>
      <c r="L42" s="44">
        <f t="shared" si="47"/>
        <v>0</v>
      </c>
      <c r="M42" s="44">
        <f t="shared" si="47"/>
        <v>0</v>
      </c>
      <c r="N42" s="45">
        <f t="shared" si="47"/>
        <v>0</v>
      </c>
      <c r="P42" s="43">
        <f>SUM(P43:P44)</f>
        <v>0</v>
      </c>
      <c r="Q42" s="45">
        <f>SUM(Q43:Q44)</f>
        <v>0</v>
      </c>
      <c r="R42" s="9"/>
      <c r="S42" s="356" t="str">
        <f>+IF(SEPTIEMBRE!S42=0,"",SEPTIEMBRE!S42)</f>
        <v/>
      </c>
      <c r="T42" s="678" t="str">
        <f>+IF(SEPTIEMBRE!T42=0,"",SEPTIEMBRE!T42)</f>
        <v/>
      </c>
      <c r="U42" s="161"/>
      <c r="V42" s="161"/>
      <c r="W42" s="161"/>
      <c r="X42" s="161"/>
      <c r="Y42" s="161"/>
      <c r="Z42" s="161"/>
      <c r="AA42" s="846"/>
      <c r="AB42" s="161"/>
      <c r="AC42" s="161"/>
      <c r="AD42" s="846"/>
      <c r="AE42" s="161"/>
      <c r="AF42" s="161"/>
      <c r="AG42" s="846"/>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+IF(SEPTIEMBRE!A43=0,"",SEPTIEMBRE!A43)</f>
        <v>1130106-1</v>
      </c>
      <c r="B43" s="629" t="str">
        <f>+CONCATENATE("Vigencia ",INSTRUCCIONES!$F$3)</f>
        <v>Vigencia 2019</v>
      </c>
      <c r="C43" s="655">
        <f>+ENERO!C43</f>
        <v>0</v>
      </c>
      <c r="D43" s="363">
        <f>SEPTIEMBRE!D43+OCTUBRE!P43</f>
        <v>0</v>
      </c>
      <c r="E43" s="363">
        <f>SEPTIEMBRE!E43+OCTUBRE!Q43</f>
        <v>0</v>
      </c>
      <c r="F43" s="363">
        <f>SUM(C43:E43)</f>
        <v>0</v>
      </c>
      <c r="G43" s="363">
        <f>SEPTIEMBRE!I43</f>
        <v>0</v>
      </c>
      <c r="H43" s="364">
        <v>0</v>
      </c>
      <c r="I43" s="363">
        <f>SUM(G43:H43)</f>
        <v>0</v>
      </c>
      <c r="J43" s="363">
        <f>SEPTIEMBRE!L43</f>
        <v>0</v>
      </c>
      <c r="K43" s="364">
        <v>0</v>
      </c>
      <c r="L43" s="363">
        <f>SUM(J43:K43)</f>
        <v>0</v>
      </c>
      <c r="M43" s="363">
        <f>F43-I43</f>
        <v>0</v>
      </c>
      <c r="N43" s="143">
        <f>F43-L43</f>
        <v>0</v>
      </c>
      <c r="O43" s="372"/>
      <c r="P43" s="362">
        <v>0</v>
      </c>
      <c r="Q43" s="365">
        <v>0</v>
      </c>
      <c r="R43" s="9"/>
      <c r="S43" s="687">
        <f>+IF(SEPTIEMBRE!S43=0,"",SEPTIEMBRE!S43)</f>
        <v>1010300</v>
      </c>
      <c r="T43" s="663" t="str">
        <f>+IF(SEPTIEMBRE!T43=0,"",SEPTIEMBRE!T43)</f>
        <v>Contribuciones Inherentes nómina al Sector Privado</v>
      </c>
      <c r="U43" s="132">
        <f t="shared" ref="U43:AJ43" si="48">U44+U49+U55</f>
        <v>682314446</v>
      </c>
      <c r="V43" s="122">
        <f t="shared" si="48"/>
        <v>-353979942</v>
      </c>
      <c r="W43" s="122">
        <f t="shared" si="48"/>
        <v>42200000</v>
      </c>
      <c r="X43" s="129">
        <f t="shared" si="48"/>
        <v>370534504</v>
      </c>
      <c r="Y43" s="128">
        <f t="shared" si="48"/>
        <v>274751533</v>
      </c>
      <c r="Z43" s="122">
        <f t="shared" si="48"/>
        <v>18754626</v>
      </c>
      <c r="AA43" s="215">
        <f t="shared" si="48"/>
        <v>293506159</v>
      </c>
      <c r="AB43" s="128">
        <f t="shared" si="48"/>
        <v>274751533</v>
      </c>
      <c r="AC43" s="122">
        <f t="shared" si="48"/>
        <v>18754626</v>
      </c>
      <c r="AD43" s="215">
        <f t="shared" si="48"/>
        <v>293506159</v>
      </c>
      <c r="AE43" s="128">
        <f t="shared" si="48"/>
        <v>255465509</v>
      </c>
      <c r="AF43" s="122">
        <f t="shared" si="48"/>
        <v>19286024</v>
      </c>
      <c r="AG43" s="215">
        <f t="shared" si="48"/>
        <v>274751533</v>
      </c>
      <c r="AH43" s="128">
        <f t="shared" si="48"/>
        <v>77028345</v>
      </c>
      <c r="AI43" s="122">
        <f t="shared" si="48"/>
        <v>77028345</v>
      </c>
      <c r="AJ43" s="130">
        <f t="shared" si="48"/>
        <v>95782971</v>
      </c>
      <c r="AK43" s="9"/>
      <c r="AL43" s="128">
        <f>AL44+AL49+AL55</f>
        <v>0</v>
      </c>
      <c r="AM43" s="130">
        <f>AM44+AM49+AM55</f>
        <v>42200000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+IF(SEPTIEMBRE!A44=0,"",SEPTIEMBRE!A44)</f>
        <v>1130106-2</v>
      </c>
      <c r="B44" s="629" t="str">
        <f>+IF(SEPTIEMBRE!B44=0,"",SEPTIEMBRE!B44)</f>
        <v>Vigencia Anterior</v>
      </c>
      <c r="C44" s="655">
        <f>+ENERO!C44</f>
        <v>0</v>
      </c>
      <c r="D44" s="363">
        <f>SEPTIEMBRE!D44+OCTUBRE!P44</f>
        <v>0</v>
      </c>
      <c r="E44" s="363">
        <f>SEPTIEMBRE!E44+OCTUBRE!Q44</f>
        <v>0</v>
      </c>
      <c r="F44" s="363">
        <f>SUM(C44:E44)</f>
        <v>0</v>
      </c>
      <c r="G44" s="363">
        <f>SEPTIEMBRE!I44</f>
        <v>0</v>
      </c>
      <c r="H44" s="364">
        <v>0</v>
      </c>
      <c r="I44" s="363">
        <f>SUM(G44:H44)</f>
        <v>0</v>
      </c>
      <c r="J44" s="363">
        <f>SEPTIEMBRE!L44</f>
        <v>0</v>
      </c>
      <c r="K44" s="364">
        <v>0</v>
      </c>
      <c r="L44" s="363">
        <f>SUM(J44:K44)</f>
        <v>0</v>
      </c>
      <c r="M44" s="363">
        <f>F44-I44</f>
        <v>0</v>
      </c>
      <c r="N44" s="143">
        <f>F44-L44</f>
        <v>0</v>
      </c>
      <c r="O44" s="372"/>
      <c r="P44" s="362">
        <v>0</v>
      </c>
      <c r="Q44" s="365">
        <v>0</v>
      </c>
      <c r="R44" s="9"/>
      <c r="S44" s="688">
        <f>+IF(SEPTIEMBRE!S44=0,"",SEPTIEMBRE!S44)</f>
        <v>1010301</v>
      </c>
      <c r="T44" s="664" t="str">
        <f>+IF(SEPTIEMBRE!T44=0,"",SEPTIEMBRE!T44)</f>
        <v>Contribuciones - SGP - Aportes Patronales - Cuenta Maestra</v>
      </c>
      <c r="U44" s="27">
        <f t="shared" ref="U44:AJ44" si="49">SUM(U45:U48)</f>
        <v>224699564</v>
      </c>
      <c r="V44" s="15">
        <f t="shared" si="49"/>
        <v>-78698777</v>
      </c>
      <c r="W44" s="15">
        <f t="shared" si="49"/>
        <v>42200000</v>
      </c>
      <c r="X44" s="18">
        <f t="shared" si="49"/>
        <v>188200787</v>
      </c>
      <c r="Y44" s="19">
        <f t="shared" si="49"/>
        <v>131065761</v>
      </c>
      <c r="Z44" s="142">
        <f t="shared" si="49"/>
        <v>14500586</v>
      </c>
      <c r="AA44" s="848">
        <f t="shared" si="49"/>
        <v>145566347</v>
      </c>
      <c r="AB44" s="19">
        <f t="shared" si="49"/>
        <v>131065761</v>
      </c>
      <c r="AC44" s="142">
        <f t="shared" si="49"/>
        <v>14500586</v>
      </c>
      <c r="AD44" s="848">
        <f t="shared" si="49"/>
        <v>145566347</v>
      </c>
      <c r="AE44" s="19">
        <f t="shared" si="49"/>
        <v>116087927</v>
      </c>
      <c r="AF44" s="142">
        <f t="shared" si="49"/>
        <v>14977834</v>
      </c>
      <c r="AG44" s="848">
        <f t="shared" si="49"/>
        <v>131065761</v>
      </c>
      <c r="AH44" s="19">
        <f t="shared" si="49"/>
        <v>42634440</v>
      </c>
      <c r="AI44" s="15">
        <f t="shared" si="49"/>
        <v>42634440</v>
      </c>
      <c r="AJ44" s="16">
        <f t="shared" si="49"/>
        <v>57135026</v>
      </c>
      <c r="AK44" s="9"/>
      <c r="AL44" s="29">
        <f>SUM(AL45:AL48)</f>
        <v>0</v>
      </c>
      <c r="AM44" s="26">
        <f>SUM(AM45:AM48)</f>
        <v>42200000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+IF(SEPTIEMBRE!A45=0,"",SEPTIEMBRE!A45)</f>
        <v>1130107</v>
      </c>
      <c r="B45" s="628" t="str">
        <f>+IF(SEPTIEMBRE!B45=0,"",SEPTIEMBRE!B45)</f>
        <v>MINSALUD-FOSYGA-RECLAMACIONES ECAT</v>
      </c>
      <c r="C45" s="43">
        <f t="shared" ref="C45:N45" si="50">SUM(C46:C47)</f>
        <v>130489617</v>
      </c>
      <c r="D45" s="44">
        <f t="shared" si="50"/>
        <v>0</v>
      </c>
      <c r="E45" s="44">
        <f t="shared" si="50"/>
        <v>5564279</v>
      </c>
      <c r="F45" s="44">
        <f t="shared" si="50"/>
        <v>136053896</v>
      </c>
      <c r="G45" s="44">
        <f t="shared" si="50"/>
        <v>813459703</v>
      </c>
      <c r="H45" s="44">
        <f t="shared" si="50"/>
        <v>133263121</v>
      </c>
      <c r="I45" s="44">
        <f t="shared" si="50"/>
        <v>946722824</v>
      </c>
      <c r="J45" s="44">
        <f t="shared" si="50"/>
        <v>5564279</v>
      </c>
      <c r="K45" s="44">
        <f t="shared" si="50"/>
        <v>0</v>
      </c>
      <c r="L45" s="44">
        <f t="shared" si="50"/>
        <v>5564279</v>
      </c>
      <c r="M45" s="44">
        <f t="shared" si="50"/>
        <v>-810668928</v>
      </c>
      <c r="N45" s="45">
        <f t="shared" si="50"/>
        <v>130489617</v>
      </c>
      <c r="P45" s="43">
        <f>SUM(P46:P47)</f>
        <v>0</v>
      </c>
      <c r="Q45" s="45">
        <f>SUM(Q46:Q47)</f>
        <v>0</v>
      </c>
      <c r="R45" s="9"/>
      <c r="S45" s="689" t="str">
        <f>+IF(SEPTIEMBRE!S45=0,"",SEPTIEMBRE!S45)</f>
        <v>1010301-1</v>
      </c>
      <c r="T45" s="665" t="str">
        <f>+IF(SEPTIEMBRE!T45=0,"",SEPTIEMBRE!T45)</f>
        <v>E.P.S. - Aportes cuenta maestra</v>
      </c>
      <c r="U45" s="27">
        <f>+ENERO!U45</f>
        <v>56701284</v>
      </c>
      <c r="V45" s="15">
        <f>SEPTIEMBRE!V45+OCTUBRE!AL45</f>
        <v>0</v>
      </c>
      <c r="W45" s="15">
        <f>SEPTIEMBRE!W45+OCTUBRE!AM45</f>
        <v>22200000</v>
      </c>
      <c r="X45" s="18">
        <f>SUM(U45:W45)</f>
        <v>78901284</v>
      </c>
      <c r="Y45" s="19">
        <f>SEPTIEMBRE!AA45</f>
        <v>55571237</v>
      </c>
      <c r="Z45" s="364">
        <v>6157530</v>
      </c>
      <c r="AA45" s="848">
        <f>SUM(Y45:Z45)</f>
        <v>61728767</v>
      </c>
      <c r="AB45" s="19">
        <f>SEPTIEMBRE!AD45</f>
        <v>55571237</v>
      </c>
      <c r="AC45" s="364">
        <v>6157530</v>
      </c>
      <c r="AD45" s="848">
        <f>SUM(AB45:AC45)</f>
        <v>61728767</v>
      </c>
      <c r="AE45" s="19">
        <f>SEPTIEMBRE!AG45</f>
        <v>49269207</v>
      </c>
      <c r="AF45" s="364">
        <v>6302030</v>
      </c>
      <c r="AG45" s="848">
        <f>SUM(AE45:AF45)</f>
        <v>55571237</v>
      </c>
      <c r="AH45" s="19">
        <f>X45-AA45</f>
        <v>17172517</v>
      </c>
      <c r="AI45" s="15">
        <f>X45-AD45</f>
        <v>17172517</v>
      </c>
      <c r="AJ45" s="16">
        <f>X45-AG45</f>
        <v>23330047</v>
      </c>
      <c r="AK45" s="9"/>
      <c r="AL45" s="362">
        <v>0</v>
      </c>
      <c r="AM45" s="365">
        <v>22200000</v>
      </c>
      <c r="AN45" s="9"/>
      <c r="AO45" s="284"/>
      <c r="AP45" s="284"/>
      <c r="AQ45" s="284"/>
      <c r="AR45" s="284"/>
      <c r="AS45" s="284"/>
      <c r="AT45" s="284"/>
      <c r="AU45" s="284"/>
      <c r="AV45" s="284"/>
      <c r="AW45" s="284"/>
      <c r="AX45" s="284"/>
      <c r="AY45" s="284"/>
      <c r="AZ45" s="284"/>
    </row>
    <row r="46" spans="1:70" s="412" customFormat="1" ht="24.95" customHeight="1">
      <c r="A46" s="593" t="str">
        <f>+IF(SEPTIEMBRE!A46=0,"",SEPTIEMBRE!A46)</f>
        <v>1130107-1</v>
      </c>
      <c r="B46" s="629" t="str">
        <f>+CONCATENATE("Vigencia ",INSTRUCCIONES!$F$3)</f>
        <v>Vigencia 2019</v>
      </c>
      <c r="C46" s="655">
        <f>+ENERO!C46</f>
        <v>130489617</v>
      </c>
      <c r="D46" s="363">
        <f>SEPTIEMBRE!D46+OCTUBRE!P46</f>
        <v>0</v>
      </c>
      <c r="E46" s="363">
        <f>SEPTIEMBRE!E46+OCTUBRE!Q46</f>
        <v>0</v>
      </c>
      <c r="F46" s="363">
        <f>SUM(C46:E46)</f>
        <v>130489617</v>
      </c>
      <c r="G46" s="363">
        <f>SEPTIEMBRE!I46</f>
        <v>807895424</v>
      </c>
      <c r="H46" s="364">
        <v>133263121</v>
      </c>
      <c r="I46" s="363">
        <f>SUM(G46:H46)</f>
        <v>941158545</v>
      </c>
      <c r="J46" s="363">
        <f>SEPTIEMBRE!L46</f>
        <v>0</v>
      </c>
      <c r="K46" s="364">
        <v>0</v>
      </c>
      <c r="L46" s="363">
        <f>SUM(J46:K46)</f>
        <v>0</v>
      </c>
      <c r="M46" s="363">
        <f>F46-I46</f>
        <v>-810668928</v>
      </c>
      <c r="N46" s="143">
        <f>F46-L46</f>
        <v>130489617</v>
      </c>
      <c r="O46" s="372"/>
      <c r="P46" s="362">
        <v>0</v>
      </c>
      <c r="Q46" s="365">
        <v>0</v>
      </c>
      <c r="R46" s="9"/>
      <c r="S46" s="689" t="str">
        <f>+IF(SEPTIEMBRE!S46=0,"",SEPTIEMBRE!S46)</f>
        <v>1010301-2</v>
      </c>
      <c r="T46" s="665" t="str">
        <f>+IF(SEPTIEMBRE!T46=0,"",SEPTIEMBRE!T46)</f>
        <v>Fondos pensionales - Aportes cuenta maestra</v>
      </c>
      <c r="U46" s="27">
        <f>+ENERO!U46</f>
        <v>77319919</v>
      </c>
      <c r="V46" s="15">
        <f>SEPTIEMBRE!V46+OCTUBRE!AL46</f>
        <v>0</v>
      </c>
      <c r="W46" s="15">
        <f>SEPTIEMBRE!W46+OCTUBRE!AM46</f>
        <v>20000000</v>
      </c>
      <c r="X46" s="18">
        <f>SUM(U46:W46)</f>
        <v>97319919</v>
      </c>
      <c r="Y46" s="19">
        <f>SEPTIEMBRE!AA46</f>
        <v>67213184</v>
      </c>
      <c r="Z46" s="364">
        <v>7357736</v>
      </c>
      <c r="AA46" s="848">
        <f>SUM(Y46:Z46)</f>
        <v>74570920</v>
      </c>
      <c r="AB46" s="19">
        <f>SEPTIEMBRE!AD46</f>
        <v>67213184</v>
      </c>
      <c r="AC46" s="364">
        <v>7357736</v>
      </c>
      <c r="AD46" s="848">
        <f>SUM(AB46:AC46)</f>
        <v>74570920</v>
      </c>
      <c r="AE46" s="19">
        <f>SEPTIEMBRE!AG46</f>
        <v>59546280</v>
      </c>
      <c r="AF46" s="364">
        <v>7666904</v>
      </c>
      <c r="AG46" s="848">
        <f>SUM(AE46:AF46)</f>
        <v>67213184</v>
      </c>
      <c r="AH46" s="19">
        <f>X46-AA46</f>
        <v>22748999</v>
      </c>
      <c r="AI46" s="15">
        <f>X46-AD46</f>
        <v>22748999</v>
      </c>
      <c r="AJ46" s="16">
        <f>X46-AG46</f>
        <v>30106735</v>
      </c>
      <c r="AK46" s="9"/>
      <c r="AL46" s="362">
        <v>0</v>
      </c>
      <c r="AM46" s="365">
        <v>20000000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+IF(SEPTIEMBRE!A47=0,"",SEPTIEMBRE!A47)</f>
        <v>1130107-2</v>
      </c>
      <c r="B47" s="629" t="str">
        <f>+IF(SEPTIEMBRE!B47=0,"",SEPTIEMBRE!B47)</f>
        <v>Vigencia Anterior</v>
      </c>
      <c r="C47" s="655">
        <f>+ENERO!C47</f>
        <v>0</v>
      </c>
      <c r="D47" s="363">
        <f>SEPTIEMBRE!D47+OCTUBRE!P47</f>
        <v>0</v>
      </c>
      <c r="E47" s="363">
        <f>SEPTIEMBRE!E47+OCTUBRE!Q47</f>
        <v>5564279</v>
      </c>
      <c r="F47" s="363">
        <f>SUM(C47:E47)</f>
        <v>5564279</v>
      </c>
      <c r="G47" s="363">
        <f>SEPTIEMBRE!I47</f>
        <v>5564279</v>
      </c>
      <c r="H47" s="364">
        <v>0</v>
      </c>
      <c r="I47" s="363">
        <f>SUM(G47:H47)</f>
        <v>5564279</v>
      </c>
      <c r="J47" s="363">
        <f>SEPTIEMBRE!L47</f>
        <v>5564279</v>
      </c>
      <c r="K47" s="364">
        <v>0</v>
      </c>
      <c r="L47" s="363">
        <f>SUM(J47:K47)</f>
        <v>5564279</v>
      </c>
      <c r="M47" s="363">
        <f>F47-I47</f>
        <v>0</v>
      </c>
      <c r="N47" s="143">
        <f>F47-L47</f>
        <v>0</v>
      </c>
      <c r="O47" s="372"/>
      <c r="P47" s="362">
        <v>0</v>
      </c>
      <c r="Q47" s="365">
        <v>0</v>
      </c>
      <c r="R47" s="9"/>
      <c r="S47" s="689" t="str">
        <f>+IF(SEPTIEMBRE!S47=0,"",SEPTIEMBRE!S47)</f>
        <v>1010301-3</v>
      </c>
      <c r="T47" s="665" t="str">
        <f>+IF(SEPTIEMBRE!T47=0,"",SEPTIEMBRE!T47)</f>
        <v>Fondos de cesantías - Aportes cuenta maestra</v>
      </c>
      <c r="U47" s="27">
        <f>+ENERO!U47</f>
        <v>87698777</v>
      </c>
      <c r="V47" s="15">
        <f>SEPTIEMBRE!V47+OCTUBRE!AL47</f>
        <v>-87698777</v>
      </c>
      <c r="W47" s="15">
        <f>SEPTIEMBRE!W47+OCTUBRE!AM47</f>
        <v>0</v>
      </c>
      <c r="X47" s="18">
        <f>SUM(U47:W47)</f>
        <v>0</v>
      </c>
      <c r="Y47" s="19">
        <f>SEPTIEMBRE!AA47</f>
        <v>0</v>
      </c>
      <c r="Z47" s="364">
        <v>0</v>
      </c>
      <c r="AA47" s="848">
        <f>SUM(Y47:Z47)</f>
        <v>0</v>
      </c>
      <c r="AB47" s="19">
        <f>SEPTIEMBRE!AD47</f>
        <v>0</v>
      </c>
      <c r="AC47" s="364">
        <v>0</v>
      </c>
      <c r="AD47" s="848">
        <f>SUM(AB47:AC47)</f>
        <v>0</v>
      </c>
      <c r="AE47" s="19">
        <f>SEPTIEMBRE!AG47</f>
        <v>0</v>
      </c>
      <c r="AF47" s="364">
        <v>0</v>
      </c>
      <c r="AG47" s="84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+IF(SEPTIEMBRE!A48=0,"",SEPTIEMBRE!A48)</f>
        <v>1130108</v>
      </c>
      <c r="B48" s="628" t="str">
        <f>+IF(SEPTIEMBRE!B48=0,"",SEPTIEMBRE!B48)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689" t="str">
        <f>+IF(SEPTIEMBRE!S48=0,"",SEPTIEMBRE!S48)</f>
        <v>1010301-4</v>
      </c>
      <c r="T48" s="665" t="str">
        <f>+IF(SEPTIEMBRE!T48=0,"",SEPTIEMBRE!T48)</f>
        <v>Riesgos laborales - Aportes cuenta maestra</v>
      </c>
      <c r="U48" s="27">
        <f>+ENERO!U48</f>
        <v>2979584</v>
      </c>
      <c r="V48" s="15">
        <f>SEPTIEMBRE!V48+OCTUBRE!AL48</f>
        <v>9000000</v>
      </c>
      <c r="W48" s="15">
        <f>SEPTIEMBRE!W48+OCTUBRE!AM48</f>
        <v>0</v>
      </c>
      <c r="X48" s="18">
        <f>SUM(U48:W48)</f>
        <v>11979584</v>
      </c>
      <c r="Y48" s="19">
        <f>SEPTIEMBRE!AA48</f>
        <v>8281340</v>
      </c>
      <c r="Z48" s="364">
        <v>985320</v>
      </c>
      <c r="AA48" s="848">
        <f>SUM(Y48:Z48)</f>
        <v>9266660</v>
      </c>
      <c r="AB48" s="19">
        <f>SEPTIEMBRE!AD48</f>
        <v>8281340</v>
      </c>
      <c r="AC48" s="364">
        <v>985320</v>
      </c>
      <c r="AD48" s="848">
        <f>SUM(AB48:AC48)</f>
        <v>9266660</v>
      </c>
      <c r="AE48" s="19">
        <f>SEPTIEMBRE!AG48</f>
        <v>7272440</v>
      </c>
      <c r="AF48" s="364">
        <v>1008900</v>
      </c>
      <c r="AG48" s="848">
        <f>SUM(AE48:AF48)</f>
        <v>8281340</v>
      </c>
      <c r="AH48" s="19">
        <f>X48-AA48</f>
        <v>2712924</v>
      </c>
      <c r="AI48" s="15">
        <f>X48-AD48</f>
        <v>2712924</v>
      </c>
      <c r="AJ48" s="16">
        <f>X48-AG48</f>
        <v>3698244</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+IF(SEPTIEMBRE!A49=0,"",SEPTIEMBRE!A49)</f>
        <v>1130108-1</v>
      </c>
      <c r="B49" s="629" t="str">
        <f>+CONCATENATE("Vigencia ",INSTRUCCIONES!$F$3)</f>
        <v>Vigencia 2019</v>
      </c>
      <c r="C49" s="655">
        <f>+ENERO!C49</f>
        <v>0</v>
      </c>
      <c r="D49" s="363">
        <f>SEPTIEMBRE!D49+OCTUBRE!P49</f>
        <v>0</v>
      </c>
      <c r="E49" s="363">
        <f>SEPTIEMBRE!E49+OCTUBRE!Q49</f>
        <v>0</v>
      </c>
      <c r="F49" s="363">
        <f>SUM(C49:E49)</f>
        <v>0</v>
      </c>
      <c r="G49" s="363">
        <f>SEPTIEMBRE!I49</f>
        <v>0</v>
      </c>
      <c r="H49" s="364">
        <v>0</v>
      </c>
      <c r="I49" s="363">
        <f>SUM(G49:H49)</f>
        <v>0</v>
      </c>
      <c r="J49" s="363">
        <f>SEPTIEMBRE!L49</f>
        <v>0</v>
      </c>
      <c r="K49" s="364">
        <v>0</v>
      </c>
      <c r="L49" s="363">
        <f>SUM(J49:K49)</f>
        <v>0</v>
      </c>
      <c r="M49" s="363">
        <f>F49-I49</f>
        <v>0</v>
      </c>
      <c r="N49" s="143">
        <f>F49-L49</f>
        <v>0</v>
      </c>
      <c r="O49" s="372"/>
      <c r="P49" s="362">
        <v>0</v>
      </c>
      <c r="Q49" s="365">
        <v>0</v>
      </c>
      <c r="R49" s="9"/>
      <c r="S49" s="688">
        <f>+IF(SEPTIEMBRE!S49=0,"",SEPTIEMBRE!S49)</f>
        <v>1010302</v>
      </c>
      <c r="T49" s="664" t="str">
        <f>+IF(SEPTIEMBRE!T49=0,"",SEPTIEMBRE!T49)</f>
        <v>Contribuciones - Otros</v>
      </c>
      <c r="U49" s="27">
        <f t="shared" ref="U49:AJ49" si="52">SUM(U50:U54)</f>
        <v>349614882</v>
      </c>
      <c r="V49" s="15">
        <f t="shared" si="52"/>
        <v>-268780097</v>
      </c>
      <c r="W49" s="15">
        <f t="shared" si="52"/>
        <v>0</v>
      </c>
      <c r="X49" s="18">
        <f t="shared" si="52"/>
        <v>80834785</v>
      </c>
      <c r="Y49" s="19">
        <f t="shared" si="52"/>
        <v>42186840</v>
      </c>
      <c r="Z49" s="142">
        <f t="shared" si="52"/>
        <v>4254040</v>
      </c>
      <c r="AA49" s="848">
        <f t="shared" si="52"/>
        <v>46440880</v>
      </c>
      <c r="AB49" s="19">
        <f t="shared" si="52"/>
        <v>42186840</v>
      </c>
      <c r="AC49" s="142">
        <f t="shared" si="52"/>
        <v>4254040</v>
      </c>
      <c r="AD49" s="848">
        <f t="shared" si="52"/>
        <v>46440880</v>
      </c>
      <c r="AE49" s="19">
        <f t="shared" si="52"/>
        <v>37878650</v>
      </c>
      <c r="AF49" s="142">
        <f t="shared" si="52"/>
        <v>4308190</v>
      </c>
      <c r="AG49" s="848">
        <f t="shared" si="52"/>
        <v>42186840</v>
      </c>
      <c r="AH49" s="19">
        <f t="shared" si="52"/>
        <v>34393905</v>
      </c>
      <c r="AI49" s="15">
        <f t="shared" si="52"/>
        <v>34393905</v>
      </c>
      <c r="AJ49" s="16">
        <f t="shared" si="52"/>
        <v>38647945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+IF(SEPTIEMBRE!A50=0,"",SEPTIEMBRE!A50)</f>
        <v>1130108-2</v>
      </c>
      <c r="B50" s="629" t="str">
        <f>+IF(SEPTIEMBRE!B50=0,"",SEPTIEMBRE!B50)</f>
        <v>Vigencia Anterior</v>
      </c>
      <c r="C50" s="655">
        <f>+ENERO!C50</f>
        <v>0</v>
      </c>
      <c r="D50" s="363">
        <f>SEPTIEMBRE!D50+OCTUBRE!P50</f>
        <v>0</v>
      </c>
      <c r="E50" s="363">
        <f>SEPTIEMBRE!E50+OCTUBRE!Q50</f>
        <v>0</v>
      </c>
      <c r="F50" s="363">
        <f>SUM(C50:E50)</f>
        <v>0</v>
      </c>
      <c r="G50" s="363">
        <f>SEPTIEMBRE!I50</f>
        <v>0</v>
      </c>
      <c r="H50" s="364">
        <v>0</v>
      </c>
      <c r="I50" s="363">
        <f>SUM(G50:H50)</f>
        <v>0</v>
      </c>
      <c r="J50" s="363">
        <f>SEPTIEMBRE!L50</f>
        <v>0</v>
      </c>
      <c r="K50" s="364">
        <v>0</v>
      </c>
      <c r="L50" s="363">
        <f>SUM(J50:K50)</f>
        <v>0</v>
      </c>
      <c r="M50" s="363">
        <f>F50-I50</f>
        <v>0</v>
      </c>
      <c r="N50" s="143">
        <f>F50-L50</f>
        <v>0</v>
      </c>
      <c r="O50" s="372"/>
      <c r="P50" s="362">
        <v>0</v>
      </c>
      <c r="Q50" s="365">
        <v>0</v>
      </c>
      <c r="R50" s="9"/>
      <c r="S50" s="689" t="str">
        <f>+IF(SEPTIEMBRE!S50=0,"",SEPTIEMBRE!S50)</f>
        <v>1010302-1</v>
      </c>
      <c r="T50" s="665" t="str">
        <f>+IF(SEPTIEMBRE!T50=0,"",SEPTIEMBRE!T50)</f>
        <v>Aportes a E.P.S. - recursos propios</v>
      </c>
      <c r="U50" s="27">
        <f>+ENERO!U50</f>
        <v>79647420</v>
      </c>
      <c r="V50" s="15">
        <f>SEPTIEMBRE!V50+OCTUBRE!AL50</f>
        <v>-79647420</v>
      </c>
      <c r="W50" s="15">
        <f>SEPTIEMBRE!W50+OCTUBRE!AM50</f>
        <v>0</v>
      </c>
      <c r="X50" s="18">
        <f t="shared" ref="X50:X55" si="53">SUM(U50:W50)</f>
        <v>0</v>
      </c>
      <c r="Y50" s="19">
        <f>SEPTIEMBRE!AA50</f>
        <v>0</v>
      </c>
      <c r="Z50" s="364">
        <v>0</v>
      </c>
      <c r="AA50" s="848">
        <f t="shared" ref="AA50:AA55" si="54">SUM(Y50:Z50)</f>
        <v>0</v>
      </c>
      <c r="AB50" s="19">
        <f>SEPTIEMBRE!AD50</f>
        <v>0</v>
      </c>
      <c r="AC50" s="364">
        <v>0</v>
      </c>
      <c r="AD50" s="848">
        <f t="shared" ref="AD50:AD55" si="55">SUM(AB50:AC50)</f>
        <v>0</v>
      </c>
      <c r="AE50" s="19">
        <f>SEPTIEMBRE!AG50</f>
        <v>0</v>
      </c>
      <c r="AF50" s="364">
        <v>0</v>
      </c>
      <c r="AG50" s="848">
        <f t="shared" ref="AG50:AG55" si="56">SUM(AE50:AF50)</f>
        <v>0</v>
      </c>
      <c r="AH50" s="19">
        <f t="shared" ref="AH50:AH55" si="57">X50-AA50</f>
        <v>0</v>
      </c>
      <c r="AI50" s="15">
        <f t="shared" ref="AI50:AI55" si="58">X50-AD50</f>
        <v>0</v>
      </c>
      <c r="AJ50" s="16">
        <f t="shared" ref="AJ50:AJ55" si="59">X50-AG50</f>
        <v>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+IF(SEPTIEMBRE!A51=0,"",SEPTIEMBRE!A51)</f>
        <v>1130109</v>
      </c>
      <c r="B51" s="628" t="str">
        <f>+IF(SEPTIEMBRE!B51=0,"",SEPTIEMBRE!B51)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689" t="str">
        <f>+IF(SEPTIEMBRE!S51=0,"",SEPTIEMBRE!S51)</f>
        <v>1010302-2</v>
      </c>
      <c r="T51" s="665" t="str">
        <f>+IF(SEPTIEMBRE!T51=0,"",SEPTIEMBRE!T51)</f>
        <v>Aportes Fondos Pensionales - recursos propios</v>
      </c>
      <c r="U51" s="27">
        <f>+ENERO!U51</f>
        <v>115172321</v>
      </c>
      <c r="V51" s="15">
        <f>SEPTIEMBRE!V51+OCTUBRE!AL51</f>
        <v>-115172321</v>
      </c>
      <c r="W51" s="15">
        <f>SEPTIEMBRE!W51+OCTUBRE!AM51</f>
        <v>0</v>
      </c>
      <c r="X51" s="18">
        <f t="shared" si="53"/>
        <v>0</v>
      </c>
      <c r="Y51" s="19">
        <f>SEPTIEMBRE!AA51</f>
        <v>0</v>
      </c>
      <c r="Z51" s="364">
        <v>0</v>
      </c>
      <c r="AA51" s="848">
        <f t="shared" si="54"/>
        <v>0</v>
      </c>
      <c r="AB51" s="19">
        <f>SEPTIEMBRE!AD51</f>
        <v>0</v>
      </c>
      <c r="AC51" s="364">
        <v>0</v>
      </c>
      <c r="AD51" s="848">
        <f t="shared" si="55"/>
        <v>0</v>
      </c>
      <c r="AE51" s="19">
        <f>SEPTIEMBRE!AG51</f>
        <v>0</v>
      </c>
      <c r="AF51" s="364">
        <v>0</v>
      </c>
      <c r="AG51" s="848">
        <f t="shared" si="56"/>
        <v>0</v>
      </c>
      <c r="AH51" s="19">
        <f t="shared" si="57"/>
        <v>0</v>
      </c>
      <c r="AI51" s="15">
        <f t="shared" si="58"/>
        <v>0</v>
      </c>
      <c r="AJ51" s="16">
        <f t="shared" si="59"/>
        <v>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+IF(SEPTIEMBRE!A52=0,"",SEPTIEMBRE!A52)</f>
        <v>1130109-1</v>
      </c>
      <c r="B52" s="629" t="str">
        <f>+CONCATENATE("Vigencia ",INSTRUCCIONES!$F$3)</f>
        <v>Vigencia 2019</v>
      </c>
      <c r="C52" s="655">
        <f>+ENERO!C52</f>
        <v>0</v>
      </c>
      <c r="D52" s="363">
        <f>SEPTIEMBRE!D52+OCTUBRE!P52</f>
        <v>0</v>
      </c>
      <c r="E52" s="363">
        <f>SEPTIEMBRE!E52+OCTUBRE!Q52</f>
        <v>0</v>
      </c>
      <c r="F52" s="363">
        <f>SUM(C52:E52)</f>
        <v>0</v>
      </c>
      <c r="G52" s="363">
        <f>SEPTIEMBRE!I52</f>
        <v>0</v>
      </c>
      <c r="H52" s="364">
        <v>0</v>
      </c>
      <c r="I52" s="363">
        <f>SUM(G52:H52)</f>
        <v>0</v>
      </c>
      <c r="J52" s="363">
        <f>SEPTIEMBRE!L52</f>
        <v>0</v>
      </c>
      <c r="K52" s="364">
        <v>0</v>
      </c>
      <c r="L52" s="363">
        <f>SUM(J52:K52)</f>
        <v>0</v>
      </c>
      <c r="M52" s="363">
        <f>F52-I52</f>
        <v>0</v>
      </c>
      <c r="N52" s="143">
        <f>F52-L52</f>
        <v>0</v>
      </c>
      <c r="O52" s="372"/>
      <c r="P52" s="362">
        <v>0</v>
      </c>
      <c r="Q52" s="365">
        <v>0</v>
      </c>
      <c r="R52" s="9"/>
      <c r="S52" s="689" t="str">
        <f>+IF(SEPTIEMBRE!S52=0,"",SEPTIEMBRE!S52)</f>
        <v>1010302-3</v>
      </c>
      <c r="T52" s="665" t="str">
        <f>+IF(SEPTIEMBRE!T52=0,"",SEPTIEMBRE!T52)</f>
        <v>Aportes a Fondos de Cesantia - recursos propios</v>
      </c>
      <c r="U52" s="27">
        <f>+ENERO!U52</f>
        <v>73960356</v>
      </c>
      <c r="V52" s="15">
        <f>SEPTIEMBRE!V52+OCTUBRE!AL52</f>
        <v>-73960356</v>
      </c>
      <c r="W52" s="15">
        <f>SEPTIEMBRE!W52+OCTUBRE!AM52</f>
        <v>0</v>
      </c>
      <c r="X52" s="18">
        <f t="shared" si="53"/>
        <v>0</v>
      </c>
      <c r="Y52" s="19">
        <f>SEPTIEMBRE!AA52</f>
        <v>0</v>
      </c>
      <c r="Z52" s="364">
        <v>0</v>
      </c>
      <c r="AA52" s="848">
        <f t="shared" si="54"/>
        <v>0</v>
      </c>
      <c r="AB52" s="19">
        <f>SEPTIEMBRE!AD52</f>
        <v>0</v>
      </c>
      <c r="AC52" s="364">
        <v>0</v>
      </c>
      <c r="AD52" s="848">
        <f t="shared" si="55"/>
        <v>0</v>
      </c>
      <c r="AE52" s="19">
        <f>SEPTIEMBRE!AG52</f>
        <v>0</v>
      </c>
      <c r="AF52" s="364">
        <v>0</v>
      </c>
      <c r="AG52" s="848">
        <f t="shared" si="56"/>
        <v>0</v>
      </c>
      <c r="AH52" s="19">
        <f t="shared" si="57"/>
        <v>0</v>
      </c>
      <c r="AI52" s="15">
        <f t="shared" si="58"/>
        <v>0</v>
      </c>
      <c r="AJ52" s="16">
        <f t="shared" si="59"/>
        <v>0</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+IF(SEPTIEMBRE!A53=0,"",SEPTIEMBRE!A53)</f>
        <v>1130109-2</v>
      </c>
      <c r="B53" s="629" t="str">
        <f>+IF(SEPTIEMBRE!B53=0,"",SEPTIEMBRE!B53)</f>
        <v>Vigencia Anterior</v>
      </c>
      <c r="C53" s="655">
        <f>+ENERO!C53</f>
        <v>0</v>
      </c>
      <c r="D53" s="363">
        <f>SEPTIEMBRE!D53+OCTUBRE!P53</f>
        <v>0</v>
      </c>
      <c r="E53" s="363">
        <f>SEPTIEMBRE!E53+OCTUBRE!Q53</f>
        <v>0</v>
      </c>
      <c r="F53" s="363">
        <f>SUM(C53:E53)</f>
        <v>0</v>
      </c>
      <c r="G53" s="363">
        <f>SEPTIEMBRE!I53</f>
        <v>0</v>
      </c>
      <c r="H53" s="364">
        <v>0</v>
      </c>
      <c r="I53" s="363">
        <f>SUM(G53:H53)</f>
        <v>0</v>
      </c>
      <c r="J53" s="363">
        <f>SEPTIEMBRE!L53</f>
        <v>0</v>
      </c>
      <c r="K53" s="364">
        <v>0</v>
      </c>
      <c r="L53" s="363">
        <f>SUM(J53:K53)</f>
        <v>0</v>
      </c>
      <c r="M53" s="363">
        <f>F53-I53</f>
        <v>0</v>
      </c>
      <c r="N53" s="143">
        <f>F53-L53</f>
        <v>0</v>
      </c>
      <c r="O53" s="372"/>
      <c r="P53" s="362">
        <v>0</v>
      </c>
      <c r="Q53" s="365">
        <v>0</v>
      </c>
      <c r="R53" s="9"/>
      <c r="S53" s="689" t="str">
        <f>+IF(SEPTIEMBRE!S53=0,"",SEPTIEMBRE!S53)</f>
        <v>1010302-4</v>
      </c>
      <c r="T53" s="665" t="str">
        <f>+IF(SEPTIEMBRE!T53=0,"",SEPTIEMBRE!T53)</f>
        <v>Aporte a ARL. - recursos propios</v>
      </c>
      <c r="U53" s="27">
        <f>+ENERO!U53</f>
        <v>5393830</v>
      </c>
      <c r="V53" s="15">
        <f>SEPTIEMBRE!V53+OCTUBRE!AL53</f>
        <v>0</v>
      </c>
      <c r="W53" s="15">
        <f>SEPTIEMBRE!W53+OCTUBRE!AM53</f>
        <v>0</v>
      </c>
      <c r="X53" s="18">
        <f t="shared" si="53"/>
        <v>5393830</v>
      </c>
      <c r="Y53" s="19">
        <f>SEPTIEMBRE!AA53</f>
        <v>0</v>
      </c>
      <c r="Z53" s="364">
        <v>0</v>
      </c>
      <c r="AA53" s="848">
        <f t="shared" si="54"/>
        <v>0</v>
      </c>
      <c r="AB53" s="19">
        <f>SEPTIEMBRE!AD53</f>
        <v>0</v>
      </c>
      <c r="AC53" s="364">
        <v>0</v>
      </c>
      <c r="AD53" s="848">
        <f t="shared" si="55"/>
        <v>0</v>
      </c>
      <c r="AE53" s="19">
        <f>SEPTIEMBRE!AG53</f>
        <v>0</v>
      </c>
      <c r="AF53" s="364">
        <v>0</v>
      </c>
      <c r="AG53" s="84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+IF(SEPTIEMBRE!A54=0,"",SEPTIEMBRE!A54)</f>
        <v>1130110</v>
      </c>
      <c r="B54" s="628" t="str">
        <f>+IF(SEPTIEMBRE!B54=0,"",SEPTIEMBRE!B54)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689" t="str">
        <f>+IF(SEPTIEMBRE!S54=0,"",SEPTIEMBRE!S54)</f>
        <v>1010302-5</v>
      </c>
      <c r="T54" s="665" t="str">
        <f>+IF(SEPTIEMBRE!T54=0,"",SEPTIEMBRE!T54)</f>
        <v>Aporte a Caja Compensación Familiar</v>
      </c>
      <c r="U54" s="27">
        <f>+ENERO!U54</f>
        <v>75440955</v>
      </c>
      <c r="V54" s="15">
        <f>SEPTIEMBRE!V54+OCTUBRE!AL54</f>
        <v>0</v>
      </c>
      <c r="W54" s="15">
        <f>SEPTIEMBRE!W54+OCTUBRE!AM54</f>
        <v>0</v>
      </c>
      <c r="X54" s="18">
        <f t="shared" si="53"/>
        <v>75440955</v>
      </c>
      <c r="Y54" s="19">
        <f>SEPTIEMBRE!AA54</f>
        <v>42186840</v>
      </c>
      <c r="Z54" s="364">
        <v>4254040</v>
      </c>
      <c r="AA54" s="848">
        <f t="shared" si="54"/>
        <v>46440880</v>
      </c>
      <c r="AB54" s="19">
        <f>SEPTIEMBRE!AD54</f>
        <v>42186840</v>
      </c>
      <c r="AC54" s="364">
        <v>4254040</v>
      </c>
      <c r="AD54" s="848">
        <f t="shared" si="55"/>
        <v>46440880</v>
      </c>
      <c r="AE54" s="19">
        <f>SEPTIEMBRE!AG54</f>
        <v>37878650</v>
      </c>
      <c r="AF54" s="364">
        <v>4308190</v>
      </c>
      <c r="AG54" s="848">
        <f t="shared" si="56"/>
        <v>42186840</v>
      </c>
      <c r="AH54" s="19">
        <f t="shared" si="57"/>
        <v>29000075</v>
      </c>
      <c r="AI54" s="15">
        <f t="shared" si="58"/>
        <v>29000075</v>
      </c>
      <c r="AJ54" s="16">
        <f t="shared" si="59"/>
        <v>33254115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+IF(SEPTIEMBRE!A55=0,"",SEPTIEMBRE!A55)</f>
        <v>1130110-1</v>
      </c>
      <c r="B55" s="629" t="str">
        <f>+CONCATENATE("Vigencia ",INSTRUCCIONES!$F$3)</f>
        <v>Vigencia 2019</v>
      </c>
      <c r="C55" s="655">
        <f>+ENERO!C55</f>
        <v>0</v>
      </c>
      <c r="D55" s="363">
        <f>SEPTIEMBRE!D55+OCTUBRE!P55</f>
        <v>0</v>
      </c>
      <c r="E55" s="363">
        <f>SEPTIEMBRE!E55+OCTUBRE!Q55</f>
        <v>0</v>
      </c>
      <c r="F55" s="363">
        <f>SUM(C55:E55)</f>
        <v>0</v>
      </c>
      <c r="G55" s="363">
        <f>SEPTIEMBRE!I55</f>
        <v>0</v>
      </c>
      <c r="H55" s="364">
        <v>0</v>
      </c>
      <c r="I55" s="363">
        <f>SUM(G55:H55)</f>
        <v>0</v>
      </c>
      <c r="J55" s="363">
        <f>SEPTIEMBRE!L55</f>
        <v>0</v>
      </c>
      <c r="K55" s="364">
        <v>0</v>
      </c>
      <c r="L55" s="363">
        <f>SUM(J55:K55)</f>
        <v>0</v>
      </c>
      <c r="M55" s="363">
        <f>F55-I55</f>
        <v>0</v>
      </c>
      <c r="N55" s="143">
        <f>F55-L55</f>
        <v>0</v>
      </c>
      <c r="O55" s="372"/>
      <c r="P55" s="362">
        <v>0</v>
      </c>
      <c r="Q55" s="365">
        <v>0</v>
      </c>
      <c r="R55" s="9"/>
      <c r="S55" s="688">
        <f>+IF(SEPTIEMBRE!S55=0,"",SEPTIEMBRE!S55)</f>
        <v>1010399</v>
      </c>
      <c r="T55" s="664" t="str">
        <f>+IF(SEPTIEMBRE!T55=0,"",SEPTIEMBRE!T55)</f>
        <v>Vigencias Anteriores</v>
      </c>
      <c r="U55" s="27">
        <f>+ENERO!U55</f>
        <v>108000000</v>
      </c>
      <c r="V55" s="15">
        <f>SEPTIEMBRE!V55+OCTUBRE!AL55</f>
        <v>-6501068</v>
      </c>
      <c r="W55" s="15">
        <f>SEPTIEMBRE!W55+OCTUBRE!AM55</f>
        <v>0</v>
      </c>
      <c r="X55" s="18">
        <f t="shared" si="53"/>
        <v>101498932</v>
      </c>
      <c r="Y55" s="19">
        <f>SEPTIEMBRE!AA55</f>
        <v>101498932</v>
      </c>
      <c r="Z55" s="364">
        <v>0</v>
      </c>
      <c r="AA55" s="848">
        <f t="shared" si="54"/>
        <v>101498932</v>
      </c>
      <c r="AB55" s="19">
        <f>SEPTIEMBRE!AD55</f>
        <v>101498932</v>
      </c>
      <c r="AC55" s="364">
        <v>0</v>
      </c>
      <c r="AD55" s="848">
        <f t="shared" si="55"/>
        <v>101498932</v>
      </c>
      <c r="AE55" s="19">
        <f>SEPTIEMBRE!AG55</f>
        <v>101498932</v>
      </c>
      <c r="AF55" s="364">
        <v>0</v>
      </c>
      <c r="AG55" s="84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+IF(SEPTIEMBRE!A56=0,"",SEPTIEMBRE!A56)</f>
        <v>1130110-2</v>
      </c>
      <c r="B56" s="629" t="str">
        <f>+IF(SEPTIEMBRE!B56=0,"",SEPTIEMBRE!B56)</f>
        <v>Vigencia Anterior</v>
      </c>
      <c r="C56" s="655">
        <f>+ENERO!C56</f>
        <v>0</v>
      </c>
      <c r="D56" s="363">
        <f>SEPTIEMBRE!D56+OCTUBRE!P56</f>
        <v>0</v>
      </c>
      <c r="E56" s="363">
        <f>SEPTIEMBRE!E56+OCTUBRE!Q56</f>
        <v>0</v>
      </c>
      <c r="F56" s="363">
        <f>SUM(C56:E56)</f>
        <v>0</v>
      </c>
      <c r="G56" s="363">
        <f>SEPTIEMBRE!I56</f>
        <v>0</v>
      </c>
      <c r="H56" s="364">
        <v>0</v>
      </c>
      <c r="I56" s="363">
        <f>SUM(G56:H56)</f>
        <v>0</v>
      </c>
      <c r="J56" s="363">
        <f>SEPTIEMBRE!L56</f>
        <v>0</v>
      </c>
      <c r="K56" s="364">
        <v>0</v>
      </c>
      <c r="L56" s="363">
        <f>SUM(J56:K56)</f>
        <v>0</v>
      </c>
      <c r="M56" s="363">
        <f>F56-I56</f>
        <v>0</v>
      </c>
      <c r="N56" s="143">
        <f>F56-L56</f>
        <v>0</v>
      </c>
      <c r="O56" s="372"/>
      <c r="P56" s="362">
        <v>0</v>
      </c>
      <c r="Q56" s="365">
        <v>0</v>
      </c>
      <c r="R56" s="9"/>
      <c r="S56" s="356" t="str">
        <f>+IF(SEPTIEMBRE!S56=0,"",SEPTIEMBRE!S56)</f>
        <v/>
      </c>
      <c r="T56" s="678" t="str">
        <f>+IF(SEPTIEMBRE!T56=0,"",SEPTIEMBRE!T56)</f>
        <v/>
      </c>
      <c r="U56" s="161"/>
      <c r="V56" s="161"/>
      <c r="W56" s="161"/>
      <c r="X56" s="161"/>
      <c r="Y56" s="161"/>
      <c r="Z56" s="161"/>
      <c r="AA56" s="846"/>
      <c r="AB56" s="161"/>
      <c r="AC56" s="161"/>
      <c r="AD56" s="846"/>
      <c r="AE56" s="161"/>
      <c r="AF56" s="161"/>
      <c r="AG56" s="846"/>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+IF(SEPTIEMBRE!A57=0,"",SEPTIEMBRE!A57)</f>
        <v>1130111</v>
      </c>
      <c r="B57" s="628" t="str">
        <f>+IF(SEPTIEMBRE!B57=0,"",SEPTIEMBRE!B57)</f>
        <v>IPS PRIVADAS</v>
      </c>
      <c r="C57" s="43">
        <f t="shared" ref="C57:N57" si="62">SUM(C58:C59)</f>
        <v>205713</v>
      </c>
      <c r="D57" s="44">
        <f t="shared" si="62"/>
        <v>0</v>
      </c>
      <c r="E57" s="44">
        <f t="shared" si="62"/>
        <v>0</v>
      </c>
      <c r="F57" s="44">
        <f t="shared" si="62"/>
        <v>205713</v>
      </c>
      <c r="G57" s="44">
        <f t="shared" si="62"/>
        <v>1082717</v>
      </c>
      <c r="H57" s="44">
        <f t="shared" si="62"/>
        <v>1357397</v>
      </c>
      <c r="I57" s="44">
        <f t="shared" si="62"/>
        <v>2440114</v>
      </c>
      <c r="J57" s="44">
        <f t="shared" si="62"/>
        <v>0</v>
      </c>
      <c r="K57" s="44">
        <f t="shared" si="62"/>
        <v>0</v>
      </c>
      <c r="L57" s="44">
        <f t="shared" si="62"/>
        <v>0</v>
      </c>
      <c r="M57" s="44">
        <f t="shared" si="62"/>
        <v>-2234401</v>
      </c>
      <c r="N57" s="45">
        <f t="shared" si="62"/>
        <v>205713</v>
      </c>
      <c r="P57" s="43">
        <f>SUM(P58:P59)</f>
        <v>0</v>
      </c>
      <c r="Q57" s="45">
        <f>SUM(Q58:Q59)</f>
        <v>0</v>
      </c>
      <c r="R57" s="9"/>
      <c r="S57" s="687">
        <f>+IF(SEPTIEMBRE!S57=0,"",SEPTIEMBRE!S57)</f>
        <v>1010400</v>
      </c>
      <c r="T57" s="663" t="str">
        <f>+IF(SEPTIEMBRE!T57=0,"",SEPTIEMBRE!T57)</f>
        <v>Contribuciones Inherentes nómina del Sector Publico</v>
      </c>
      <c r="U57" s="132">
        <f t="shared" ref="U57:AJ57" si="63">U58+U61</f>
        <v>94301194</v>
      </c>
      <c r="V57" s="122">
        <f t="shared" si="63"/>
        <v>0</v>
      </c>
      <c r="W57" s="122">
        <f t="shared" si="63"/>
        <v>0</v>
      </c>
      <c r="X57" s="129">
        <f t="shared" si="63"/>
        <v>94301194</v>
      </c>
      <c r="Y57" s="128">
        <f t="shared" si="63"/>
        <v>52733550</v>
      </c>
      <c r="Z57" s="122">
        <f t="shared" si="63"/>
        <v>5317550</v>
      </c>
      <c r="AA57" s="215">
        <f t="shared" si="63"/>
        <v>58051100</v>
      </c>
      <c r="AB57" s="128">
        <f t="shared" si="63"/>
        <v>52733550</v>
      </c>
      <c r="AC57" s="122">
        <f t="shared" si="63"/>
        <v>5317550</v>
      </c>
      <c r="AD57" s="215">
        <f t="shared" si="63"/>
        <v>58051100</v>
      </c>
      <c r="AE57" s="128">
        <f t="shared" si="63"/>
        <v>47348650</v>
      </c>
      <c r="AF57" s="122">
        <f t="shared" si="63"/>
        <v>5384900</v>
      </c>
      <c r="AG57" s="215">
        <f t="shared" si="63"/>
        <v>52733550</v>
      </c>
      <c r="AH57" s="128">
        <f t="shared" si="63"/>
        <v>36250094</v>
      </c>
      <c r="AI57" s="122">
        <f t="shared" si="63"/>
        <v>36250094</v>
      </c>
      <c r="AJ57" s="130">
        <f t="shared" si="63"/>
        <v>41567644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+IF(SEPTIEMBRE!A58=0,"",SEPTIEMBRE!A58)</f>
        <v>1130111-1</v>
      </c>
      <c r="B58" s="629" t="str">
        <f>+CONCATENATE("Vigencia ",INSTRUCCIONES!$F$3)</f>
        <v>Vigencia 2019</v>
      </c>
      <c r="C58" s="655">
        <f>+ENERO!C58</f>
        <v>205713</v>
      </c>
      <c r="D58" s="363">
        <f>SEPTIEMBRE!D58+OCTUBRE!P58</f>
        <v>0</v>
      </c>
      <c r="E58" s="363">
        <f>SEPTIEMBRE!E58+OCTUBRE!Q58</f>
        <v>0</v>
      </c>
      <c r="F58" s="363">
        <f>SUM(C58:E58)</f>
        <v>205713</v>
      </c>
      <c r="G58" s="363">
        <f>SEPTIEMBRE!I58</f>
        <v>1082717</v>
      </c>
      <c r="H58" s="364">
        <v>1357397</v>
      </c>
      <c r="I58" s="363">
        <f>SUM(G58:H58)</f>
        <v>2440114</v>
      </c>
      <c r="J58" s="363">
        <f>SEPTIEMBRE!L58</f>
        <v>0</v>
      </c>
      <c r="K58" s="364">
        <v>0</v>
      </c>
      <c r="L58" s="363">
        <f>SUM(J58:K58)</f>
        <v>0</v>
      </c>
      <c r="M58" s="363">
        <f>F58-I58</f>
        <v>-2234401</v>
      </c>
      <c r="N58" s="143">
        <f>F58-L58</f>
        <v>205713</v>
      </c>
      <c r="O58" s="372"/>
      <c r="P58" s="362">
        <v>0</v>
      </c>
      <c r="Q58" s="365">
        <v>0</v>
      </c>
      <c r="R58" s="9"/>
      <c r="S58" s="688">
        <f>+IF(SEPTIEMBRE!S58=0,"",SEPTIEMBRE!S58)</f>
        <v>1010402</v>
      </c>
      <c r="T58" s="664" t="str">
        <f>+IF(SEPTIEMBRE!T58=0,"",SEPTIEMBRE!T58)</f>
        <v>Contribuciones - Otros</v>
      </c>
      <c r="U58" s="27">
        <f t="shared" ref="U58:AJ58" si="64">SUM(U59:U60)</f>
        <v>94301194</v>
      </c>
      <c r="V58" s="15">
        <f t="shared" si="64"/>
        <v>0</v>
      </c>
      <c r="W58" s="15">
        <f t="shared" si="64"/>
        <v>0</v>
      </c>
      <c r="X58" s="18">
        <f t="shared" si="64"/>
        <v>94301194</v>
      </c>
      <c r="Y58" s="19">
        <f t="shared" si="64"/>
        <v>52733550</v>
      </c>
      <c r="Z58" s="142">
        <f t="shared" si="64"/>
        <v>5317550</v>
      </c>
      <c r="AA58" s="848">
        <f t="shared" si="64"/>
        <v>58051100</v>
      </c>
      <c r="AB58" s="19">
        <f t="shared" si="64"/>
        <v>52733550</v>
      </c>
      <c r="AC58" s="142">
        <f t="shared" si="64"/>
        <v>5317550</v>
      </c>
      <c r="AD58" s="848">
        <f t="shared" si="64"/>
        <v>58051100</v>
      </c>
      <c r="AE58" s="19">
        <f t="shared" si="64"/>
        <v>47348650</v>
      </c>
      <c r="AF58" s="142">
        <f t="shared" si="64"/>
        <v>5384900</v>
      </c>
      <c r="AG58" s="848">
        <f t="shared" si="64"/>
        <v>52733550</v>
      </c>
      <c r="AH58" s="19">
        <f t="shared" si="64"/>
        <v>36250094</v>
      </c>
      <c r="AI58" s="15">
        <f t="shared" si="64"/>
        <v>36250094</v>
      </c>
      <c r="AJ58" s="16">
        <f t="shared" si="64"/>
        <v>41567644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+IF(SEPTIEMBRE!A59=0,"",SEPTIEMBRE!A59)</f>
        <v>1130111-2</v>
      </c>
      <c r="B59" s="629" t="str">
        <f>+IF(SEPTIEMBRE!B59=0,"",SEPTIEMBRE!B59)</f>
        <v>Vigencia Anterior</v>
      </c>
      <c r="C59" s="655">
        <f>+ENERO!C59</f>
        <v>0</v>
      </c>
      <c r="D59" s="363">
        <f>SEPTIEMBRE!D59+OCTUBRE!P59</f>
        <v>0</v>
      </c>
      <c r="E59" s="363">
        <f>SEPTIEMBRE!E59+OCTUBRE!Q59</f>
        <v>0</v>
      </c>
      <c r="F59" s="363">
        <f>SUM(C59:E59)</f>
        <v>0</v>
      </c>
      <c r="G59" s="363">
        <f>SEPTIEMBRE!I59</f>
        <v>0</v>
      </c>
      <c r="H59" s="364">
        <v>0</v>
      </c>
      <c r="I59" s="363">
        <f>SUM(G59:H59)</f>
        <v>0</v>
      </c>
      <c r="J59" s="363">
        <f>SEPTIEMBRE!L59</f>
        <v>0</v>
      </c>
      <c r="K59" s="364">
        <v>0</v>
      </c>
      <c r="L59" s="363">
        <f>SUM(J59:K59)</f>
        <v>0</v>
      </c>
      <c r="M59" s="363">
        <f>F59-I59</f>
        <v>0</v>
      </c>
      <c r="N59" s="143">
        <f>F59-L59</f>
        <v>0</v>
      </c>
      <c r="O59" s="372"/>
      <c r="P59" s="362">
        <v>0</v>
      </c>
      <c r="Q59" s="365">
        <v>0</v>
      </c>
      <c r="R59" s="9"/>
      <c r="S59" s="689" t="str">
        <f>+IF(SEPTIEMBRE!S59=0,"",SEPTIEMBRE!S59)</f>
        <v>1010402-1</v>
      </c>
      <c r="T59" s="665" t="str">
        <f>+IF(SEPTIEMBRE!T59=0,"",SEPTIEMBRE!T59)</f>
        <v>S.E.N.A.</v>
      </c>
      <c r="U59" s="27">
        <f>+ENERO!U59</f>
        <v>37720478</v>
      </c>
      <c r="V59" s="15">
        <f>SEPTIEMBRE!V59+OCTUBRE!AL59</f>
        <v>0</v>
      </c>
      <c r="W59" s="15">
        <f>SEPTIEMBRE!W59+OCTUBRE!AM59</f>
        <v>0</v>
      </c>
      <c r="X59" s="18">
        <f>SUM(U59:W59)</f>
        <v>37720478</v>
      </c>
      <c r="Y59" s="19">
        <f>SEPTIEMBRE!AA59</f>
        <v>21093420</v>
      </c>
      <c r="Z59" s="364">
        <v>2127020</v>
      </c>
      <c r="AA59" s="848">
        <f>SUM(Y59:Z59)</f>
        <v>23220440</v>
      </c>
      <c r="AB59" s="19">
        <f>SEPTIEMBRE!AD59</f>
        <v>21093420</v>
      </c>
      <c r="AC59" s="364">
        <v>2127020</v>
      </c>
      <c r="AD59" s="848">
        <f>SUM(AB59:AC59)</f>
        <v>23220440</v>
      </c>
      <c r="AE59" s="19">
        <f>SEPTIEMBRE!AG59</f>
        <v>18939460</v>
      </c>
      <c r="AF59" s="364">
        <v>2153960</v>
      </c>
      <c r="AG59" s="848">
        <f>SUM(AE59:AF59)</f>
        <v>21093420</v>
      </c>
      <c r="AH59" s="19">
        <f>X59-AA59</f>
        <v>14500038</v>
      </c>
      <c r="AI59" s="15">
        <f>X59-AD59</f>
        <v>14500038</v>
      </c>
      <c r="AJ59" s="16">
        <f>X59-AG59</f>
        <v>16627058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+IF(SEPTIEMBRE!A60=0,"",SEPTIEMBRE!A60)</f>
        <v>1130112</v>
      </c>
      <c r="B60" s="628" t="str">
        <f>+IF(SEPTIEMBRE!B60=0,"",SEPTIEMBRE!B60)</f>
        <v>IPS PUBLICAS</v>
      </c>
      <c r="C60" s="43">
        <f t="shared" ref="C60:N60" si="65">SUM(C61:C62)</f>
        <v>0</v>
      </c>
      <c r="D60" s="44">
        <f t="shared" si="65"/>
        <v>0</v>
      </c>
      <c r="E60" s="44">
        <f t="shared" si="65"/>
        <v>19213396</v>
      </c>
      <c r="F60" s="44">
        <f t="shared" si="65"/>
        <v>19213396</v>
      </c>
      <c r="G60" s="44">
        <f t="shared" si="65"/>
        <v>20161991</v>
      </c>
      <c r="H60" s="44">
        <f t="shared" si="65"/>
        <v>177663</v>
      </c>
      <c r="I60" s="44">
        <f t="shared" si="65"/>
        <v>20339654</v>
      </c>
      <c r="J60" s="44">
        <f t="shared" si="65"/>
        <v>19213396</v>
      </c>
      <c r="K60" s="44">
        <f t="shared" si="65"/>
        <v>0</v>
      </c>
      <c r="L60" s="44">
        <f t="shared" si="65"/>
        <v>19213396</v>
      </c>
      <c r="M60" s="44">
        <f t="shared" si="65"/>
        <v>-1126258</v>
      </c>
      <c r="N60" s="45">
        <f t="shared" si="65"/>
        <v>0</v>
      </c>
      <c r="P60" s="43">
        <f>SUM(P61:P62)</f>
        <v>0</v>
      </c>
      <c r="Q60" s="45">
        <f>SUM(Q61:Q62)</f>
        <v>0</v>
      </c>
      <c r="R60" s="9"/>
      <c r="S60" s="689" t="str">
        <f>+IF(SEPTIEMBRE!S60=0,"",SEPTIEMBRE!S60)</f>
        <v>1010402-2</v>
      </c>
      <c r="T60" s="665" t="str">
        <f>+IF(SEPTIEMBRE!T60=0,"",SEPTIEMBRE!T60)</f>
        <v>I.C.B.F.</v>
      </c>
      <c r="U60" s="27">
        <f>+ENERO!U60</f>
        <v>56580716</v>
      </c>
      <c r="V60" s="15">
        <f>SEPTIEMBRE!V60+OCTUBRE!AL60</f>
        <v>0</v>
      </c>
      <c r="W60" s="15">
        <f>SEPTIEMBRE!W60+OCTUBRE!AM60</f>
        <v>0</v>
      </c>
      <c r="X60" s="18">
        <f>SUM(U60:W60)</f>
        <v>56580716</v>
      </c>
      <c r="Y60" s="19">
        <f>SEPTIEMBRE!AA60</f>
        <v>31640130</v>
      </c>
      <c r="Z60" s="364">
        <v>3190530</v>
      </c>
      <c r="AA60" s="848">
        <f>SUM(Y60:Z60)</f>
        <v>34830660</v>
      </c>
      <c r="AB60" s="19">
        <f>SEPTIEMBRE!AD60</f>
        <v>31640130</v>
      </c>
      <c r="AC60" s="364">
        <v>3190530</v>
      </c>
      <c r="AD60" s="848">
        <f>SUM(AB60:AC60)</f>
        <v>34830660</v>
      </c>
      <c r="AE60" s="19">
        <f>SEPTIEMBRE!AG60</f>
        <v>28409190</v>
      </c>
      <c r="AF60" s="364">
        <v>3230940</v>
      </c>
      <c r="AG60" s="848">
        <f>SUM(AE60:AF60)</f>
        <v>31640130</v>
      </c>
      <c r="AH60" s="19">
        <f>X60-AA60</f>
        <v>21750056</v>
      </c>
      <c r="AI60" s="15">
        <f>X60-AD60</f>
        <v>21750056</v>
      </c>
      <c r="AJ60" s="16">
        <f>X60-AG60</f>
        <v>24940586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+IF(SEPTIEMBRE!A61=0,"",SEPTIEMBRE!A61)</f>
        <v>1130112-1</v>
      </c>
      <c r="B61" s="629" t="str">
        <f>+CONCATENATE("Vigencia ",INSTRUCCIONES!$F$3)</f>
        <v>Vigencia 2019</v>
      </c>
      <c r="C61" s="655">
        <f>+ENERO!C61</f>
        <v>0</v>
      </c>
      <c r="D61" s="363">
        <f>SEPTIEMBRE!D61+OCTUBRE!P61</f>
        <v>0</v>
      </c>
      <c r="E61" s="363">
        <f>SEPTIEMBRE!E61+OCTUBRE!Q61</f>
        <v>655301</v>
      </c>
      <c r="F61" s="363">
        <f>SUM(C61:E61)</f>
        <v>655301</v>
      </c>
      <c r="G61" s="363">
        <f>SEPTIEMBRE!I61</f>
        <v>1603896</v>
      </c>
      <c r="H61" s="364">
        <v>177663</v>
      </c>
      <c r="I61" s="363">
        <f>SUM(G61:H61)</f>
        <v>1781559</v>
      </c>
      <c r="J61" s="363">
        <f>SEPTIEMBRE!L61</f>
        <v>655301</v>
      </c>
      <c r="K61" s="364">
        <v>0</v>
      </c>
      <c r="L61" s="363">
        <f>SUM(J61:K61)</f>
        <v>655301</v>
      </c>
      <c r="M61" s="363">
        <f>F61-I61</f>
        <v>-1126258</v>
      </c>
      <c r="N61" s="143">
        <f>F61-L61</f>
        <v>0</v>
      </c>
      <c r="O61" s="372"/>
      <c r="P61" s="362">
        <v>0</v>
      </c>
      <c r="Q61" s="365">
        <v>0</v>
      </c>
      <c r="R61" s="9"/>
      <c r="S61" s="688">
        <f>+IF(SEPTIEMBRE!S61=0,"",SEPTIEMBRE!S61)</f>
        <v>1010499</v>
      </c>
      <c r="T61" s="664" t="str">
        <f>+IF(SEPTIEMBRE!T61=0,"",SEPTIEMBRE!T61)</f>
        <v>Vigencias Anteriores</v>
      </c>
      <c r="U61" s="27">
        <f>+ENERO!U61</f>
        <v>0</v>
      </c>
      <c r="V61" s="15">
        <f>SEPTIEMBRE!V61+OCTUBRE!AL61</f>
        <v>0</v>
      </c>
      <c r="W61" s="15">
        <f>SEPTIEMBRE!W61+OCTUBRE!AM61</f>
        <v>0</v>
      </c>
      <c r="X61" s="18">
        <f>SUM(U61:W61)</f>
        <v>0</v>
      </c>
      <c r="Y61" s="19">
        <f>SEPTIEMBRE!AA61</f>
        <v>0</v>
      </c>
      <c r="Z61" s="364">
        <v>0</v>
      </c>
      <c r="AA61" s="848">
        <f>SUM(Y61:Z61)</f>
        <v>0</v>
      </c>
      <c r="AB61" s="19">
        <f>SEPTIEMBRE!AD61</f>
        <v>0</v>
      </c>
      <c r="AC61" s="364">
        <v>0</v>
      </c>
      <c r="AD61" s="848">
        <f>SUM(AB61:AC61)</f>
        <v>0</v>
      </c>
      <c r="AE61" s="19">
        <f>SEPTIEMBRE!AG61</f>
        <v>0</v>
      </c>
      <c r="AF61" s="364">
        <v>0</v>
      </c>
      <c r="AG61" s="84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+IF(SEPTIEMBRE!A62=0,"",SEPTIEMBRE!A62)</f>
        <v>1130112-2</v>
      </c>
      <c r="B62" s="629" t="str">
        <f>+IF(SEPTIEMBRE!B62=0,"",SEPTIEMBRE!B62)</f>
        <v>Vigencia Anterior</v>
      </c>
      <c r="C62" s="655">
        <f>+ENERO!C62</f>
        <v>0</v>
      </c>
      <c r="D62" s="363">
        <f>SEPTIEMBRE!D62+OCTUBRE!P62</f>
        <v>0</v>
      </c>
      <c r="E62" s="363">
        <f>SEPTIEMBRE!E62+OCTUBRE!Q62</f>
        <v>18558095</v>
      </c>
      <c r="F62" s="363">
        <f>SUM(C62:E62)</f>
        <v>18558095</v>
      </c>
      <c r="G62" s="363">
        <f>SEPTIEMBRE!I62</f>
        <v>18558095</v>
      </c>
      <c r="H62" s="364">
        <v>0</v>
      </c>
      <c r="I62" s="363">
        <f>SUM(G62:H62)</f>
        <v>18558095</v>
      </c>
      <c r="J62" s="363">
        <f>SEPTIEMBRE!L62</f>
        <v>18558095</v>
      </c>
      <c r="K62" s="364">
        <v>0</v>
      </c>
      <c r="L62" s="363">
        <f>SUM(J62:K62)</f>
        <v>18558095</v>
      </c>
      <c r="M62" s="363">
        <f>F62-I62</f>
        <v>0</v>
      </c>
      <c r="N62" s="143">
        <f>F62-L62</f>
        <v>0</v>
      </c>
      <c r="O62" s="372"/>
      <c r="P62" s="362">
        <v>0</v>
      </c>
      <c r="Q62" s="365">
        <v>0</v>
      </c>
      <c r="R62" s="9"/>
      <c r="S62" s="356" t="str">
        <f>+IF(SEPTIEMBRE!S62=0,"",SEPTIEMBRE!S62)</f>
        <v/>
      </c>
      <c r="T62" s="678" t="str">
        <f>+IF(SEPTIEMBRE!T62=0,"",SEPTIEMBRE!T62)</f>
        <v/>
      </c>
      <c r="U62" s="161"/>
      <c r="V62" s="161"/>
      <c r="W62" s="161"/>
      <c r="X62" s="161"/>
      <c r="Y62" s="161"/>
      <c r="Z62" s="161"/>
      <c r="AA62" s="846"/>
      <c r="AB62" s="161"/>
      <c r="AC62" s="161"/>
      <c r="AD62" s="846"/>
      <c r="AE62" s="161"/>
      <c r="AF62" s="161"/>
      <c r="AG62" s="846"/>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+IF(SEPTIEMBRE!A63=0,"",SEPTIEMBRE!A63)</f>
        <v>1130113</v>
      </c>
      <c r="B63" s="628" t="str">
        <f>+IF(SEPTIEMBRE!B63=0,"",SEPTIEMBRE!B63)</f>
        <v>COMPAÑIAS DE SEGUROS  - ACCIDENTES DE TRANSITO (SOAT)</v>
      </c>
      <c r="C63" s="43">
        <f t="shared" ref="C63:N63" si="66">SUM(C64:C65)</f>
        <v>8371510292</v>
      </c>
      <c r="D63" s="44">
        <f t="shared" si="66"/>
        <v>0</v>
      </c>
      <c r="E63" s="44">
        <f t="shared" si="66"/>
        <v>1880310354</v>
      </c>
      <c r="F63" s="44">
        <f t="shared" si="66"/>
        <v>10251820646</v>
      </c>
      <c r="G63" s="44">
        <f t="shared" si="66"/>
        <v>6069415488</v>
      </c>
      <c r="H63" s="44">
        <f t="shared" si="66"/>
        <v>361680530</v>
      </c>
      <c r="I63" s="44">
        <f t="shared" si="66"/>
        <v>6431096018</v>
      </c>
      <c r="J63" s="44">
        <f t="shared" si="66"/>
        <v>4034791785.0699997</v>
      </c>
      <c r="K63" s="44">
        <f t="shared" si="66"/>
        <v>370409890</v>
      </c>
      <c r="L63" s="44">
        <f t="shared" si="66"/>
        <v>4405201675.0699997</v>
      </c>
      <c r="M63" s="44">
        <f t="shared" si="66"/>
        <v>3820724628</v>
      </c>
      <c r="N63" s="45">
        <f t="shared" si="66"/>
        <v>5846618970.9300003</v>
      </c>
      <c r="P63" s="43">
        <f>SUM(P64:P65)</f>
        <v>0</v>
      </c>
      <c r="Q63" s="45">
        <f>SUM(Q64:Q65)</f>
        <v>8127451</v>
      </c>
      <c r="R63" s="9"/>
      <c r="S63" s="686">
        <f>+IF(SEPTIEMBRE!S63=0,"",SEPTIEMBRE!S63)</f>
        <v>1020010</v>
      </c>
      <c r="T63" s="662" t="str">
        <f>+IF(SEPTIEMBRE!T63=0,"",SEPTIEMBRE!T63)</f>
        <v>Gastos de Operación</v>
      </c>
      <c r="U63" s="132">
        <f t="shared" ref="U63:AJ63" si="67">U65+U83+U90+U104</f>
        <v>29994047768</v>
      </c>
      <c r="V63" s="122">
        <f t="shared" si="67"/>
        <v>-3985337847</v>
      </c>
      <c r="W63" s="122">
        <f t="shared" si="67"/>
        <v>2129785077</v>
      </c>
      <c r="X63" s="129">
        <f t="shared" si="67"/>
        <v>28138494998</v>
      </c>
      <c r="Y63" s="128">
        <f t="shared" si="67"/>
        <v>25926852410</v>
      </c>
      <c r="Z63" s="122">
        <f t="shared" si="67"/>
        <v>116257106</v>
      </c>
      <c r="AA63" s="215">
        <f t="shared" si="67"/>
        <v>26043109516</v>
      </c>
      <c r="AB63" s="128">
        <f t="shared" si="67"/>
        <v>21134497738</v>
      </c>
      <c r="AC63" s="122">
        <f t="shared" si="67"/>
        <v>1512804352</v>
      </c>
      <c r="AD63" s="215">
        <f t="shared" si="67"/>
        <v>22647302090</v>
      </c>
      <c r="AE63" s="128">
        <f t="shared" si="67"/>
        <v>14791333053</v>
      </c>
      <c r="AF63" s="122">
        <f t="shared" si="67"/>
        <v>1633315419</v>
      </c>
      <c r="AG63" s="215">
        <f t="shared" si="67"/>
        <v>16424648472</v>
      </c>
      <c r="AH63" s="128">
        <f t="shared" si="67"/>
        <v>2095385482</v>
      </c>
      <c r="AI63" s="122">
        <f t="shared" si="67"/>
        <v>5491192908</v>
      </c>
      <c r="AJ63" s="130">
        <f t="shared" si="67"/>
        <v>11713846526</v>
      </c>
      <c r="AK63" s="9"/>
      <c r="AL63" s="128">
        <f>AL65+AL83+AL90+AL104</f>
        <v>-170000000</v>
      </c>
      <c r="AM63" s="130">
        <f>AM65+AM83+AM90+AM104</f>
        <v>420000000</v>
      </c>
      <c r="AN63" s="9"/>
      <c r="AO63" s="284"/>
      <c r="AP63" s="284"/>
      <c r="AQ63" s="284"/>
      <c r="AR63" s="284"/>
      <c r="AS63" s="284"/>
      <c r="AT63" s="284"/>
      <c r="AU63" s="284"/>
      <c r="AV63" s="284"/>
      <c r="AW63" s="284"/>
      <c r="AX63" s="284"/>
      <c r="AY63" s="284"/>
      <c r="AZ63" s="284"/>
    </row>
    <row r="64" spans="1:70" s="412" customFormat="1" ht="24.95" customHeight="1">
      <c r="A64" s="593" t="str">
        <f>+IF(SEPTIEMBRE!A64=0,"",SEPTIEMBRE!A64)</f>
        <v>1130113-1</v>
      </c>
      <c r="B64" s="629" t="str">
        <f>+CONCATENATE("Vigencia ",INSTRUCCIONES!$F$3)</f>
        <v>Vigencia 2019</v>
      </c>
      <c r="C64" s="655">
        <f>+ENERO!C64</f>
        <v>8371510292</v>
      </c>
      <c r="D64" s="363">
        <f>SEPTIEMBRE!D64+OCTUBRE!P64</f>
        <v>0</v>
      </c>
      <c r="E64" s="363">
        <f>SEPTIEMBRE!E64+OCTUBRE!Q64</f>
        <v>0</v>
      </c>
      <c r="F64" s="363">
        <f>SUM(C64:E64)</f>
        <v>8371510292</v>
      </c>
      <c r="G64" s="363">
        <f>SEPTIEMBRE!I64</f>
        <v>4189105134</v>
      </c>
      <c r="H64" s="364">
        <v>351838261</v>
      </c>
      <c r="I64" s="363">
        <f>SUM(G64:H64)</f>
        <v>4540943395</v>
      </c>
      <c r="J64" s="363">
        <f>SEPTIEMBRE!L64</f>
        <v>2154481431.0699997</v>
      </c>
      <c r="K64" s="364">
        <v>360567621</v>
      </c>
      <c r="L64" s="363">
        <f>SUM(J64:K64)</f>
        <v>2515049052.0699997</v>
      </c>
      <c r="M64" s="363">
        <f>F64-I64</f>
        <v>3830566897</v>
      </c>
      <c r="N64" s="143">
        <f>F64-L64</f>
        <v>5856461239.9300003</v>
      </c>
      <c r="O64" s="372"/>
      <c r="P64" s="362">
        <v>0</v>
      </c>
      <c r="Q64" s="365">
        <v>0</v>
      </c>
      <c r="R64" s="9"/>
      <c r="S64" s="356" t="str">
        <f>+IF(SEPTIEMBRE!S64=0,"",SEPTIEMBRE!S64)</f>
        <v/>
      </c>
      <c r="T64" s="678" t="str">
        <f>+IF(SEPTIEMBRE!T64=0,"",SEPTIEMBRE!T64)</f>
        <v/>
      </c>
      <c r="U64" s="161"/>
      <c r="V64" s="161"/>
      <c r="W64" s="161"/>
      <c r="X64" s="161"/>
      <c r="Y64" s="161"/>
      <c r="Z64" s="161"/>
      <c r="AA64" s="846"/>
      <c r="AB64" s="161"/>
      <c r="AC64" s="161"/>
      <c r="AD64" s="846"/>
      <c r="AE64" s="161"/>
      <c r="AF64" s="161"/>
      <c r="AG64" s="846"/>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+IF(SEPTIEMBRE!A65=0,"",SEPTIEMBRE!A65)</f>
        <v>1130113-2</v>
      </c>
      <c r="B65" s="629" t="str">
        <f>+IF(SEPTIEMBRE!B65=0,"",SEPTIEMBRE!B65)</f>
        <v>Vigencia Anterior</v>
      </c>
      <c r="C65" s="655">
        <f>+ENERO!C65</f>
        <v>0</v>
      </c>
      <c r="D65" s="363">
        <f>SEPTIEMBRE!D65+OCTUBRE!P65</f>
        <v>0</v>
      </c>
      <c r="E65" s="363">
        <f>SEPTIEMBRE!E65+OCTUBRE!Q65</f>
        <v>1880310354</v>
      </c>
      <c r="F65" s="363">
        <f>SUM(C65:E65)</f>
        <v>1880310354</v>
      </c>
      <c r="G65" s="363">
        <f>SEPTIEMBRE!I65</f>
        <v>1880310354</v>
      </c>
      <c r="H65" s="364">
        <v>9842269</v>
      </c>
      <c r="I65" s="363">
        <f>SUM(G65:H65)</f>
        <v>1890152623</v>
      </c>
      <c r="J65" s="363">
        <f>SEPTIEMBRE!L65</f>
        <v>1880310354</v>
      </c>
      <c r="K65" s="364">
        <v>9842269</v>
      </c>
      <c r="L65" s="363">
        <f>SUM(J65:K65)</f>
        <v>1890152623</v>
      </c>
      <c r="M65" s="363">
        <f>F65-I65</f>
        <v>-9842269</v>
      </c>
      <c r="N65" s="143">
        <f>F65-L65</f>
        <v>-9842269</v>
      </c>
      <c r="O65" s="372"/>
      <c r="P65" s="362">
        <v>0</v>
      </c>
      <c r="Q65" s="365">
        <v>8127451</v>
      </c>
      <c r="R65" s="9"/>
      <c r="S65" s="687">
        <f>+IF(SEPTIEMBRE!S65=0,"",SEPTIEMBRE!S65)</f>
        <v>1020100</v>
      </c>
      <c r="T65" s="663" t="str">
        <f>+IF(SEPTIEMBRE!T65=0,"",SEPTIEMBRE!T65)</f>
        <v>Servicios Personales Asociados a Nómina</v>
      </c>
      <c r="U65" s="132">
        <f t="shared" ref="U65:AJ65" si="68">SUM(U66:U69)+U81</f>
        <v>5283965861</v>
      </c>
      <c r="V65" s="122">
        <f t="shared" si="68"/>
        <v>-2409000000</v>
      </c>
      <c r="W65" s="122">
        <f t="shared" si="68"/>
        <v>360000000</v>
      </c>
      <c r="X65" s="129">
        <f t="shared" si="68"/>
        <v>3234965861</v>
      </c>
      <c r="Y65" s="128">
        <f t="shared" si="68"/>
        <v>1884246755</v>
      </c>
      <c r="Z65" s="122">
        <f t="shared" si="68"/>
        <v>194262629</v>
      </c>
      <c r="AA65" s="215">
        <f t="shared" si="68"/>
        <v>2078509384</v>
      </c>
      <c r="AB65" s="128">
        <f t="shared" si="68"/>
        <v>1884246755</v>
      </c>
      <c r="AC65" s="122">
        <f t="shared" si="68"/>
        <v>194262629</v>
      </c>
      <c r="AD65" s="215">
        <f t="shared" si="68"/>
        <v>2078509384</v>
      </c>
      <c r="AE65" s="128">
        <f t="shared" si="68"/>
        <v>1882333112</v>
      </c>
      <c r="AF65" s="122">
        <f t="shared" si="68"/>
        <v>195949849</v>
      </c>
      <c r="AG65" s="215">
        <f t="shared" si="68"/>
        <v>2078282961</v>
      </c>
      <c r="AH65" s="128">
        <f t="shared" si="68"/>
        <v>1156456477</v>
      </c>
      <c r="AI65" s="122">
        <f t="shared" si="68"/>
        <v>1156456477</v>
      </c>
      <c r="AJ65" s="130">
        <f t="shared" si="68"/>
        <v>1156682900</v>
      </c>
      <c r="AK65" s="9"/>
      <c r="AL65" s="128">
        <f>SUM(AL66:AL69)+AL81</f>
        <v>0</v>
      </c>
      <c r="AM65" s="130">
        <f>SUM(AM66:AM69)+AM81</f>
        <v>360000000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+IF(SEPTIEMBRE!A66=0,"",SEPTIEMBRE!A66)</f>
        <v>1130114</v>
      </c>
      <c r="B66" s="628" t="str">
        <f>+IF(SEPTIEMBRE!B66=0,"",SEPTIEMBRE!B66)</f>
        <v xml:space="preserve">COMPAÑIAS DE SEGUROS  - PLANES DE SALUD  </v>
      </c>
      <c r="C66" s="43">
        <f t="shared" ref="C66:N66" si="69">SUM(C67:C68)</f>
        <v>11965775</v>
      </c>
      <c r="D66" s="44">
        <f t="shared" si="69"/>
        <v>0</v>
      </c>
      <c r="E66" s="44">
        <f t="shared" si="69"/>
        <v>0</v>
      </c>
      <c r="F66" s="44">
        <f t="shared" si="69"/>
        <v>11965775</v>
      </c>
      <c r="G66" s="44">
        <f t="shared" si="69"/>
        <v>51629570</v>
      </c>
      <c r="H66" s="44">
        <f t="shared" si="69"/>
        <v>374171</v>
      </c>
      <c r="I66" s="44">
        <f t="shared" si="69"/>
        <v>52003741</v>
      </c>
      <c r="J66" s="44">
        <f t="shared" si="69"/>
        <v>0</v>
      </c>
      <c r="K66" s="44">
        <f t="shared" si="69"/>
        <v>0</v>
      </c>
      <c r="L66" s="44">
        <f t="shared" si="69"/>
        <v>0</v>
      </c>
      <c r="M66" s="44">
        <f t="shared" si="69"/>
        <v>-40037966</v>
      </c>
      <c r="N66" s="45">
        <f t="shared" si="69"/>
        <v>11965775</v>
      </c>
      <c r="P66" s="43">
        <f>SUM(P67:P68)</f>
        <v>0</v>
      </c>
      <c r="Q66" s="45">
        <f>SUM(Q67:Q68)</f>
        <v>0</v>
      </c>
      <c r="R66" s="9"/>
      <c r="S66" s="688">
        <f>+IF(SEPTIEMBRE!S66=0,"",SEPTIEMBRE!S66)</f>
        <v>1020101</v>
      </c>
      <c r="T66" s="664" t="str">
        <f>+IF(SEPTIEMBRE!T66=0,"",SEPTIEMBRE!T66)</f>
        <v>Sueldos del Personal de nómina</v>
      </c>
      <c r="U66" s="27">
        <f>+ENERO!U66</f>
        <v>3773107838</v>
      </c>
      <c r="V66" s="15">
        <f>SEPTIEMBRE!V66+OCTUBRE!AL66</f>
        <v>-2044000000</v>
      </c>
      <c r="W66" s="15">
        <f>SEPTIEMBRE!W66+OCTUBRE!AM66</f>
        <v>360000000</v>
      </c>
      <c r="X66" s="18">
        <f>SUM(U66:W66)</f>
        <v>2089107838</v>
      </c>
      <c r="Y66" s="19">
        <f>SEPTIEMBRE!AA66</f>
        <v>1557730391</v>
      </c>
      <c r="Z66" s="364">
        <v>176457550</v>
      </c>
      <c r="AA66" s="848">
        <f>SUM(Y66:Z66)</f>
        <v>1734187941</v>
      </c>
      <c r="AB66" s="19">
        <f>SEPTIEMBRE!AD66</f>
        <v>1557730391</v>
      </c>
      <c r="AC66" s="364">
        <v>176457550</v>
      </c>
      <c r="AD66" s="848">
        <f>SUM(AB66:AC66)</f>
        <v>1734187941</v>
      </c>
      <c r="AE66" s="19">
        <f>SEPTIEMBRE!AG66</f>
        <v>1557147768</v>
      </c>
      <c r="AF66" s="364">
        <v>176870082</v>
      </c>
      <c r="AG66" s="848">
        <f>SUM(AE66:AF66)</f>
        <v>1734017850</v>
      </c>
      <c r="AH66" s="19">
        <f>X66-AA66</f>
        <v>354919897</v>
      </c>
      <c r="AI66" s="15">
        <f>X66-AD66</f>
        <v>354919897</v>
      </c>
      <c r="AJ66" s="16">
        <f>X66-AG66</f>
        <v>355089988</v>
      </c>
      <c r="AK66" s="9"/>
      <c r="AL66" s="362">
        <v>0</v>
      </c>
      <c r="AM66" s="365">
        <v>360000000</v>
      </c>
      <c r="AN66" s="9"/>
      <c r="AO66" s="284"/>
      <c r="AP66" s="284"/>
      <c r="AQ66" s="284"/>
      <c r="AR66" s="284"/>
      <c r="AS66" s="284"/>
      <c r="AT66" s="284"/>
      <c r="AU66" s="284"/>
      <c r="AV66" s="284"/>
      <c r="AW66" s="284"/>
      <c r="AX66" s="284"/>
      <c r="AY66" s="284"/>
      <c r="AZ66" s="284"/>
    </row>
    <row r="67" spans="1:70" s="412" customFormat="1" ht="24.95" customHeight="1">
      <c r="A67" s="593" t="str">
        <f>+IF(SEPTIEMBRE!A67=0,"",SEPTIEMBRE!A67)</f>
        <v>1130114-1</v>
      </c>
      <c r="B67" s="629" t="str">
        <f>+CONCATENATE("Vigencia ",INSTRUCCIONES!$F$3)</f>
        <v>Vigencia 2019</v>
      </c>
      <c r="C67" s="655">
        <f>+ENERO!C67</f>
        <v>11965775</v>
      </c>
      <c r="D67" s="363">
        <f>SEPTIEMBRE!D67+OCTUBRE!P67</f>
        <v>0</v>
      </c>
      <c r="E67" s="363">
        <f>SEPTIEMBRE!E67+OCTUBRE!Q67</f>
        <v>0</v>
      </c>
      <c r="F67" s="363">
        <f>SUM(C67:E67)</f>
        <v>11965775</v>
      </c>
      <c r="G67" s="363">
        <f>SEPTIEMBRE!I67</f>
        <v>51629570</v>
      </c>
      <c r="H67" s="364">
        <v>374171</v>
      </c>
      <c r="I67" s="363">
        <f>SUM(G67:H67)</f>
        <v>52003741</v>
      </c>
      <c r="J67" s="363">
        <f>SEPTIEMBRE!L67</f>
        <v>0</v>
      </c>
      <c r="K67" s="364">
        <v>0</v>
      </c>
      <c r="L67" s="363">
        <f>SUM(J67:K67)</f>
        <v>0</v>
      </c>
      <c r="M67" s="363">
        <f>F67-I67</f>
        <v>-40037966</v>
      </c>
      <c r="N67" s="143">
        <f>F67-L67</f>
        <v>11965775</v>
      </c>
      <c r="O67" s="372"/>
      <c r="P67" s="362">
        <v>0</v>
      </c>
      <c r="Q67" s="365">
        <v>0</v>
      </c>
      <c r="R67" s="9"/>
      <c r="S67" s="688">
        <f>+IF(SEPTIEMBRE!S67=0,"",SEPTIEMBRE!S67)</f>
        <v>1020102</v>
      </c>
      <c r="T67" s="664" t="str">
        <f>+IF(SEPTIEMBRE!T67=0,"",SEPTIEMBRE!T67)</f>
        <v>Horas Extras,Dominic.,Festivos y Rec. Nocturnos</v>
      </c>
      <c r="U67" s="27">
        <f>+ENERO!U67</f>
        <v>329885360</v>
      </c>
      <c r="V67" s="15">
        <f>SEPTIEMBRE!V67+OCTUBRE!AL67</f>
        <v>-65000000</v>
      </c>
      <c r="W67" s="15">
        <f>SEPTIEMBRE!W67+OCTUBRE!AM67</f>
        <v>0</v>
      </c>
      <c r="X67" s="18">
        <f>SUM(U67:W67)</f>
        <v>264885360</v>
      </c>
      <c r="Y67" s="19">
        <f>SEPTIEMBRE!AA67</f>
        <v>94697883</v>
      </c>
      <c r="Z67" s="364">
        <v>11469206</v>
      </c>
      <c r="AA67" s="848">
        <f>SUM(Y67:Z67)</f>
        <v>106167089</v>
      </c>
      <c r="AB67" s="19">
        <f>SEPTIEMBRE!AD67</f>
        <v>94697883</v>
      </c>
      <c r="AC67" s="364">
        <v>11469206</v>
      </c>
      <c r="AD67" s="848">
        <f>SUM(AB67:AC67)</f>
        <v>106167089</v>
      </c>
      <c r="AE67" s="19">
        <f>SEPTIEMBRE!AG67</f>
        <v>94595116</v>
      </c>
      <c r="AF67" s="364">
        <v>11571973</v>
      </c>
      <c r="AG67" s="848">
        <f>SUM(AE67:AF67)</f>
        <v>106167089</v>
      </c>
      <c r="AH67" s="19">
        <f>X67-AA67</f>
        <v>158718271</v>
      </c>
      <c r="AI67" s="15">
        <f>X67-AD67</f>
        <v>158718271</v>
      </c>
      <c r="AJ67" s="16">
        <f>X67-AG67</f>
        <v>158718271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+IF(SEPTIEMBRE!A68=0,"",SEPTIEMBRE!A68)</f>
        <v>1130114-2</v>
      </c>
      <c r="B68" s="629" t="str">
        <f>+IF(SEPTIEMBRE!B68=0,"",SEPTIEMBRE!B68)</f>
        <v>Vigencia Anterior</v>
      </c>
      <c r="C68" s="655">
        <f>+ENERO!C68</f>
        <v>0</v>
      </c>
      <c r="D68" s="363">
        <f>SEPTIEMBRE!D68+OCTUBRE!P68</f>
        <v>0</v>
      </c>
      <c r="E68" s="363">
        <f>SEPTIEMBRE!E68+OCTUBRE!Q68</f>
        <v>0</v>
      </c>
      <c r="F68" s="363">
        <f>SUM(C68:E68)</f>
        <v>0</v>
      </c>
      <c r="G68" s="363">
        <f>SEPTIEMBRE!I68</f>
        <v>0</v>
      </c>
      <c r="H68" s="364">
        <v>0</v>
      </c>
      <c r="I68" s="363">
        <f>SUM(G68:H68)</f>
        <v>0</v>
      </c>
      <c r="J68" s="363">
        <f>SEPTIEMBRE!L68</f>
        <v>0</v>
      </c>
      <c r="K68" s="364">
        <v>0</v>
      </c>
      <c r="L68" s="363">
        <f>SUM(J68:K68)</f>
        <v>0</v>
      </c>
      <c r="M68" s="363">
        <f>F68-I68</f>
        <v>0</v>
      </c>
      <c r="N68" s="143">
        <f>F68-L68</f>
        <v>0</v>
      </c>
      <c r="O68" s="372"/>
      <c r="P68" s="362">
        <v>0</v>
      </c>
      <c r="Q68" s="365">
        <v>0</v>
      </c>
      <c r="R68" s="9"/>
      <c r="S68" s="688">
        <f>+IF(SEPTIEMBRE!S68=0,"",SEPTIEMBRE!S68)</f>
        <v>1020103</v>
      </c>
      <c r="T68" s="664" t="str">
        <f>+IF(SEPTIEMBRE!T68=0,"",SEPTIEMBRE!T68)</f>
        <v>Prima Técnica</v>
      </c>
      <c r="U68" s="27">
        <f>+ENERO!U68</f>
        <v>0</v>
      </c>
      <c r="V68" s="15">
        <f>SEPTIEMBRE!V68+OCTUBRE!AL68</f>
        <v>0</v>
      </c>
      <c r="W68" s="15">
        <f>SEPTIEMBRE!W68+OCTUBRE!AM68</f>
        <v>0</v>
      </c>
      <c r="X68" s="18">
        <f>SUM(U68:W68)</f>
        <v>0</v>
      </c>
      <c r="Y68" s="19">
        <f>SEPTIEMBRE!AA68</f>
        <v>0</v>
      </c>
      <c r="Z68" s="364">
        <v>0</v>
      </c>
      <c r="AA68" s="848">
        <f>SUM(Y68:Z68)</f>
        <v>0</v>
      </c>
      <c r="AB68" s="19">
        <f>SEPTIEMBRE!AD68</f>
        <v>0</v>
      </c>
      <c r="AC68" s="364">
        <v>0</v>
      </c>
      <c r="AD68" s="848">
        <f>SUM(AB68:AC68)</f>
        <v>0</v>
      </c>
      <c r="AE68" s="19">
        <f>SEPTIEMBRE!AG68</f>
        <v>0</v>
      </c>
      <c r="AF68" s="364">
        <v>0</v>
      </c>
      <c r="AG68" s="84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+IF(SEPTIEMBRE!A69=0,"",SEPTIEMBRE!A69)</f>
        <v>1130115</v>
      </c>
      <c r="B69" s="628" t="str">
        <f>+IF(SEPTIEMBRE!B69=0,"",SEPTIEMBRE!B69)</f>
        <v>ENTIDADES DE REGIMEN ESPECIAL (Magisterio, Fuerza Pca.)</v>
      </c>
      <c r="C69" s="43">
        <f t="shared" ref="C69:N69" si="70">SUM(C70:C71)</f>
        <v>8401952</v>
      </c>
      <c r="D69" s="44">
        <f t="shared" si="70"/>
        <v>0</v>
      </c>
      <c r="E69" s="44">
        <f t="shared" si="70"/>
        <v>171880773</v>
      </c>
      <c r="F69" s="44">
        <f t="shared" si="70"/>
        <v>180282725</v>
      </c>
      <c r="G69" s="44">
        <f t="shared" si="70"/>
        <v>180876838</v>
      </c>
      <c r="H69" s="44">
        <f t="shared" si="70"/>
        <v>32219266</v>
      </c>
      <c r="I69" s="44">
        <f t="shared" si="70"/>
        <v>213096104</v>
      </c>
      <c r="J69" s="44">
        <f t="shared" si="70"/>
        <v>180282725</v>
      </c>
      <c r="K69" s="44">
        <f t="shared" si="70"/>
        <v>31640525</v>
      </c>
      <c r="L69" s="44">
        <f t="shared" si="70"/>
        <v>211923250</v>
      </c>
      <c r="M69" s="44">
        <f t="shared" si="70"/>
        <v>-32813379</v>
      </c>
      <c r="N69" s="45">
        <f t="shared" si="70"/>
        <v>-31640525</v>
      </c>
      <c r="P69" s="43">
        <f>SUM(P70:P71)</f>
        <v>0</v>
      </c>
      <c r="Q69" s="45">
        <f>SUM(Q70:Q71)</f>
        <v>2428724</v>
      </c>
      <c r="R69" s="9"/>
      <c r="S69" s="688">
        <f>+IF(SEPTIEMBRE!S69=0,"",SEPTIEMBRE!S69)</f>
        <v>1020104</v>
      </c>
      <c r="T69" s="664" t="str">
        <f>+IF(SEPTIEMBRE!T69=0,"",SEPTIEMBRE!T69)</f>
        <v>Otros</v>
      </c>
      <c r="U69" s="27">
        <f t="shared" ref="U69:AJ69" si="71">SUM(U70:U80)</f>
        <v>1180972663</v>
      </c>
      <c r="V69" s="15">
        <f t="shared" si="71"/>
        <v>-300000000</v>
      </c>
      <c r="W69" s="15">
        <f t="shared" si="71"/>
        <v>0</v>
      </c>
      <c r="X69" s="18">
        <f t="shared" si="71"/>
        <v>880972663</v>
      </c>
      <c r="Y69" s="19">
        <f t="shared" si="71"/>
        <v>231818481</v>
      </c>
      <c r="Z69" s="142">
        <f t="shared" si="71"/>
        <v>6335873</v>
      </c>
      <c r="AA69" s="848">
        <f t="shared" si="71"/>
        <v>238154354</v>
      </c>
      <c r="AB69" s="19">
        <f t="shared" si="71"/>
        <v>231818481</v>
      </c>
      <c r="AC69" s="142">
        <f t="shared" si="71"/>
        <v>6335873</v>
      </c>
      <c r="AD69" s="848">
        <f t="shared" si="71"/>
        <v>238154354</v>
      </c>
      <c r="AE69" s="19">
        <f t="shared" si="71"/>
        <v>230590228</v>
      </c>
      <c r="AF69" s="142">
        <f t="shared" si="71"/>
        <v>7507794</v>
      </c>
      <c r="AG69" s="848">
        <f t="shared" si="71"/>
        <v>238098022</v>
      </c>
      <c r="AH69" s="19">
        <f t="shared" si="71"/>
        <v>642818309</v>
      </c>
      <c r="AI69" s="15">
        <f t="shared" si="71"/>
        <v>642818309</v>
      </c>
      <c r="AJ69" s="16">
        <f t="shared" si="71"/>
        <v>642874641</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+IF(SEPTIEMBRE!A70=0,"",SEPTIEMBRE!A70)</f>
        <v>1130115-1</v>
      </c>
      <c r="B70" s="629" t="str">
        <f>+CONCATENATE("Vigencia ",INSTRUCCIONES!$F$3)</f>
        <v>Vigencia 2019</v>
      </c>
      <c r="C70" s="655">
        <f>+ENERO!C70</f>
        <v>8401952</v>
      </c>
      <c r="D70" s="363">
        <f>SEPTIEMBRE!D70+OCTUBRE!P70</f>
        <v>0</v>
      </c>
      <c r="E70" s="363">
        <f>SEPTIEMBRE!E70+OCTUBRE!Q70</f>
        <v>47225268</v>
      </c>
      <c r="F70" s="363">
        <f>SUM(C70:E70)</f>
        <v>55627220</v>
      </c>
      <c r="G70" s="363">
        <f>SEPTIEMBRE!I70</f>
        <v>56221333</v>
      </c>
      <c r="H70" s="364">
        <v>578741</v>
      </c>
      <c r="I70" s="363">
        <f>SUM(G70:H70)</f>
        <v>56800074</v>
      </c>
      <c r="J70" s="363">
        <f>SEPTIEMBRE!L70</f>
        <v>55627220</v>
      </c>
      <c r="K70" s="364">
        <v>0</v>
      </c>
      <c r="L70" s="363">
        <f>SUM(J70:K70)</f>
        <v>55627220</v>
      </c>
      <c r="M70" s="363">
        <f>F70-I70</f>
        <v>-1172854</v>
      </c>
      <c r="N70" s="143">
        <f>F70-L70</f>
        <v>0</v>
      </c>
      <c r="O70" s="372"/>
      <c r="P70" s="362">
        <v>0</v>
      </c>
      <c r="Q70" s="365">
        <v>515574</v>
      </c>
      <c r="R70" s="9"/>
      <c r="S70" s="689" t="str">
        <f>+IF(SEPTIEMBRE!S70=0,"",SEPTIEMBRE!S70)</f>
        <v>1020104-1</v>
      </c>
      <c r="T70" s="665" t="str">
        <f>+IF(SEPTIEMBRE!T70=0,"",SEPTIEMBRE!T70)</f>
        <v xml:space="preserve">Prima de Navidad </v>
      </c>
      <c r="U70" s="27">
        <f>+ENERO!U70</f>
        <v>352482456</v>
      </c>
      <c r="V70" s="15">
        <f>SEPTIEMBRE!V70+OCTUBRE!AL70</f>
        <v>0</v>
      </c>
      <c r="W70" s="15">
        <f>SEPTIEMBRE!W70+OCTUBRE!AM70</f>
        <v>0</v>
      </c>
      <c r="X70" s="18">
        <f t="shared" ref="X70:X81" si="72">SUM(U70:W70)</f>
        <v>352482456</v>
      </c>
      <c r="Y70" s="19">
        <f>SEPTIEMBRE!AA70</f>
        <v>6875717</v>
      </c>
      <c r="Z70" s="364">
        <v>0</v>
      </c>
      <c r="AA70" s="848">
        <f t="shared" ref="AA70:AA81" si="73">SUM(Y70:Z70)</f>
        <v>6875717</v>
      </c>
      <c r="AB70" s="19">
        <f>SEPTIEMBRE!AD70</f>
        <v>6875717</v>
      </c>
      <c r="AC70" s="364">
        <v>0</v>
      </c>
      <c r="AD70" s="848">
        <f t="shared" ref="AD70:AD81" si="74">SUM(AB70:AC70)</f>
        <v>6875717</v>
      </c>
      <c r="AE70" s="19">
        <f>SEPTIEMBRE!AG70</f>
        <v>6128658</v>
      </c>
      <c r="AF70" s="364">
        <v>728978</v>
      </c>
      <c r="AG70" s="848">
        <f t="shared" ref="AG70:AG81" si="75">SUM(AE70:AF70)</f>
        <v>6857636</v>
      </c>
      <c r="AH70" s="19">
        <f t="shared" ref="AH70:AH81" si="76">X70-AA70</f>
        <v>345606739</v>
      </c>
      <c r="AI70" s="15">
        <f t="shared" ref="AI70:AI81" si="77">X70-AD70</f>
        <v>345606739</v>
      </c>
      <c r="AJ70" s="16">
        <f t="shared" ref="AJ70:AJ81" si="78">X70-AG70</f>
        <v>345624820</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+IF(SEPTIEMBRE!A71=0,"",SEPTIEMBRE!A71)</f>
        <v>1130115-2</v>
      </c>
      <c r="B71" s="629" t="str">
        <f>+IF(SEPTIEMBRE!B71=0,"",SEPTIEMBRE!B71)</f>
        <v>Vigencia Anterior</v>
      </c>
      <c r="C71" s="655">
        <f>+ENERO!C71</f>
        <v>0</v>
      </c>
      <c r="D71" s="363">
        <f>SEPTIEMBRE!D71+OCTUBRE!P71</f>
        <v>0</v>
      </c>
      <c r="E71" s="363">
        <f>SEPTIEMBRE!E71+OCTUBRE!Q71</f>
        <v>124655505</v>
      </c>
      <c r="F71" s="363">
        <f>SUM(C71:E71)</f>
        <v>124655505</v>
      </c>
      <c r="G71" s="363">
        <f>SEPTIEMBRE!I71</f>
        <v>124655505</v>
      </c>
      <c r="H71" s="364">
        <v>31640525</v>
      </c>
      <c r="I71" s="363">
        <f>SUM(G71:H71)</f>
        <v>156296030</v>
      </c>
      <c r="J71" s="363">
        <f>SEPTIEMBRE!L71</f>
        <v>124655505</v>
      </c>
      <c r="K71" s="364">
        <v>31640525</v>
      </c>
      <c r="L71" s="363">
        <f>SUM(J71:K71)</f>
        <v>156296030</v>
      </c>
      <c r="M71" s="363">
        <f>F71-I71</f>
        <v>-31640525</v>
      </c>
      <c r="N71" s="143">
        <f>F71-L71</f>
        <v>-31640525</v>
      </c>
      <c r="O71" s="372"/>
      <c r="P71" s="362">
        <v>0</v>
      </c>
      <c r="Q71" s="365">
        <v>1913150</v>
      </c>
      <c r="R71" s="9"/>
      <c r="S71" s="689" t="str">
        <f>+IF(SEPTIEMBRE!S71=0,"",SEPTIEMBRE!S71)</f>
        <v>1020104-2</v>
      </c>
      <c r="T71" s="665" t="str">
        <f>+IF(SEPTIEMBRE!T71=0,"",SEPTIEMBRE!T71)</f>
        <v>Prima de Vacaciones</v>
      </c>
      <c r="U71" s="27">
        <f>+ENERO!U71</f>
        <v>180248873</v>
      </c>
      <c r="V71" s="15">
        <f>SEPTIEMBRE!V71+OCTUBRE!AL71</f>
        <v>0</v>
      </c>
      <c r="W71" s="15">
        <f>SEPTIEMBRE!W71+OCTUBRE!AM71</f>
        <v>0</v>
      </c>
      <c r="X71" s="18">
        <f t="shared" si="72"/>
        <v>180248873</v>
      </c>
      <c r="Y71" s="19">
        <f>SEPTIEMBRE!AA71</f>
        <v>72429784</v>
      </c>
      <c r="Z71" s="364">
        <v>2724270</v>
      </c>
      <c r="AA71" s="848">
        <f t="shared" si="73"/>
        <v>75154054</v>
      </c>
      <c r="AB71" s="19">
        <f>SEPTIEMBRE!AD71</f>
        <v>72429784</v>
      </c>
      <c r="AC71" s="364">
        <v>2724270</v>
      </c>
      <c r="AD71" s="848">
        <f t="shared" si="74"/>
        <v>75154054</v>
      </c>
      <c r="AE71" s="19">
        <f>SEPTIEMBRE!AG71</f>
        <v>72053093</v>
      </c>
      <c r="AF71" s="364">
        <v>3096984</v>
      </c>
      <c r="AG71" s="848">
        <f t="shared" si="75"/>
        <v>75150077</v>
      </c>
      <c r="AH71" s="19">
        <f t="shared" si="76"/>
        <v>105094819</v>
      </c>
      <c r="AI71" s="15">
        <f t="shared" si="77"/>
        <v>105094819</v>
      </c>
      <c r="AJ71" s="16">
        <f t="shared" si="78"/>
        <v>105098796</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+IF(SEPTIEMBRE!A72=0,"",SEPTIEMBRE!A72)</f>
        <v>1130116</v>
      </c>
      <c r="B72" s="628" t="str">
        <f>+IF(SEPTIEMBRE!B72=0,"",SEPTIEMBRE!B72)</f>
        <v>ADMINISTRADORAS DE RIESGOS LABORALES</v>
      </c>
      <c r="C72" s="43">
        <f t="shared" ref="C72:N72" si="79">SUM(C73:C74)</f>
        <v>2163183</v>
      </c>
      <c r="D72" s="44">
        <f t="shared" si="79"/>
        <v>0</v>
      </c>
      <c r="E72" s="44">
        <f t="shared" si="79"/>
        <v>45973118</v>
      </c>
      <c r="F72" s="44">
        <f t="shared" si="79"/>
        <v>48136301</v>
      </c>
      <c r="G72" s="44">
        <f t="shared" si="79"/>
        <v>59390867</v>
      </c>
      <c r="H72" s="44">
        <f t="shared" si="79"/>
        <v>1414837</v>
      </c>
      <c r="I72" s="44">
        <f t="shared" si="79"/>
        <v>60805704</v>
      </c>
      <c r="J72" s="44">
        <f t="shared" si="79"/>
        <v>48136300.689999998</v>
      </c>
      <c r="K72" s="44">
        <f t="shared" si="79"/>
        <v>2291431</v>
      </c>
      <c r="L72" s="44">
        <f t="shared" si="79"/>
        <v>50427731.689999998</v>
      </c>
      <c r="M72" s="44">
        <f t="shared" si="79"/>
        <v>-12669403</v>
      </c>
      <c r="N72" s="45">
        <f t="shared" si="79"/>
        <v>-2291430.6900000013</v>
      </c>
      <c r="P72" s="43">
        <f>SUM(P73:P74)</f>
        <v>0</v>
      </c>
      <c r="Q72" s="45">
        <f>SUM(Q73:Q74)</f>
        <v>22647934</v>
      </c>
      <c r="R72" s="9"/>
      <c r="S72" s="689" t="str">
        <f>+IF(SEPTIEMBRE!S72=0,"",SEPTIEMBRE!S72)</f>
        <v>1020104-3</v>
      </c>
      <c r="T72" s="665" t="str">
        <f>+IF(SEPTIEMBRE!T72=0,"",SEPTIEMBRE!T72)</f>
        <v>Bonificación  por servicios prestados</v>
      </c>
      <c r="U72" s="27">
        <f>+ENERO!U72</f>
        <v>110048955</v>
      </c>
      <c r="V72" s="15">
        <f>SEPTIEMBRE!V72+OCTUBRE!AL72</f>
        <v>0</v>
      </c>
      <c r="W72" s="15">
        <f>SEPTIEMBRE!W72+OCTUBRE!AM72</f>
        <v>0</v>
      </c>
      <c r="X72" s="18">
        <f t="shared" si="72"/>
        <v>110048955</v>
      </c>
      <c r="Y72" s="19">
        <f>SEPTIEMBRE!AA72</f>
        <v>54977971</v>
      </c>
      <c r="Z72" s="364">
        <v>3261847</v>
      </c>
      <c r="AA72" s="848">
        <f t="shared" si="73"/>
        <v>58239818</v>
      </c>
      <c r="AB72" s="19">
        <f>SEPTIEMBRE!AD72</f>
        <v>54977971</v>
      </c>
      <c r="AC72" s="364">
        <v>3261847</v>
      </c>
      <c r="AD72" s="848">
        <f t="shared" si="74"/>
        <v>58239818</v>
      </c>
      <c r="AE72" s="19">
        <f>SEPTIEMBRE!AG72</f>
        <v>54961748</v>
      </c>
      <c r="AF72" s="364">
        <v>3270667</v>
      </c>
      <c r="AG72" s="848">
        <f t="shared" si="75"/>
        <v>58232415</v>
      </c>
      <c r="AH72" s="19">
        <f t="shared" si="76"/>
        <v>51809137</v>
      </c>
      <c r="AI72" s="15">
        <f t="shared" si="77"/>
        <v>51809137</v>
      </c>
      <c r="AJ72" s="16">
        <f t="shared" si="78"/>
        <v>51816540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+IF(SEPTIEMBRE!A73=0,"",SEPTIEMBRE!A73)</f>
        <v>1130116-1</v>
      </c>
      <c r="B73" s="629" t="str">
        <f>+CONCATENATE("Vigencia ",INSTRUCCIONES!$F$3)</f>
        <v>Vigencia 2019</v>
      </c>
      <c r="C73" s="655">
        <f>+ENERO!C73</f>
        <v>2163183</v>
      </c>
      <c r="D73" s="363">
        <f>SEPTIEMBRE!D73+OCTUBRE!P73</f>
        <v>0</v>
      </c>
      <c r="E73" s="363">
        <f>SEPTIEMBRE!E73+OCTUBRE!Q73</f>
        <v>17632394</v>
      </c>
      <c r="F73" s="363">
        <f>SUM(C73:E73)</f>
        <v>19795577</v>
      </c>
      <c r="G73" s="363">
        <f>SEPTIEMBRE!I73</f>
        <v>31050143</v>
      </c>
      <c r="H73" s="364">
        <v>-91400</v>
      </c>
      <c r="I73" s="363">
        <f>SUM(G73:H73)</f>
        <v>30958743</v>
      </c>
      <c r="J73" s="363">
        <f>SEPTIEMBRE!L73</f>
        <v>19795577</v>
      </c>
      <c r="K73" s="364">
        <v>785194</v>
      </c>
      <c r="L73" s="363">
        <f>SUM(J73:K73)</f>
        <v>20580771</v>
      </c>
      <c r="M73" s="363">
        <f>F73-I73</f>
        <v>-11163166</v>
      </c>
      <c r="N73" s="143">
        <f>F73-L73</f>
        <v>-785194</v>
      </c>
      <c r="O73" s="372"/>
      <c r="P73" s="362">
        <v>0</v>
      </c>
      <c r="Q73" s="365">
        <v>5751211</v>
      </c>
      <c r="R73" s="9"/>
      <c r="S73" s="689" t="str">
        <f>+IF(SEPTIEMBRE!S73=0,"",SEPTIEMBRE!S73)</f>
        <v>1020104-4</v>
      </c>
      <c r="T73" s="665" t="str">
        <f>+IF(SEPTIEMBRE!T73=0,"",SEPTIEMBRE!T73)</f>
        <v>Prima de Servicios</v>
      </c>
      <c r="U73" s="27">
        <f>+ENERO!U73</f>
        <v>166383593</v>
      </c>
      <c r="V73" s="15">
        <f>SEPTIEMBRE!V73+OCTUBRE!AL73</f>
        <v>0</v>
      </c>
      <c r="W73" s="15">
        <f>SEPTIEMBRE!W73+OCTUBRE!AM73</f>
        <v>0</v>
      </c>
      <c r="X73" s="18">
        <f t="shared" si="72"/>
        <v>166383593</v>
      </c>
      <c r="Y73" s="19">
        <f>SEPTIEMBRE!AA73</f>
        <v>84713874</v>
      </c>
      <c r="Z73" s="364">
        <v>0</v>
      </c>
      <c r="AA73" s="848">
        <f t="shared" si="73"/>
        <v>84713874</v>
      </c>
      <c r="AB73" s="19">
        <f>SEPTIEMBRE!AD73</f>
        <v>84713874</v>
      </c>
      <c r="AC73" s="364">
        <v>0</v>
      </c>
      <c r="AD73" s="848">
        <f t="shared" si="74"/>
        <v>84713874</v>
      </c>
      <c r="AE73" s="19">
        <f>SEPTIEMBRE!AG73</f>
        <v>84675747</v>
      </c>
      <c r="AF73" s="364">
        <v>11782</v>
      </c>
      <c r="AG73" s="848">
        <f t="shared" si="75"/>
        <v>84687529</v>
      </c>
      <c r="AH73" s="19">
        <f t="shared" si="76"/>
        <v>81669719</v>
      </c>
      <c r="AI73" s="15">
        <f t="shared" si="77"/>
        <v>81669719</v>
      </c>
      <c r="AJ73" s="16">
        <f t="shared" si="78"/>
        <v>81696064</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+IF(SEPTIEMBRE!A74=0,"",SEPTIEMBRE!A74)</f>
        <v>1130116-2</v>
      </c>
      <c r="B74" s="629" t="str">
        <f>+IF(SEPTIEMBRE!B74=0,"",SEPTIEMBRE!B74)</f>
        <v>Vigencia Anterior</v>
      </c>
      <c r="C74" s="655">
        <f>+ENERO!C74</f>
        <v>0</v>
      </c>
      <c r="D74" s="363">
        <f>SEPTIEMBRE!D74+OCTUBRE!P74</f>
        <v>0</v>
      </c>
      <c r="E74" s="363">
        <f>SEPTIEMBRE!E74+OCTUBRE!Q74</f>
        <v>28340724</v>
      </c>
      <c r="F74" s="363">
        <f>SUM(C74:E74)</f>
        <v>28340724</v>
      </c>
      <c r="G74" s="363">
        <f>SEPTIEMBRE!I74</f>
        <v>28340724</v>
      </c>
      <c r="H74" s="364">
        <v>1506237</v>
      </c>
      <c r="I74" s="363">
        <f>SUM(G74:H74)</f>
        <v>29846961</v>
      </c>
      <c r="J74" s="363">
        <f>SEPTIEMBRE!L74</f>
        <v>28340723.690000001</v>
      </c>
      <c r="K74" s="364">
        <v>1506237</v>
      </c>
      <c r="L74" s="363">
        <f>SUM(J74:K74)</f>
        <v>29846960.690000001</v>
      </c>
      <c r="M74" s="363">
        <f>F74-I74</f>
        <v>-1506237</v>
      </c>
      <c r="N74" s="143">
        <f>F74-L74</f>
        <v>-1506236.6900000013</v>
      </c>
      <c r="O74" s="372"/>
      <c r="P74" s="362">
        <v>0</v>
      </c>
      <c r="Q74" s="365">
        <v>16896723</v>
      </c>
      <c r="R74" s="9"/>
      <c r="S74" s="689" t="str">
        <f>+IF(SEPTIEMBRE!S74=0,"",SEPTIEMBRE!S74)</f>
        <v>1020104-5</v>
      </c>
      <c r="T74" s="665" t="str">
        <f>+IF(SEPTIEMBRE!T74=0,"",SEPTIEMBRE!T74)</f>
        <v>Bonificación Convencional</v>
      </c>
      <c r="U74" s="27">
        <f>+ENERO!U74</f>
        <v>20961713</v>
      </c>
      <c r="V74" s="15">
        <f>SEPTIEMBRE!V74+OCTUBRE!AL74</f>
        <v>0</v>
      </c>
      <c r="W74" s="15">
        <f>SEPTIEMBRE!W74+OCTUBRE!AM74</f>
        <v>0</v>
      </c>
      <c r="X74" s="18">
        <f t="shared" si="72"/>
        <v>20961713</v>
      </c>
      <c r="Y74" s="19">
        <f>SEPTIEMBRE!AA74</f>
        <v>0</v>
      </c>
      <c r="Z74" s="364">
        <v>0</v>
      </c>
      <c r="AA74" s="848">
        <f t="shared" si="73"/>
        <v>0</v>
      </c>
      <c r="AB74" s="19">
        <f>SEPTIEMBRE!AD74</f>
        <v>0</v>
      </c>
      <c r="AC74" s="364">
        <v>0</v>
      </c>
      <c r="AD74" s="848">
        <f t="shared" si="74"/>
        <v>0</v>
      </c>
      <c r="AE74" s="19">
        <f>SEPTIEMBRE!AG74</f>
        <v>0</v>
      </c>
      <c r="AF74" s="364">
        <v>0</v>
      </c>
      <c r="AG74" s="84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+IF(SEPTIEMBRE!A75=0,"",SEPTIEMBRE!A75)</f>
        <v>1130117</v>
      </c>
      <c r="B75" s="628" t="str">
        <f>+IF(SEPTIEMBRE!B75=0,"",SEPTIEMBRE!B75)</f>
        <v>CUOTAS DE RECUPERACION</v>
      </c>
      <c r="C75" s="43">
        <f t="shared" ref="C75:N75" si="80">SUM(C76:C77)</f>
        <v>351388967</v>
      </c>
      <c r="D75" s="44">
        <f t="shared" si="80"/>
        <v>0</v>
      </c>
      <c r="E75" s="44">
        <f t="shared" si="80"/>
        <v>1155691</v>
      </c>
      <c r="F75" s="44">
        <f t="shared" si="80"/>
        <v>352544658</v>
      </c>
      <c r="G75" s="44">
        <f t="shared" si="80"/>
        <v>285751488</v>
      </c>
      <c r="H75" s="44">
        <f t="shared" si="80"/>
        <v>14481717</v>
      </c>
      <c r="I75" s="44">
        <f t="shared" si="80"/>
        <v>300233205</v>
      </c>
      <c r="J75" s="44">
        <f t="shared" si="80"/>
        <v>176919654</v>
      </c>
      <c r="K75" s="44">
        <f t="shared" si="80"/>
        <v>14672248</v>
      </c>
      <c r="L75" s="44">
        <f t="shared" si="80"/>
        <v>191591902</v>
      </c>
      <c r="M75" s="44">
        <f t="shared" si="80"/>
        <v>52311453</v>
      </c>
      <c r="N75" s="45">
        <f t="shared" si="80"/>
        <v>160952756</v>
      </c>
      <c r="P75" s="43">
        <f>SUM(P76:P77)</f>
        <v>0</v>
      </c>
      <c r="Q75" s="45">
        <f>SUM(Q76:Q77)</f>
        <v>865068</v>
      </c>
      <c r="R75" s="9"/>
      <c r="S75" s="689" t="str">
        <f>+IF(SEPTIEMBRE!S75=0,"",SEPTIEMBRE!S75)</f>
        <v>1020104-6</v>
      </c>
      <c r="T75" s="665" t="str">
        <f>+IF(SEPTIEMBRE!T75=0,"",SEPTIEMBRE!T75)</f>
        <v>Auxilio de Transporte</v>
      </c>
      <c r="U75" s="27">
        <f>+ENERO!U75</f>
        <v>329885360</v>
      </c>
      <c r="V75" s="15">
        <f>SEPTIEMBRE!V75+OCTUBRE!AL75</f>
        <v>-300000000</v>
      </c>
      <c r="W75" s="15">
        <f>SEPTIEMBRE!W75+OCTUBRE!AM75</f>
        <v>0</v>
      </c>
      <c r="X75" s="18">
        <f t="shared" si="72"/>
        <v>29885360</v>
      </c>
      <c r="Y75" s="19">
        <f>SEPTIEMBRE!AA75</f>
        <v>3687216</v>
      </c>
      <c r="Z75" s="364">
        <v>0</v>
      </c>
      <c r="AA75" s="848">
        <f t="shared" si="73"/>
        <v>3687216</v>
      </c>
      <c r="AB75" s="19">
        <f>SEPTIEMBRE!AD75</f>
        <v>3687216</v>
      </c>
      <c r="AC75" s="364">
        <v>0</v>
      </c>
      <c r="AD75" s="848">
        <f t="shared" si="74"/>
        <v>3687216</v>
      </c>
      <c r="AE75" s="19">
        <f>SEPTIEMBRE!AG75</f>
        <v>3687216</v>
      </c>
      <c r="AF75" s="364">
        <v>0</v>
      </c>
      <c r="AG75" s="848">
        <f t="shared" si="75"/>
        <v>3687216</v>
      </c>
      <c r="AH75" s="19">
        <f t="shared" si="76"/>
        <v>26198144</v>
      </c>
      <c r="AI75" s="15">
        <f t="shared" si="77"/>
        <v>26198144</v>
      </c>
      <c r="AJ75" s="16">
        <f t="shared" si="78"/>
        <v>26198144</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+IF(SEPTIEMBRE!A76=0,"",SEPTIEMBRE!A76)</f>
        <v>1130117-1</v>
      </c>
      <c r="B76" s="629" t="str">
        <f>+CONCATENATE("Vigencia ",INSTRUCCIONES!$F$3)</f>
        <v>Vigencia 2019</v>
      </c>
      <c r="C76" s="655">
        <f>+ENERO!C76</f>
        <v>351388967</v>
      </c>
      <c r="D76" s="363">
        <f>SEPTIEMBRE!D76+OCTUBRE!P76</f>
        <v>0</v>
      </c>
      <c r="E76" s="363">
        <f>SEPTIEMBRE!E76+OCTUBRE!Q76</f>
        <v>0</v>
      </c>
      <c r="F76" s="363">
        <f t="shared" ref="F76:F83" si="81">SUM(C76:E76)</f>
        <v>351388967</v>
      </c>
      <c r="G76" s="363">
        <f>SEPTIEMBRE!I76</f>
        <v>284595797</v>
      </c>
      <c r="H76" s="364">
        <v>14461717</v>
      </c>
      <c r="I76" s="363">
        <f t="shared" ref="I76:I83" si="82">SUM(G76:H76)</f>
        <v>299057514</v>
      </c>
      <c r="J76" s="363">
        <f>SEPTIEMBRE!L76</f>
        <v>175763963</v>
      </c>
      <c r="K76" s="364">
        <v>14652248</v>
      </c>
      <c r="L76" s="363">
        <f t="shared" ref="L76:L83" si="83">SUM(J76:K76)</f>
        <v>190416211</v>
      </c>
      <c r="M76" s="363">
        <f t="shared" ref="M76:M83" si="84">F76-I76</f>
        <v>52331453</v>
      </c>
      <c r="N76" s="143">
        <f t="shared" ref="N76:N83" si="85">F76-L76</f>
        <v>160972756</v>
      </c>
      <c r="O76" s="372"/>
      <c r="P76" s="362">
        <v>0</v>
      </c>
      <c r="Q76" s="365">
        <v>0</v>
      </c>
      <c r="R76" s="9"/>
      <c r="S76" s="689" t="str">
        <f>+IF(SEPTIEMBRE!S76=0,"",SEPTIEMBRE!S76)</f>
        <v>1020104-7</v>
      </c>
      <c r="T76" s="665" t="str">
        <f>+IF(SEPTIEMBRE!T76=0,"",SEPTIEMBRE!T76)</f>
        <v>Auxilio de Alimentación</v>
      </c>
      <c r="U76" s="27">
        <f>+ENERO!U76</f>
        <v>0</v>
      </c>
      <c r="V76" s="15">
        <f>SEPTIEMBRE!V76+OCTUBRE!AL76</f>
        <v>0</v>
      </c>
      <c r="W76" s="15">
        <f>SEPTIEMBRE!W76+OCTUBRE!AM76</f>
        <v>0</v>
      </c>
      <c r="X76" s="18">
        <f t="shared" si="72"/>
        <v>0</v>
      </c>
      <c r="Y76" s="19">
        <f>SEPTIEMBRE!AA76</f>
        <v>0</v>
      </c>
      <c r="Z76" s="364">
        <v>0</v>
      </c>
      <c r="AA76" s="848">
        <f t="shared" si="73"/>
        <v>0</v>
      </c>
      <c r="AB76" s="19">
        <f>SEPTIEMBRE!AD76</f>
        <v>0</v>
      </c>
      <c r="AC76" s="364">
        <v>0</v>
      </c>
      <c r="AD76" s="848">
        <f t="shared" si="74"/>
        <v>0</v>
      </c>
      <c r="AE76" s="19">
        <f>SEPTIEMBRE!AG76</f>
        <v>0</v>
      </c>
      <c r="AF76" s="364">
        <v>0</v>
      </c>
      <c r="AG76" s="84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+IF(SEPTIEMBRE!A77=0,"",SEPTIEMBRE!A77)</f>
        <v>1130117-2</v>
      </c>
      <c r="B77" s="629" t="str">
        <f>+IF(SEPTIEMBRE!B77=0,"",SEPTIEMBRE!B77)</f>
        <v>Vigencia Anterior</v>
      </c>
      <c r="C77" s="655">
        <f>+ENERO!C77</f>
        <v>0</v>
      </c>
      <c r="D77" s="363">
        <f>SEPTIEMBRE!D77+OCTUBRE!P77</f>
        <v>0</v>
      </c>
      <c r="E77" s="363">
        <f>SEPTIEMBRE!E77+OCTUBRE!Q77</f>
        <v>1155691</v>
      </c>
      <c r="F77" s="363">
        <f t="shared" si="81"/>
        <v>1155691</v>
      </c>
      <c r="G77" s="363">
        <f>SEPTIEMBRE!I77</f>
        <v>1155691</v>
      </c>
      <c r="H77" s="364">
        <v>20000</v>
      </c>
      <c r="I77" s="363">
        <f t="shared" si="82"/>
        <v>1175691</v>
      </c>
      <c r="J77" s="363">
        <f>SEPTIEMBRE!L77</f>
        <v>1155691</v>
      </c>
      <c r="K77" s="364">
        <v>20000</v>
      </c>
      <c r="L77" s="363">
        <f t="shared" si="83"/>
        <v>1175691</v>
      </c>
      <c r="M77" s="363">
        <f t="shared" si="84"/>
        <v>-20000</v>
      </c>
      <c r="N77" s="143">
        <f t="shared" si="85"/>
        <v>-20000</v>
      </c>
      <c r="O77" s="372"/>
      <c r="P77" s="362">
        <v>0</v>
      </c>
      <c r="Q77" s="365">
        <v>865068</v>
      </c>
      <c r="R77" s="9"/>
      <c r="S77" s="689" t="str">
        <f>+IF(SEPTIEMBRE!S77=0,"",SEPTIEMBRE!S77)</f>
        <v>1020104-8</v>
      </c>
      <c r="T77" s="665" t="str">
        <f>+IF(SEPTIEMBRE!T77=0,"",SEPTIEMBRE!T77)</f>
        <v>Indemnizaciones por Vacaciones o Supresión de Cargos por Reestructuración</v>
      </c>
      <c r="U77" s="27">
        <f>+ENERO!U77</f>
        <v>0</v>
      </c>
      <c r="V77" s="15">
        <f>SEPTIEMBRE!V77+OCTUBRE!AL77</f>
        <v>0</v>
      </c>
      <c r="W77" s="15">
        <f>SEPTIEMBRE!W77+OCTUBRE!AM77</f>
        <v>0</v>
      </c>
      <c r="X77" s="18">
        <f t="shared" si="72"/>
        <v>0</v>
      </c>
      <c r="Y77" s="19">
        <f>SEPTIEMBRE!AA77</f>
        <v>0</v>
      </c>
      <c r="Z77" s="364">
        <v>0</v>
      </c>
      <c r="AA77" s="848">
        <f t="shared" si="73"/>
        <v>0</v>
      </c>
      <c r="AB77" s="19">
        <f>SEPTIEMBRE!AD77</f>
        <v>0</v>
      </c>
      <c r="AC77" s="364">
        <v>0</v>
      </c>
      <c r="AD77" s="848">
        <f t="shared" si="74"/>
        <v>0</v>
      </c>
      <c r="AE77" s="19">
        <f>SEPTIEMBRE!AG77</f>
        <v>0</v>
      </c>
      <c r="AF77" s="364">
        <v>0</v>
      </c>
      <c r="AG77" s="84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+IF(SEPTIEMBRE!A78=0,"",SEPTIEMBRE!A78)</f>
        <v>1130118</v>
      </c>
      <c r="B78" s="628" t="str">
        <f>+IF(SEPTIEMBRE!B78=0,"",SEPTIEMBRE!B78)</f>
        <v>PARTICULARES   (Venta de Contado)</v>
      </c>
      <c r="C78" s="43">
        <f>SUM(C79:C80)</f>
        <v>209613681</v>
      </c>
      <c r="D78" s="44">
        <f>SUM(D79:D80)</f>
        <v>0</v>
      </c>
      <c r="E78" s="44">
        <f>SUM(E79:E80)</f>
        <v>133103825</v>
      </c>
      <c r="F78" s="44">
        <f t="shared" si="81"/>
        <v>342717506</v>
      </c>
      <c r="G78" s="44">
        <f>SUM(G79:G80)</f>
        <v>342717506</v>
      </c>
      <c r="H78" s="44">
        <f>SUM(H79:H80)</f>
        <v>51645598</v>
      </c>
      <c r="I78" s="44">
        <f t="shared" si="82"/>
        <v>394363104</v>
      </c>
      <c r="J78" s="44">
        <f>SUM(J79:J80)</f>
        <v>342717506</v>
      </c>
      <c r="K78" s="44">
        <f>SUM(K79:K80)</f>
        <v>36359920</v>
      </c>
      <c r="L78" s="44">
        <f t="shared" si="83"/>
        <v>379077426</v>
      </c>
      <c r="M78" s="44">
        <f t="shared" si="84"/>
        <v>-51645598</v>
      </c>
      <c r="N78" s="45">
        <f t="shared" si="85"/>
        <v>-36359920</v>
      </c>
      <c r="O78" s="372"/>
      <c r="P78" s="43">
        <f>SUM(P79:P80)</f>
        <v>0</v>
      </c>
      <c r="Q78" s="45">
        <f>SUM(Q79:Q80)</f>
        <v>68371663</v>
      </c>
      <c r="R78" s="9"/>
      <c r="S78" s="689" t="str">
        <f>+IF(SEPTIEMBRE!S78=0,"",SEPTIEMBRE!S78)</f>
        <v>1020104-9</v>
      </c>
      <c r="T78" s="665" t="str">
        <f>+IF(SEPTIEMBRE!T78=0,"",SEPTIEMBRE!T78)</f>
        <v>Bonificación Especial por Recreación</v>
      </c>
      <c r="U78" s="27">
        <f>+ENERO!U78</f>
        <v>20961713</v>
      </c>
      <c r="V78" s="15">
        <f>SEPTIEMBRE!V78+OCTUBRE!AL78</f>
        <v>0</v>
      </c>
      <c r="W78" s="15">
        <f>SEPTIEMBRE!W78+OCTUBRE!AM78</f>
        <v>0</v>
      </c>
      <c r="X78" s="18">
        <f t="shared" si="72"/>
        <v>20961713</v>
      </c>
      <c r="Y78" s="19">
        <f>SEPTIEMBRE!AA78</f>
        <v>9133919</v>
      </c>
      <c r="Z78" s="364">
        <v>349756</v>
      </c>
      <c r="AA78" s="848">
        <f>SUM(Y78:Z78)</f>
        <v>9483675</v>
      </c>
      <c r="AB78" s="19">
        <f>SEPTIEMBRE!AD78</f>
        <v>9133919</v>
      </c>
      <c r="AC78" s="364">
        <v>349756</v>
      </c>
      <c r="AD78" s="848">
        <f t="shared" si="74"/>
        <v>9483675</v>
      </c>
      <c r="AE78" s="19">
        <f>SEPTIEMBRE!AG78</f>
        <v>9083766</v>
      </c>
      <c r="AF78" s="364">
        <v>399383</v>
      </c>
      <c r="AG78" s="848">
        <f t="shared" si="75"/>
        <v>9483149</v>
      </c>
      <c r="AH78" s="19">
        <f t="shared" si="76"/>
        <v>11478038</v>
      </c>
      <c r="AI78" s="15">
        <f t="shared" si="77"/>
        <v>11478038</v>
      </c>
      <c r="AJ78" s="16">
        <f t="shared" si="78"/>
        <v>11478564</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+IF(SEPTIEMBRE!A79=0,"",SEPTIEMBRE!A79)</f>
        <v>1130118-1</v>
      </c>
      <c r="B79" s="629" t="str">
        <f>+CONCATENATE("Vigencia ",INSTRUCCIONES!$F$3)</f>
        <v>Vigencia 2019</v>
      </c>
      <c r="C79" s="655">
        <f>+ENERO!C79</f>
        <v>209613681</v>
      </c>
      <c r="D79" s="363">
        <f>SEPTIEMBRE!D79+OCTUBRE!P79</f>
        <v>0</v>
      </c>
      <c r="E79" s="363">
        <f>SEPTIEMBRE!E79+OCTUBRE!Q79</f>
        <v>113547328</v>
      </c>
      <c r="F79" s="363">
        <f t="shared" si="81"/>
        <v>323161009</v>
      </c>
      <c r="G79" s="363">
        <f>SEPTIEMBRE!I79</f>
        <v>323161009</v>
      </c>
      <c r="H79" s="364">
        <v>51145597</v>
      </c>
      <c r="I79" s="363">
        <f t="shared" si="82"/>
        <v>374306606</v>
      </c>
      <c r="J79" s="363">
        <f>SEPTIEMBRE!L79</f>
        <v>323161009</v>
      </c>
      <c r="K79" s="364">
        <v>35859919</v>
      </c>
      <c r="L79" s="363">
        <f t="shared" si="83"/>
        <v>359020928</v>
      </c>
      <c r="M79" s="363">
        <f t="shared" si="84"/>
        <v>-51145597</v>
      </c>
      <c r="N79" s="143">
        <f t="shared" si="85"/>
        <v>-35859919</v>
      </c>
      <c r="P79" s="362">
        <v>0</v>
      </c>
      <c r="Q79" s="365">
        <v>68089715</v>
      </c>
      <c r="R79" s="9"/>
      <c r="S79" s="689" t="str">
        <f>+IF(SEPTIEMBRE!S79=0,"",SEPTIEMBRE!S79)</f>
        <v>1020104-10</v>
      </c>
      <c r="T79" s="665" t="str">
        <f>+IF(SEPTIEMBRE!T79=0,"",SEPTIEMBRE!T79)</f>
        <v/>
      </c>
      <c r="U79" s="27">
        <f>+ENERO!U79</f>
        <v>0</v>
      </c>
      <c r="V79" s="15">
        <f>SEPTIEMBRE!V79+OCTUBRE!AL79</f>
        <v>0</v>
      </c>
      <c r="W79" s="15">
        <f>SEPTIEMBRE!W79+OCTUBRE!AM79</f>
        <v>0</v>
      </c>
      <c r="X79" s="18">
        <f t="shared" si="72"/>
        <v>0</v>
      </c>
      <c r="Y79" s="19">
        <f>SEPTIEMBRE!AA79</f>
        <v>0</v>
      </c>
      <c r="Z79" s="364">
        <v>0</v>
      </c>
      <c r="AA79" s="848">
        <f t="shared" si="73"/>
        <v>0</v>
      </c>
      <c r="AB79" s="19">
        <f>SEPTIEMBRE!AD79</f>
        <v>0</v>
      </c>
      <c r="AC79" s="364">
        <v>0</v>
      </c>
      <c r="AD79" s="848">
        <f t="shared" si="74"/>
        <v>0</v>
      </c>
      <c r="AE79" s="19">
        <f>SEPTIEMBRE!AG79</f>
        <v>0</v>
      </c>
      <c r="AF79" s="364">
        <v>0</v>
      </c>
      <c r="AG79" s="84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+IF(SEPTIEMBRE!A80=0,"",SEPTIEMBRE!A80)</f>
        <v>1130118-2</v>
      </c>
      <c r="B80" s="629" t="str">
        <f>+IF(SEPTIEMBRE!B80=0,"",SEPTIEMBRE!B80)</f>
        <v>Vigencia Anterior</v>
      </c>
      <c r="C80" s="655">
        <f>+ENERO!C80</f>
        <v>0</v>
      </c>
      <c r="D80" s="363">
        <f>SEPTIEMBRE!D80+OCTUBRE!P80</f>
        <v>0</v>
      </c>
      <c r="E80" s="363">
        <f>SEPTIEMBRE!E80+OCTUBRE!Q80</f>
        <v>19556497</v>
      </c>
      <c r="F80" s="363">
        <f t="shared" si="81"/>
        <v>19556497</v>
      </c>
      <c r="G80" s="363">
        <f>SEPTIEMBRE!I80</f>
        <v>19556497</v>
      </c>
      <c r="H80" s="364">
        <v>500001</v>
      </c>
      <c r="I80" s="363">
        <f t="shared" si="82"/>
        <v>20056498</v>
      </c>
      <c r="J80" s="363">
        <f>SEPTIEMBRE!L80</f>
        <v>19556497</v>
      </c>
      <c r="K80" s="364">
        <v>500001</v>
      </c>
      <c r="L80" s="363">
        <f t="shared" si="83"/>
        <v>20056498</v>
      </c>
      <c r="M80" s="363">
        <f t="shared" si="84"/>
        <v>-500001</v>
      </c>
      <c r="N80" s="143">
        <f t="shared" si="85"/>
        <v>-500001</v>
      </c>
      <c r="O80" s="372"/>
      <c r="P80" s="362">
        <v>0</v>
      </c>
      <c r="Q80" s="365">
        <v>281948</v>
      </c>
      <c r="S80" s="689" t="str">
        <f>+IF(SEPTIEMBRE!S80=0,"",SEPTIEMBRE!S80)</f>
        <v>1020104-11</v>
      </c>
      <c r="T80" s="665" t="str">
        <f>+IF(SEPTIEMBRE!T80=0,"",SEPTIEMBRE!T80)</f>
        <v/>
      </c>
      <c r="U80" s="27">
        <f>+ENERO!U80</f>
        <v>0</v>
      </c>
      <c r="V80" s="15">
        <f>SEPTIEMBRE!V80+OCTUBRE!AL80</f>
        <v>0</v>
      </c>
      <c r="W80" s="15">
        <f>SEPTIEMBRE!W80+OCTUBRE!AM80</f>
        <v>0</v>
      </c>
      <c r="X80" s="18">
        <f t="shared" si="72"/>
        <v>0</v>
      </c>
      <c r="Y80" s="19">
        <f>SEPTIEMBRE!AA80</f>
        <v>0</v>
      </c>
      <c r="Z80" s="364">
        <v>0</v>
      </c>
      <c r="AA80" s="848">
        <f t="shared" si="73"/>
        <v>0</v>
      </c>
      <c r="AB80" s="19">
        <f>SEPTIEMBRE!AD80</f>
        <v>0</v>
      </c>
      <c r="AC80" s="364">
        <v>0</v>
      </c>
      <c r="AD80" s="848">
        <f t="shared" si="74"/>
        <v>0</v>
      </c>
      <c r="AE80" s="19">
        <f>SEPTIEMBRE!AG80</f>
        <v>0</v>
      </c>
      <c r="AF80" s="364">
        <v>0</v>
      </c>
      <c r="AG80" s="84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+IF(SEPTIEMBRE!A81=0,"",SEPTIEMBRE!A81)</f>
        <v>1130119</v>
      </c>
      <c r="B81" s="632" t="str">
        <f>+IF(SEPTIEMBRE!B81=0,"",SEPTIEMBRE!B81)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688">
        <f>+IF(SEPTIEMBRE!S81=0,"",SEPTIEMBRE!S81)</f>
        <v>1020199</v>
      </c>
      <c r="T81" s="664" t="str">
        <f>+IF(SEPTIEMBRE!T81=0,"",SEPTIEMBRE!T81)</f>
        <v>Vigencias Anteriores</v>
      </c>
      <c r="U81" s="27">
        <f>+ENERO!U81</f>
        <v>0</v>
      </c>
      <c r="V81" s="15">
        <f>SEPTIEMBRE!V81+OCTUBRE!AL81</f>
        <v>0</v>
      </c>
      <c r="W81" s="15">
        <f>SEPTIEMBRE!W81+OCTUBRE!AM81</f>
        <v>0</v>
      </c>
      <c r="X81" s="18">
        <f t="shared" si="72"/>
        <v>0</v>
      </c>
      <c r="Y81" s="19">
        <f>SEPTIEMBRE!AA81</f>
        <v>0</v>
      </c>
      <c r="Z81" s="364">
        <v>0</v>
      </c>
      <c r="AA81" s="848">
        <f t="shared" si="73"/>
        <v>0</v>
      </c>
      <c r="AB81" s="19">
        <f>SEPTIEMBRE!AD81</f>
        <v>0</v>
      </c>
      <c r="AC81" s="364">
        <v>0</v>
      </c>
      <c r="AD81" s="848">
        <f t="shared" si="74"/>
        <v>0</v>
      </c>
      <c r="AE81" s="19">
        <f>SEPTIEMBRE!AG81</f>
        <v>0</v>
      </c>
      <c r="AF81" s="364">
        <v>0</v>
      </c>
      <c r="AG81" s="84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+IF(SEPTIEMBRE!A82=0,"",SEPTIEMBRE!A82)</f>
        <v>1130119-1</v>
      </c>
      <c r="B82" s="629" t="str">
        <f>+CONCATENATE("Vigencia ",INSTRUCCIONES!$F$3)</f>
        <v>Vigencia 2019</v>
      </c>
      <c r="C82" s="655">
        <f>+ENERO!C82</f>
        <v>0</v>
      </c>
      <c r="D82" s="363">
        <f>SEPTIEMBRE!D82+OCTUBRE!P82</f>
        <v>0</v>
      </c>
      <c r="E82" s="363">
        <f>SEPTIEMBRE!E82+OCTUBRE!Q82</f>
        <v>0</v>
      </c>
      <c r="F82" s="363">
        <f t="shared" si="81"/>
        <v>0</v>
      </c>
      <c r="G82" s="363">
        <f>SEPTIEMBRE!I82</f>
        <v>0</v>
      </c>
      <c r="H82" s="364">
        <v>0</v>
      </c>
      <c r="I82" s="363">
        <f t="shared" si="82"/>
        <v>0</v>
      </c>
      <c r="J82" s="363">
        <f>SEPTIEMBRE!L82</f>
        <v>0</v>
      </c>
      <c r="K82" s="364">
        <v>0</v>
      </c>
      <c r="L82" s="363">
        <f t="shared" si="83"/>
        <v>0</v>
      </c>
      <c r="M82" s="363">
        <f t="shared" si="84"/>
        <v>0</v>
      </c>
      <c r="N82" s="143">
        <f t="shared" si="85"/>
        <v>0</v>
      </c>
      <c r="P82" s="362">
        <v>0</v>
      </c>
      <c r="Q82" s="365">
        <v>0</v>
      </c>
      <c r="R82" s="9"/>
      <c r="S82" s="356" t="str">
        <f>+IF(SEPTIEMBRE!S82=0,"",SEPTIEMBRE!S82)</f>
        <v/>
      </c>
      <c r="T82" s="678" t="str">
        <f>+IF(SEPTIEMBRE!T82=0,"",SEPTIEMBRE!T82)</f>
        <v/>
      </c>
      <c r="U82" s="161"/>
      <c r="V82" s="161"/>
      <c r="W82" s="161"/>
      <c r="X82" s="161"/>
      <c r="Y82" s="161"/>
      <c r="Z82" s="161"/>
      <c r="AA82" s="846"/>
      <c r="AB82" s="161"/>
      <c r="AC82" s="161"/>
      <c r="AD82" s="846"/>
      <c r="AE82" s="161"/>
      <c r="AF82" s="161"/>
      <c r="AG82" s="846"/>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+IF(SEPTIEMBRE!A83=0,"",SEPTIEMBRE!A83)</f>
        <v>1130119-2</v>
      </c>
      <c r="B83" s="633" t="str">
        <f>+IF(SEPTIEMBRE!B83=0,"",SEPTIEMBRE!B83)</f>
        <v>Vigencia Anterior</v>
      </c>
      <c r="C83" s="759">
        <f>+ENERO!C83</f>
        <v>0</v>
      </c>
      <c r="D83" s="375">
        <f>SEPTIEMBRE!D83+OCTUBRE!P83</f>
        <v>0</v>
      </c>
      <c r="E83" s="375">
        <f>SEPTIEMBRE!E83+OCTUBRE!Q83</f>
        <v>0</v>
      </c>
      <c r="F83" s="375">
        <f t="shared" si="81"/>
        <v>0</v>
      </c>
      <c r="G83" s="375">
        <f>SEPTIEMBRE!I83</f>
        <v>0</v>
      </c>
      <c r="H83" s="378">
        <v>0</v>
      </c>
      <c r="I83" s="375">
        <f t="shared" si="82"/>
        <v>0</v>
      </c>
      <c r="J83" s="375">
        <f>SEPTIEMBRE!L83</f>
        <v>0</v>
      </c>
      <c r="K83" s="378">
        <v>0</v>
      </c>
      <c r="L83" s="375">
        <f t="shared" si="83"/>
        <v>0</v>
      </c>
      <c r="M83" s="375">
        <f t="shared" si="84"/>
        <v>0</v>
      </c>
      <c r="N83" s="376">
        <f t="shared" si="85"/>
        <v>0</v>
      </c>
      <c r="P83" s="362">
        <v>0</v>
      </c>
      <c r="Q83" s="365">
        <v>0</v>
      </c>
      <c r="R83" s="9"/>
      <c r="S83" s="687">
        <f>+IF(SEPTIEMBRE!S83=0,"",SEPTIEMBRE!S83)</f>
        <v>1020200</v>
      </c>
      <c r="T83" s="663" t="str">
        <f>+IF(SEPTIEMBRE!T83=0,"",SEPTIEMBRE!T83)</f>
        <v>Servicios Personales Indirectos</v>
      </c>
      <c r="U83" s="132">
        <f t="shared" ref="U83:AJ83" si="87">SUM(U84:U88)</f>
        <v>21292467542</v>
      </c>
      <c r="V83" s="122">
        <f t="shared" si="87"/>
        <v>330000000</v>
      </c>
      <c r="W83" s="122">
        <f t="shared" si="87"/>
        <v>1696603003</v>
      </c>
      <c r="X83" s="129">
        <f t="shared" si="87"/>
        <v>23319070545</v>
      </c>
      <c r="Y83" s="128">
        <f t="shared" si="87"/>
        <v>23171302129</v>
      </c>
      <c r="Z83" s="122">
        <f t="shared" si="87"/>
        <v>-152860098</v>
      </c>
      <c r="AA83" s="215">
        <f t="shared" si="87"/>
        <v>23018442031</v>
      </c>
      <c r="AB83" s="128">
        <f t="shared" si="87"/>
        <v>18378947457</v>
      </c>
      <c r="AC83" s="122">
        <f t="shared" si="87"/>
        <v>1243687148</v>
      </c>
      <c r="AD83" s="215">
        <f t="shared" si="87"/>
        <v>19622634605</v>
      </c>
      <c r="AE83" s="128">
        <f t="shared" si="87"/>
        <v>12115124722</v>
      </c>
      <c r="AF83" s="122">
        <f t="shared" si="87"/>
        <v>1359937263</v>
      </c>
      <c r="AG83" s="215">
        <f t="shared" si="87"/>
        <v>13475061985</v>
      </c>
      <c r="AH83" s="128">
        <f t="shared" si="87"/>
        <v>300628514</v>
      </c>
      <c r="AI83" s="122">
        <f t="shared" si="87"/>
        <v>3696435940</v>
      </c>
      <c r="AJ83" s="130">
        <f t="shared" si="87"/>
        <v>9844008560</v>
      </c>
      <c r="AK83" s="9"/>
      <c r="AL83" s="128">
        <f>SUM(AL84:AL88)</f>
        <v>-170000000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+IF(SEPTIEMBRE!A84=0,"",SEPTIEMBRE!A84)</f>
        <v/>
      </c>
      <c r="B84" s="634" t="str">
        <f>+IF(SEPTIEMBRE!B84=0,"",SEPTIEMBRE!B84)</f>
        <v/>
      </c>
      <c r="C84" s="284"/>
      <c r="D84" s="284"/>
      <c r="E84" s="284"/>
      <c r="F84" s="284"/>
      <c r="G84" s="284"/>
      <c r="H84" s="284"/>
      <c r="I84" s="284"/>
      <c r="J84" s="284"/>
      <c r="K84" s="284"/>
      <c r="L84" s="284"/>
      <c r="M84" s="284"/>
      <c r="N84" s="453"/>
      <c r="O84" s="451"/>
      <c r="P84" s="457"/>
      <c r="Q84" s="381"/>
      <c r="R84" s="9"/>
      <c r="S84" s="688" t="str">
        <f>+IF(SEPTIEMBRE!S84=0,"",SEPTIEMBRE!S84)</f>
        <v>1020200-1</v>
      </c>
      <c r="T84" s="664" t="str">
        <f>+IF(SEPTIEMBRE!T84=0,"",SEPTIEMBRE!T84)</f>
        <v>Remuneración y Honorarios por Servicios Técnicos y Profesionales</v>
      </c>
      <c r="U84" s="27">
        <f>+ENERO!U84</f>
        <v>304448100</v>
      </c>
      <c r="V84" s="15">
        <f>SEPTIEMBRE!V84+OCTUBRE!AL84</f>
        <v>240000000</v>
      </c>
      <c r="W84" s="15">
        <f>SEPTIEMBRE!W84+OCTUBRE!AM84</f>
        <v>146603003</v>
      </c>
      <c r="X84" s="18">
        <f>SUM(U84:W84)</f>
        <v>691051103</v>
      </c>
      <c r="Y84" s="19">
        <f>SEPTIEMBRE!AA84</f>
        <v>614922340</v>
      </c>
      <c r="Z84" s="364">
        <v>49000000</v>
      </c>
      <c r="AA84" s="848">
        <f>SUM(Y84:Z84)</f>
        <v>663922340</v>
      </c>
      <c r="AB84" s="19">
        <f>SEPTIEMBRE!AD84</f>
        <v>333773924</v>
      </c>
      <c r="AC84" s="364">
        <v>67846404</v>
      </c>
      <c r="AD84" s="848">
        <f>SUM(AB84:AC84)</f>
        <v>401620328</v>
      </c>
      <c r="AE84" s="19">
        <f>SEPTIEMBRE!AG84</f>
        <v>245941133</v>
      </c>
      <c r="AF84" s="364">
        <v>60824763</v>
      </c>
      <c r="AG84" s="848">
        <f>SUM(AE84:AF84)</f>
        <v>306765896</v>
      </c>
      <c r="AH84" s="19">
        <f>X84-AA84</f>
        <v>27128763</v>
      </c>
      <c r="AI84" s="15">
        <f>X84-AD84</f>
        <v>289430775</v>
      </c>
      <c r="AJ84" s="16">
        <f>X84-AG84</f>
        <v>384285207</v>
      </c>
      <c r="AK84" s="9"/>
      <c r="AL84" s="362">
        <v>10000000</v>
      </c>
      <c r="AM84" s="365">
        <v>0</v>
      </c>
      <c r="AN84" s="9"/>
      <c r="AO84" s="284"/>
      <c r="AP84" s="284"/>
      <c r="AQ84" s="284"/>
      <c r="AR84" s="284"/>
      <c r="AS84" s="284"/>
      <c r="AT84" s="284"/>
      <c r="AU84" s="284"/>
      <c r="AV84" s="284"/>
      <c r="AW84" s="284"/>
      <c r="AX84" s="284"/>
      <c r="AY84" s="284"/>
      <c r="AZ84" s="284"/>
    </row>
    <row r="85" spans="1:70" s="372" customFormat="1" ht="24.95" customHeight="1">
      <c r="A85" s="718">
        <f>+IF(SEPTIEMBRE!A85=0,"",SEPTIEMBRE!A85)</f>
        <v>11302</v>
      </c>
      <c r="B85" s="635" t="str">
        <f>+IF(SEPTIEMBRE!B85=0,"",SEPTIEMBRE!B85)</f>
        <v>Otras Ventas de Servicios de Salud</v>
      </c>
      <c r="C85" s="600">
        <f t="shared" ref="C85:N85" si="88">SUM(C86:C92)</f>
        <v>0</v>
      </c>
      <c r="D85" s="598">
        <f t="shared" si="88"/>
        <v>0</v>
      </c>
      <c r="E85" s="598">
        <f t="shared" si="88"/>
        <v>12650562275</v>
      </c>
      <c r="F85" s="598">
        <f t="shared" si="88"/>
        <v>12650562275</v>
      </c>
      <c r="G85" s="598">
        <f t="shared" si="88"/>
        <v>6556970366</v>
      </c>
      <c r="H85" s="598">
        <f t="shared" si="88"/>
        <v>1460575910</v>
      </c>
      <c r="I85" s="598">
        <f t="shared" si="88"/>
        <v>8017546276</v>
      </c>
      <c r="J85" s="598">
        <f t="shared" si="88"/>
        <v>4527220159</v>
      </c>
      <c r="K85" s="598">
        <f t="shared" si="88"/>
        <v>1028965910</v>
      </c>
      <c r="L85" s="598">
        <f t="shared" si="88"/>
        <v>5556186069</v>
      </c>
      <c r="M85" s="598">
        <f t="shared" si="88"/>
        <v>4633015999</v>
      </c>
      <c r="N85" s="599">
        <f t="shared" si="88"/>
        <v>7094376206</v>
      </c>
      <c r="P85" s="43">
        <f>SUM(P86:P92)</f>
        <v>0</v>
      </c>
      <c r="Q85" s="45">
        <f>SUM(Q86:Q92)</f>
        <v>450000000</v>
      </c>
      <c r="R85" s="9"/>
      <c r="S85" s="688" t="str">
        <f>+IF(SEPTIEMBRE!S85=0,"",SEPTIEMBRE!S85)</f>
        <v>1020200-2</v>
      </c>
      <c r="T85" s="664" t="str">
        <f>+IF(SEPTIEMBRE!T85=0,"",SEPTIEMBRE!T85)</f>
        <v>Personal Supernumerario</v>
      </c>
      <c r="U85" s="27">
        <f>+ENERO!U85</f>
        <v>0</v>
      </c>
      <c r="V85" s="15">
        <f>SEPTIEMBRE!V85+OCTUBRE!AL85</f>
        <v>0</v>
      </c>
      <c r="W85" s="15">
        <f>SEPTIEMBRE!W85+OCTUBRE!AM85</f>
        <v>0</v>
      </c>
      <c r="X85" s="18">
        <f>SUM(U85:W85)</f>
        <v>0</v>
      </c>
      <c r="Y85" s="19">
        <f>SEPTIEMBRE!AA85</f>
        <v>0</v>
      </c>
      <c r="Z85" s="364">
        <v>0</v>
      </c>
      <c r="AA85" s="848">
        <f>SUM(Y85:Z85)</f>
        <v>0</v>
      </c>
      <c r="AB85" s="19">
        <f>SEPTIEMBRE!AD85</f>
        <v>0</v>
      </c>
      <c r="AC85" s="364">
        <v>0</v>
      </c>
      <c r="AD85" s="848">
        <f>SUM(AB85:AC85)</f>
        <v>0</v>
      </c>
      <c r="AE85" s="19">
        <f>SEPTIEMBRE!AG85</f>
        <v>0</v>
      </c>
      <c r="AF85" s="364">
        <v>0</v>
      </c>
      <c r="AG85" s="84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+IF(SEPTIEMBRE!A86=0,"",SEPTIEMBRE!A86)</f>
        <v>1130201</v>
      </c>
      <c r="B86" s="609" t="str">
        <f>+IF(SEPTIEMBRE!B86=0,"",SEPTIEMBRE!B86)</f>
        <v/>
      </c>
      <c r="C86" s="654">
        <f>+ENERO!C86</f>
        <v>0</v>
      </c>
      <c r="D86" s="363">
        <f>SEPTIEMBRE!D86+OCTUBRE!P86</f>
        <v>0</v>
      </c>
      <c r="E86" s="363">
        <f>SEPTIEMBRE!E86+OCTUBRE!Q86</f>
        <v>0</v>
      </c>
      <c r="F86" s="363">
        <f t="shared" ref="F86:F92" si="89">SUM(C86:E86)</f>
        <v>0</v>
      </c>
      <c r="G86" s="363">
        <f>SEPTIEMBRE!I86</f>
        <v>0</v>
      </c>
      <c r="H86" s="364">
        <v>0</v>
      </c>
      <c r="I86" s="363">
        <f t="shared" ref="I86:I92" si="90">SUM(G86:H86)</f>
        <v>0</v>
      </c>
      <c r="J86" s="363">
        <f>SEPTIEMBRE!L86</f>
        <v>0</v>
      </c>
      <c r="K86" s="364">
        <v>0</v>
      </c>
      <c r="L86" s="363">
        <f t="shared" ref="L86:L92" si="91">SUM(J86:K86)</f>
        <v>0</v>
      </c>
      <c r="M86" s="363">
        <f t="shared" ref="M86:M92" si="92">F86-I86</f>
        <v>0</v>
      </c>
      <c r="N86" s="143">
        <f t="shared" ref="N86:N92" si="93">F86-L86</f>
        <v>0</v>
      </c>
      <c r="O86" s="372"/>
      <c r="P86" s="362">
        <v>0</v>
      </c>
      <c r="Q86" s="365">
        <v>0</v>
      </c>
      <c r="S86" s="688" t="str">
        <f>+IF(SEPTIEMBRE!S86=0,"",SEPTIEMBRE!S86)</f>
        <v>1020200-3</v>
      </c>
      <c r="T86" s="664" t="str">
        <f>+IF(SEPTIEMBRE!T86=0,"",SEPTIEMBRE!T86)</f>
        <v>Otros Honorarios</v>
      </c>
      <c r="U86" s="27">
        <f>+ENERO!U86</f>
        <v>18988019442</v>
      </c>
      <c r="V86" s="15">
        <f>SEPTIEMBRE!V86+OCTUBRE!AL86</f>
        <v>-1410000000</v>
      </c>
      <c r="W86" s="15">
        <f>SEPTIEMBRE!W86+OCTUBRE!AM86</f>
        <v>50000000</v>
      </c>
      <c r="X86" s="18">
        <f>SUM(U86:W86)</f>
        <v>17628019442</v>
      </c>
      <c r="Y86" s="19">
        <f>SEPTIEMBRE!AA86</f>
        <v>17557719618</v>
      </c>
      <c r="Z86" s="364">
        <v>-152300000</v>
      </c>
      <c r="AA86" s="848">
        <f>SUM(Y86:Z86)</f>
        <v>17405419618</v>
      </c>
      <c r="AB86" s="19">
        <f>SEPTIEMBRE!AD86</f>
        <v>13046513362</v>
      </c>
      <c r="AC86" s="364">
        <v>1225400842</v>
      </c>
      <c r="AD86" s="848">
        <f>SUM(AB86:AC86)</f>
        <v>14271914204</v>
      </c>
      <c r="AE86" s="19">
        <f>SEPTIEMBRE!AG86</f>
        <v>6870523418</v>
      </c>
      <c r="AF86" s="364">
        <v>1348672598</v>
      </c>
      <c r="AG86" s="848">
        <f>SUM(AE86:AF86)</f>
        <v>8219196016</v>
      </c>
      <c r="AH86" s="19">
        <f>X86-AA86</f>
        <v>222599824</v>
      </c>
      <c r="AI86" s="15">
        <f>X86-AD86</f>
        <v>3356105238</v>
      </c>
      <c r="AJ86" s="16">
        <f>X86-AG86</f>
        <v>9408823426</v>
      </c>
      <c r="AL86" s="362">
        <f>-100000000-80000000</f>
        <v>-180000000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+IF(SEPTIEMBRE!A87=0,"",SEPTIEMBRE!A87)</f>
        <v>1130202</v>
      </c>
      <c r="B87" s="609" t="str">
        <f>+IF(SEPTIEMBRE!B87=0,"",SEPTIEMBRE!B87)</f>
        <v/>
      </c>
      <c r="C87" s="654">
        <f>+ENERO!C87</f>
        <v>0</v>
      </c>
      <c r="D87" s="363">
        <f>SEPTIEMBRE!D87+OCTUBRE!P87</f>
        <v>0</v>
      </c>
      <c r="E87" s="363">
        <f>SEPTIEMBRE!E87+OCTUBRE!Q87</f>
        <v>0</v>
      </c>
      <c r="F87" s="363">
        <f t="shared" si="89"/>
        <v>0</v>
      </c>
      <c r="G87" s="363">
        <f>SEPTIEMBRE!I87</f>
        <v>0</v>
      </c>
      <c r="H87" s="364">
        <v>0</v>
      </c>
      <c r="I87" s="363">
        <f t="shared" si="90"/>
        <v>0</v>
      </c>
      <c r="J87" s="363">
        <f>SEPTIEMBRE!L87</f>
        <v>0</v>
      </c>
      <c r="K87" s="364">
        <v>0</v>
      </c>
      <c r="L87" s="363">
        <f t="shared" si="91"/>
        <v>0</v>
      </c>
      <c r="M87" s="363">
        <f t="shared" si="92"/>
        <v>0</v>
      </c>
      <c r="N87" s="143">
        <f t="shared" si="93"/>
        <v>0</v>
      </c>
      <c r="P87" s="362">
        <v>0</v>
      </c>
      <c r="Q87" s="365">
        <v>0</v>
      </c>
      <c r="R87" s="9"/>
      <c r="S87" s="688" t="str">
        <f>+IF(SEPTIEMBRE!S87=0,"",SEPTIEMBRE!S87)</f>
        <v>1020200-4</v>
      </c>
      <c r="T87" s="664" t="str">
        <f>+IF(SEPTIEMBRE!T87=0,"",SEPTIEMBRE!T87)</f>
        <v/>
      </c>
      <c r="U87" s="27">
        <f>+ENERO!U87</f>
        <v>0</v>
      </c>
      <c r="V87" s="15">
        <f>SEPTIEMBRE!V87+OCTUBRE!AL87</f>
        <v>0</v>
      </c>
      <c r="W87" s="15">
        <f>SEPTIEMBRE!W87+OCTUBRE!AM87</f>
        <v>0</v>
      </c>
      <c r="X87" s="18">
        <f>SUM(U87:W87)</f>
        <v>0</v>
      </c>
      <c r="Y87" s="19">
        <f>SEPTIEMBRE!AA87</f>
        <v>0</v>
      </c>
      <c r="Z87" s="364">
        <v>0</v>
      </c>
      <c r="AA87" s="848">
        <f>SUM(Y87:Z87)</f>
        <v>0</v>
      </c>
      <c r="AB87" s="19">
        <f>SEPTIEMBRE!AD87</f>
        <v>0</v>
      </c>
      <c r="AC87" s="364">
        <v>0</v>
      </c>
      <c r="AD87" s="848">
        <f>SUM(AB87:AC87)</f>
        <v>0</v>
      </c>
      <c r="AE87" s="19">
        <f>SEPTIEMBRE!AG87</f>
        <v>0</v>
      </c>
      <c r="AF87" s="364">
        <v>0</v>
      </c>
      <c r="AG87" s="84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+IF(SEPTIEMBRE!A88=0,"",SEPTIEMBRE!A88)</f>
        <v>1130203</v>
      </c>
      <c r="B88" s="610" t="str">
        <f>+IF(SEPTIEMBRE!B88=0,"",SEPTIEMBRE!B88)</f>
        <v>CONVENIOS CON LA NACION LIGADOS A LA VENTA DE SERVICIOS</v>
      </c>
      <c r="C88" s="654">
        <f>+ENERO!C88</f>
        <v>0</v>
      </c>
      <c r="D88" s="363">
        <f>SEPTIEMBRE!D88+OCTUBRE!P88</f>
        <v>0</v>
      </c>
      <c r="E88" s="363">
        <f>SEPTIEMBRE!E88+OCTUBRE!Q88</f>
        <v>222386275</v>
      </c>
      <c r="F88" s="363">
        <f t="shared" si="89"/>
        <v>222386275</v>
      </c>
      <c r="G88" s="363">
        <f>SEPTIEMBRE!I88</f>
        <v>167923219</v>
      </c>
      <c r="H88" s="364">
        <v>54456910</v>
      </c>
      <c r="I88" s="363">
        <f t="shared" si="90"/>
        <v>222380129</v>
      </c>
      <c r="J88" s="363">
        <f>SEPTIEMBRE!L88</f>
        <v>167923219</v>
      </c>
      <c r="K88" s="364">
        <v>54456910</v>
      </c>
      <c r="L88" s="363">
        <f t="shared" si="91"/>
        <v>222380129</v>
      </c>
      <c r="M88" s="363">
        <f t="shared" si="92"/>
        <v>6146</v>
      </c>
      <c r="N88" s="143">
        <f t="shared" si="93"/>
        <v>6146</v>
      </c>
      <c r="P88" s="362">
        <v>0</v>
      </c>
      <c r="Q88" s="365">
        <v>0</v>
      </c>
      <c r="R88" s="9"/>
      <c r="S88" s="688">
        <f>+IF(SEPTIEMBRE!S88=0,"",SEPTIEMBRE!S88)</f>
        <v>1020299</v>
      </c>
      <c r="T88" s="664" t="str">
        <f>+IF(SEPTIEMBRE!T88=0,"",SEPTIEMBRE!T88)</f>
        <v>Vigencias Anteriores</v>
      </c>
      <c r="U88" s="27">
        <f>+ENERO!U88</f>
        <v>2000000000</v>
      </c>
      <c r="V88" s="15">
        <f>SEPTIEMBRE!V88+OCTUBRE!AL88</f>
        <v>1500000000</v>
      </c>
      <c r="W88" s="15">
        <f>SEPTIEMBRE!W88+OCTUBRE!AM88</f>
        <v>1500000000</v>
      </c>
      <c r="X88" s="18">
        <f>SUM(U88:W88)</f>
        <v>5000000000</v>
      </c>
      <c r="Y88" s="19">
        <f>SEPTIEMBRE!AA88</f>
        <v>4998660171</v>
      </c>
      <c r="Z88" s="364">
        <v>-49560098</v>
      </c>
      <c r="AA88" s="848">
        <f>SUM(Y88:Z88)</f>
        <v>4949100073</v>
      </c>
      <c r="AB88" s="19">
        <f>SEPTIEMBRE!AD88</f>
        <v>4998660171</v>
      </c>
      <c r="AC88" s="364">
        <v>-49560098</v>
      </c>
      <c r="AD88" s="848">
        <f>SUM(AB88:AC88)</f>
        <v>4949100073</v>
      </c>
      <c r="AE88" s="19">
        <f>SEPTIEMBRE!AG88</f>
        <v>4998660171</v>
      </c>
      <c r="AF88" s="364">
        <v>-49560098</v>
      </c>
      <c r="AG88" s="848">
        <f>SUM(AE88:AF88)</f>
        <v>4949100073</v>
      </c>
      <c r="AH88" s="19">
        <f>X88-AA88</f>
        <v>50899927</v>
      </c>
      <c r="AI88" s="15">
        <f>X88-AD88</f>
        <v>50899927</v>
      </c>
      <c r="AJ88" s="16">
        <f>X88-AG88</f>
        <v>50899927</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+IF(SEPTIEMBRE!A89=0,"",SEPTIEMBRE!A89)</f>
        <v>1130204</v>
      </c>
      <c r="B89" s="610" t="str">
        <f>+IF(SEPTIEMBRE!B89=0,"",SEPTIEMBRE!B89)</f>
        <v>CONVENIOS CON EL DEPARTAMENTO LIGADOS A LA VENTA SERVICIOS</v>
      </c>
      <c r="C89" s="654">
        <f>+ENERO!C89</f>
        <v>0</v>
      </c>
      <c r="D89" s="363">
        <f>SEPTIEMBRE!D89+OCTUBRE!P89</f>
        <v>0</v>
      </c>
      <c r="E89" s="363">
        <f>SEPTIEMBRE!E89+OCTUBRE!Q89</f>
        <v>450000000</v>
      </c>
      <c r="F89" s="363">
        <f t="shared" si="89"/>
        <v>450000000</v>
      </c>
      <c r="G89" s="363">
        <f>SEPTIEMBRE!I89</f>
        <v>0</v>
      </c>
      <c r="H89" s="364">
        <v>0</v>
      </c>
      <c r="I89" s="363">
        <f t="shared" si="90"/>
        <v>0</v>
      </c>
      <c r="J89" s="363">
        <f>SEPTIEMBRE!L89</f>
        <v>0</v>
      </c>
      <c r="K89" s="364">
        <v>0</v>
      </c>
      <c r="L89" s="363">
        <f t="shared" si="91"/>
        <v>0</v>
      </c>
      <c r="M89" s="363">
        <f t="shared" si="92"/>
        <v>450000000</v>
      </c>
      <c r="N89" s="143">
        <f t="shared" si="93"/>
        <v>450000000</v>
      </c>
      <c r="P89" s="362">
        <v>0</v>
      </c>
      <c r="Q89" s="365">
        <v>450000000</v>
      </c>
      <c r="R89" s="9"/>
      <c r="S89" s="356" t="str">
        <f>+IF(SEPTIEMBRE!S89=0,"",SEPTIEMBRE!S89)</f>
        <v/>
      </c>
      <c r="T89" s="678" t="str">
        <f>+IF(SEPTIEMBRE!T89=0,"",SEPTIEMBRE!T89)</f>
        <v/>
      </c>
      <c r="U89" s="161"/>
      <c r="V89" s="161"/>
      <c r="W89" s="161"/>
      <c r="X89" s="161"/>
      <c r="Y89" s="161"/>
      <c r="Z89" s="161"/>
      <c r="AA89" s="846"/>
      <c r="AB89" s="161"/>
      <c r="AC89" s="161"/>
      <c r="AD89" s="846"/>
      <c r="AE89" s="161"/>
      <c r="AF89" s="161"/>
      <c r="AG89" s="846"/>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+IF(SEPTIEMBRE!A90=0,"",SEPTIEMBRE!A90)</f>
        <v>1130205</v>
      </c>
      <c r="B90" s="610" t="str">
        <f>+IF(SEPTIEMBRE!B90=0,"",SEPTIEMBRE!B90)</f>
        <v>CONVENIOS CON EL MUNICIPIO LIGADOS A LA VENTA DE SERVICIOS</v>
      </c>
      <c r="C90" s="654">
        <f>+ENERO!C90</f>
        <v>0</v>
      </c>
      <c r="D90" s="363">
        <f>SEPTIEMBRE!D90+OCTUBRE!P90</f>
        <v>0</v>
      </c>
      <c r="E90" s="363">
        <f>SEPTIEMBRE!E90+OCTUBRE!Q90</f>
        <v>0</v>
      </c>
      <c r="F90" s="363">
        <f t="shared" si="89"/>
        <v>0</v>
      </c>
      <c r="G90" s="363">
        <f>SEPTIEMBRE!I90</f>
        <v>0</v>
      </c>
      <c r="H90" s="364">
        <v>0</v>
      </c>
      <c r="I90" s="363">
        <f t="shared" si="90"/>
        <v>0</v>
      </c>
      <c r="J90" s="363">
        <f>SEPTIEMBRE!L90</f>
        <v>0</v>
      </c>
      <c r="K90" s="364">
        <v>0</v>
      </c>
      <c r="L90" s="363">
        <f t="shared" si="91"/>
        <v>0</v>
      </c>
      <c r="M90" s="363">
        <f t="shared" si="92"/>
        <v>0</v>
      </c>
      <c r="N90" s="143">
        <f t="shared" si="93"/>
        <v>0</v>
      </c>
      <c r="O90" s="372"/>
      <c r="P90" s="362">
        <v>0</v>
      </c>
      <c r="Q90" s="365">
        <v>0</v>
      </c>
      <c r="R90" s="30"/>
      <c r="S90" s="687">
        <f>+IF(SEPTIEMBRE!S90=0,"",SEPTIEMBRE!S90)</f>
        <v>1020300</v>
      </c>
      <c r="T90" s="663" t="str">
        <f>+IF(SEPTIEMBRE!T90=0,"",SEPTIEMBRE!T90)</f>
        <v>Contribuciones Inherentes nómina al Sector Privado</v>
      </c>
      <c r="U90" s="132">
        <f t="shared" ref="U90:AJ90" si="94">U91+U96+U102</f>
        <v>2996072011</v>
      </c>
      <c r="V90" s="122">
        <f t="shared" si="94"/>
        <v>-1776337847</v>
      </c>
      <c r="W90" s="122">
        <f t="shared" si="94"/>
        <v>73182074</v>
      </c>
      <c r="X90" s="129">
        <f t="shared" si="94"/>
        <v>1292916238</v>
      </c>
      <c r="Y90" s="128">
        <f t="shared" si="94"/>
        <v>783327226</v>
      </c>
      <c r="Z90" s="122">
        <f t="shared" si="94"/>
        <v>65492225</v>
      </c>
      <c r="AA90" s="215">
        <f t="shared" si="94"/>
        <v>848819451</v>
      </c>
      <c r="AB90" s="128">
        <f t="shared" si="94"/>
        <v>783327226</v>
      </c>
      <c r="AC90" s="122">
        <f t="shared" si="94"/>
        <v>65492225</v>
      </c>
      <c r="AD90" s="215">
        <f t="shared" si="94"/>
        <v>848819451</v>
      </c>
      <c r="AE90" s="128">
        <f t="shared" si="94"/>
        <v>715630569</v>
      </c>
      <c r="AF90" s="122">
        <f t="shared" si="94"/>
        <v>67696657</v>
      </c>
      <c r="AG90" s="215">
        <f t="shared" si="94"/>
        <v>783327226</v>
      </c>
      <c r="AH90" s="128">
        <f t="shared" si="94"/>
        <v>444096787</v>
      </c>
      <c r="AI90" s="122">
        <f t="shared" si="94"/>
        <v>444096787</v>
      </c>
      <c r="AJ90" s="130">
        <f t="shared" si="94"/>
        <v>509589012</v>
      </c>
      <c r="AK90" s="9"/>
      <c r="AL90" s="128">
        <f>AL91+AL96+AL102</f>
        <v>0</v>
      </c>
      <c r="AM90" s="130">
        <f>AM91+AM96+AM102</f>
        <v>60000000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+IF(SEPTIEMBRE!A91=0,"",SEPTIEMBRE!A91)</f>
        <v>1130206</v>
      </c>
      <c r="B91" s="610" t="str">
        <f>+IF(SEPTIEMBRE!B91=0,"",SEPTIEMBRE!B91)</f>
        <v>OTROS CONVENIOS LIGADOS A LA VENTA DE SERVICIOS</v>
      </c>
      <c r="C91" s="654">
        <f>+ENERO!C91</f>
        <v>0</v>
      </c>
      <c r="D91" s="363">
        <f>SEPTIEMBRE!D91+OCTUBRE!P91</f>
        <v>0</v>
      </c>
      <c r="E91" s="363">
        <f>SEPTIEMBRE!E91+OCTUBRE!Q91</f>
        <v>11978176000</v>
      </c>
      <c r="F91" s="363">
        <f t="shared" si="89"/>
        <v>11978176000</v>
      </c>
      <c r="G91" s="363">
        <f>SEPTIEMBRE!I91</f>
        <v>6389047147</v>
      </c>
      <c r="H91" s="364">
        <v>1006119000</v>
      </c>
      <c r="I91" s="363">
        <f t="shared" si="90"/>
        <v>7395166147</v>
      </c>
      <c r="J91" s="363">
        <f>SEPTIEMBRE!L91</f>
        <v>4359296940</v>
      </c>
      <c r="K91" s="364">
        <v>574509000</v>
      </c>
      <c r="L91" s="363">
        <f t="shared" si="91"/>
        <v>4933805940</v>
      </c>
      <c r="M91" s="363">
        <f t="shared" si="92"/>
        <v>4583009853</v>
      </c>
      <c r="N91" s="143">
        <f t="shared" si="93"/>
        <v>7044370060</v>
      </c>
      <c r="O91" s="372"/>
      <c r="P91" s="362">
        <v>0</v>
      </c>
      <c r="Q91" s="365">
        <v>0</v>
      </c>
      <c r="R91" s="30"/>
      <c r="S91" s="688">
        <f>+IF(SEPTIEMBRE!S91=0,"",SEPTIEMBRE!S91)</f>
        <v>1020301</v>
      </c>
      <c r="T91" s="664" t="str">
        <f>+IF(SEPTIEMBRE!T91=0,"",SEPTIEMBRE!T91)</f>
        <v>Contribuciones - SGP - Aportes Patronales - Cuenta Maestra</v>
      </c>
      <c r="U91" s="27">
        <f t="shared" ref="U91:AJ91" si="95">SUM(U92:U95)</f>
        <v>1100060774</v>
      </c>
      <c r="V91" s="15">
        <f t="shared" si="95"/>
        <v>-396061561</v>
      </c>
      <c r="W91" s="15">
        <f t="shared" si="95"/>
        <v>60000000</v>
      </c>
      <c r="X91" s="18">
        <f t="shared" si="95"/>
        <v>763999213</v>
      </c>
      <c r="Y91" s="19">
        <f t="shared" si="95"/>
        <v>521263044</v>
      </c>
      <c r="Z91" s="142">
        <f t="shared" si="95"/>
        <v>58002345</v>
      </c>
      <c r="AA91" s="848">
        <f t="shared" si="95"/>
        <v>579265389</v>
      </c>
      <c r="AB91" s="19">
        <f t="shared" si="95"/>
        <v>521263044</v>
      </c>
      <c r="AC91" s="142">
        <f t="shared" si="95"/>
        <v>58002345</v>
      </c>
      <c r="AD91" s="848">
        <f t="shared" si="95"/>
        <v>579265389</v>
      </c>
      <c r="AE91" s="19">
        <f t="shared" si="95"/>
        <v>461351707</v>
      </c>
      <c r="AF91" s="142">
        <f t="shared" si="95"/>
        <v>59911337</v>
      </c>
      <c r="AG91" s="848">
        <f t="shared" si="95"/>
        <v>521263044</v>
      </c>
      <c r="AH91" s="19">
        <f t="shared" si="95"/>
        <v>184733824</v>
      </c>
      <c r="AI91" s="15">
        <f t="shared" si="95"/>
        <v>184733824</v>
      </c>
      <c r="AJ91" s="16">
        <f t="shared" si="95"/>
        <v>242736169</v>
      </c>
      <c r="AK91" s="9"/>
      <c r="AL91" s="29">
        <f>SUM(AL92:AL95)</f>
        <v>0</v>
      </c>
      <c r="AM91" s="26">
        <f>SUM(AM92:AM95)</f>
        <v>60000000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+IF(SEPTIEMBRE!A92=0,"",SEPTIEMBRE!A92)</f>
        <v>1130207</v>
      </c>
      <c r="B92" s="611" t="str">
        <f>+IF(SEPTIEMBRE!B92=0,"",SEPTIEMBRE!B92)</f>
        <v>Vigencia Anterior</v>
      </c>
      <c r="C92" s="760">
        <f>+ENERO!C92</f>
        <v>0</v>
      </c>
      <c r="D92" s="375">
        <f>SEPTIEMBRE!D92+OCTUBRE!P92</f>
        <v>0</v>
      </c>
      <c r="E92" s="375">
        <f>SEPTIEMBRE!E92+OCTUBRE!Q92</f>
        <v>0</v>
      </c>
      <c r="F92" s="375">
        <f t="shared" si="89"/>
        <v>0</v>
      </c>
      <c r="G92" s="375">
        <f>SEPTIEMBRE!I92</f>
        <v>0</v>
      </c>
      <c r="H92" s="378">
        <v>400000000</v>
      </c>
      <c r="I92" s="375">
        <f t="shared" si="90"/>
        <v>400000000</v>
      </c>
      <c r="J92" s="375">
        <f>SEPTIEMBRE!L92</f>
        <v>0</v>
      </c>
      <c r="K92" s="378">
        <v>400000000</v>
      </c>
      <c r="L92" s="375">
        <f t="shared" si="91"/>
        <v>400000000</v>
      </c>
      <c r="M92" s="375">
        <f t="shared" si="92"/>
        <v>-400000000</v>
      </c>
      <c r="N92" s="376">
        <f t="shared" si="93"/>
        <v>-400000000</v>
      </c>
      <c r="O92" s="372"/>
      <c r="P92" s="362">
        <v>0</v>
      </c>
      <c r="Q92" s="365">
        <v>0</v>
      </c>
      <c r="R92" s="30"/>
      <c r="S92" s="689" t="str">
        <f>+IF(SEPTIEMBRE!S92=0,"",SEPTIEMBRE!S92)</f>
        <v>1020301-1</v>
      </c>
      <c r="T92" s="665" t="str">
        <f>+IF(SEPTIEMBRE!T92=0,"",SEPTIEMBRE!T92)</f>
        <v>E.P.S. - Aportes cuenta maestra</v>
      </c>
      <c r="U92" s="27">
        <f>+ENERO!U92</f>
        <v>273298716</v>
      </c>
      <c r="V92" s="15">
        <f>SEPTIEMBRE!V92+OCTUBRE!AL92</f>
        <v>0</v>
      </c>
      <c r="W92" s="15">
        <f>SEPTIEMBRE!W92+OCTUBRE!AM92</f>
        <v>50000000</v>
      </c>
      <c r="X92" s="18">
        <f>SUM(U92:W92)</f>
        <v>323298716</v>
      </c>
      <c r="Y92" s="19">
        <f>SEPTIEMBRE!AA92</f>
        <v>222284947</v>
      </c>
      <c r="Z92" s="364">
        <v>24630121</v>
      </c>
      <c r="AA92" s="848">
        <f>SUM(Y92:Z92)</f>
        <v>246915068</v>
      </c>
      <c r="AB92" s="19">
        <f>SEPTIEMBRE!AD92</f>
        <v>222284947</v>
      </c>
      <c r="AC92" s="364">
        <v>24630121</v>
      </c>
      <c r="AD92" s="848">
        <f>SUM(AB92:AC92)</f>
        <v>246915068</v>
      </c>
      <c r="AE92" s="19">
        <f>SEPTIEMBRE!AG92</f>
        <v>197076826</v>
      </c>
      <c r="AF92" s="364">
        <v>25208121</v>
      </c>
      <c r="AG92" s="848">
        <f>SUM(AE92:AF92)</f>
        <v>222284947</v>
      </c>
      <c r="AH92" s="19">
        <f>X92-AA92</f>
        <v>76383648</v>
      </c>
      <c r="AI92" s="15">
        <f>X92-AD92</f>
        <v>76383648</v>
      </c>
      <c r="AJ92" s="16">
        <f>X92-AG92</f>
        <v>101013769</v>
      </c>
      <c r="AK92" s="9"/>
      <c r="AL92" s="362">
        <v>0</v>
      </c>
      <c r="AM92" s="365">
        <v>50000000</v>
      </c>
      <c r="AN92" s="30"/>
      <c r="AO92" s="450"/>
      <c r="AP92" s="450"/>
      <c r="AQ92" s="450"/>
      <c r="AR92" s="450"/>
      <c r="AS92" s="450"/>
      <c r="AT92" s="450"/>
      <c r="AU92" s="450"/>
      <c r="AV92" s="450"/>
      <c r="AW92" s="450"/>
      <c r="AX92" s="450"/>
      <c r="AY92" s="450"/>
      <c r="AZ92" s="450"/>
      <c r="BL92" s="30"/>
    </row>
    <row r="93" spans="1:70" s="451" customFormat="1" ht="24.95" customHeight="1" thickBot="1">
      <c r="A93" s="717" t="str">
        <f>+IF(SEPTIEMBRE!A93=0,"",SEPTIEMBRE!A93)</f>
        <v/>
      </c>
      <c r="B93" s="634" t="str">
        <f>+IF(SEPTIEMBRE!B93=0,"",SEPTIEMBRE!B93)</f>
        <v/>
      </c>
      <c r="C93" s="284"/>
      <c r="D93" s="284"/>
      <c r="E93" s="284"/>
      <c r="F93" s="284"/>
      <c r="G93" s="284"/>
      <c r="H93" s="284"/>
      <c r="I93" s="284"/>
      <c r="J93" s="284"/>
      <c r="K93" s="284"/>
      <c r="L93" s="284"/>
      <c r="M93" s="284"/>
      <c r="N93" s="453"/>
      <c r="P93" s="457"/>
      <c r="Q93" s="381"/>
      <c r="R93" s="30"/>
      <c r="S93" s="689" t="str">
        <f>+IF(SEPTIEMBRE!S93=0,"",SEPTIEMBRE!S93)</f>
        <v>1020301-2</v>
      </c>
      <c r="T93" s="665" t="str">
        <f>+IF(SEPTIEMBRE!T93=0,"",SEPTIEMBRE!T93)</f>
        <v>Fondos pensionales - Aportes cuenta maestra</v>
      </c>
      <c r="U93" s="27">
        <f>+ENERO!U93</f>
        <v>372680081</v>
      </c>
      <c r="V93" s="15">
        <f>SEPTIEMBRE!V93+OCTUBRE!AL93</f>
        <v>0</v>
      </c>
      <c r="W93" s="15">
        <f>SEPTIEMBRE!W93+OCTUBRE!AM93</f>
        <v>10000000</v>
      </c>
      <c r="X93" s="18">
        <f>SUM(U93:W93)</f>
        <v>382680081</v>
      </c>
      <c r="Y93" s="19">
        <f>SEPTIEMBRE!AA93</f>
        <v>268852737</v>
      </c>
      <c r="Z93" s="364">
        <v>29430944</v>
      </c>
      <c r="AA93" s="848">
        <f>SUM(Y93:Z93)</f>
        <v>298283681</v>
      </c>
      <c r="AB93" s="19">
        <f>SEPTIEMBRE!AD93</f>
        <v>268852737</v>
      </c>
      <c r="AC93" s="364">
        <v>29430944</v>
      </c>
      <c r="AD93" s="848">
        <f>SUM(AB93:AC93)</f>
        <v>298283681</v>
      </c>
      <c r="AE93" s="19">
        <f>SEPTIEMBRE!AG93</f>
        <v>238185121</v>
      </c>
      <c r="AF93" s="364">
        <v>30667616</v>
      </c>
      <c r="AG93" s="848">
        <f>SUM(AE93:AF93)</f>
        <v>268852737</v>
      </c>
      <c r="AH93" s="19">
        <f>X93-AA93</f>
        <v>84396400</v>
      </c>
      <c r="AI93" s="15">
        <f>X93-AD93</f>
        <v>84396400</v>
      </c>
      <c r="AJ93" s="16">
        <f>X93-AG93</f>
        <v>113827344</v>
      </c>
      <c r="AK93" s="9"/>
      <c r="AL93" s="362">
        <v>0</v>
      </c>
      <c r="AM93" s="365">
        <v>10000000</v>
      </c>
      <c r="AN93" s="30"/>
      <c r="AO93" s="450"/>
      <c r="AP93" s="450"/>
      <c r="AQ93" s="450"/>
      <c r="AR93" s="450"/>
      <c r="AS93" s="450"/>
      <c r="AT93" s="450"/>
      <c r="AU93" s="450"/>
      <c r="AV93" s="450"/>
      <c r="AW93" s="450"/>
      <c r="AX93" s="450"/>
      <c r="AY93" s="450"/>
      <c r="AZ93" s="450"/>
      <c r="BL93" s="30"/>
    </row>
    <row r="94" spans="1:70" s="451" customFormat="1" ht="35.25" customHeight="1">
      <c r="A94" s="720">
        <f>+IF(SEPTIEMBRE!A94=0,"",SEPTIEMBRE!A94)</f>
        <v>11303</v>
      </c>
      <c r="B94" s="601" t="str">
        <f>+IF(SEPTIEMBRE!B94=0,"",SEPTIEMBRE!B94)</f>
        <v>Aportes (No ligados a la venta de servicios de salud)</v>
      </c>
      <c r="C94" s="600">
        <f>SUM(C95:C102)</f>
        <v>7982899073</v>
      </c>
      <c r="D94" s="598">
        <f t="shared" ref="D94:N94" si="96">SUM(D95:D102)</f>
        <v>0</v>
      </c>
      <c r="E94" s="598">
        <f t="shared" si="96"/>
        <v>10315301905</v>
      </c>
      <c r="F94" s="598">
        <f t="shared" si="96"/>
        <v>18298200978</v>
      </c>
      <c r="G94" s="598">
        <f t="shared" si="96"/>
        <v>14812488354</v>
      </c>
      <c r="H94" s="598">
        <f t="shared" si="96"/>
        <v>3469774402</v>
      </c>
      <c r="I94" s="598">
        <f t="shared" si="96"/>
        <v>18282262756</v>
      </c>
      <c r="J94" s="598">
        <f t="shared" si="96"/>
        <v>14812488354</v>
      </c>
      <c r="K94" s="598">
        <f t="shared" si="96"/>
        <v>3469774402</v>
      </c>
      <c r="L94" s="598">
        <f t="shared" si="96"/>
        <v>18282262756</v>
      </c>
      <c r="M94" s="598">
        <f t="shared" si="96"/>
        <v>15938222</v>
      </c>
      <c r="N94" s="599">
        <f t="shared" si="96"/>
        <v>15938222</v>
      </c>
      <c r="O94" s="372"/>
      <c r="P94" s="43">
        <f>SUM(P95:P102)</f>
        <v>0</v>
      </c>
      <c r="Q94" s="45">
        <f>SUM(Q95:Q102)</f>
        <v>2315301905</v>
      </c>
      <c r="R94" s="30"/>
      <c r="S94" s="689" t="str">
        <f>+IF(SEPTIEMBRE!S94=0,"",SEPTIEMBRE!S94)</f>
        <v>1020301-3</v>
      </c>
      <c r="T94" s="665" t="str">
        <f>+IF(SEPTIEMBRE!T94=0,"",SEPTIEMBRE!T94)</f>
        <v>Fondos de cesantías - Aportes cuenta maestra</v>
      </c>
      <c r="U94" s="27">
        <f>+ENERO!U94</f>
        <v>387061561</v>
      </c>
      <c r="V94" s="15">
        <f>SEPTIEMBRE!V94+OCTUBRE!AL94</f>
        <v>-387061561</v>
      </c>
      <c r="W94" s="15">
        <f>SEPTIEMBRE!W94+OCTUBRE!AM94</f>
        <v>0</v>
      </c>
      <c r="X94" s="18">
        <f>SUM(U94:W94)</f>
        <v>0</v>
      </c>
      <c r="Y94" s="19">
        <f>SEPTIEMBRE!AA94</f>
        <v>0</v>
      </c>
      <c r="Z94" s="364">
        <v>0</v>
      </c>
      <c r="AA94" s="848">
        <f>SUM(Y94:Z94)</f>
        <v>0</v>
      </c>
      <c r="AB94" s="19">
        <f>SEPTIEMBRE!AD94</f>
        <v>0</v>
      </c>
      <c r="AC94" s="364">
        <v>0</v>
      </c>
      <c r="AD94" s="848">
        <f>SUM(AB94:AC94)</f>
        <v>0</v>
      </c>
      <c r="AE94" s="19">
        <f>SEPTIEMBRE!AG94</f>
        <v>0</v>
      </c>
      <c r="AF94" s="364">
        <v>0</v>
      </c>
      <c r="AG94" s="84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+IF(SEPTIEMBRE!A95=0,"",SEPTIEMBRE!A95)</f>
        <v>11303-1</v>
      </c>
      <c r="B95" s="602" t="str">
        <f>+IF(SEPTIEMBRE!B95=0,"",SEPTIEMBRE!B95)</f>
        <v>CONVENIOS CON LA NACION NO LIGADOS A LA VENTA DE SERVICIOS</v>
      </c>
      <c r="C95" s="654">
        <f>+ENERO!C95</f>
        <v>0</v>
      </c>
      <c r="D95" s="363">
        <f>SEPTIEMBRE!D95+OCTUBRE!P95</f>
        <v>0</v>
      </c>
      <c r="E95" s="363">
        <f>SEPTIEMBRE!E95+OCTUBRE!Q95</f>
        <v>0</v>
      </c>
      <c r="F95" s="363">
        <f t="shared" ref="F95:F102" si="97">SUM(C95:E95)</f>
        <v>0</v>
      </c>
      <c r="G95" s="363">
        <f>SEPTIEMBRE!I95</f>
        <v>0</v>
      </c>
      <c r="H95" s="364">
        <v>0</v>
      </c>
      <c r="I95" s="363">
        <f t="shared" ref="I95:I102" si="98">SUM(G95:H95)</f>
        <v>0</v>
      </c>
      <c r="J95" s="363">
        <f>SEPTIEMBRE!L95</f>
        <v>0</v>
      </c>
      <c r="K95" s="364">
        <v>0</v>
      </c>
      <c r="L95" s="363">
        <f t="shared" ref="L95:L102" si="99">SUM(J95:K95)</f>
        <v>0</v>
      </c>
      <c r="M95" s="363">
        <f t="shared" ref="M95:M102" si="100">F95-I95</f>
        <v>0</v>
      </c>
      <c r="N95" s="143">
        <f t="shared" ref="N95:N102" si="101">F95-L95</f>
        <v>0</v>
      </c>
      <c r="O95" s="372"/>
      <c r="P95" s="362">
        <v>0</v>
      </c>
      <c r="Q95" s="365">
        <v>0</v>
      </c>
      <c r="R95" s="30"/>
      <c r="S95" s="689" t="str">
        <f>+IF(SEPTIEMBRE!S95=0,"",SEPTIEMBRE!S95)</f>
        <v>1020301-4</v>
      </c>
      <c r="T95" s="665" t="str">
        <f>+IF(SEPTIEMBRE!T95=0,"",SEPTIEMBRE!T95)</f>
        <v>Riesgos laborales - Aportes cuenta maestra</v>
      </c>
      <c r="U95" s="27">
        <f>+ENERO!U95</f>
        <v>67020416</v>
      </c>
      <c r="V95" s="15">
        <f>SEPTIEMBRE!V95+OCTUBRE!AL95</f>
        <v>-9000000</v>
      </c>
      <c r="W95" s="15">
        <f>SEPTIEMBRE!W95+OCTUBRE!AM95</f>
        <v>0</v>
      </c>
      <c r="X95" s="18">
        <f>SUM(U95:W95)</f>
        <v>58020416</v>
      </c>
      <c r="Y95" s="19">
        <f>SEPTIEMBRE!AA95</f>
        <v>30125360</v>
      </c>
      <c r="Z95" s="364">
        <v>3941280</v>
      </c>
      <c r="AA95" s="848">
        <f>SUM(Y95:Z95)</f>
        <v>34066640</v>
      </c>
      <c r="AB95" s="19">
        <f>SEPTIEMBRE!AD95</f>
        <v>30125360</v>
      </c>
      <c r="AC95" s="364">
        <v>3941280</v>
      </c>
      <c r="AD95" s="848">
        <f>SUM(AB95:AC95)</f>
        <v>34066640</v>
      </c>
      <c r="AE95" s="19">
        <f>SEPTIEMBRE!AG95</f>
        <v>26089760</v>
      </c>
      <c r="AF95" s="364">
        <v>4035600</v>
      </c>
      <c r="AG95" s="848">
        <f>SUM(AE95:AF95)</f>
        <v>30125360</v>
      </c>
      <c r="AH95" s="19">
        <f>X95-AA95</f>
        <v>23953776</v>
      </c>
      <c r="AI95" s="15">
        <f>X95-AD95</f>
        <v>23953776</v>
      </c>
      <c r="AJ95" s="16">
        <f>X95-AG95</f>
        <v>27895056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+IF(SEPTIEMBRE!A96=0,"",SEPTIEMBRE!A96)</f>
        <v>11303-2</v>
      </c>
      <c r="B96" s="602" t="str">
        <f>+IF(SEPTIEMBRE!B96=0,"",SEPTIEMBRE!B96)</f>
        <v>CONVENIOS CON EL DEPARTAMENTO NO LIGADOS A LA VENTA SERVICIOS</v>
      </c>
      <c r="C96" s="654">
        <f>+ENERO!C96</f>
        <v>7982899073</v>
      </c>
      <c r="D96" s="363">
        <f>SEPTIEMBRE!D96+OCTUBRE!P96</f>
        <v>0</v>
      </c>
      <c r="E96" s="363">
        <f>SEPTIEMBRE!E96+OCTUBRE!Q96</f>
        <v>10315301905</v>
      </c>
      <c r="F96" s="363">
        <f t="shared" si="97"/>
        <v>18298200978</v>
      </c>
      <c r="G96" s="363">
        <f>SEPTIEMBRE!I96</f>
        <v>14812488354</v>
      </c>
      <c r="H96" s="364">
        <v>3469774402</v>
      </c>
      <c r="I96" s="363">
        <f t="shared" si="98"/>
        <v>18282262756</v>
      </c>
      <c r="J96" s="363">
        <f>SEPTIEMBRE!L96</f>
        <v>14812488354</v>
      </c>
      <c r="K96" s="364">
        <v>3469774402</v>
      </c>
      <c r="L96" s="363">
        <f t="shared" si="99"/>
        <v>18282262756</v>
      </c>
      <c r="M96" s="363">
        <f t="shared" si="100"/>
        <v>15938222</v>
      </c>
      <c r="N96" s="143">
        <f t="shared" si="101"/>
        <v>15938222</v>
      </c>
      <c r="O96" s="372"/>
      <c r="P96" s="362">
        <v>0</v>
      </c>
      <c r="Q96" s="365">
        <v>2315301905</v>
      </c>
      <c r="S96" s="688">
        <f>+IF(SEPTIEMBRE!S96=0,"",SEPTIEMBRE!S96)</f>
        <v>1020302</v>
      </c>
      <c r="T96" s="664" t="str">
        <f>+IF(SEPTIEMBRE!T96=0,"",SEPTIEMBRE!T96)</f>
        <v>Contribuciones - Otros</v>
      </c>
      <c r="U96" s="27">
        <f t="shared" ref="U96:AJ96" si="102">SUM(U97:U101)</f>
        <v>1724011237</v>
      </c>
      <c r="V96" s="15">
        <f t="shared" si="102"/>
        <v>-1386777354</v>
      </c>
      <c r="W96" s="15">
        <f t="shared" si="102"/>
        <v>0</v>
      </c>
      <c r="X96" s="18">
        <f t="shared" si="102"/>
        <v>337233883</v>
      </c>
      <c r="Y96" s="19">
        <f t="shared" si="102"/>
        <v>70381040</v>
      </c>
      <c r="Z96" s="142">
        <f t="shared" si="102"/>
        <v>7489880</v>
      </c>
      <c r="AA96" s="848">
        <f t="shared" si="102"/>
        <v>77870920</v>
      </c>
      <c r="AB96" s="19">
        <f t="shared" si="102"/>
        <v>70381040</v>
      </c>
      <c r="AC96" s="142">
        <f t="shared" si="102"/>
        <v>7489880</v>
      </c>
      <c r="AD96" s="848">
        <f t="shared" si="102"/>
        <v>77870920</v>
      </c>
      <c r="AE96" s="19">
        <f t="shared" si="102"/>
        <v>62595720</v>
      </c>
      <c r="AF96" s="142">
        <f t="shared" si="102"/>
        <v>7785320</v>
      </c>
      <c r="AG96" s="848">
        <f t="shared" si="102"/>
        <v>70381040</v>
      </c>
      <c r="AH96" s="19">
        <f t="shared" si="102"/>
        <v>259362963</v>
      </c>
      <c r="AI96" s="15">
        <f t="shared" si="102"/>
        <v>259362963</v>
      </c>
      <c r="AJ96" s="16">
        <f t="shared" si="102"/>
        <v>266852843</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+IF(SEPTIEMBRE!A97=0,"",SEPTIEMBRE!A97)</f>
        <v>11303-3</v>
      </c>
      <c r="B97" s="602" t="str">
        <f>+IF(SEPTIEMBRE!B97=0,"",SEPTIEMBRE!B97)</f>
        <v>CONVENIOS CON EL MUNICIPIO NO LIGADOS A LA VENTA DE SERVICIOS</v>
      </c>
      <c r="C97" s="654">
        <f>+ENERO!C97</f>
        <v>0</v>
      </c>
      <c r="D97" s="363">
        <f>SEPTIEMBRE!D97+OCTUBRE!P97</f>
        <v>0</v>
      </c>
      <c r="E97" s="363">
        <f>SEPTIEMBRE!E97+OCTUBRE!Q97</f>
        <v>0</v>
      </c>
      <c r="F97" s="363">
        <f t="shared" si="97"/>
        <v>0</v>
      </c>
      <c r="G97" s="363">
        <f>SEPTIEMBRE!I97</f>
        <v>0</v>
      </c>
      <c r="H97" s="364">
        <v>0</v>
      </c>
      <c r="I97" s="363">
        <f t="shared" si="98"/>
        <v>0</v>
      </c>
      <c r="J97" s="363">
        <f>SEPTIEMBRE!L97</f>
        <v>0</v>
      </c>
      <c r="K97" s="364">
        <v>0</v>
      </c>
      <c r="L97" s="363">
        <f t="shared" si="99"/>
        <v>0</v>
      </c>
      <c r="M97" s="363">
        <f t="shared" si="100"/>
        <v>0</v>
      </c>
      <c r="N97" s="143">
        <f t="shared" si="101"/>
        <v>0</v>
      </c>
      <c r="O97" s="372"/>
      <c r="P97" s="362">
        <v>0</v>
      </c>
      <c r="Q97" s="365">
        <v>0</v>
      </c>
      <c r="R97" s="30"/>
      <c r="S97" s="689" t="str">
        <f>+IF(SEPTIEMBRE!S97=0,"",SEPTIEMBRE!S97)</f>
        <v>1020302-1</v>
      </c>
      <c r="T97" s="665" t="str">
        <f>+IF(SEPTIEMBRE!T97=0,"",SEPTIEMBRE!T97)</f>
        <v>Aportes a E.P.S. - recursos propios</v>
      </c>
      <c r="U97" s="27">
        <f>+ENERO!U97</f>
        <v>383898492</v>
      </c>
      <c r="V97" s="15">
        <f>SEPTIEMBRE!V97+OCTUBRE!AL97</f>
        <v>-383898492</v>
      </c>
      <c r="W97" s="15">
        <f>SEPTIEMBRE!W97+OCTUBRE!AM97</f>
        <v>0</v>
      </c>
      <c r="X97" s="18">
        <f t="shared" ref="X97:X102" si="103">SUM(U97:W97)</f>
        <v>0</v>
      </c>
      <c r="Y97" s="19">
        <f>SEPTIEMBRE!AA97</f>
        <v>0</v>
      </c>
      <c r="Z97" s="364">
        <v>0</v>
      </c>
      <c r="AA97" s="848">
        <f t="shared" ref="AA97:AA102" si="104">SUM(Y97:Z97)</f>
        <v>0</v>
      </c>
      <c r="AB97" s="19">
        <f>SEPTIEMBRE!AD97</f>
        <v>0</v>
      </c>
      <c r="AC97" s="364">
        <v>0</v>
      </c>
      <c r="AD97" s="848">
        <f t="shared" ref="AD97:AD102" si="105">SUM(AB97:AC97)</f>
        <v>0</v>
      </c>
      <c r="AE97" s="19">
        <f>SEPTIEMBRE!AG97</f>
        <v>0</v>
      </c>
      <c r="AF97" s="364">
        <v>0</v>
      </c>
      <c r="AG97" s="848">
        <f t="shared" ref="AG97:AG102" si="106">SUM(AE97:AF97)</f>
        <v>0</v>
      </c>
      <c r="AH97" s="19">
        <f t="shared" ref="AH97:AH102" si="107">X97-AA97</f>
        <v>0</v>
      </c>
      <c r="AI97" s="15">
        <f t="shared" ref="AI97:AI102" si="108">X97-AD97</f>
        <v>0</v>
      </c>
      <c r="AJ97" s="16">
        <f t="shared" ref="AJ97:AJ102" si="109">X97-AG97</f>
        <v>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+IF(SEPTIEMBRE!A98=0,"",SEPTIEMBRE!A98)</f>
        <v>11303-4</v>
      </c>
      <c r="B98" s="602" t="str">
        <f>+IF(SEPTIEMBRE!B98=0,"",SEPTIEMBRE!B98)</f>
        <v>OTROS CONVENIOS NO LIGADOS A LA VENTA DE SERVICIOS</v>
      </c>
      <c r="C98" s="654">
        <f>+ENERO!C98</f>
        <v>0</v>
      </c>
      <c r="D98" s="363">
        <f>SEPTIEMBRE!D98+OCTUBRE!P98</f>
        <v>0</v>
      </c>
      <c r="E98" s="363">
        <f>SEPTIEMBRE!E98+OCTUBRE!Q98</f>
        <v>0</v>
      </c>
      <c r="F98" s="363">
        <f t="shared" si="97"/>
        <v>0</v>
      </c>
      <c r="G98" s="363">
        <f>SEPTIEMBRE!I98</f>
        <v>0</v>
      </c>
      <c r="H98" s="364">
        <v>0</v>
      </c>
      <c r="I98" s="363">
        <f t="shared" si="98"/>
        <v>0</v>
      </c>
      <c r="J98" s="363">
        <f>SEPTIEMBRE!L98</f>
        <v>0</v>
      </c>
      <c r="K98" s="364">
        <v>0</v>
      </c>
      <c r="L98" s="363">
        <f t="shared" si="99"/>
        <v>0</v>
      </c>
      <c r="M98" s="363">
        <f t="shared" si="100"/>
        <v>0</v>
      </c>
      <c r="N98" s="143">
        <f t="shared" si="101"/>
        <v>0</v>
      </c>
      <c r="O98" s="372"/>
      <c r="P98" s="362">
        <v>0</v>
      </c>
      <c r="Q98" s="365">
        <v>0</v>
      </c>
      <c r="R98" s="30"/>
      <c r="S98" s="689" t="str">
        <f>+IF(SEPTIEMBRE!S98=0,"",SEPTIEMBRE!S98)</f>
        <v>1020302-2</v>
      </c>
      <c r="T98" s="665" t="str">
        <f>+IF(SEPTIEMBRE!T98=0,"",SEPTIEMBRE!T98)</f>
        <v>Aportes Fondos Pensionales - recursos propios</v>
      </c>
      <c r="U98" s="27">
        <f>+ENERO!U98</f>
        <v>555127711</v>
      </c>
      <c r="V98" s="15">
        <f>SEPTIEMBRE!V98+OCTUBRE!AL98</f>
        <v>-555127711</v>
      </c>
      <c r="W98" s="15">
        <f>SEPTIEMBRE!W98+OCTUBRE!AM98</f>
        <v>0</v>
      </c>
      <c r="X98" s="18">
        <f t="shared" si="103"/>
        <v>0</v>
      </c>
      <c r="Y98" s="19">
        <f>SEPTIEMBRE!AA98</f>
        <v>0</v>
      </c>
      <c r="Z98" s="364">
        <v>0</v>
      </c>
      <c r="AA98" s="848">
        <f t="shared" si="104"/>
        <v>0</v>
      </c>
      <c r="AB98" s="19">
        <f>SEPTIEMBRE!AD98</f>
        <v>0</v>
      </c>
      <c r="AC98" s="364">
        <v>0</v>
      </c>
      <c r="AD98" s="848">
        <f t="shared" si="105"/>
        <v>0</v>
      </c>
      <c r="AE98" s="19">
        <f>SEPTIEMBRE!AG98</f>
        <v>0</v>
      </c>
      <c r="AF98" s="364">
        <v>0</v>
      </c>
      <c r="AG98" s="848">
        <f t="shared" si="106"/>
        <v>0</v>
      </c>
      <c r="AH98" s="19">
        <f t="shared" si="107"/>
        <v>0</v>
      </c>
      <c r="AI98" s="15">
        <f t="shared" si="108"/>
        <v>0</v>
      </c>
      <c r="AJ98" s="16">
        <f t="shared" si="109"/>
        <v>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+IF(SEPTIEMBRE!A99=0,"",SEPTIEMBRE!A99)</f>
        <v>11303-5</v>
      </c>
      <c r="B99" s="602" t="str">
        <f>+IF(SEPTIEMBRE!B99=0,"",SEPTIEMBRE!B99)</f>
        <v>RECURSOS PARA PROGRAMA DE SANEAMIENTO FINANCIERO</v>
      </c>
      <c r="C99" s="654">
        <f>+ENERO!C99</f>
        <v>0</v>
      </c>
      <c r="D99" s="363">
        <f>SEPTIEMBRE!D99+OCTUBRE!P99</f>
        <v>0</v>
      </c>
      <c r="E99" s="363">
        <f>SEPTIEMBRE!E99+OCTUBRE!Q99</f>
        <v>0</v>
      </c>
      <c r="F99" s="363">
        <f t="shared" si="97"/>
        <v>0</v>
      </c>
      <c r="G99" s="363">
        <f>SEPTIEMBRE!I99</f>
        <v>0</v>
      </c>
      <c r="H99" s="364">
        <v>0</v>
      </c>
      <c r="I99" s="363">
        <f t="shared" si="98"/>
        <v>0</v>
      </c>
      <c r="J99" s="363">
        <f>SEPTIEMBRE!L99</f>
        <v>0</v>
      </c>
      <c r="K99" s="364">
        <v>0</v>
      </c>
      <c r="L99" s="363">
        <f t="shared" si="99"/>
        <v>0</v>
      </c>
      <c r="M99" s="363">
        <f t="shared" si="100"/>
        <v>0</v>
      </c>
      <c r="N99" s="143">
        <f t="shared" si="101"/>
        <v>0</v>
      </c>
      <c r="O99" s="372"/>
      <c r="P99" s="362">
        <v>0</v>
      </c>
      <c r="Q99" s="365">
        <v>0</v>
      </c>
      <c r="R99" s="30"/>
      <c r="S99" s="689" t="str">
        <f>+IF(SEPTIEMBRE!S99=0,"",SEPTIEMBRE!S99)</f>
        <v>1020302-3</v>
      </c>
      <c r="T99" s="665" t="str">
        <f>+IF(SEPTIEMBRE!T99=0,"",SEPTIEMBRE!T99)</f>
        <v>Aportes a Fondos de Cesantia - recursos propios</v>
      </c>
      <c r="U99" s="27">
        <f>+ENERO!U99</f>
        <v>326426572</v>
      </c>
      <c r="V99" s="15">
        <f>SEPTIEMBRE!V99+OCTUBRE!AL99</f>
        <v>-326426572</v>
      </c>
      <c r="W99" s="15">
        <f>SEPTIEMBRE!W99+OCTUBRE!AM99</f>
        <v>0</v>
      </c>
      <c r="X99" s="18">
        <f t="shared" si="103"/>
        <v>0</v>
      </c>
      <c r="Y99" s="19">
        <f>SEPTIEMBRE!AA99</f>
        <v>0</v>
      </c>
      <c r="Z99" s="364">
        <v>0</v>
      </c>
      <c r="AA99" s="848">
        <f t="shared" si="104"/>
        <v>0</v>
      </c>
      <c r="AB99" s="19">
        <f>SEPTIEMBRE!AD99</f>
        <v>0</v>
      </c>
      <c r="AC99" s="364">
        <v>0</v>
      </c>
      <c r="AD99" s="848">
        <f t="shared" si="105"/>
        <v>0</v>
      </c>
      <c r="AE99" s="19">
        <f>SEPTIEMBRE!AG99</f>
        <v>0</v>
      </c>
      <c r="AF99" s="364">
        <v>0</v>
      </c>
      <c r="AG99" s="848">
        <f t="shared" si="106"/>
        <v>0</v>
      </c>
      <c r="AH99" s="19">
        <f t="shared" si="107"/>
        <v>0</v>
      </c>
      <c r="AI99" s="15">
        <f t="shared" si="108"/>
        <v>0</v>
      </c>
      <c r="AJ99" s="16">
        <f t="shared" si="109"/>
        <v>0</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+IF(SEPTIEMBRE!A100=0,"",SEPTIEMBRE!A100)</f>
        <v>11303-6</v>
      </c>
      <c r="B100" s="602" t="str">
        <f>+IF(SEPTIEMBRE!B100=0,"",SEPTIEMBRE!B100)</f>
        <v/>
      </c>
      <c r="C100" s="654">
        <f>+ENERO!C100</f>
        <v>0</v>
      </c>
      <c r="D100" s="363">
        <f>SEPTIEMBRE!D100+OCTUBRE!P100</f>
        <v>0</v>
      </c>
      <c r="E100" s="363">
        <f>SEPTIEMBRE!E100+OCTUBRE!Q100</f>
        <v>0</v>
      </c>
      <c r="F100" s="363">
        <f t="shared" si="97"/>
        <v>0</v>
      </c>
      <c r="G100" s="363">
        <f>SEPTIEMBRE!I100</f>
        <v>0</v>
      </c>
      <c r="H100" s="364">
        <v>0</v>
      </c>
      <c r="I100" s="363">
        <f t="shared" si="98"/>
        <v>0</v>
      </c>
      <c r="J100" s="363">
        <f>SEPTIEMBRE!L100</f>
        <v>0</v>
      </c>
      <c r="K100" s="364">
        <v>0</v>
      </c>
      <c r="L100" s="363">
        <f t="shared" si="99"/>
        <v>0</v>
      </c>
      <c r="M100" s="363">
        <f t="shared" si="100"/>
        <v>0</v>
      </c>
      <c r="N100" s="143">
        <f t="shared" si="101"/>
        <v>0</v>
      </c>
      <c r="P100" s="362">
        <v>0</v>
      </c>
      <c r="Q100" s="365">
        <v>0</v>
      </c>
      <c r="R100" s="9"/>
      <c r="S100" s="689" t="str">
        <f>+IF(SEPTIEMBRE!S100=0,"",SEPTIEMBRE!S100)</f>
        <v>1020302-4</v>
      </c>
      <c r="T100" s="665" t="str">
        <f>+IF(SEPTIEMBRE!T100=0,"",SEPTIEMBRE!T100)</f>
        <v>Aporte a ARL. - recursos propios</v>
      </c>
      <c r="U100" s="27">
        <f>+ENERO!U100</f>
        <v>121324579</v>
      </c>
      <c r="V100" s="15">
        <f>SEPTIEMBRE!V100+OCTUBRE!AL100</f>
        <v>-121324579</v>
      </c>
      <c r="W100" s="15">
        <f>SEPTIEMBRE!W100+OCTUBRE!AM100</f>
        <v>0</v>
      </c>
      <c r="X100" s="18">
        <f t="shared" si="103"/>
        <v>0</v>
      </c>
      <c r="Y100" s="19">
        <f>SEPTIEMBRE!AA100</f>
        <v>0</v>
      </c>
      <c r="Z100" s="364">
        <v>0</v>
      </c>
      <c r="AA100" s="848">
        <f t="shared" si="104"/>
        <v>0</v>
      </c>
      <c r="AB100" s="19">
        <f>SEPTIEMBRE!AD100</f>
        <v>0</v>
      </c>
      <c r="AC100" s="364">
        <v>0</v>
      </c>
      <c r="AD100" s="848">
        <f t="shared" si="105"/>
        <v>0</v>
      </c>
      <c r="AE100" s="19">
        <f>SEPTIEMBRE!AG100</f>
        <v>0</v>
      </c>
      <c r="AF100" s="364">
        <v>0</v>
      </c>
      <c r="AG100" s="848">
        <f t="shared" si="106"/>
        <v>0</v>
      </c>
      <c r="AH100" s="19">
        <f t="shared" si="107"/>
        <v>0</v>
      </c>
      <c r="AI100" s="15">
        <f t="shared" si="108"/>
        <v>0</v>
      </c>
      <c r="AJ100" s="16">
        <f t="shared" si="109"/>
        <v>0</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+IF(SEPTIEMBRE!A101=0,"",SEPTIEMBRE!A101)</f>
        <v>11303-7</v>
      </c>
      <c r="B101" s="602" t="str">
        <f>+IF(SEPTIEMBRE!B101=0,"",SEPTIEMBRE!B101)</f>
        <v/>
      </c>
      <c r="C101" s="654">
        <f>+ENERO!C101</f>
        <v>0</v>
      </c>
      <c r="D101" s="363">
        <f>SEPTIEMBRE!D101+OCTUBRE!P101</f>
        <v>0</v>
      </c>
      <c r="E101" s="363">
        <f>SEPTIEMBRE!E101+OCTUBRE!Q101</f>
        <v>0</v>
      </c>
      <c r="F101" s="363">
        <f t="shared" si="97"/>
        <v>0</v>
      </c>
      <c r="G101" s="363">
        <f>SEPTIEMBRE!I101</f>
        <v>0</v>
      </c>
      <c r="H101" s="364">
        <v>0</v>
      </c>
      <c r="I101" s="363">
        <f t="shared" si="98"/>
        <v>0</v>
      </c>
      <c r="J101" s="363">
        <f>SEPTIEMBRE!L101</f>
        <v>0</v>
      </c>
      <c r="K101" s="364">
        <v>0</v>
      </c>
      <c r="L101" s="363">
        <f t="shared" si="99"/>
        <v>0</v>
      </c>
      <c r="M101" s="363">
        <f t="shared" si="100"/>
        <v>0</v>
      </c>
      <c r="N101" s="143">
        <f t="shared" si="101"/>
        <v>0</v>
      </c>
      <c r="P101" s="362">
        <v>0</v>
      </c>
      <c r="Q101" s="365">
        <v>0</v>
      </c>
      <c r="R101" s="9"/>
      <c r="S101" s="689" t="str">
        <f>+IF(SEPTIEMBRE!S101=0,"",SEPTIEMBRE!S101)</f>
        <v>1020302-5</v>
      </c>
      <c r="T101" s="665" t="str">
        <f>+IF(SEPTIEMBRE!T101=0,"",SEPTIEMBRE!T101)</f>
        <v>Aporte a Caja Compensación Familiar</v>
      </c>
      <c r="U101" s="27">
        <f>+ENERO!U101</f>
        <v>337233883</v>
      </c>
      <c r="V101" s="15">
        <f>SEPTIEMBRE!V101+OCTUBRE!AL101</f>
        <v>0</v>
      </c>
      <c r="W101" s="15">
        <f>SEPTIEMBRE!W101+OCTUBRE!AM101</f>
        <v>0</v>
      </c>
      <c r="X101" s="18">
        <f t="shared" si="103"/>
        <v>337233883</v>
      </c>
      <c r="Y101" s="19">
        <f>SEPTIEMBRE!AA101</f>
        <v>70381040</v>
      </c>
      <c r="Z101" s="364">
        <v>7489880</v>
      </c>
      <c r="AA101" s="848">
        <f t="shared" si="104"/>
        <v>77870920</v>
      </c>
      <c r="AB101" s="19">
        <f>SEPTIEMBRE!AD101</f>
        <v>70381040</v>
      </c>
      <c r="AC101" s="364">
        <v>7489880</v>
      </c>
      <c r="AD101" s="848">
        <f t="shared" si="105"/>
        <v>77870920</v>
      </c>
      <c r="AE101" s="19">
        <f>SEPTIEMBRE!AG101</f>
        <v>62595720</v>
      </c>
      <c r="AF101" s="364">
        <v>7785320</v>
      </c>
      <c r="AG101" s="848">
        <f t="shared" si="106"/>
        <v>70381040</v>
      </c>
      <c r="AH101" s="19">
        <f t="shared" si="107"/>
        <v>259362963</v>
      </c>
      <c r="AI101" s="15">
        <f t="shared" si="108"/>
        <v>259362963</v>
      </c>
      <c r="AJ101" s="16">
        <f t="shared" si="109"/>
        <v>266852843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+IF(SEPTIEMBRE!A102=0,"",SEPTIEMBRE!A102)</f>
        <v>11303-8</v>
      </c>
      <c r="B102" s="611" t="str">
        <f>+IF(SEPTIEMBRE!B102=0,"",SEPTIEMBRE!B102)</f>
        <v>Vigencia Anterior</v>
      </c>
      <c r="C102" s="760">
        <f>+ENERO!C102</f>
        <v>0</v>
      </c>
      <c r="D102" s="375">
        <f>SEPTIEMBRE!D102+OCTUBRE!P102</f>
        <v>0</v>
      </c>
      <c r="E102" s="375">
        <f>SEPTIEMBRE!E102+OCTUBRE!Q102</f>
        <v>0</v>
      </c>
      <c r="F102" s="375">
        <f t="shared" si="97"/>
        <v>0</v>
      </c>
      <c r="G102" s="375">
        <f>SEPTIEMBRE!I102</f>
        <v>0</v>
      </c>
      <c r="H102" s="378">
        <v>0</v>
      </c>
      <c r="I102" s="375">
        <f t="shared" si="98"/>
        <v>0</v>
      </c>
      <c r="J102" s="375">
        <f>SEPTIEMBRE!L102</f>
        <v>0</v>
      </c>
      <c r="K102" s="378">
        <v>0</v>
      </c>
      <c r="L102" s="375">
        <f t="shared" si="99"/>
        <v>0</v>
      </c>
      <c r="M102" s="375">
        <f t="shared" si="100"/>
        <v>0</v>
      </c>
      <c r="N102" s="376">
        <f t="shared" si="101"/>
        <v>0</v>
      </c>
      <c r="P102" s="362">
        <v>0</v>
      </c>
      <c r="Q102" s="365">
        <v>0</v>
      </c>
      <c r="R102" s="9"/>
      <c r="S102" s="688">
        <f>+IF(SEPTIEMBRE!S102=0,"",SEPTIEMBRE!S102)</f>
        <v>1020399</v>
      </c>
      <c r="T102" s="664" t="str">
        <f>+IF(SEPTIEMBRE!T102=0,"",SEPTIEMBRE!T102)</f>
        <v>Vigencias Anteriores</v>
      </c>
      <c r="U102" s="27">
        <f>+ENERO!U102</f>
        <v>172000000</v>
      </c>
      <c r="V102" s="15">
        <f>SEPTIEMBRE!V102+OCTUBRE!AL102</f>
        <v>6501068</v>
      </c>
      <c r="W102" s="15">
        <f>SEPTIEMBRE!W102+OCTUBRE!AM102</f>
        <v>13182074</v>
      </c>
      <c r="X102" s="18">
        <f t="shared" si="103"/>
        <v>191683142</v>
      </c>
      <c r="Y102" s="19">
        <f>SEPTIEMBRE!AA102</f>
        <v>191683142</v>
      </c>
      <c r="Z102" s="364">
        <v>0</v>
      </c>
      <c r="AA102" s="848">
        <f t="shared" si="104"/>
        <v>191683142</v>
      </c>
      <c r="AB102" s="19">
        <f>SEPTIEMBRE!AD102</f>
        <v>191683142</v>
      </c>
      <c r="AC102" s="364">
        <v>0</v>
      </c>
      <c r="AD102" s="848">
        <f t="shared" si="105"/>
        <v>191683142</v>
      </c>
      <c r="AE102" s="19">
        <f>SEPTIEMBRE!AG102</f>
        <v>191683142</v>
      </c>
      <c r="AF102" s="364">
        <v>0</v>
      </c>
      <c r="AG102" s="84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+IF(SEPTIEMBRE!A103=0,"",SEPTIEMBRE!A103)</f>
        <v/>
      </c>
      <c r="B103" s="636" t="str">
        <f>+IF(SEPTIEMBRE!B103=0,"",SEPTIEMBRE!B103)</f>
        <v/>
      </c>
      <c r="C103" s="470"/>
      <c r="D103" s="470"/>
      <c r="E103" s="470"/>
      <c r="F103" s="470"/>
      <c r="G103" s="470"/>
      <c r="H103" s="470"/>
      <c r="I103" s="470"/>
      <c r="J103" s="470"/>
      <c r="K103" s="470"/>
      <c r="L103" s="470"/>
      <c r="M103" s="470"/>
      <c r="N103" s="471"/>
      <c r="P103" s="472"/>
      <c r="Q103" s="471"/>
      <c r="R103" s="9"/>
      <c r="S103" s="356" t="str">
        <f>+IF(SEPTIEMBRE!S103=0,"",SEPTIEMBRE!S103)</f>
        <v/>
      </c>
      <c r="T103" s="678" t="str">
        <f>+IF(SEPTIEMBRE!T103=0,"",SEPTIEMBRE!T103)</f>
        <v/>
      </c>
      <c r="U103" s="161"/>
      <c r="V103" s="161"/>
      <c r="W103" s="161"/>
      <c r="X103" s="161"/>
      <c r="Y103" s="161"/>
      <c r="Z103" s="161"/>
      <c r="AA103" s="846"/>
      <c r="AB103" s="161"/>
      <c r="AC103" s="161"/>
      <c r="AD103" s="846"/>
      <c r="AE103" s="161"/>
      <c r="AF103" s="161"/>
      <c r="AG103" s="846"/>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+IF(SEPTIEMBRE!A104=0,"",SEPTIEMBRE!A104)</f>
        <v>11304</v>
      </c>
      <c r="B104" s="601" t="str">
        <f>+IF(SEPTIEMBRE!B104=0,"",SEPTIEMBRE!B104)</f>
        <v>Otros ingresos corrientes</v>
      </c>
      <c r="C104" s="600">
        <f>SUM(C105:C111)</f>
        <v>98172123</v>
      </c>
      <c r="D104" s="598">
        <f t="shared" ref="D104:N104" si="110">SUM(D105:D111)</f>
        <v>0</v>
      </c>
      <c r="E104" s="598">
        <f t="shared" si="110"/>
        <v>2205940</v>
      </c>
      <c r="F104" s="598">
        <f t="shared" si="110"/>
        <v>100378063</v>
      </c>
      <c r="G104" s="598">
        <f t="shared" si="110"/>
        <v>111842600</v>
      </c>
      <c r="H104" s="598">
        <f t="shared" si="110"/>
        <v>9329800</v>
      </c>
      <c r="I104" s="598">
        <f t="shared" si="110"/>
        <v>121172400</v>
      </c>
      <c r="J104" s="598">
        <f t="shared" si="110"/>
        <v>54583693</v>
      </c>
      <c r="K104" s="598">
        <f t="shared" si="110"/>
        <v>10519286</v>
      </c>
      <c r="L104" s="598">
        <f t="shared" si="110"/>
        <v>65102979</v>
      </c>
      <c r="M104" s="598">
        <f t="shared" si="110"/>
        <v>-20794337</v>
      </c>
      <c r="N104" s="599">
        <f t="shared" si="110"/>
        <v>35275084</v>
      </c>
      <c r="P104" s="43">
        <f>SUM(P105:P111)</f>
        <v>0</v>
      </c>
      <c r="Q104" s="45">
        <f>SUM(Q105:Q111)</f>
        <v>0</v>
      </c>
      <c r="R104" s="9"/>
      <c r="S104" s="687">
        <f>+IF(SEPTIEMBRE!S104=0,"",SEPTIEMBRE!S104)</f>
        <v>1020400</v>
      </c>
      <c r="T104" s="663" t="str">
        <f>+IF(SEPTIEMBRE!T104=0,"",SEPTIEMBRE!T104)</f>
        <v>Contribuciones Inherentes nómina del Sector Publico</v>
      </c>
      <c r="U104" s="132">
        <f t="shared" ref="U104:AJ104" si="111">U105+U108</f>
        <v>421542354</v>
      </c>
      <c r="V104" s="122">
        <f t="shared" si="111"/>
        <v>-130000000</v>
      </c>
      <c r="W104" s="122">
        <f t="shared" si="111"/>
        <v>0</v>
      </c>
      <c r="X104" s="129">
        <f t="shared" si="111"/>
        <v>291542354</v>
      </c>
      <c r="Y104" s="128">
        <f t="shared" si="111"/>
        <v>87976300</v>
      </c>
      <c r="Z104" s="122">
        <f t="shared" si="111"/>
        <v>9362350</v>
      </c>
      <c r="AA104" s="215">
        <f t="shared" si="111"/>
        <v>97338650</v>
      </c>
      <c r="AB104" s="128">
        <f t="shared" si="111"/>
        <v>87976300</v>
      </c>
      <c r="AC104" s="122">
        <f t="shared" si="111"/>
        <v>9362350</v>
      </c>
      <c r="AD104" s="215">
        <f t="shared" si="111"/>
        <v>97338650</v>
      </c>
      <c r="AE104" s="128">
        <f t="shared" si="111"/>
        <v>78244650</v>
      </c>
      <c r="AF104" s="122">
        <f t="shared" si="111"/>
        <v>9731650</v>
      </c>
      <c r="AG104" s="215">
        <f t="shared" si="111"/>
        <v>87976300</v>
      </c>
      <c r="AH104" s="128">
        <f t="shared" si="111"/>
        <v>194203704</v>
      </c>
      <c r="AI104" s="122">
        <f t="shared" si="111"/>
        <v>194203704</v>
      </c>
      <c r="AJ104" s="130">
        <f t="shared" si="111"/>
        <v>203566054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+IF(SEPTIEMBRE!A105=0,"",SEPTIEMBRE!A105)</f>
        <v>11304-1</v>
      </c>
      <c r="B105" s="602" t="str">
        <f>+IF(SEPTIEMBRE!B105=0,"",SEPTIEMBRE!B105)</f>
        <v>ARRENDAMIENTO Y ALQUILER DE BIENES MUEBLES E INMUEBLES</v>
      </c>
      <c r="C105" s="654">
        <f>+ENERO!C105</f>
        <v>35952047</v>
      </c>
      <c r="D105" s="363">
        <f>SEPTIEMBRE!D105+OCTUBRE!P105</f>
        <v>0</v>
      </c>
      <c r="E105" s="363">
        <f>SEPTIEMBRE!E105+OCTUBRE!Q105</f>
        <v>0</v>
      </c>
      <c r="F105" s="363">
        <f t="shared" ref="F105:F111" si="112">SUM(C105:E105)</f>
        <v>35952047</v>
      </c>
      <c r="G105" s="363">
        <f>SEPTIEMBRE!I105</f>
        <v>72967835</v>
      </c>
      <c r="H105" s="364">
        <v>4812527</v>
      </c>
      <c r="I105" s="363">
        <f t="shared" ref="I105:I111" si="113">SUM(G105:H105)</f>
        <v>77780362</v>
      </c>
      <c r="J105" s="363">
        <f>SEPTIEMBRE!L105</f>
        <v>15708928</v>
      </c>
      <c r="K105" s="364">
        <v>6002013</v>
      </c>
      <c r="L105" s="363">
        <f t="shared" ref="L105:L111" si="114">SUM(J105:K105)</f>
        <v>21710941</v>
      </c>
      <c r="M105" s="363">
        <f t="shared" ref="M105:M111" si="115">F105-I105</f>
        <v>-41828315</v>
      </c>
      <c r="N105" s="143">
        <f t="shared" ref="N105:N111" si="116">F105-L105</f>
        <v>14241106</v>
      </c>
      <c r="P105" s="362">
        <v>0</v>
      </c>
      <c r="Q105" s="365">
        <v>0</v>
      </c>
      <c r="R105" s="9"/>
      <c r="S105" s="688">
        <f>+IF(SEPTIEMBRE!S105=0,"",SEPTIEMBRE!S105)</f>
        <v>1020402</v>
      </c>
      <c r="T105" s="664" t="str">
        <f>+IF(SEPTIEMBRE!T105=0,"",SEPTIEMBRE!T105)</f>
        <v>Contribuciones - Otros</v>
      </c>
      <c r="U105" s="27">
        <f t="shared" ref="U105:AJ105" si="117">SUM(U106:U107)</f>
        <v>421542354</v>
      </c>
      <c r="V105" s="15">
        <f t="shared" si="117"/>
        <v>-130000000</v>
      </c>
      <c r="W105" s="15">
        <f t="shared" si="117"/>
        <v>0</v>
      </c>
      <c r="X105" s="18">
        <f t="shared" si="117"/>
        <v>291542354</v>
      </c>
      <c r="Y105" s="19">
        <f t="shared" si="117"/>
        <v>87976300</v>
      </c>
      <c r="Z105" s="142">
        <f t="shared" si="117"/>
        <v>9362350</v>
      </c>
      <c r="AA105" s="848">
        <f t="shared" si="117"/>
        <v>97338650</v>
      </c>
      <c r="AB105" s="19">
        <f t="shared" si="117"/>
        <v>87976300</v>
      </c>
      <c r="AC105" s="142">
        <f t="shared" si="117"/>
        <v>9362350</v>
      </c>
      <c r="AD105" s="848">
        <f t="shared" si="117"/>
        <v>97338650</v>
      </c>
      <c r="AE105" s="19">
        <f t="shared" si="117"/>
        <v>78244650</v>
      </c>
      <c r="AF105" s="142">
        <f t="shared" si="117"/>
        <v>9731650</v>
      </c>
      <c r="AG105" s="848">
        <f t="shared" si="117"/>
        <v>87976300</v>
      </c>
      <c r="AH105" s="19">
        <f t="shared" si="117"/>
        <v>194203704</v>
      </c>
      <c r="AI105" s="15">
        <f t="shared" si="117"/>
        <v>194203704</v>
      </c>
      <c r="AJ105" s="16">
        <f t="shared" si="117"/>
        <v>203566054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+IF(SEPTIEMBRE!A106=0,"",SEPTIEMBRE!A106)</f>
        <v>11304-2</v>
      </c>
      <c r="B106" s="603" t="str">
        <f>+IF(SEPTIEMBRE!B106=0,"",SEPTIEMBRE!B106)</f>
        <v>COMERCIALIZACIÓN DE MERCANCÍAS</v>
      </c>
      <c r="C106" s="654">
        <f>+ENERO!C106</f>
        <v>0</v>
      </c>
      <c r="D106" s="363">
        <f>SEPTIEMBRE!D106+OCTUBRE!P106</f>
        <v>0</v>
      </c>
      <c r="E106" s="363">
        <f>SEPTIEMBRE!E106+OCTUBRE!Q106</f>
        <v>0</v>
      </c>
      <c r="F106" s="363">
        <f t="shared" si="112"/>
        <v>0</v>
      </c>
      <c r="G106" s="363">
        <f>SEPTIEMBRE!I106</f>
        <v>0</v>
      </c>
      <c r="H106" s="364">
        <v>0</v>
      </c>
      <c r="I106" s="363">
        <f t="shared" si="113"/>
        <v>0</v>
      </c>
      <c r="J106" s="363">
        <f>SEPTIEMBRE!L106</f>
        <v>0</v>
      </c>
      <c r="K106" s="364">
        <v>0</v>
      </c>
      <c r="L106" s="363">
        <f t="shared" si="114"/>
        <v>0</v>
      </c>
      <c r="M106" s="363">
        <f t="shared" si="115"/>
        <v>0</v>
      </c>
      <c r="N106" s="143">
        <f t="shared" si="116"/>
        <v>0</v>
      </c>
      <c r="P106" s="362">
        <v>0</v>
      </c>
      <c r="Q106" s="365">
        <v>0</v>
      </c>
      <c r="R106" s="9"/>
      <c r="S106" s="689" t="str">
        <f>+IF(SEPTIEMBRE!S106=0,"",SEPTIEMBRE!S106)</f>
        <v>1020402-1</v>
      </c>
      <c r="T106" s="665" t="str">
        <f>+IF(SEPTIEMBRE!T106=0,"",SEPTIEMBRE!T106)</f>
        <v>S.E.N.A.</v>
      </c>
      <c r="U106" s="27">
        <f>+ENERO!U106</f>
        <v>168616942</v>
      </c>
      <c r="V106" s="15">
        <f>SEPTIEMBRE!V106+OCTUBRE!AL106</f>
        <v>-60000000</v>
      </c>
      <c r="W106" s="15">
        <f>SEPTIEMBRE!W106+OCTUBRE!AM106</f>
        <v>0</v>
      </c>
      <c r="X106" s="18">
        <f>SUM(U106:W106)</f>
        <v>108616942</v>
      </c>
      <c r="Y106" s="19">
        <f>SEPTIEMBRE!AA106</f>
        <v>35190520</v>
      </c>
      <c r="Z106" s="364">
        <v>3744940</v>
      </c>
      <c r="AA106" s="848">
        <f>SUM(Y106:Z106)</f>
        <v>38935460</v>
      </c>
      <c r="AB106" s="19">
        <f>SEPTIEMBRE!AD106</f>
        <v>35190520</v>
      </c>
      <c r="AC106" s="364">
        <v>3744940</v>
      </c>
      <c r="AD106" s="848">
        <f>SUM(AB106:AC106)</f>
        <v>38935460</v>
      </c>
      <c r="AE106" s="19">
        <f>SEPTIEMBRE!AG106</f>
        <v>31297860</v>
      </c>
      <c r="AF106" s="364">
        <v>3892660</v>
      </c>
      <c r="AG106" s="848">
        <f>SUM(AE106:AF106)</f>
        <v>35190520</v>
      </c>
      <c r="AH106" s="19">
        <f>X106-AA106</f>
        <v>69681482</v>
      </c>
      <c r="AI106" s="15">
        <f>X106-AD106</f>
        <v>69681482</v>
      </c>
      <c r="AJ106" s="16">
        <f>X106-AG106</f>
        <v>73426422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+IF(SEPTIEMBRE!A107=0,"",SEPTIEMBRE!A107)</f>
        <v>11304-3</v>
      </c>
      <c r="B107" s="602" t="str">
        <f>+IF(SEPTIEMBRE!B107=0,"",SEPTIEMBRE!B107)</f>
        <v>Bienestar Social</v>
      </c>
      <c r="C107" s="654">
        <f>+ENERO!C107</f>
        <v>0</v>
      </c>
      <c r="D107" s="363">
        <f>SEPTIEMBRE!D107+OCTUBRE!P107</f>
        <v>0</v>
      </c>
      <c r="E107" s="363">
        <f>SEPTIEMBRE!E107+OCTUBRE!Q107</f>
        <v>0</v>
      </c>
      <c r="F107" s="363">
        <f t="shared" si="112"/>
        <v>0</v>
      </c>
      <c r="G107" s="363">
        <f>SEPTIEMBRE!I107</f>
        <v>0</v>
      </c>
      <c r="H107" s="364">
        <v>0</v>
      </c>
      <c r="I107" s="363">
        <f t="shared" si="113"/>
        <v>0</v>
      </c>
      <c r="J107" s="363">
        <f>SEPTIEMBRE!L107</f>
        <v>0</v>
      </c>
      <c r="K107" s="364">
        <v>0</v>
      </c>
      <c r="L107" s="363">
        <f t="shared" si="114"/>
        <v>0</v>
      </c>
      <c r="M107" s="363">
        <f t="shared" si="115"/>
        <v>0</v>
      </c>
      <c r="N107" s="143">
        <f t="shared" si="116"/>
        <v>0</v>
      </c>
      <c r="P107" s="362">
        <v>0</v>
      </c>
      <c r="Q107" s="365">
        <v>0</v>
      </c>
      <c r="R107" s="9"/>
      <c r="S107" s="689" t="str">
        <f>+IF(SEPTIEMBRE!S107=0,"",SEPTIEMBRE!S107)</f>
        <v>1020402-2</v>
      </c>
      <c r="T107" s="665" t="str">
        <f>+IF(SEPTIEMBRE!T107=0,"",SEPTIEMBRE!T107)</f>
        <v>I.C.B.F.</v>
      </c>
      <c r="U107" s="27">
        <f>+ENERO!U107</f>
        <v>252925412</v>
      </c>
      <c r="V107" s="15">
        <f>SEPTIEMBRE!V107+OCTUBRE!AL107</f>
        <v>-70000000</v>
      </c>
      <c r="W107" s="15">
        <f>SEPTIEMBRE!W107+OCTUBRE!AM107</f>
        <v>0</v>
      </c>
      <c r="X107" s="18">
        <f>SUM(U107:W107)</f>
        <v>182925412</v>
      </c>
      <c r="Y107" s="19">
        <f>SEPTIEMBRE!AA107</f>
        <v>52785780</v>
      </c>
      <c r="Z107" s="364">
        <v>5617410</v>
      </c>
      <c r="AA107" s="848">
        <f>SUM(Y107:Z107)</f>
        <v>58403190</v>
      </c>
      <c r="AB107" s="19">
        <f>SEPTIEMBRE!AD107</f>
        <v>52785780</v>
      </c>
      <c r="AC107" s="364">
        <v>5617410</v>
      </c>
      <c r="AD107" s="848">
        <f>SUM(AB107:AC107)</f>
        <v>58403190</v>
      </c>
      <c r="AE107" s="19">
        <f>SEPTIEMBRE!AG107</f>
        <v>46946790</v>
      </c>
      <c r="AF107" s="364">
        <v>5838990</v>
      </c>
      <c r="AG107" s="848">
        <f>SUM(AE107:AF107)</f>
        <v>52785780</v>
      </c>
      <c r="AH107" s="19">
        <f>X107-AA107</f>
        <v>124522222</v>
      </c>
      <c r="AI107" s="15">
        <f>X107-AD107</f>
        <v>124522222</v>
      </c>
      <c r="AJ107" s="16">
        <f>X107-AG107</f>
        <v>130139632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+IF(SEPTIEMBRE!A108=0,"",SEPTIEMBRE!A108)</f>
        <v>11304-4</v>
      </c>
      <c r="B108" s="602" t="str">
        <f>+IF(SEPTIEMBRE!B108=0,"",SEPTIEMBRE!B108)</f>
        <v>Fondo de la Vivienda</v>
      </c>
      <c r="C108" s="654">
        <f>+ENERO!C108</f>
        <v>0</v>
      </c>
      <c r="D108" s="363">
        <f>SEPTIEMBRE!D108+OCTUBRE!P108</f>
        <v>0</v>
      </c>
      <c r="E108" s="363">
        <f>SEPTIEMBRE!E108+OCTUBRE!Q108</f>
        <v>0</v>
      </c>
      <c r="F108" s="363">
        <f t="shared" si="112"/>
        <v>0</v>
      </c>
      <c r="G108" s="363">
        <f>SEPTIEMBRE!I108</f>
        <v>0</v>
      </c>
      <c r="H108" s="364">
        <v>0</v>
      </c>
      <c r="I108" s="363">
        <f t="shared" si="113"/>
        <v>0</v>
      </c>
      <c r="J108" s="363">
        <f>SEPTIEMBRE!L108</f>
        <v>0</v>
      </c>
      <c r="K108" s="364">
        <v>0</v>
      </c>
      <c r="L108" s="363">
        <f t="shared" si="114"/>
        <v>0</v>
      </c>
      <c r="M108" s="363">
        <f t="shared" si="115"/>
        <v>0</v>
      </c>
      <c r="N108" s="143">
        <f t="shared" si="116"/>
        <v>0</v>
      </c>
      <c r="P108" s="362">
        <v>0</v>
      </c>
      <c r="Q108" s="365">
        <v>0</v>
      </c>
      <c r="R108" s="9"/>
      <c r="S108" s="688">
        <f>+IF(SEPTIEMBRE!S108=0,"",SEPTIEMBRE!S108)</f>
        <v>1020499</v>
      </c>
      <c r="T108" s="664" t="str">
        <f>+IF(SEPTIEMBRE!T108=0,"",SEPTIEMBRE!T108)</f>
        <v>Vigencias Anteriores</v>
      </c>
      <c r="U108" s="27">
        <f>+ENERO!U108</f>
        <v>0</v>
      </c>
      <c r="V108" s="15">
        <f>SEPTIEMBRE!V108+OCTUBRE!AL108</f>
        <v>0</v>
      </c>
      <c r="W108" s="15">
        <f>SEPTIEMBRE!W108+OCTUBRE!AM108</f>
        <v>0</v>
      </c>
      <c r="X108" s="18">
        <f>SUM(U108:W108)</f>
        <v>0</v>
      </c>
      <c r="Y108" s="19">
        <f>SEPTIEMBRE!AA108</f>
        <v>0</v>
      </c>
      <c r="Z108" s="364">
        <v>0</v>
      </c>
      <c r="AA108" s="848">
        <f>SUM(Y108:Z108)</f>
        <v>0</v>
      </c>
      <c r="AB108" s="19">
        <f>SEPTIEMBRE!AD108</f>
        <v>0</v>
      </c>
      <c r="AC108" s="364">
        <v>0</v>
      </c>
      <c r="AD108" s="848">
        <f>SUM(AB108:AC108)</f>
        <v>0</v>
      </c>
      <c r="AE108" s="19">
        <f>SEPTIEMBRE!AG108</f>
        <v>0</v>
      </c>
      <c r="AF108" s="364">
        <v>0</v>
      </c>
      <c r="AG108" s="84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+IF(SEPTIEMBRE!A109=0,"",SEPTIEMBRE!A109)</f>
        <v>11304-5</v>
      </c>
      <c r="B109" s="602" t="str">
        <f>+IF(SEPTIEMBRE!B109=0,"",SEPTIEMBRE!B109)</f>
        <v xml:space="preserve">Aprovechamientos </v>
      </c>
      <c r="C109" s="654">
        <f>+ENERO!C109</f>
        <v>62220076</v>
      </c>
      <c r="D109" s="363">
        <f>SEPTIEMBRE!D109+OCTUBRE!P109</f>
        <v>0</v>
      </c>
      <c r="E109" s="363">
        <f>SEPTIEMBRE!E109+OCTUBRE!Q109</f>
        <v>0</v>
      </c>
      <c r="F109" s="363">
        <f t="shared" si="112"/>
        <v>62220076</v>
      </c>
      <c r="G109" s="363">
        <f>SEPTIEMBRE!I109</f>
        <v>36668825</v>
      </c>
      <c r="H109" s="364">
        <v>4517273</v>
      </c>
      <c r="I109" s="363">
        <f t="shared" si="113"/>
        <v>41186098</v>
      </c>
      <c r="J109" s="363">
        <f>SEPTIEMBRE!L109</f>
        <v>36668825</v>
      </c>
      <c r="K109" s="364">
        <v>4517273</v>
      </c>
      <c r="L109" s="363">
        <f t="shared" si="114"/>
        <v>41186098</v>
      </c>
      <c r="M109" s="363">
        <f t="shared" si="115"/>
        <v>21033978</v>
      </c>
      <c r="N109" s="143">
        <f t="shared" si="116"/>
        <v>21033978</v>
      </c>
      <c r="P109" s="362">
        <v>0</v>
      </c>
      <c r="Q109" s="365">
        <v>0</v>
      </c>
      <c r="R109" s="9"/>
      <c r="S109" s="356" t="str">
        <f>+IF(SEPTIEMBRE!S109=0,"",SEPTIEMBRE!S109)</f>
        <v/>
      </c>
      <c r="T109" s="678" t="str">
        <f>+IF(SEPTIEMBRE!T109=0,"",SEPTIEMBRE!T109)</f>
        <v/>
      </c>
      <c r="U109" s="161"/>
      <c r="V109" s="161"/>
      <c r="W109" s="161"/>
      <c r="X109" s="161"/>
      <c r="Y109" s="161"/>
      <c r="Z109" s="161"/>
      <c r="AA109" s="846"/>
      <c r="AB109" s="161"/>
      <c r="AC109" s="161"/>
      <c r="AD109" s="846"/>
      <c r="AE109" s="161"/>
      <c r="AF109" s="161"/>
      <c r="AG109" s="846"/>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+IF(SEPTIEMBRE!A110=0,"",SEPTIEMBRE!A110)</f>
        <v>11304-6</v>
      </c>
      <c r="B110" s="602" t="str">
        <f>+IF(SEPTIEMBRE!B110=0,"",SEPTIEMBRE!B110)</f>
        <v>Otros</v>
      </c>
      <c r="C110" s="654">
        <f>+ENERO!C110</f>
        <v>0</v>
      </c>
      <c r="D110" s="363">
        <f>SEPTIEMBRE!D110+OCTUBRE!P110</f>
        <v>0</v>
      </c>
      <c r="E110" s="363">
        <f>SEPTIEMBRE!E110+OCTUBRE!Q110</f>
        <v>2205940</v>
      </c>
      <c r="F110" s="363">
        <f t="shared" si="112"/>
        <v>2205940</v>
      </c>
      <c r="G110" s="363">
        <f>SEPTIEMBRE!I110</f>
        <v>2205940</v>
      </c>
      <c r="H110" s="364">
        <v>0</v>
      </c>
      <c r="I110" s="363">
        <f t="shared" si="113"/>
        <v>2205940</v>
      </c>
      <c r="J110" s="363">
        <f>SEPTIEMBRE!L110</f>
        <v>2205940</v>
      </c>
      <c r="K110" s="364">
        <v>0</v>
      </c>
      <c r="L110" s="363">
        <f t="shared" si="114"/>
        <v>2205940</v>
      </c>
      <c r="M110" s="363">
        <f t="shared" si="115"/>
        <v>0</v>
      </c>
      <c r="N110" s="143">
        <f t="shared" si="116"/>
        <v>0</v>
      </c>
      <c r="P110" s="362">
        <v>0</v>
      </c>
      <c r="Q110" s="365">
        <v>0</v>
      </c>
      <c r="R110" s="9"/>
      <c r="S110" s="686">
        <f>+IF(SEPTIEMBRE!S110=0,"",SEPTIEMBRE!S110)</f>
        <v>2000000</v>
      </c>
      <c r="T110" s="668" t="str">
        <f>+IF(SEPTIEMBRE!T110=0,"",SEPTIEMBRE!T110)</f>
        <v>GASTOS GENERALES</v>
      </c>
      <c r="U110" s="460">
        <f t="shared" ref="U110:AJ110" si="118">U112+U145</f>
        <v>11975719527</v>
      </c>
      <c r="V110" s="461">
        <f t="shared" si="118"/>
        <v>-968000000</v>
      </c>
      <c r="W110" s="461">
        <f t="shared" si="118"/>
        <v>3599616634</v>
      </c>
      <c r="X110" s="462">
        <f t="shared" si="118"/>
        <v>14607336161</v>
      </c>
      <c r="Y110" s="369">
        <f t="shared" si="118"/>
        <v>11258197822</v>
      </c>
      <c r="Z110" s="461">
        <f t="shared" si="118"/>
        <v>637428022</v>
      </c>
      <c r="AA110" s="849">
        <f t="shared" si="118"/>
        <v>11895625844</v>
      </c>
      <c r="AB110" s="369">
        <f t="shared" si="118"/>
        <v>9651811504</v>
      </c>
      <c r="AC110" s="461">
        <f t="shared" si="118"/>
        <v>1041795324</v>
      </c>
      <c r="AD110" s="849">
        <f t="shared" si="118"/>
        <v>10693606828</v>
      </c>
      <c r="AE110" s="369">
        <f t="shared" si="118"/>
        <v>7807081756</v>
      </c>
      <c r="AF110" s="461">
        <f t="shared" si="118"/>
        <v>1062509221</v>
      </c>
      <c r="AG110" s="849">
        <f t="shared" si="118"/>
        <v>8869590977</v>
      </c>
      <c r="AH110" s="369">
        <f t="shared" si="118"/>
        <v>2711710317</v>
      </c>
      <c r="AI110" s="461">
        <f t="shared" si="118"/>
        <v>3913729333</v>
      </c>
      <c r="AJ110" s="370">
        <f t="shared" si="118"/>
        <v>5737745184</v>
      </c>
      <c r="AK110" s="10"/>
      <c r="AL110" s="128">
        <f>AL112+AL145</f>
        <v>175000000</v>
      </c>
      <c r="AM110" s="130">
        <f>AM112+AM145</f>
        <v>1195301905</v>
      </c>
      <c r="AN110" s="9"/>
      <c r="AO110" s="284"/>
      <c r="AP110" s="284"/>
      <c r="AQ110" s="284"/>
      <c r="AR110" s="284"/>
      <c r="AS110" s="284"/>
      <c r="AT110" s="284"/>
      <c r="AU110" s="284"/>
      <c r="AV110" s="284"/>
      <c r="AW110" s="284"/>
      <c r="AX110" s="284"/>
      <c r="AY110" s="284"/>
      <c r="AZ110" s="284"/>
    </row>
    <row r="111" spans="1:70" s="372" customFormat="1" ht="24.95" customHeight="1" thickBot="1">
      <c r="A111" s="721" t="str">
        <f>+IF(SEPTIEMBRE!A111=0,"",SEPTIEMBRE!A111)</f>
        <v>11304-7</v>
      </c>
      <c r="B111" s="637" t="str">
        <f>+IF(SEPTIEMBRE!B111=0,"",SEPTIEMBRE!B111)</f>
        <v>Vigencia Anterior</v>
      </c>
      <c r="C111" s="760">
        <f>+ENERO!C111</f>
        <v>0</v>
      </c>
      <c r="D111" s="375">
        <f>SEPTIEMBRE!D111+OCTUBRE!P111</f>
        <v>0</v>
      </c>
      <c r="E111" s="375">
        <f>SEPTIEMBRE!E111+OCTUBRE!Q111</f>
        <v>0</v>
      </c>
      <c r="F111" s="375">
        <f t="shared" si="112"/>
        <v>0</v>
      </c>
      <c r="G111" s="375">
        <f>SEPTIEMBRE!I111</f>
        <v>0</v>
      </c>
      <c r="H111" s="378">
        <v>0</v>
      </c>
      <c r="I111" s="375">
        <f t="shared" si="113"/>
        <v>0</v>
      </c>
      <c r="J111" s="375">
        <f>SEPTIEMBRE!L111</f>
        <v>0</v>
      </c>
      <c r="K111" s="378">
        <v>0</v>
      </c>
      <c r="L111" s="375">
        <f t="shared" si="114"/>
        <v>0</v>
      </c>
      <c r="M111" s="375">
        <f t="shared" si="115"/>
        <v>0</v>
      </c>
      <c r="N111" s="376">
        <f t="shared" si="116"/>
        <v>0</v>
      </c>
      <c r="P111" s="362">
        <v>0</v>
      </c>
      <c r="Q111" s="365">
        <v>0</v>
      </c>
      <c r="R111" s="9"/>
      <c r="S111" s="356" t="str">
        <f>+IF(SEPTIEMBRE!S111=0,"",SEPTIEMBRE!S111)</f>
        <v/>
      </c>
      <c r="T111" s="678" t="str">
        <f>+IF(SEPTIEMBRE!T111=0,"",SEPTIEMBRE!T111)</f>
        <v/>
      </c>
      <c r="U111" s="161"/>
      <c r="V111" s="161"/>
      <c r="W111" s="161"/>
      <c r="X111" s="161"/>
      <c r="Y111" s="161"/>
      <c r="Z111" s="161"/>
      <c r="AA111" s="846"/>
      <c r="AB111" s="161"/>
      <c r="AC111" s="161"/>
      <c r="AD111" s="846"/>
      <c r="AE111" s="161"/>
      <c r="AF111" s="161"/>
      <c r="AG111" s="846"/>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+IF(SEPTIEMBRE!A112=0,"",SEPTIEMBRE!A112)</f>
        <v/>
      </c>
      <c r="B112" s="636" t="str">
        <f>+IF(SEPTIEMBRE!B112=0,"",SEPTIEMBRE!B112)</f>
        <v/>
      </c>
      <c r="C112" s="470"/>
      <c r="D112" s="470"/>
      <c r="E112" s="470"/>
      <c r="F112" s="470"/>
      <c r="G112" s="470"/>
      <c r="H112" s="470"/>
      <c r="I112" s="470"/>
      <c r="J112" s="470"/>
      <c r="K112" s="470"/>
      <c r="L112" s="470"/>
      <c r="M112" s="470"/>
      <c r="N112" s="471"/>
      <c r="P112" s="472"/>
      <c r="Q112" s="471"/>
      <c r="R112" s="9"/>
      <c r="S112" s="686">
        <f>+IF(SEPTIEMBRE!S112=0,"",SEPTIEMBRE!S112)</f>
        <v>2010000</v>
      </c>
      <c r="T112" s="662" t="str">
        <f>+IF(SEPTIEMBRE!T112=0,"",SEPTIEMBRE!T112)</f>
        <v>Gastos de Administración</v>
      </c>
      <c r="U112" s="132">
        <f t="shared" ref="U112:AJ112" si="119">U114+U123+U141</f>
        <v>6052082264</v>
      </c>
      <c r="V112" s="122">
        <f t="shared" si="119"/>
        <v>-1490000000</v>
      </c>
      <c r="W112" s="122">
        <f t="shared" si="119"/>
        <v>1054314729</v>
      </c>
      <c r="X112" s="129">
        <f t="shared" si="119"/>
        <v>5616396993</v>
      </c>
      <c r="Y112" s="128">
        <f t="shared" si="119"/>
        <v>4524575075</v>
      </c>
      <c r="Z112" s="122">
        <f t="shared" si="119"/>
        <v>205396541</v>
      </c>
      <c r="AA112" s="215">
        <f t="shared" si="119"/>
        <v>4729971616</v>
      </c>
      <c r="AB112" s="128">
        <f t="shared" si="119"/>
        <v>3832638936</v>
      </c>
      <c r="AC112" s="122">
        <f t="shared" si="119"/>
        <v>511918745</v>
      </c>
      <c r="AD112" s="215">
        <f t="shared" si="119"/>
        <v>4344557681</v>
      </c>
      <c r="AE112" s="128">
        <f t="shared" si="119"/>
        <v>3330558965</v>
      </c>
      <c r="AF112" s="122">
        <f t="shared" si="119"/>
        <v>332801528</v>
      </c>
      <c r="AG112" s="215">
        <f t="shared" si="119"/>
        <v>3663360493</v>
      </c>
      <c r="AH112" s="128">
        <f t="shared" si="119"/>
        <v>886425377</v>
      </c>
      <c r="AI112" s="122">
        <f t="shared" si="119"/>
        <v>1271839312</v>
      </c>
      <c r="AJ112" s="130">
        <f t="shared" si="119"/>
        <v>1953036500</v>
      </c>
      <c r="AK112" s="9"/>
      <c r="AL112" s="128">
        <f>AL114+AL123+AL141</f>
        <v>15000000</v>
      </c>
      <c r="AM112" s="130">
        <f>AM114+AM123+AM141</f>
        <v>30000000</v>
      </c>
      <c r="AN112" s="9"/>
      <c r="AO112" s="284"/>
      <c r="AP112" s="284"/>
      <c r="AQ112" s="284"/>
      <c r="AR112" s="284"/>
      <c r="AS112" s="284"/>
      <c r="AT112" s="284"/>
      <c r="AU112" s="284"/>
      <c r="AV112" s="284"/>
      <c r="AW112" s="284"/>
      <c r="AX112" s="284"/>
      <c r="AY112" s="284"/>
      <c r="AZ112" s="284"/>
    </row>
    <row r="113" spans="1:52" s="372" customFormat="1" ht="24.95" customHeight="1" thickBot="1">
      <c r="A113" s="711">
        <f>+IF(SEPTIEMBRE!A113=0,"",SEPTIEMBRE!A113)</f>
        <v>2000</v>
      </c>
      <c r="B113" s="623" t="str">
        <f>+IF(SEPTIEMBRE!B113=0,"",SEPTIEMBRE!B113)</f>
        <v>INGRESOS DE CAPITAL</v>
      </c>
      <c r="C113" s="606">
        <f>SUM(C115:C124)</f>
        <v>200295319</v>
      </c>
      <c r="D113" s="607">
        <f>SUM(D115:D124)</f>
        <v>0</v>
      </c>
      <c r="E113" s="607">
        <f t="shared" ref="E113:N113" si="120">SUM(E115:E124)</f>
        <v>603028777</v>
      </c>
      <c r="F113" s="607">
        <f t="shared" si="120"/>
        <v>803324096</v>
      </c>
      <c r="G113" s="607">
        <f t="shared" si="120"/>
        <v>603036053</v>
      </c>
      <c r="H113" s="607">
        <f t="shared" si="120"/>
        <v>154293922</v>
      </c>
      <c r="I113" s="607">
        <f t="shared" si="120"/>
        <v>757329975</v>
      </c>
      <c r="J113" s="607">
        <f t="shared" si="120"/>
        <v>603036053</v>
      </c>
      <c r="K113" s="607">
        <f t="shared" si="120"/>
        <v>154293922</v>
      </c>
      <c r="L113" s="607">
        <f t="shared" si="120"/>
        <v>757329975</v>
      </c>
      <c r="M113" s="607">
        <f t="shared" si="120"/>
        <v>45994121</v>
      </c>
      <c r="N113" s="608">
        <f t="shared" si="120"/>
        <v>45994121</v>
      </c>
      <c r="O113" s="451"/>
      <c r="P113" s="174">
        <f>SUM(P115:P124)</f>
        <v>0</v>
      </c>
      <c r="Q113" s="175">
        <f>SUM(Q115:Q124)</f>
        <v>17259993</v>
      </c>
      <c r="R113" s="9"/>
      <c r="S113" s="356" t="str">
        <f>+IF(SEPTIEMBRE!S113=0,"",SEPTIEMBRE!S113)</f>
        <v/>
      </c>
      <c r="T113" s="678" t="str">
        <f>+IF(SEPTIEMBRE!T113=0,"",SEPTIEMBRE!T113)</f>
        <v/>
      </c>
      <c r="U113" s="161"/>
      <c r="V113" s="161"/>
      <c r="W113" s="161"/>
      <c r="X113" s="161"/>
      <c r="Y113" s="161"/>
      <c r="Z113" s="161"/>
      <c r="AA113" s="846"/>
      <c r="AB113" s="161"/>
      <c r="AC113" s="161"/>
      <c r="AD113" s="846"/>
      <c r="AE113" s="161"/>
      <c r="AF113" s="161"/>
      <c r="AG113" s="846"/>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+IF(SEPTIEMBRE!A114=0,"",SEPTIEMBRE!A114)</f>
        <v/>
      </c>
      <c r="B114" s="636" t="str">
        <f>+IF(SEPTIEMBRE!B114=0,"",SEPTIEMBRE!B114)</f>
        <v/>
      </c>
      <c r="C114" s="470"/>
      <c r="D114" s="470"/>
      <c r="E114" s="470"/>
      <c r="F114" s="470"/>
      <c r="G114" s="470"/>
      <c r="H114" s="470"/>
      <c r="I114" s="470"/>
      <c r="J114" s="470"/>
      <c r="K114" s="470"/>
      <c r="L114" s="470"/>
      <c r="M114" s="470"/>
      <c r="N114" s="471"/>
      <c r="P114" s="472"/>
      <c r="Q114" s="471"/>
      <c r="R114" s="9"/>
      <c r="S114" s="687">
        <f>+IF(SEPTIEMBRE!S114=0,"",SEPTIEMBRE!S114)</f>
        <v>2010100</v>
      </c>
      <c r="T114" s="663" t="str">
        <f>+IF(SEPTIEMBRE!T114=0,"",SEPTIEMBRE!T114)</f>
        <v>Adquisición de bienes</v>
      </c>
      <c r="U114" s="132">
        <f t="shared" ref="U114:AJ114" si="121">SUM(U115:U121)</f>
        <v>2750000000</v>
      </c>
      <c r="V114" s="122">
        <f t="shared" si="121"/>
        <v>-1600000000</v>
      </c>
      <c r="W114" s="122">
        <f t="shared" si="121"/>
        <v>694314729</v>
      </c>
      <c r="X114" s="129">
        <f t="shared" si="121"/>
        <v>1844314729</v>
      </c>
      <c r="Y114" s="128">
        <f t="shared" si="121"/>
        <v>1452876290</v>
      </c>
      <c r="Z114" s="122">
        <f t="shared" si="121"/>
        <v>125781870</v>
      </c>
      <c r="AA114" s="215">
        <f t="shared" si="121"/>
        <v>1578658160</v>
      </c>
      <c r="AB114" s="128">
        <f t="shared" si="121"/>
        <v>1229851464</v>
      </c>
      <c r="AC114" s="122">
        <f t="shared" si="121"/>
        <v>305028406</v>
      </c>
      <c r="AD114" s="215">
        <f t="shared" si="121"/>
        <v>1534879870</v>
      </c>
      <c r="AE114" s="128">
        <f t="shared" si="121"/>
        <v>1120777537</v>
      </c>
      <c r="AF114" s="122">
        <f t="shared" si="121"/>
        <v>65790178</v>
      </c>
      <c r="AG114" s="215">
        <f t="shared" si="121"/>
        <v>1186567715</v>
      </c>
      <c r="AH114" s="128">
        <f t="shared" si="121"/>
        <v>265656569</v>
      </c>
      <c r="AI114" s="122">
        <f t="shared" si="121"/>
        <v>309434859</v>
      </c>
      <c r="AJ114" s="130">
        <f t="shared" si="121"/>
        <v>657747014</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+IF(SEPTIEMBRE!A115=0,"",SEPTIEMBRE!A115)</f>
        <v>2100</v>
      </c>
      <c r="B115" s="609" t="str">
        <f>+IF(SEPTIEMBRE!B115=0,"",SEPTIEMBRE!B115)</f>
        <v>CREDITO INTERNO</v>
      </c>
      <c r="C115" s="655">
        <f>+ENERO!C115</f>
        <v>0</v>
      </c>
      <c r="D115" s="454">
        <f>SEPTIEMBRE!D115+OCTUBRE!P115</f>
        <v>0</v>
      </c>
      <c r="E115" s="454">
        <f>SEPTIEMBRE!E115+OCTUBRE!Q115</f>
        <v>0</v>
      </c>
      <c r="F115" s="458">
        <f t="shared" ref="F115:F124" si="122">SUM(C115:E115)</f>
        <v>0</v>
      </c>
      <c r="G115" s="456">
        <f>SEPTIEMBRE!I115</f>
        <v>0</v>
      </c>
      <c r="H115" s="364">
        <v>0</v>
      </c>
      <c r="I115" s="458">
        <f t="shared" ref="I115:I124" si="123">SUM(G115:H115)</f>
        <v>0</v>
      </c>
      <c r="J115" s="456">
        <f>SEPTIEMBRE!L115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+IF(SEPTIEMBRE!S115=0,"",SEPTIEMBRE!S115)</f>
        <v>2010100-1</v>
      </c>
      <c r="T115" s="664" t="str">
        <f>+IF(SEPTIEMBRE!T115=0,"",SEPTIEMBRE!T115)</f>
        <v>Compra de Equipos</v>
      </c>
      <c r="U115" s="27">
        <f>+ENERO!U115</f>
        <v>2350000000</v>
      </c>
      <c r="V115" s="15">
        <f>SEPTIEMBRE!V115+OCTUBRE!AL115</f>
        <v>-1730000000</v>
      </c>
      <c r="W115" s="15">
        <f>SEPTIEMBRE!W115+OCTUBRE!AM115</f>
        <v>0</v>
      </c>
      <c r="X115" s="18">
        <f t="shared" ref="X115:X121" si="127">SUM(U115:W115)</f>
        <v>620000000</v>
      </c>
      <c r="Y115" s="19">
        <f>SEPTIEMBRE!AA115</f>
        <v>482047705</v>
      </c>
      <c r="Z115" s="364">
        <v>71447177</v>
      </c>
      <c r="AA115" s="848">
        <f t="shared" ref="AA115:AA121" si="128">SUM(Y115:Z115)</f>
        <v>553494882</v>
      </c>
      <c r="AB115" s="19">
        <f>SEPTIEMBRE!AD115</f>
        <v>304812675</v>
      </c>
      <c r="AC115" s="364">
        <v>248682207</v>
      </c>
      <c r="AD115" s="848">
        <f t="shared" ref="AD115:AD121" si="129">SUM(AB115:AC115)</f>
        <v>553494882</v>
      </c>
      <c r="AE115" s="19">
        <f>SEPTIEMBRE!AG115</f>
        <v>296313695</v>
      </c>
      <c r="AF115" s="364">
        <v>9235093</v>
      </c>
      <c r="AG115" s="848">
        <f t="shared" ref="AG115:AG121" si="130">SUM(AE115:AF115)</f>
        <v>305548788</v>
      </c>
      <c r="AH115" s="19">
        <f t="shared" ref="AH115:AH121" si="131">X115-AA115</f>
        <v>66505118</v>
      </c>
      <c r="AI115" s="15">
        <f t="shared" ref="AI115:AI121" si="132">X115-AD115</f>
        <v>66505118</v>
      </c>
      <c r="AJ115" s="16">
        <f t="shared" ref="AJ115:AJ121" si="133">X115-AG115</f>
        <v>314451212</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+IF(SEPTIEMBRE!A116=0,"",SEPTIEMBRE!A116)</f>
        <v>2100-1</v>
      </c>
      <c r="B116" s="610" t="str">
        <f>+IF(SEPTIEMBRE!B116=0,"",SEPTIEMBRE!B116)</f>
        <v>Vigencia Anterior</v>
      </c>
      <c r="C116" s="655">
        <f>+ENERO!C116</f>
        <v>0</v>
      </c>
      <c r="D116" s="454">
        <f>SEPTIEMBRE!D116+OCTUBRE!P116</f>
        <v>0</v>
      </c>
      <c r="E116" s="454">
        <f>SEPTIEMBRE!E116+OCTUBRE!Q116</f>
        <v>0</v>
      </c>
      <c r="F116" s="458">
        <f t="shared" si="122"/>
        <v>0</v>
      </c>
      <c r="G116" s="456">
        <f>SEPTIEMBRE!I116</f>
        <v>0</v>
      </c>
      <c r="H116" s="364">
        <v>0</v>
      </c>
      <c r="I116" s="458">
        <f t="shared" si="123"/>
        <v>0</v>
      </c>
      <c r="J116" s="456">
        <f>SEPTIEMBRE!L116</f>
        <v>0</v>
      </c>
      <c r="K116" s="364">
        <v>0</v>
      </c>
      <c r="L116" s="455">
        <f t="shared" si="124"/>
        <v>0</v>
      </c>
      <c r="M116" s="459">
        <f t="shared" si="125"/>
        <v>0</v>
      </c>
      <c r="N116" s="455">
        <f t="shared" si="126"/>
        <v>0</v>
      </c>
      <c r="O116" s="451"/>
      <c r="P116" s="362">
        <v>0</v>
      </c>
      <c r="Q116" s="365">
        <v>0</v>
      </c>
      <c r="R116" s="9"/>
      <c r="S116" s="688" t="str">
        <f>+IF(SEPTIEMBRE!S116=0,"",SEPTIEMBRE!S116)</f>
        <v>2010100-2</v>
      </c>
      <c r="T116" s="664" t="str">
        <f>+IF(SEPTIEMBRE!T116=0,"",SEPTIEMBRE!T116)</f>
        <v>Materiales</v>
      </c>
      <c r="U116" s="27">
        <f>+ENERO!U116</f>
        <v>300000000</v>
      </c>
      <c r="V116" s="15">
        <f>SEPTIEMBRE!V116+OCTUBRE!AL116</f>
        <v>0</v>
      </c>
      <c r="W116" s="15">
        <f>SEPTIEMBRE!W116+OCTUBRE!AM116</f>
        <v>294314729</v>
      </c>
      <c r="X116" s="18">
        <f t="shared" si="127"/>
        <v>594314729</v>
      </c>
      <c r="Y116" s="19">
        <f>SEPTIEMBRE!AA116</f>
        <v>350165748</v>
      </c>
      <c r="Z116" s="364">
        <v>53855313</v>
      </c>
      <c r="AA116" s="848">
        <f t="shared" si="128"/>
        <v>404021061</v>
      </c>
      <c r="AB116" s="19">
        <f>SEPTIEMBRE!AD116</f>
        <v>344375952</v>
      </c>
      <c r="AC116" s="364">
        <v>55866819</v>
      </c>
      <c r="AD116" s="848">
        <f t="shared" si="129"/>
        <v>400242771</v>
      </c>
      <c r="AE116" s="19">
        <f>SEPTIEMBRE!AG116</f>
        <v>243801005</v>
      </c>
      <c r="AF116" s="364">
        <v>56075705</v>
      </c>
      <c r="AG116" s="848">
        <f t="shared" si="130"/>
        <v>299876710</v>
      </c>
      <c r="AH116" s="19">
        <f t="shared" si="131"/>
        <v>190293668</v>
      </c>
      <c r="AI116" s="15">
        <f t="shared" si="132"/>
        <v>194071958</v>
      </c>
      <c r="AJ116" s="16">
        <f t="shared" si="133"/>
        <v>294438019</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+IF(SEPTIEMBRE!A117=0,"",SEPTIEMBRE!A117)</f>
        <v>2200</v>
      </c>
      <c r="B117" s="609" t="str">
        <f>+IF(SEPTIEMBRE!B117=0,"",SEPTIEMBRE!B117)</f>
        <v>CREDITO EXTERNO</v>
      </c>
      <c r="C117" s="655">
        <f>+ENERO!C117</f>
        <v>0</v>
      </c>
      <c r="D117" s="454">
        <f>SEPTIEMBRE!D117+OCTUBRE!P117</f>
        <v>0</v>
      </c>
      <c r="E117" s="454">
        <f>SEPTIEMBRE!E117+OCTUBRE!Q117</f>
        <v>0</v>
      </c>
      <c r="F117" s="458">
        <f t="shared" si="122"/>
        <v>0</v>
      </c>
      <c r="G117" s="456">
        <f>SEPTIEMBRE!I117</f>
        <v>0</v>
      </c>
      <c r="H117" s="364">
        <v>0</v>
      </c>
      <c r="I117" s="458">
        <f t="shared" si="123"/>
        <v>0</v>
      </c>
      <c r="J117" s="456">
        <f>SEPTIEMBRE!L117</f>
        <v>0</v>
      </c>
      <c r="K117" s="364">
        <v>0</v>
      </c>
      <c r="L117" s="455">
        <f t="shared" si="124"/>
        <v>0</v>
      </c>
      <c r="M117" s="459">
        <f t="shared" si="125"/>
        <v>0</v>
      </c>
      <c r="N117" s="455">
        <f t="shared" si="126"/>
        <v>0</v>
      </c>
      <c r="O117" s="451"/>
      <c r="P117" s="362">
        <v>0</v>
      </c>
      <c r="Q117" s="365">
        <v>0</v>
      </c>
      <c r="R117" s="9"/>
      <c r="S117" s="688" t="str">
        <f>+IF(SEPTIEMBRE!S117=0,"",SEPTIEMBRE!S117)</f>
        <v>2010100-3</v>
      </c>
      <c r="T117" s="664" t="str">
        <f>+IF(SEPTIEMBRE!T117=0,"",SEPTIEMBRE!T117)</f>
        <v>Salud Ocupacional</v>
      </c>
      <c r="U117" s="27">
        <f>+ENERO!U117</f>
        <v>0</v>
      </c>
      <c r="V117" s="15">
        <f>SEPTIEMBRE!V117+OCTUBRE!AL117</f>
        <v>40000000</v>
      </c>
      <c r="W117" s="15">
        <f>SEPTIEMBRE!W117+OCTUBRE!AM117</f>
        <v>0</v>
      </c>
      <c r="X117" s="18">
        <f t="shared" si="127"/>
        <v>40000000</v>
      </c>
      <c r="Y117" s="19">
        <f>SEPTIEMBRE!AA117</f>
        <v>40000000</v>
      </c>
      <c r="Z117" s="364">
        <v>0</v>
      </c>
      <c r="AA117" s="848">
        <f t="shared" si="128"/>
        <v>40000000</v>
      </c>
      <c r="AB117" s="19">
        <f>SEPTIEMBRE!AD117</f>
        <v>0</v>
      </c>
      <c r="AC117" s="364">
        <v>0</v>
      </c>
      <c r="AD117" s="848">
        <f t="shared" si="129"/>
        <v>0</v>
      </c>
      <c r="AE117" s="19">
        <f>SEPTIEMBRE!AG117</f>
        <v>0</v>
      </c>
      <c r="AF117" s="364">
        <v>0</v>
      </c>
      <c r="AG117" s="848">
        <f t="shared" si="130"/>
        <v>0</v>
      </c>
      <c r="AH117" s="19">
        <f t="shared" si="131"/>
        <v>0</v>
      </c>
      <c r="AI117" s="15">
        <f t="shared" si="132"/>
        <v>40000000</v>
      </c>
      <c r="AJ117" s="16">
        <f t="shared" si="133"/>
        <v>40000000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+IF(SEPTIEMBRE!A118=0,"",SEPTIEMBRE!A118)</f>
        <v>2200-1</v>
      </c>
      <c r="B118" s="610" t="str">
        <f>+IF(SEPTIEMBRE!B118=0,"",SEPTIEMBRE!B118)</f>
        <v>Vigencia Anterior</v>
      </c>
      <c r="C118" s="655">
        <f>+ENERO!C118</f>
        <v>0</v>
      </c>
      <c r="D118" s="454">
        <f>SEPTIEMBRE!D118+OCTUBRE!P118</f>
        <v>0</v>
      </c>
      <c r="E118" s="454">
        <f>SEPTIEMBRE!E118+OCTUBRE!Q118</f>
        <v>0</v>
      </c>
      <c r="F118" s="458">
        <f t="shared" si="122"/>
        <v>0</v>
      </c>
      <c r="G118" s="456">
        <f>SEPTIEMBRE!I118</f>
        <v>0</v>
      </c>
      <c r="H118" s="364">
        <v>0</v>
      </c>
      <c r="I118" s="458">
        <f t="shared" si="123"/>
        <v>0</v>
      </c>
      <c r="J118" s="456">
        <f>SEPTIEMBRE!L118</f>
        <v>0</v>
      </c>
      <c r="K118" s="364">
        <v>0</v>
      </c>
      <c r="L118" s="455">
        <f t="shared" si="124"/>
        <v>0</v>
      </c>
      <c r="M118" s="459">
        <f t="shared" si="125"/>
        <v>0</v>
      </c>
      <c r="N118" s="455">
        <f t="shared" si="126"/>
        <v>0</v>
      </c>
      <c r="O118" s="451"/>
      <c r="P118" s="362">
        <v>0</v>
      </c>
      <c r="Q118" s="365">
        <v>0</v>
      </c>
      <c r="R118" s="9"/>
      <c r="S118" s="688" t="str">
        <f>+IF(SEPTIEMBRE!S118=0,"",SEPTIEMBRE!S118)</f>
        <v>2010100-4</v>
      </c>
      <c r="T118" s="664" t="str">
        <f>+IF(SEPTIEMBRE!T118=0,"",SEPTIEMBRE!T118)</f>
        <v/>
      </c>
      <c r="U118" s="27">
        <f>+ENERO!U118</f>
        <v>0</v>
      </c>
      <c r="V118" s="15">
        <f>SEPTIEMBRE!V118+OCTUBRE!AL118</f>
        <v>70000000</v>
      </c>
      <c r="W118" s="15">
        <f>SEPTIEMBRE!W118+OCTUBRE!AM118</f>
        <v>0</v>
      </c>
      <c r="X118" s="18">
        <f t="shared" si="127"/>
        <v>70000000</v>
      </c>
      <c r="Y118" s="19">
        <f>SEPTIEMBRE!AA118</f>
        <v>65000000</v>
      </c>
      <c r="Z118" s="364">
        <v>0</v>
      </c>
      <c r="AA118" s="848">
        <f t="shared" si="128"/>
        <v>65000000</v>
      </c>
      <c r="AB118" s="19">
        <f>SEPTIEMBRE!AD118</f>
        <v>65000000</v>
      </c>
      <c r="AC118" s="364">
        <v>0</v>
      </c>
      <c r="AD118" s="848">
        <f t="shared" si="129"/>
        <v>65000000</v>
      </c>
      <c r="AE118" s="19">
        <f>SEPTIEMBRE!AG118</f>
        <v>65000000</v>
      </c>
      <c r="AF118" s="364">
        <v>0</v>
      </c>
      <c r="AG118" s="848">
        <f t="shared" si="130"/>
        <v>65000000</v>
      </c>
      <c r="AH118" s="19">
        <f t="shared" si="131"/>
        <v>5000000</v>
      </c>
      <c r="AI118" s="15">
        <f t="shared" si="132"/>
        <v>5000000</v>
      </c>
      <c r="AJ118" s="16">
        <f t="shared" si="133"/>
        <v>5000000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+IF(SEPTIEMBRE!A119=0,"",SEPTIEMBRE!A119)</f>
        <v>2300</v>
      </c>
      <c r="B119" s="609" t="str">
        <f>+IF(SEPTIEMBRE!B119=0,"",SEPTIEMBRE!B119)</f>
        <v>RENDIMIENTOS FINANCIEROS</v>
      </c>
      <c r="C119" s="655">
        <f>+ENERO!C119</f>
        <v>200295319</v>
      </c>
      <c r="D119" s="454">
        <f>SEPTIEMBRE!D119+OCTUBRE!P119</f>
        <v>0</v>
      </c>
      <c r="E119" s="454">
        <f>SEPTIEMBRE!E119+OCTUBRE!Q119</f>
        <v>0</v>
      </c>
      <c r="F119" s="458">
        <f t="shared" si="122"/>
        <v>200295319</v>
      </c>
      <c r="G119" s="216">
        <f>SEPTIEMBRE!I119</f>
        <v>7276</v>
      </c>
      <c r="H119" s="364">
        <v>152828092</v>
      </c>
      <c r="I119" s="463">
        <f t="shared" si="123"/>
        <v>152835368</v>
      </c>
      <c r="J119" s="216">
        <f>SEPTIEMBRE!L119</f>
        <v>7276</v>
      </c>
      <c r="K119" s="364">
        <v>152828092</v>
      </c>
      <c r="L119" s="143">
        <f t="shared" si="124"/>
        <v>152835368</v>
      </c>
      <c r="M119" s="428">
        <f t="shared" si="125"/>
        <v>47459951</v>
      </c>
      <c r="N119" s="143">
        <f t="shared" si="126"/>
        <v>47459951</v>
      </c>
      <c r="O119" s="451"/>
      <c r="P119" s="362">
        <v>0</v>
      </c>
      <c r="Q119" s="365">
        <v>0</v>
      </c>
      <c r="R119" s="9"/>
      <c r="S119" s="688" t="str">
        <f>+IF(SEPTIEMBRE!S119=0,"",SEPTIEMBRE!S119)</f>
        <v>2010100-5</v>
      </c>
      <c r="T119" s="664" t="str">
        <f>+IF(SEPTIEMBRE!T119=0,"",SEPTIEMBRE!T119)</f>
        <v/>
      </c>
      <c r="U119" s="27">
        <f>+ENERO!U119</f>
        <v>0</v>
      </c>
      <c r="V119" s="15">
        <f>SEPTIEMBRE!V119+OCTUBRE!AL119</f>
        <v>0</v>
      </c>
      <c r="W119" s="15">
        <f>SEPTIEMBRE!W119+OCTUBRE!AM119</f>
        <v>0</v>
      </c>
      <c r="X119" s="18">
        <f t="shared" si="127"/>
        <v>0</v>
      </c>
      <c r="Y119" s="19">
        <f>SEPTIEMBRE!AA119</f>
        <v>0</v>
      </c>
      <c r="Z119" s="364">
        <v>0</v>
      </c>
      <c r="AA119" s="848">
        <f t="shared" si="128"/>
        <v>0</v>
      </c>
      <c r="AB119" s="19">
        <f>SEPTIEMBRE!AD119</f>
        <v>0</v>
      </c>
      <c r="AC119" s="364">
        <v>0</v>
      </c>
      <c r="AD119" s="848">
        <f t="shared" si="129"/>
        <v>0</v>
      </c>
      <c r="AE119" s="19">
        <f>SEPTIEMBRE!AG119</f>
        <v>0</v>
      </c>
      <c r="AF119" s="364">
        <v>0</v>
      </c>
      <c r="AG119" s="84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+IF(SEPTIEMBRE!A120=0,"",SEPTIEMBRE!A120)</f>
        <v>2400</v>
      </c>
      <c r="B120" s="610" t="str">
        <f>+IF(SEPTIEMBRE!B120=0,"",SEPTIEMBRE!B120)</f>
        <v>VENTA DE ACTIVOS</v>
      </c>
      <c r="C120" s="655">
        <f>+ENERO!C120</f>
        <v>0</v>
      </c>
      <c r="D120" s="454">
        <f>SEPTIEMBRE!D120+OCTUBRE!P120</f>
        <v>0</v>
      </c>
      <c r="E120" s="454">
        <f>SEPTIEMBRE!E120+OCTUBRE!Q120</f>
        <v>0</v>
      </c>
      <c r="F120" s="458">
        <f t="shared" si="122"/>
        <v>0</v>
      </c>
      <c r="G120" s="216">
        <f>SEPTIEMBRE!I120</f>
        <v>0</v>
      </c>
      <c r="H120" s="364">
        <v>0</v>
      </c>
      <c r="I120" s="463">
        <f t="shared" si="123"/>
        <v>0</v>
      </c>
      <c r="J120" s="216">
        <f>SEPTIEMBRE!L120</f>
        <v>0</v>
      </c>
      <c r="K120" s="364">
        <v>0</v>
      </c>
      <c r="L120" s="143">
        <f t="shared" si="124"/>
        <v>0</v>
      </c>
      <c r="M120" s="428">
        <f t="shared" si="125"/>
        <v>0</v>
      </c>
      <c r="N120" s="143">
        <f t="shared" si="126"/>
        <v>0</v>
      </c>
      <c r="P120" s="362">
        <v>0</v>
      </c>
      <c r="Q120" s="365">
        <v>0</v>
      </c>
      <c r="R120" s="9"/>
      <c r="S120" s="688" t="str">
        <f>+IF(SEPTIEMBRE!S120=0,"",SEPTIEMBRE!S120)</f>
        <v>2010100-6</v>
      </c>
      <c r="T120" s="664" t="str">
        <f>+IF(SEPTIEMBRE!T120=0,"",SEPTIEMBRE!T120)</f>
        <v/>
      </c>
      <c r="U120" s="27">
        <f>+ENERO!U120</f>
        <v>0</v>
      </c>
      <c r="V120" s="15">
        <f>SEPTIEMBRE!V120+OCTUBRE!AL120</f>
        <v>0</v>
      </c>
      <c r="W120" s="15">
        <f>SEPTIEMBRE!W120+OCTUBRE!AM120</f>
        <v>0</v>
      </c>
      <c r="X120" s="18">
        <f t="shared" si="127"/>
        <v>0</v>
      </c>
      <c r="Y120" s="19">
        <f>SEPTIEMBRE!AA120</f>
        <v>0</v>
      </c>
      <c r="Z120" s="364">
        <v>0</v>
      </c>
      <c r="AA120" s="848">
        <f t="shared" si="128"/>
        <v>0</v>
      </c>
      <c r="AB120" s="19">
        <f>SEPTIEMBRE!AD120</f>
        <v>0</v>
      </c>
      <c r="AC120" s="364">
        <v>0</v>
      </c>
      <c r="AD120" s="848">
        <f t="shared" si="129"/>
        <v>0</v>
      </c>
      <c r="AE120" s="19">
        <f>SEPTIEMBRE!AG120</f>
        <v>0</v>
      </c>
      <c r="AF120" s="364">
        <v>0</v>
      </c>
      <c r="AG120" s="84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+IF(SEPTIEMBRE!A121=0,"",SEPTIEMBRE!A121)</f>
        <v>2500</v>
      </c>
      <c r="B121" s="610" t="str">
        <f>+IF(SEPTIEMBRE!B121=0,"",SEPTIEMBRE!B121)</f>
        <v>DONACIONES</v>
      </c>
      <c r="C121" s="655">
        <f>+ENERO!C121</f>
        <v>0</v>
      </c>
      <c r="D121" s="454">
        <f>SEPTIEMBRE!D121+OCTUBRE!P121</f>
        <v>0</v>
      </c>
      <c r="E121" s="454">
        <f>SEPTIEMBRE!E121+OCTUBRE!Q121</f>
        <v>1500000</v>
      </c>
      <c r="F121" s="458">
        <f t="shared" si="122"/>
        <v>1500000</v>
      </c>
      <c r="G121" s="216">
        <f>SEPTIEMBRE!I121</f>
        <v>1500000</v>
      </c>
      <c r="H121" s="364">
        <v>0</v>
      </c>
      <c r="I121" s="463">
        <f t="shared" si="123"/>
        <v>1500000</v>
      </c>
      <c r="J121" s="216">
        <f>SEPTIEMBRE!L121</f>
        <v>1500000</v>
      </c>
      <c r="K121" s="364">
        <v>0</v>
      </c>
      <c r="L121" s="143">
        <f t="shared" si="124"/>
        <v>1500000</v>
      </c>
      <c r="M121" s="428">
        <f t="shared" si="125"/>
        <v>0</v>
      </c>
      <c r="N121" s="143">
        <f t="shared" si="126"/>
        <v>0</v>
      </c>
      <c r="P121" s="362">
        <v>0</v>
      </c>
      <c r="Q121" s="365">
        <v>0</v>
      </c>
      <c r="R121" s="9"/>
      <c r="S121" s="688">
        <f>+IF(SEPTIEMBRE!S121=0,"",SEPTIEMBRE!S121)</f>
        <v>2010199</v>
      </c>
      <c r="T121" s="664" t="str">
        <f>+IF(SEPTIEMBRE!T121=0,"",SEPTIEMBRE!T121)</f>
        <v>Vigencias Anteriores</v>
      </c>
      <c r="U121" s="27">
        <f>+ENERO!U121</f>
        <v>100000000</v>
      </c>
      <c r="V121" s="15">
        <f>SEPTIEMBRE!V121+OCTUBRE!AL121</f>
        <v>20000000</v>
      </c>
      <c r="W121" s="15">
        <f>SEPTIEMBRE!W121+OCTUBRE!AM121</f>
        <v>400000000</v>
      </c>
      <c r="X121" s="18">
        <f t="shared" si="127"/>
        <v>520000000</v>
      </c>
      <c r="Y121" s="19">
        <f>SEPTIEMBRE!AA121</f>
        <v>515662837</v>
      </c>
      <c r="Z121" s="364">
        <v>479380</v>
      </c>
      <c r="AA121" s="848">
        <f t="shared" si="128"/>
        <v>516142217</v>
      </c>
      <c r="AB121" s="19">
        <f>SEPTIEMBRE!AD121</f>
        <v>515662837</v>
      </c>
      <c r="AC121" s="364">
        <v>479380</v>
      </c>
      <c r="AD121" s="848">
        <f t="shared" si="129"/>
        <v>516142217</v>
      </c>
      <c r="AE121" s="19">
        <f>SEPTIEMBRE!AG121</f>
        <v>515662837</v>
      </c>
      <c r="AF121" s="364">
        <v>479380</v>
      </c>
      <c r="AG121" s="848">
        <f t="shared" si="130"/>
        <v>516142217</v>
      </c>
      <c r="AH121" s="19">
        <f t="shared" si="131"/>
        <v>3857783</v>
      </c>
      <c r="AI121" s="15">
        <f t="shared" si="132"/>
        <v>3857783</v>
      </c>
      <c r="AJ121" s="16">
        <f t="shared" si="133"/>
        <v>3857783</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+IF(SEPTIEMBRE!A122=0,"",SEPTIEMBRE!A122)</f>
        <v>2600</v>
      </c>
      <c r="B122" s="610" t="str">
        <f>+IF(SEPTIEMBRE!B122=0,"",SEPTIEMBRE!B122)</f>
        <v>RECUPERACIÓN DE CARTERA (AÑO 2017 Y ANTERIORES)</v>
      </c>
      <c r="C122" s="655">
        <f>+ENERO!C122</f>
        <v>0</v>
      </c>
      <c r="D122" s="454">
        <f>SEPTIEMBRE!D122+OCTUBRE!P122</f>
        <v>0</v>
      </c>
      <c r="E122" s="454">
        <f>SEPTIEMBRE!E122+OCTUBRE!Q122</f>
        <v>0</v>
      </c>
      <c r="F122" s="458">
        <f t="shared" si="122"/>
        <v>0</v>
      </c>
      <c r="G122" s="216">
        <f>SEPTIEMBRE!I122</f>
        <v>0</v>
      </c>
      <c r="H122" s="364">
        <v>0</v>
      </c>
      <c r="I122" s="463">
        <f t="shared" si="123"/>
        <v>0</v>
      </c>
      <c r="J122" s="216">
        <f>SEPTIEMBRE!L122</f>
        <v>0</v>
      </c>
      <c r="K122" s="364">
        <v>0</v>
      </c>
      <c r="L122" s="143">
        <f t="shared" si="124"/>
        <v>0</v>
      </c>
      <c r="M122" s="428">
        <f t="shared" si="125"/>
        <v>0</v>
      </c>
      <c r="N122" s="143">
        <f t="shared" si="126"/>
        <v>0</v>
      </c>
      <c r="P122" s="362">
        <v>0</v>
      </c>
      <c r="Q122" s="365">
        <v>0</v>
      </c>
      <c r="R122" s="9"/>
      <c r="S122" s="356" t="str">
        <f>+IF(SEPTIEMBRE!S122=0,"",SEPTIEMBRE!S122)</f>
        <v/>
      </c>
      <c r="T122" s="678" t="str">
        <f>+IF(SEPTIEMBRE!T122=0,"",SEPTIEMBRE!T122)</f>
        <v/>
      </c>
      <c r="U122" s="161"/>
      <c r="V122" s="161"/>
      <c r="W122" s="161"/>
      <c r="X122" s="161"/>
      <c r="Y122" s="161"/>
      <c r="Z122" s="161"/>
      <c r="AA122" s="846"/>
      <c r="AB122" s="161"/>
      <c r="AC122" s="161"/>
      <c r="AD122" s="846"/>
      <c r="AE122" s="161"/>
      <c r="AF122" s="161"/>
      <c r="AG122" s="846"/>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+IF(SEPTIEMBRE!A123=0,"",SEPTIEMBRE!A123)</f>
        <v>2700</v>
      </c>
      <c r="B123" s="610" t="str">
        <f>+IF(SEPTIEMBRE!B123=0,"",SEPTIEMBRE!B123)</f>
        <v>OTROS INGRESOS DE CAPITAL</v>
      </c>
      <c r="C123" s="655">
        <f>+ENERO!C123</f>
        <v>0</v>
      </c>
      <c r="D123" s="454">
        <f>SEPTIEMBRE!D123+OCTUBRE!P123</f>
        <v>0</v>
      </c>
      <c r="E123" s="454">
        <f>SEPTIEMBRE!E123+OCTUBRE!Q123</f>
        <v>170896778</v>
      </c>
      <c r="F123" s="458">
        <f t="shared" si="122"/>
        <v>170896778</v>
      </c>
      <c r="G123" s="216">
        <f>SEPTIEMBRE!I123</f>
        <v>170896778</v>
      </c>
      <c r="H123" s="364">
        <v>1465830</v>
      </c>
      <c r="I123" s="463">
        <f t="shared" si="123"/>
        <v>172362608</v>
      </c>
      <c r="J123" s="216">
        <f>SEPTIEMBRE!L123</f>
        <v>170896778</v>
      </c>
      <c r="K123" s="364">
        <v>1465830</v>
      </c>
      <c r="L123" s="143">
        <f t="shared" si="124"/>
        <v>172362608</v>
      </c>
      <c r="M123" s="428">
        <f t="shared" si="125"/>
        <v>-1465830</v>
      </c>
      <c r="N123" s="143">
        <f t="shared" si="126"/>
        <v>-1465830</v>
      </c>
      <c r="P123" s="362">
        <v>0</v>
      </c>
      <c r="Q123" s="365">
        <v>17259993</v>
      </c>
      <c r="R123" s="9"/>
      <c r="S123" s="687">
        <f>+IF(SEPTIEMBRE!S123=0,"",SEPTIEMBRE!S123)</f>
        <v>2010200</v>
      </c>
      <c r="T123" s="663" t="str">
        <f>+IF(SEPTIEMBRE!T123=0,"",SEPTIEMBRE!T123)</f>
        <v>Adquisición de Servicios</v>
      </c>
      <c r="U123" s="132">
        <f t="shared" ref="U123:AJ123" si="134">SUM(U124:U139)</f>
        <v>2775000000</v>
      </c>
      <c r="V123" s="122">
        <f t="shared" si="134"/>
        <v>110000000</v>
      </c>
      <c r="W123" s="122">
        <f t="shared" si="134"/>
        <v>360000000</v>
      </c>
      <c r="X123" s="129">
        <f t="shared" si="134"/>
        <v>3245000000</v>
      </c>
      <c r="Y123" s="128">
        <f t="shared" si="134"/>
        <v>2856371076</v>
      </c>
      <c r="Z123" s="122">
        <f t="shared" si="134"/>
        <v>63482778</v>
      </c>
      <c r="AA123" s="215">
        <f t="shared" si="134"/>
        <v>2919853854</v>
      </c>
      <c r="AB123" s="128">
        <f t="shared" si="134"/>
        <v>2388482763</v>
      </c>
      <c r="AC123" s="122">
        <f t="shared" si="134"/>
        <v>189735446</v>
      </c>
      <c r="AD123" s="215">
        <f t="shared" si="134"/>
        <v>2578218209</v>
      </c>
      <c r="AE123" s="128">
        <f t="shared" si="134"/>
        <v>1995476719</v>
      </c>
      <c r="AF123" s="122">
        <f t="shared" si="134"/>
        <v>249856457</v>
      </c>
      <c r="AG123" s="215">
        <f t="shared" si="134"/>
        <v>2245333176</v>
      </c>
      <c r="AH123" s="128">
        <f t="shared" si="134"/>
        <v>325146146</v>
      </c>
      <c r="AI123" s="122">
        <f t="shared" si="134"/>
        <v>666781791</v>
      </c>
      <c r="AJ123" s="130">
        <f t="shared" si="134"/>
        <v>999666824</v>
      </c>
      <c r="AK123" s="9"/>
      <c r="AL123" s="128">
        <f>SUM(AL124:AL139)</f>
        <v>15000000</v>
      </c>
      <c r="AM123" s="130">
        <f>SUM(AM124:AM139)</f>
        <v>30000000</v>
      </c>
      <c r="AN123" s="9"/>
      <c r="AO123" s="284"/>
      <c r="AP123" s="284"/>
      <c r="AQ123" s="284"/>
      <c r="AR123" s="284"/>
      <c r="AS123" s="284"/>
      <c r="AT123" s="284"/>
      <c r="AU123" s="284"/>
      <c r="AV123" s="284"/>
      <c r="AW123" s="284"/>
      <c r="AX123" s="284"/>
      <c r="AY123" s="284"/>
      <c r="AZ123" s="284"/>
    </row>
    <row r="124" spans="1:52" s="372" customFormat="1" ht="24.95" customHeight="1" thickBot="1">
      <c r="A124" s="727">
        <f>+IF(SEPTIEMBRE!A124=0,"",SEPTIEMBRE!A124)</f>
        <v>2800</v>
      </c>
      <c r="B124" s="638" t="str">
        <f>+IF(SEPTIEMBRE!B124=0,"",SEPTIEMBRE!B124)</f>
        <v/>
      </c>
      <c r="C124" s="759">
        <f>+ENERO!C124</f>
        <v>0</v>
      </c>
      <c r="D124" s="452">
        <f>SEPTIEMBRE!D124+OCTUBRE!P124</f>
        <v>0</v>
      </c>
      <c r="E124" s="452">
        <f>SEPTIEMBRE!E124+OCTUBRE!Q124</f>
        <v>430631999</v>
      </c>
      <c r="F124" s="464">
        <f t="shared" si="122"/>
        <v>430631999</v>
      </c>
      <c r="G124" s="377">
        <f>SEPTIEMBRE!I124</f>
        <v>430631999</v>
      </c>
      <c r="H124" s="378">
        <v>0</v>
      </c>
      <c r="I124" s="465">
        <f t="shared" si="123"/>
        <v>430631999</v>
      </c>
      <c r="J124" s="377">
        <f>SEPTIEMBRE!L124</f>
        <v>430631999</v>
      </c>
      <c r="K124" s="378">
        <v>0</v>
      </c>
      <c r="L124" s="376">
        <f t="shared" si="124"/>
        <v>430631999</v>
      </c>
      <c r="M124" s="466">
        <f t="shared" si="125"/>
        <v>0</v>
      </c>
      <c r="N124" s="376">
        <f t="shared" si="126"/>
        <v>0</v>
      </c>
      <c r="P124" s="374">
        <v>0</v>
      </c>
      <c r="Q124" s="379">
        <v>0</v>
      </c>
      <c r="R124" s="9"/>
      <c r="S124" s="688" t="str">
        <f>+IF(SEPTIEMBRE!S124=0,"",SEPTIEMBRE!S124)</f>
        <v>2010200-1</v>
      </c>
      <c r="T124" s="664" t="str">
        <f>+IF(SEPTIEMBRE!T124=0,"",SEPTIEMBRE!T124)</f>
        <v>Seguros</v>
      </c>
      <c r="U124" s="27">
        <f>+ENERO!U124</f>
        <v>3000000</v>
      </c>
      <c r="V124" s="15">
        <f>SEPTIEMBRE!V124+OCTUBRE!AL124</f>
        <v>0</v>
      </c>
      <c r="W124" s="15">
        <f>SEPTIEMBRE!W124+OCTUBRE!AM124</f>
        <v>0</v>
      </c>
      <c r="X124" s="18">
        <f t="shared" ref="X124:X139" si="135">SUM(U124:W124)</f>
        <v>3000000</v>
      </c>
      <c r="Y124" s="19">
        <f>SEPTIEMBRE!AA124</f>
        <v>1958919</v>
      </c>
      <c r="Z124" s="364">
        <v>0</v>
      </c>
      <c r="AA124" s="848">
        <f t="shared" ref="AA124:AA139" si="136">SUM(Y124:Z124)</f>
        <v>1958919</v>
      </c>
      <c r="AB124" s="19">
        <f>SEPTIEMBRE!AD124</f>
        <v>1666765</v>
      </c>
      <c r="AC124" s="364">
        <v>0</v>
      </c>
      <c r="AD124" s="848">
        <f t="shared" ref="AD124:AD139" si="137">SUM(AB124:AC124)</f>
        <v>1666765</v>
      </c>
      <c r="AE124" s="19">
        <f>SEPTIEMBRE!AG124</f>
        <v>1666765</v>
      </c>
      <c r="AF124" s="364">
        <v>0</v>
      </c>
      <c r="AG124" s="848">
        <f t="shared" ref="AG124:AG139" si="138">SUM(AE124:AF124)</f>
        <v>1666765</v>
      </c>
      <c r="AH124" s="19">
        <f t="shared" ref="AH124:AH139" si="139">X124-AA124</f>
        <v>1041081</v>
      </c>
      <c r="AI124" s="15">
        <f t="shared" ref="AI124:AI139" si="140">X124-AD124</f>
        <v>1333235</v>
      </c>
      <c r="AJ124" s="16">
        <f t="shared" ref="AJ124:AJ139" si="141">X124-AG124</f>
        <v>1333235</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+IF(SEPTIEMBRE!S125=0,"",SEPTIEMBRE!S125)</f>
        <v>2010200-2</v>
      </c>
      <c r="T125" s="664" t="str">
        <f>+IF(SEPTIEMBRE!T125=0,"",SEPTIEMBRE!T125)</f>
        <v>Impresos y Publicaciones</v>
      </c>
      <c r="U125" s="27">
        <f>+ENERO!U125</f>
        <v>25000000</v>
      </c>
      <c r="V125" s="15">
        <f>SEPTIEMBRE!V125+OCTUBRE!AL125</f>
        <v>0</v>
      </c>
      <c r="W125" s="15">
        <f>SEPTIEMBRE!W125+OCTUBRE!AM125</f>
        <v>0</v>
      </c>
      <c r="X125" s="18">
        <f t="shared" si="135"/>
        <v>25000000</v>
      </c>
      <c r="Y125" s="19">
        <f>SEPTIEMBRE!AA125</f>
        <v>4494395</v>
      </c>
      <c r="Z125" s="364">
        <v>0</v>
      </c>
      <c r="AA125" s="848">
        <f t="shared" si="136"/>
        <v>4494395</v>
      </c>
      <c r="AB125" s="19">
        <f>SEPTIEMBRE!AD125</f>
        <v>4494395</v>
      </c>
      <c r="AC125" s="364">
        <v>0</v>
      </c>
      <c r="AD125" s="848">
        <f t="shared" si="137"/>
        <v>4494395</v>
      </c>
      <c r="AE125" s="19">
        <f>SEPTIEMBRE!AG125</f>
        <v>2634400</v>
      </c>
      <c r="AF125" s="364">
        <v>0</v>
      </c>
      <c r="AG125" s="848">
        <f t="shared" si="138"/>
        <v>2634400</v>
      </c>
      <c r="AH125" s="19">
        <f t="shared" si="139"/>
        <v>20505605</v>
      </c>
      <c r="AI125" s="15">
        <f t="shared" si="140"/>
        <v>20505605</v>
      </c>
      <c r="AJ125" s="16">
        <f t="shared" si="141"/>
        <v>22365600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2">C8-C128</f>
        <v>66420360605</v>
      </c>
      <c r="D126" s="467">
        <f t="shared" si="142"/>
        <v>0</v>
      </c>
      <c r="E126" s="467">
        <f t="shared" si="142"/>
        <v>29081589492</v>
      </c>
      <c r="F126" s="467">
        <f t="shared" si="142"/>
        <v>95501950097</v>
      </c>
      <c r="G126" s="467">
        <f t="shared" si="142"/>
        <v>76314422031</v>
      </c>
      <c r="H126" s="467">
        <f t="shared" si="142"/>
        <v>14163843415</v>
      </c>
      <c r="I126" s="467">
        <f t="shared" si="142"/>
        <v>90478265446</v>
      </c>
      <c r="J126" s="467">
        <f t="shared" si="142"/>
        <v>50209111702.07</v>
      </c>
      <c r="K126" s="467">
        <f t="shared" si="142"/>
        <v>6875804786</v>
      </c>
      <c r="L126" s="467">
        <f t="shared" si="142"/>
        <v>57084916488.070007</v>
      </c>
      <c r="M126" s="467">
        <f t="shared" si="142"/>
        <v>5023684651</v>
      </c>
      <c r="N126" s="596">
        <f t="shared" si="142"/>
        <v>38417033608.930008</v>
      </c>
      <c r="P126" s="468">
        <f>P8-P128</f>
        <v>0</v>
      </c>
      <c r="Q126" s="469">
        <f>Q8-Q128</f>
        <v>2856918398</v>
      </c>
      <c r="R126" s="9"/>
      <c r="S126" s="688" t="str">
        <f>+IF(SEPTIEMBRE!S126=0,"",SEPTIEMBRE!S126)</f>
        <v>2010200-3</v>
      </c>
      <c r="T126" s="664" t="str">
        <f>+IF(SEPTIEMBRE!T126=0,"",SEPTIEMBRE!T126)</f>
        <v xml:space="preserve">Servicios Públicos </v>
      </c>
      <c r="U126" s="27">
        <f>+ENERO!U126</f>
        <v>740000000</v>
      </c>
      <c r="V126" s="15">
        <f>SEPTIEMBRE!V126+OCTUBRE!AL126</f>
        <v>0</v>
      </c>
      <c r="W126" s="15">
        <f>SEPTIEMBRE!W126+OCTUBRE!AM126</f>
        <v>0</v>
      </c>
      <c r="X126" s="18">
        <f t="shared" si="135"/>
        <v>740000000</v>
      </c>
      <c r="Y126" s="19">
        <f>SEPTIEMBRE!AA126</f>
        <v>546882547</v>
      </c>
      <c r="Z126" s="364">
        <v>45951191</v>
      </c>
      <c r="AA126" s="848">
        <f t="shared" si="136"/>
        <v>592833738</v>
      </c>
      <c r="AB126" s="19">
        <f>SEPTIEMBRE!AD126</f>
        <v>546882547</v>
      </c>
      <c r="AC126" s="364">
        <v>45951191</v>
      </c>
      <c r="AD126" s="848">
        <f t="shared" si="137"/>
        <v>592833738</v>
      </c>
      <c r="AE126" s="19">
        <f>SEPTIEMBRE!AG126</f>
        <v>453418481</v>
      </c>
      <c r="AF126" s="364">
        <v>99971091</v>
      </c>
      <c r="AG126" s="848">
        <f t="shared" si="138"/>
        <v>553389572</v>
      </c>
      <c r="AH126" s="19">
        <f t="shared" si="139"/>
        <v>147166262</v>
      </c>
      <c r="AI126" s="15">
        <f t="shared" si="140"/>
        <v>147166262</v>
      </c>
      <c r="AJ126" s="16">
        <f t="shared" si="141"/>
        <v>186610428</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+IF(SEPTIEMBRE!S127=0,"",SEPTIEMBRE!S127)</f>
        <v>2010200-4</v>
      </c>
      <c r="T127" s="664" t="str">
        <f>+IF(SEPTIEMBRE!T127=0,"",SEPTIEMBRE!T127)</f>
        <v>Comunicaciones y Transportes</v>
      </c>
      <c r="U127" s="27">
        <f>+ENERO!U127</f>
        <v>118000000</v>
      </c>
      <c r="V127" s="15">
        <f>SEPTIEMBRE!V127+OCTUBRE!AL127</f>
        <v>40000000</v>
      </c>
      <c r="W127" s="15">
        <f>SEPTIEMBRE!W127+OCTUBRE!AM127</f>
        <v>0</v>
      </c>
      <c r="X127" s="18">
        <f t="shared" si="135"/>
        <v>158000000</v>
      </c>
      <c r="Y127" s="19">
        <f>SEPTIEMBRE!AA127</f>
        <v>152161703</v>
      </c>
      <c r="Z127" s="364">
        <v>4211780</v>
      </c>
      <c r="AA127" s="848">
        <f t="shared" si="136"/>
        <v>156373483</v>
      </c>
      <c r="AB127" s="19">
        <f>SEPTIEMBRE!AD127</f>
        <v>99861703</v>
      </c>
      <c r="AC127" s="364">
        <v>17122422</v>
      </c>
      <c r="AD127" s="848">
        <f t="shared" si="137"/>
        <v>116984125</v>
      </c>
      <c r="AE127" s="19">
        <f>SEPTIEMBRE!AG127</f>
        <v>95761703</v>
      </c>
      <c r="AF127" s="364">
        <v>19222422</v>
      </c>
      <c r="AG127" s="848">
        <f t="shared" si="138"/>
        <v>114984125</v>
      </c>
      <c r="AH127" s="19">
        <f t="shared" si="139"/>
        <v>1626517</v>
      </c>
      <c r="AI127" s="15">
        <f t="shared" si="140"/>
        <v>41015875</v>
      </c>
      <c r="AJ127" s="16">
        <f t="shared" si="141"/>
        <v>43015875</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16143311761</v>
      </c>
      <c r="F128" s="473">
        <f>SUMIF($B8:$B$122,$B$24,F8:F122)+F122</f>
        <v>16143311761</v>
      </c>
      <c r="G128" s="473">
        <f>SUMIF($B8:$B$122,$B$24,G8:G122)+G122</f>
        <v>16143311761</v>
      </c>
      <c r="H128" s="473">
        <f>SUMIF($B8:$B$122,$B$24,H8:H122)+H122</f>
        <v>1741918315</v>
      </c>
      <c r="I128" s="473">
        <f>SUMIF($B8:$B$122,$B$24,I8:I122)+I122</f>
        <v>17885230076</v>
      </c>
      <c r="J128" s="473">
        <f>SUMIF($B8:$B$122,$B$24,J8:J122)+J1212</f>
        <v>16143311760.690001</v>
      </c>
      <c r="K128" s="473">
        <f>SUMIF($B8:$B$122,$B$24,K8:K122)+K122</f>
        <v>1741918315</v>
      </c>
      <c r="L128" s="473">
        <f>SUMIF($B8:$B$122,$B$24,L8:L122)+L122</f>
        <v>17885230075.689999</v>
      </c>
      <c r="M128" s="473">
        <f>SUMIF($B8:$B$122,$B$24,M8:M122)+M12</f>
        <v>-1741918315</v>
      </c>
      <c r="N128" s="597">
        <f>SUMIF($B8:$B$122,$B$24,N8:N122)+N122</f>
        <v>-1741918314.6900001</v>
      </c>
      <c r="O128" s="451"/>
      <c r="P128" s="473">
        <f>SUMIF($B8:$B$122,$B$24,P8:P122)+P122</f>
        <v>0</v>
      </c>
      <c r="Q128" s="474">
        <f>SUMIF($B8:$B$122,$B$24,Q8:Q122)+Q122</f>
        <v>2625078300</v>
      </c>
      <c r="R128" s="9"/>
      <c r="S128" s="688" t="str">
        <f>+IF(SEPTIEMBRE!S128=0,"",SEPTIEMBRE!S128)</f>
        <v>2010200-5</v>
      </c>
      <c r="T128" s="664" t="str">
        <f>+IF(SEPTIEMBRE!T128=0,"",SEPTIEMBRE!T128)</f>
        <v>Viáticos y Gastos de Viaje</v>
      </c>
      <c r="U128" s="27">
        <f>+ENERO!U128</f>
        <v>22000000</v>
      </c>
      <c r="V128" s="15">
        <f>SEPTIEMBRE!V128+OCTUBRE!AL128</f>
        <v>0</v>
      </c>
      <c r="W128" s="15">
        <f>SEPTIEMBRE!W128+OCTUBRE!AM128</f>
        <v>0</v>
      </c>
      <c r="X128" s="18">
        <f t="shared" si="135"/>
        <v>22000000</v>
      </c>
      <c r="Y128" s="19">
        <f>SEPTIEMBRE!AA128</f>
        <v>3432000</v>
      </c>
      <c r="Z128" s="364">
        <v>219000</v>
      </c>
      <c r="AA128" s="848">
        <f t="shared" si="136"/>
        <v>3651000</v>
      </c>
      <c r="AB128" s="19">
        <f>SEPTIEMBRE!AD128</f>
        <v>3282000</v>
      </c>
      <c r="AC128" s="364">
        <v>219000</v>
      </c>
      <c r="AD128" s="848">
        <f t="shared" si="137"/>
        <v>3501000</v>
      </c>
      <c r="AE128" s="19">
        <f>SEPTIEMBRE!AG128</f>
        <v>3109500</v>
      </c>
      <c r="AF128" s="364">
        <v>219000</v>
      </c>
      <c r="AG128" s="848">
        <f t="shared" si="138"/>
        <v>3328500</v>
      </c>
      <c r="AH128" s="19">
        <f t="shared" si="139"/>
        <v>18349000</v>
      </c>
      <c r="AI128" s="15">
        <f t="shared" si="140"/>
        <v>18499000</v>
      </c>
      <c r="AJ128" s="16">
        <f t="shared" si="141"/>
        <v>18671500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+IF(SEPTIEMBRE!S129=0,"",SEPTIEMBRE!S129)</f>
        <v>2010200-6</v>
      </c>
      <c r="T129" s="664" t="str">
        <f>+IF(SEPTIEMBRE!T129=0,"",SEPTIEMBRE!T129)</f>
        <v>Arrendamientos</v>
      </c>
      <c r="U129" s="27">
        <f>+ENERO!U129</f>
        <v>165000000</v>
      </c>
      <c r="V129" s="15">
        <f>SEPTIEMBRE!V129+OCTUBRE!AL129</f>
        <v>-10000000</v>
      </c>
      <c r="W129" s="15">
        <f>SEPTIEMBRE!W129+OCTUBRE!AM129</f>
        <v>0</v>
      </c>
      <c r="X129" s="18">
        <f t="shared" si="135"/>
        <v>155000000</v>
      </c>
      <c r="Y129" s="19">
        <f>SEPTIEMBRE!AA129</f>
        <v>155000000</v>
      </c>
      <c r="Z129" s="364">
        <v>0</v>
      </c>
      <c r="AA129" s="848">
        <f t="shared" si="136"/>
        <v>155000000</v>
      </c>
      <c r="AB129" s="19">
        <f>SEPTIEMBRE!AD129</f>
        <v>92271133</v>
      </c>
      <c r="AC129" s="364">
        <v>25908853</v>
      </c>
      <c r="AD129" s="848">
        <f t="shared" si="137"/>
        <v>118179986</v>
      </c>
      <c r="AE129" s="19">
        <f>SEPTIEMBRE!AG129</f>
        <v>92271133</v>
      </c>
      <c r="AF129" s="364">
        <v>0</v>
      </c>
      <c r="AG129" s="848">
        <f t="shared" si="138"/>
        <v>92271133</v>
      </c>
      <c r="AH129" s="19">
        <f t="shared" si="139"/>
        <v>0</v>
      </c>
      <c r="AI129" s="15">
        <f t="shared" si="140"/>
        <v>36820014</v>
      </c>
      <c r="AJ129" s="16">
        <f t="shared" si="141"/>
        <v>62728867</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3">C128+C126</f>
        <v>66420360605</v>
      </c>
      <c r="D130" s="476">
        <f t="shared" si="143"/>
        <v>0</v>
      </c>
      <c r="E130" s="476">
        <f t="shared" si="143"/>
        <v>45224901253</v>
      </c>
      <c r="F130" s="477">
        <f t="shared" si="143"/>
        <v>111645261858</v>
      </c>
      <c r="G130" s="475">
        <f t="shared" si="143"/>
        <v>92457733792</v>
      </c>
      <c r="H130" s="476">
        <f t="shared" si="143"/>
        <v>15905761730</v>
      </c>
      <c r="I130" s="477">
        <f t="shared" si="143"/>
        <v>108363495522</v>
      </c>
      <c r="J130" s="475">
        <f t="shared" si="143"/>
        <v>66352423462.760002</v>
      </c>
      <c r="K130" s="476">
        <f t="shared" si="143"/>
        <v>8617723101</v>
      </c>
      <c r="L130" s="477">
        <f t="shared" si="143"/>
        <v>74970146563.76001</v>
      </c>
      <c r="M130" s="475">
        <f t="shared" si="143"/>
        <v>3281766336</v>
      </c>
      <c r="N130" s="477">
        <f t="shared" si="143"/>
        <v>36675115294.240005</v>
      </c>
      <c r="P130" s="468">
        <f>P128+P126</f>
        <v>0</v>
      </c>
      <c r="Q130" s="469">
        <f>Q128+Q126</f>
        <v>5481996698</v>
      </c>
      <c r="R130" s="9"/>
      <c r="S130" s="688" t="str">
        <f>+IF(SEPTIEMBRE!S130=0,"",SEPTIEMBRE!S130)</f>
        <v>2010200-7</v>
      </c>
      <c r="T130" s="664" t="str">
        <f>+IF(SEPTIEMBRE!T130=0,"",SEPTIEMBRE!T130)</f>
        <v>Vigilancia y Aseo</v>
      </c>
      <c r="U130" s="27">
        <f>+ENERO!U130</f>
        <v>1086000000</v>
      </c>
      <c r="V130" s="15">
        <f>SEPTIEMBRE!V130+OCTUBRE!AL130</f>
        <v>-50000000</v>
      </c>
      <c r="W130" s="15">
        <f>SEPTIEMBRE!W130+OCTUBRE!AM130</f>
        <v>0</v>
      </c>
      <c r="X130" s="18">
        <f t="shared" si="135"/>
        <v>1036000000</v>
      </c>
      <c r="Y130" s="19">
        <f>SEPTIEMBRE!AA130</f>
        <v>1027184608</v>
      </c>
      <c r="Z130" s="364">
        <v>0</v>
      </c>
      <c r="AA130" s="848">
        <f t="shared" si="136"/>
        <v>1027184608</v>
      </c>
      <c r="AB130" s="19">
        <f>SEPTIEMBRE!AD130</f>
        <v>775409816</v>
      </c>
      <c r="AC130" s="364">
        <v>87433173</v>
      </c>
      <c r="AD130" s="848">
        <f t="shared" si="137"/>
        <v>862842989</v>
      </c>
      <c r="AE130" s="19">
        <f>SEPTIEMBRE!AG130</f>
        <v>483200333</v>
      </c>
      <c r="AF130" s="364">
        <v>117343137</v>
      </c>
      <c r="AG130" s="848">
        <f t="shared" si="138"/>
        <v>600543470</v>
      </c>
      <c r="AH130" s="19">
        <f t="shared" si="139"/>
        <v>8815392</v>
      </c>
      <c r="AI130" s="15">
        <f t="shared" si="140"/>
        <v>173157011</v>
      </c>
      <c r="AJ130" s="16">
        <f t="shared" si="141"/>
        <v>435456530</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+IF(SEPTIEMBRE!S131=0,"",SEPTIEMBRE!S131)</f>
        <v>2010200-8</v>
      </c>
      <c r="T131" s="664" t="str">
        <f>+IF(SEPTIEMBRE!T131=0,"",SEPTIEMBRE!T131)</f>
        <v>Bienestar Social</v>
      </c>
      <c r="U131" s="27">
        <f>+ENERO!U131</f>
        <v>100000000</v>
      </c>
      <c r="V131" s="15">
        <f>SEPTIEMBRE!V131+OCTUBRE!AL131</f>
        <v>0</v>
      </c>
      <c r="W131" s="15">
        <f>SEPTIEMBRE!W131+OCTUBRE!AM131</f>
        <v>0</v>
      </c>
      <c r="X131" s="18">
        <f t="shared" si="135"/>
        <v>100000000</v>
      </c>
      <c r="Y131" s="19">
        <f>SEPTIEMBRE!AA131</f>
        <v>80060580</v>
      </c>
      <c r="Z131" s="364">
        <v>0</v>
      </c>
      <c r="AA131" s="848">
        <f t="shared" si="136"/>
        <v>80060580</v>
      </c>
      <c r="AB131" s="19">
        <f>SEPTIEMBRE!AD131</f>
        <v>10060580</v>
      </c>
      <c r="AC131" s="364">
        <v>0</v>
      </c>
      <c r="AD131" s="848">
        <f t="shared" si="137"/>
        <v>10060580</v>
      </c>
      <c r="AE131" s="19">
        <f>SEPTIEMBRE!AG131</f>
        <v>8860580</v>
      </c>
      <c r="AF131" s="364">
        <v>0</v>
      </c>
      <c r="AG131" s="848">
        <f t="shared" si="138"/>
        <v>8860580</v>
      </c>
      <c r="AH131" s="19">
        <f t="shared" si="139"/>
        <v>19939420</v>
      </c>
      <c r="AI131" s="15">
        <f t="shared" si="140"/>
        <v>89939420</v>
      </c>
      <c r="AJ131" s="16">
        <f t="shared" si="141"/>
        <v>91139420</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+IF(SEPTIEMBRE!S132=0,"",SEPTIEMBRE!S132)</f>
        <v>2010200-9</v>
      </c>
      <c r="T132" s="664" t="str">
        <f>+IF(SEPTIEMBRE!T132=0,"",SEPTIEMBRE!T132)</f>
        <v>Capacitación, estimulos, incentivos, programa de calidad</v>
      </c>
      <c r="U132" s="27">
        <f>+ENERO!U132</f>
        <v>50000000</v>
      </c>
      <c r="V132" s="15">
        <f>SEPTIEMBRE!V132+OCTUBRE!AL132</f>
        <v>0</v>
      </c>
      <c r="W132" s="15">
        <f>SEPTIEMBRE!W132+OCTUBRE!AM132</f>
        <v>0</v>
      </c>
      <c r="X132" s="18">
        <f t="shared" si="135"/>
        <v>50000000</v>
      </c>
      <c r="Y132" s="19">
        <f>SEPTIEMBRE!AA132</f>
        <v>0</v>
      </c>
      <c r="Z132" s="364">
        <v>0</v>
      </c>
      <c r="AA132" s="848">
        <f t="shared" si="136"/>
        <v>0</v>
      </c>
      <c r="AB132" s="19">
        <f>SEPTIEMBRE!AD132</f>
        <v>0</v>
      </c>
      <c r="AC132" s="364">
        <v>0</v>
      </c>
      <c r="AD132" s="848">
        <f t="shared" si="137"/>
        <v>0</v>
      </c>
      <c r="AE132" s="19">
        <f>SEPTIEMBRE!AG132</f>
        <v>0</v>
      </c>
      <c r="AF132" s="364">
        <v>0</v>
      </c>
      <c r="AG132" s="848">
        <f t="shared" si="138"/>
        <v>0</v>
      </c>
      <c r="AH132" s="19">
        <f t="shared" si="139"/>
        <v>50000000</v>
      </c>
      <c r="AI132" s="15">
        <f t="shared" si="140"/>
        <v>50000000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+IF(SEPTIEMBRE!S133=0,"",SEPTIEMBRE!S133)</f>
        <v>2010200-10</v>
      </c>
      <c r="T133" s="664" t="str">
        <f>+IF(SEPTIEMBRE!T133=0,"",SEPTIEMBRE!T133)</f>
        <v>Pagos otras IPS</v>
      </c>
      <c r="U133" s="27">
        <f>+ENERO!U133</f>
        <v>0</v>
      </c>
      <c r="V133" s="15">
        <f>SEPTIEMBRE!V133+OCTUBRE!AL133</f>
        <v>0</v>
      </c>
      <c r="W133" s="15">
        <f>SEPTIEMBRE!W133+OCTUBRE!AM133</f>
        <v>0</v>
      </c>
      <c r="X133" s="18">
        <f t="shared" si="135"/>
        <v>0</v>
      </c>
      <c r="Y133" s="19">
        <f>SEPTIEMBRE!AA133</f>
        <v>0</v>
      </c>
      <c r="Z133" s="364">
        <v>0</v>
      </c>
      <c r="AA133" s="848">
        <f t="shared" si="136"/>
        <v>0</v>
      </c>
      <c r="AB133" s="19">
        <f>SEPTIEMBRE!AD133</f>
        <v>0</v>
      </c>
      <c r="AC133" s="364">
        <v>0</v>
      </c>
      <c r="AD133" s="848">
        <f t="shared" si="137"/>
        <v>0</v>
      </c>
      <c r="AE133" s="19">
        <f>SEPTIEMBRE!AG133</f>
        <v>0</v>
      </c>
      <c r="AF133" s="364">
        <v>0</v>
      </c>
      <c r="AG133" s="84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+IF(SEPTIEMBRE!S134=0,"",SEPTIEMBRE!S134)</f>
        <v>2010200-11</v>
      </c>
      <c r="T134" s="664" t="str">
        <f>+IF(SEPTIEMBRE!T134=0,"",SEPTIEMBRE!T134)</f>
        <v>Gastos financieros</v>
      </c>
      <c r="U134" s="27">
        <f>+ENERO!U134</f>
        <v>16000000</v>
      </c>
      <c r="V134" s="15">
        <f>SEPTIEMBRE!V134+OCTUBRE!AL134</f>
        <v>20000000</v>
      </c>
      <c r="W134" s="15">
        <f>SEPTIEMBRE!W134+OCTUBRE!AM134</f>
        <v>0</v>
      </c>
      <c r="X134" s="18">
        <f t="shared" si="135"/>
        <v>36000000</v>
      </c>
      <c r="Y134" s="19">
        <f>SEPTIEMBRE!AA134</f>
        <v>20389077</v>
      </c>
      <c r="Z134" s="364">
        <v>2514199</v>
      </c>
      <c r="AA134" s="848">
        <f t="shared" si="136"/>
        <v>22903276</v>
      </c>
      <c r="AB134" s="19">
        <f>SEPTIEMBRE!AD134</f>
        <v>20389077</v>
      </c>
      <c r="AC134" s="364">
        <v>2514199</v>
      </c>
      <c r="AD134" s="848">
        <f t="shared" si="137"/>
        <v>22903276</v>
      </c>
      <c r="AE134" s="19">
        <f>SEPTIEMBRE!AG134</f>
        <v>20389077</v>
      </c>
      <c r="AF134" s="364">
        <v>2514199</v>
      </c>
      <c r="AG134" s="848">
        <f t="shared" si="138"/>
        <v>22903276</v>
      </c>
      <c r="AH134" s="19">
        <f t="shared" si="139"/>
        <v>13096724</v>
      </c>
      <c r="AI134" s="15">
        <f t="shared" si="140"/>
        <v>13096724</v>
      </c>
      <c r="AJ134" s="16">
        <f t="shared" si="141"/>
        <v>13096724</v>
      </c>
      <c r="AK134" s="9"/>
      <c r="AL134" s="362">
        <v>15000000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+IF(SEPTIEMBRE!S135=0,"",SEPTIEMBRE!S135)</f>
        <v>2010200-12</v>
      </c>
      <c r="T135" s="664" t="str">
        <f>+IF(SEPTIEMBRE!T135=0,"",SEPTIEMBRE!T135)</f>
        <v>Mantenimiento de software</v>
      </c>
      <c r="U135" s="27">
        <f>+ENERO!U135</f>
        <v>350000000</v>
      </c>
      <c r="V135" s="15">
        <f>SEPTIEMBRE!V135+OCTUBRE!AL135</f>
        <v>0</v>
      </c>
      <c r="W135" s="15">
        <f>SEPTIEMBRE!W135+OCTUBRE!AM135</f>
        <v>0</v>
      </c>
      <c r="X135" s="18">
        <f t="shared" si="135"/>
        <v>350000000</v>
      </c>
      <c r="Y135" s="19">
        <f>SEPTIEMBRE!AA135</f>
        <v>338498600</v>
      </c>
      <c r="Z135" s="364">
        <v>0</v>
      </c>
      <c r="AA135" s="848">
        <f t="shared" si="136"/>
        <v>338498600</v>
      </c>
      <c r="AB135" s="19">
        <f>SEPTIEMBRE!AD135</f>
        <v>307856100</v>
      </c>
      <c r="AC135" s="364">
        <v>0</v>
      </c>
      <c r="AD135" s="848">
        <f t="shared" si="137"/>
        <v>307856100</v>
      </c>
      <c r="AE135" s="19">
        <f>SEPTIEMBRE!AG135</f>
        <v>307856100</v>
      </c>
      <c r="AF135" s="364">
        <v>0</v>
      </c>
      <c r="AG135" s="848">
        <f t="shared" si="138"/>
        <v>307856100</v>
      </c>
      <c r="AH135" s="19">
        <f t="shared" si="139"/>
        <v>11501400</v>
      </c>
      <c r="AI135" s="15">
        <f t="shared" si="140"/>
        <v>42143900</v>
      </c>
      <c r="AJ135" s="16">
        <f t="shared" si="141"/>
        <v>42143900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+IF(SEPTIEMBRE!S136=0,"",SEPTIEMBRE!S136)</f>
        <v>2010200-13</v>
      </c>
      <c r="T136" s="664" t="str">
        <f>+IF(SEPTIEMBRE!T136=0,"",SEPTIEMBRE!T136)</f>
        <v/>
      </c>
      <c r="U136" s="27">
        <f>+ENERO!U136</f>
        <v>0</v>
      </c>
      <c r="V136" s="15">
        <f>SEPTIEMBRE!V136+OCTUBRE!AL136</f>
        <v>0</v>
      </c>
      <c r="W136" s="15">
        <f>SEPTIEMBRE!W136+OCTUBRE!AM136</f>
        <v>0</v>
      </c>
      <c r="X136" s="18">
        <f t="shared" si="135"/>
        <v>0</v>
      </c>
      <c r="Y136" s="19">
        <f>SEPTIEMBRE!AA136</f>
        <v>0</v>
      </c>
      <c r="Z136" s="364">
        <v>0</v>
      </c>
      <c r="AA136" s="848">
        <f t="shared" si="136"/>
        <v>0</v>
      </c>
      <c r="AB136" s="19">
        <f>SEPTIEMBRE!AD136</f>
        <v>0</v>
      </c>
      <c r="AC136" s="364">
        <v>0</v>
      </c>
      <c r="AD136" s="848">
        <f t="shared" si="137"/>
        <v>0</v>
      </c>
      <c r="AE136" s="19">
        <f>SEPTIEMBRE!AG136</f>
        <v>0</v>
      </c>
      <c r="AF136" s="364">
        <v>0</v>
      </c>
      <c r="AG136" s="84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+IF(SEPTIEMBRE!S137=0,"",SEPTIEMBRE!S137)</f>
        <v>2010020-14</v>
      </c>
      <c r="T137" s="664" t="str">
        <f>+IF(SEPTIEMBRE!T137=0,"",SEPTIEMBRE!T137)</f>
        <v/>
      </c>
      <c r="U137" s="27">
        <f>+ENERO!U137</f>
        <v>0</v>
      </c>
      <c r="V137" s="15">
        <f>SEPTIEMBRE!V137+OCTUBRE!AL137</f>
        <v>0</v>
      </c>
      <c r="W137" s="15">
        <f>SEPTIEMBRE!W137+OCTUBRE!AM137</f>
        <v>0</v>
      </c>
      <c r="X137" s="18">
        <f t="shared" si="135"/>
        <v>0</v>
      </c>
      <c r="Y137" s="19">
        <f>SEPTIEMBRE!AA137</f>
        <v>0</v>
      </c>
      <c r="Z137" s="364">
        <v>0</v>
      </c>
      <c r="AA137" s="848">
        <f t="shared" si="136"/>
        <v>0</v>
      </c>
      <c r="AB137" s="19">
        <f>SEPTIEMBRE!AD137</f>
        <v>0</v>
      </c>
      <c r="AC137" s="364">
        <v>0</v>
      </c>
      <c r="AD137" s="848">
        <f t="shared" si="137"/>
        <v>0</v>
      </c>
      <c r="AE137" s="19">
        <f>SEPTIEMBRE!AG137</f>
        <v>0</v>
      </c>
      <c r="AF137" s="364">
        <v>0</v>
      </c>
      <c r="AG137" s="84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+IF(SEPTIEMBRE!S138=0,"",SEPTIEMBRE!S138)</f>
        <v>2010200-15</v>
      </c>
      <c r="T138" s="664" t="str">
        <f>+IF(SEPTIEMBRE!T138=0,"",SEPTIEMBRE!T138)</f>
        <v/>
      </c>
      <c r="U138" s="27">
        <f>+ENERO!U138</f>
        <v>0</v>
      </c>
      <c r="V138" s="15">
        <f>SEPTIEMBRE!V138+OCTUBRE!AL138</f>
        <v>0</v>
      </c>
      <c r="W138" s="15">
        <f>SEPTIEMBRE!W138+OCTUBRE!AM138</f>
        <v>0</v>
      </c>
      <c r="X138" s="18">
        <f t="shared" si="135"/>
        <v>0</v>
      </c>
      <c r="Y138" s="19">
        <f>SEPTIEMBRE!AA138</f>
        <v>0</v>
      </c>
      <c r="Z138" s="364">
        <v>0</v>
      </c>
      <c r="AA138" s="848">
        <f t="shared" si="136"/>
        <v>0</v>
      </c>
      <c r="AB138" s="19">
        <f>SEPTIEMBRE!AD138</f>
        <v>0</v>
      </c>
      <c r="AC138" s="364">
        <v>0</v>
      </c>
      <c r="AD138" s="848">
        <f t="shared" si="137"/>
        <v>0</v>
      </c>
      <c r="AE138" s="19">
        <f>SEPTIEMBRE!AG138</f>
        <v>0</v>
      </c>
      <c r="AF138" s="364">
        <v>0</v>
      </c>
      <c r="AG138" s="84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+IF(SEPTIEMBRE!S139=0,"",SEPTIEMBRE!S139)</f>
        <v>2010299</v>
      </c>
      <c r="T139" s="664" t="str">
        <f>+IF(SEPTIEMBRE!T139=0,"",SEPTIEMBRE!T139)</f>
        <v>Vigencias Anteriores</v>
      </c>
      <c r="U139" s="27">
        <f>+ENERO!U139</f>
        <v>100000000</v>
      </c>
      <c r="V139" s="15">
        <f>SEPTIEMBRE!V139+OCTUBRE!AL139</f>
        <v>110000000</v>
      </c>
      <c r="W139" s="15">
        <f>SEPTIEMBRE!W139+OCTUBRE!AM139</f>
        <v>360000000</v>
      </c>
      <c r="X139" s="18">
        <f t="shared" si="135"/>
        <v>570000000</v>
      </c>
      <c r="Y139" s="19">
        <f>SEPTIEMBRE!AA139</f>
        <v>526308647</v>
      </c>
      <c r="Z139" s="364">
        <v>10586608</v>
      </c>
      <c r="AA139" s="848">
        <f t="shared" si="136"/>
        <v>536895255</v>
      </c>
      <c r="AB139" s="19">
        <f>SEPTIEMBRE!AD139</f>
        <v>526308647</v>
      </c>
      <c r="AC139" s="364">
        <v>10586608</v>
      </c>
      <c r="AD139" s="848">
        <f t="shared" si="137"/>
        <v>536895255</v>
      </c>
      <c r="AE139" s="19">
        <f>SEPTIEMBRE!AG139</f>
        <v>526308647</v>
      </c>
      <c r="AF139" s="364">
        <v>10586608</v>
      </c>
      <c r="AG139" s="848">
        <f t="shared" si="138"/>
        <v>536895255</v>
      </c>
      <c r="AH139" s="19">
        <f t="shared" si="139"/>
        <v>33104745</v>
      </c>
      <c r="AI139" s="15">
        <f t="shared" si="140"/>
        <v>33104745</v>
      </c>
      <c r="AJ139" s="16">
        <f t="shared" si="141"/>
        <v>33104745</v>
      </c>
      <c r="AK139" s="9"/>
      <c r="AL139" s="362">
        <v>0</v>
      </c>
      <c r="AM139" s="365">
        <v>30000000</v>
      </c>
      <c r="AN139" s="9"/>
      <c r="AO139" s="284"/>
      <c r="AP139" s="284"/>
      <c r="AQ139" s="284"/>
    </row>
    <row r="140" spans="1:52" s="372" customFormat="1" ht="24.95" customHeight="1">
      <c r="A140" s="734"/>
      <c r="B140" s="643"/>
      <c r="N140" s="9"/>
      <c r="R140" s="9"/>
      <c r="S140" s="356" t="str">
        <f>+IF(SEPTIEMBRE!S140=0,"",SEPTIEMBRE!S140)</f>
        <v/>
      </c>
      <c r="T140" s="678" t="str">
        <f>+IF(SEPTIEMBRE!T140=0,"",SEPTIEMBRE!T140)</f>
        <v/>
      </c>
      <c r="U140" s="161"/>
      <c r="V140" s="161"/>
      <c r="W140" s="161"/>
      <c r="X140" s="161"/>
      <c r="Y140" s="161"/>
      <c r="Z140" s="161"/>
      <c r="AA140" s="846"/>
      <c r="AB140" s="161"/>
      <c r="AC140" s="161"/>
      <c r="AD140" s="846"/>
      <c r="AE140" s="161"/>
      <c r="AF140" s="161"/>
      <c r="AG140" s="846"/>
      <c r="AH140" s="161"/>
      <c r="AI140" s="161"/>
      <c r="AJ140" s="166"/>
      <c r="AK140" s="10"/>
      <c r="AL140" s="172"/>
      <c r="AM140" s="173"/>
      <c r="AN140" s="9"/>
    </row>
    <row r="141" spans="1:52" s="372" customFormat="1" ht="24.95" customHeight="1">
      <c r="A141" s="734"/>
      <c r="B141" s="643"/>
      <c r="N141" s="9"/>
      <c r="R141" s="9"/>
      <c r="S141" s="687">
        <f>+IF(SEPTIEMBRE!S141=0,"",SEPTIEMBRE!S141)</f>
        <v>2010300</v>
      </c>
      <c r="T141" s="663" t="str">
        <f>+IF(SEPTIEMBRE!T141=0,"",SEPTIEMBRE!T141)</f>
        <v>Impuestos y Multas</v>
      </c>
      <c r="U141" s="132">
        <f t="shared" ref="U141:AJ141" si="144">U142+U143</f>
        <v>527082264</v>
      </c>
      <c r="V141" s="122">
        <f t="shared" si="144"/>
        <v>0</v>
      </c>
      <c r="W141" s="122">
        <f t="shared" si="144"/>
        <v>0</v>
      </c>
      <c r="X141" s="129">
        <f t="shared" si="144"/>
        <v>527082264</v>
      </c>
      <c r="Y141" s="128">
        <f t="shared" si="144"/>
        <v>215327709</v>
      </c>
      <c r="Z141" s="122">
        <f t="shared" si="144"/>
        <v>16131893</v>
      </c>
      <c r="AA141" s="215">
        <f t="shared" si="144"/>
        <v>231459602</v>
      </c>
      <c r="AB141" s="128">
        <f t="shared" si="144"/>
        <v>214304709</v>
      </c>
      <c r="AC141" s="122">
        <f t="shared" si="144"/>
        <v>17154893</v>
      </c>
      <c r="AD141" s="215">
        <f t="shared" si="144"/>
        <v>231459602</v>
      </c>
      <c r="AE141" s="128">
        <f t="shared" si="144"/>
        <v>214304709</v>
      </c>
      <c r="AF141" s="122">
        <f t="shared" si="144"/>
        <v>17154893</v>
      </c>
      <c r="AG141" s="215">
        <f t="shared" si="144"/>
        <v>231459602</v>
      </c>
      <c r="AH141" s="128">
        <f t="shared" si="144"/>
        <v>295622662</v>
      </c>
      <c r="AI141" s="122">
        <f t="shared" si="144"/>
        <v>295622662</v>
      </c>
      <c r="AJ141" s="130">
        <f t="shared" si="144"/>
        <v>295622662</v>
      </c>
      <c r="AK141" s="10"/>
      <c r="AL141" s="128">
        <f>AL142+AL143</f>
        <v>0</v>
      </c>
      <c r="AM141" s="130">
        <f>AM142+AM143</f>
        <v>0</v>
      </c>
      <c r="AN141" s="9"/>
    </row>
    <row r="142" spans="1:52" s="372" customFormat="1" ht="24.95" customHeight="1">
      <c r="A142" s="734"/>
      <c r="B142" s="643"/>
      <c r="N142" s="9"/>
      <c r="R142" s="9"/>
      <c r="S142" s="688" t="str">
        <f>+IF(SEPTIEMBRE!S142=0,"",SEPTIEMBRE!S142)</f>
        <v>2010300-1</v>
      </c>
      <c r="T142" s="664" t="str">
        <f>+IF(SEPTIEMBRE!T142=0,"",SEPTIEMBRE!T142)</f>
        <v>Impuestos (Predial, Vehiculos, Otros)</v>
      </c>
      <c r="U142" s="27">
        <f>+ENERO!U142</f>
        <v>527082264</v>
      </c>
      <c r="V142" s="15">
        <f>SEPTIEMBRE!V142+OCTUBRE!AL142</f>
        <v>0</v>
      </c>
      <c r="W142" s="15">
        <f>SEPTIEMBRE!W142+OCTUBRE!AM142</f>
        <v>0</v>
      </c>
      <c r="X142" s="18">
        <f>SUM(U142:W142)</f>
        <v>527082264</v>
      </c>
      <c r="Y142" s="19">
        <f>SEPTIEMBRE!AA142</f>
        <v>215327709</v>
      </c>
      <c r="Z142" s="364">
        <v>16131893</v>
      </c>
      <c r="AA142" s="848">
        <f>SUM(Y142:Z142)</f>
        <v>231459602</v>
      </c>
      <c r="AB142" s="19">
        <f>SEPTIEMBRE!AD142</f>
        <v>214304709</v>
      </c>
      <c r="AC142" s="364">
        <v>17154893</v>
      </c>
      <c r="AD142" s="848">
        <f>SUM(AB142:AC142)</f>
        <v>231459602</v>
      </c>
      <c r="AE142" s="19">
        <f>SEPTIEMBRE!AG142</f>
        <v>214304709</v>
      </c>
      <c r="AF142" s="364">
        <v>17154893</v>
      </c>
      <c r="AG142" s="848">
        <f>SUM(AE142:AF142)</f>
        <v>231459602</v>
      </c>
      <c r="AH142" s="19">
        <f>X142-AA142</f>
        <v>295622662</v>
      </c>
      <c r="AI142" s="15">
        <f>X142-AD142</f>
        <v>295622662</v>
      </c>
      <c r="AJ142" s="16">
        <f>X142-AG142</f>
        <v>295622662</v>
      </c>
      <c r="AK142" s="9"/>
      <c r="AL142" s="362">
        <v>0</v>
      </c>
      <c r="AM142" s="365">
        <v>0</v>
      </c>
      <c r="AN142" s="9"/>
    </row>
    <row r="143" spans="1:52" s="372" customFormat="1" ht="24.95" customHeight="1">
      <c r="A143" s="734"/>
      <c r="B143" s="643"/>
      <c r="N143" s="9"/>
      <c r="R143" s="9"/>
      <c r="S143" s="688">
        <f>+IF(SEPTIEMBRE!S143=0,"",SEPTIEMBRE!S143)</f>
        <v>2010399</v>
      </c>
      <c r="T143" s="664" t="str">
        <f>+IF(SEPTIEMBRE!T143=0,"",SEPTIEMBRE!T143)</f>
        <v>Vigencias Anteriores</v>
      </c>
      <c r="U143" s="27">
        <f>+ENERO!U143</f>
        <v>0</v>
      </c>
      <c r="V143" s="15">
        <f>SEPTIEMBRE!V143+OCTUBRE!AL143</f>
        <v>0</v>
      </c>
      <c r="W143" s="15">
        <f>SEPTIEMBRE!W143+OCTUBRE!AM143</f>
        <v>0</v>
      </c>
      <c r="X143" s="18">
        <f>SUM(U143:W143)</f>
        <v>0</v>
      </c>
      <c r="Y143" s="19">
        <f>SEPTIEMBRE!AA143</f>
        <v>0</v>
      </c>
      <c r="Z143" s="364">
        <v>0</v>
      </c>
      <c r="AA143" s="848">
        <f>SUM(Y143:Z143)</f>
        <v>0</v>
      </c>
      <c r="AB143" s="19">
        <f>SEPTIEMBRE!AD143</f>
        <v>0</v>
      </c>
      <c r="AC143" s="364">
        <v>0</v>
      </c>
      <c r="AD143" s="848">
        <f>SUM(AB143:AC143)</f>
        <v>0</v>
      </c>
      <c r="AE143" s="19">
        <f>SEPTIEMBRE!AG143</f>
        <v>0</v>
      </c>
      <c r="AF143" s="364">
        <v>0</v>
      </c>
      <c r="AG143" s="84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+IF(SEPTIEMBRE!S144=0,"",SEPTIEMBRE!S144)</f>
        <v/>
      </c>
      <c r="T144" s="678" t="str">
        <f>+IF(SEPTIEMBRE!T144=0,"",SEPTIEMBRE!T144)</f>
        <v/>
      </c>
      <c r="U144" s="161"/>
      <c r="V144" s="161"/>
      <c r="W144" s="161"/>
      <c r="X144" s="161"/>
      <c r="Y144" s="161"/>
      <c r="Z144" s="161"/>
      <c r="AA144" s="846"/>
      <c r="AB144" s="161"/>
      <c r="AC144" s="161"/>
      <c r="AD144" s="846"/>
      <c r="AE144" s="161"/>
      <c r="AF144" s="161"/>
      <c r="AG144" s="846"/>
      <c r="AH144" s="161"/>
      <c r="AI144" s="161"/>
      <c r="AJ144" s="166"/>
      <c r="AK144" s="9"/>
      <c r="AL144" s="172"/>
      <c r="AM144" s="173"/>
      <c r="AN144" s="9"/>
    </row>
    <row r="145" spans="1:40" s="372" customFormat="1" ht="24.95" customHeight="1">
      <c r="A145" s="734"/>
      <c r="B145" s="643"/>
      <c r="N145" s="9"/>
      <c r="R145" s="9"/>
      <c r="S145" s="686">
        <f>+IF(SEPTIEMBRE!S145=0,"",SEPTIEMBRE!S145)</f>
        <v>2020010</v>
      </c>
      <c r="T145" s="662" t="str">
        <f>+IF(SEPTIEMBRE!T145=0,"",SEPTIEMBRE!T145)</f>
        <v>Gastos de Operación</v>
      </c>
      <c r="U145" s="132">
        <f t="shared" ref="U145:AJ145" si="145">U147+U155</f>
        <v>5923637263</v>
      </c>
      <c r="V145" s="122">
        <f t="shared" si="145"/>
        <v>522000000</v>
      </c>
      <c r="W145" s="122">
        <f t="shared" si="145"/>
        <v>2545301905</v>
      </c>
      <c r="X145" s="129">
        <f t="shared" si="145"/>
        <v>8990939168</v>
      </c>
      <c r="Y145" s="128">
        <f t="shared" si="145"/>
        <v>6733622747</v>
      </c>
      <c r="Z145" s="122">
        <f t="shared" si="145"/>
        <v>432031481</v>
      </c>
      <c r="AA145" s="215">
        <f t="shared" si="145"/>
        <v>7165654228</v>
      </c>
      <c r="AB145" s="128">
        <f t="shared" si="145"/>
        <v>5819172568</v>
      </c>
      <c r="AC145" s="122">
        <f t="shared" si="145"/>
        <v>529876579</v>
      </c>
      <c r="AD145" s="215">
        <f t="shared" si="145"/>
        <v>6349049147</v>
      </c>
      <c r="AE145" s="128">
        <f t="shared" si="145"/>
        <v>4476522791</v>
      </c>
      <c r="AF145" s="122">
        <f t="shared" si="145"/>
        <v>729707693</v>
      </c>
      <c r="AG145" s="215">
        <f t="shared" si="145"/>
        <v>5206230484</v>
      </c>
      <c r="AH145" s="128">
        <f t="shared" si="145"/>
        <v>1825284940</v>
      </c>
      <c r="AI145" s="122">
        <f t="shared" si="145"/>
        <v>2641890021</v>
      </c>
      <c r="AJ145" s="130">
        <f t="shared" si="145"/>
        <v>3784708684</v>
      </c>
      <c r="AK145" s="10"/>
      <c r="AL145" s="128">
        <f>AL147+AL155</f>
        <v>160000000</v>
      </c>
      <c r="AM145" s="130">
        <f>AM147+AM155</f>
        <v>1165301905</v>
      </c>
      <c r="AN145" s="9"/>
    </row>
    <row r="146" spans="1:40" s="372" customFormat="1" ht="24.95" customHeight="1">
      <c r="A146" s="734"/>
      <c r="B146" s="643"/>
      <c r="N146" s="9"/>
      <c r="R146" s="9"/>
      <c r="S146" s="689" t="str">
        <f>+IF(SEPTIEMBRE!S146=0,"",SEPTIEMBRE!S146)</f>
        <v/>
      </c>
      <c r="T146" s="665" t="str">
        <f>+IF(SEPTIEMBRE!T146=0,"",SEPTIEMBRE!T146)</f>
        <v/>
      </c>
      <c r="U146" s="17"/>
      <c r="V146" s="15"/>
      <c r="W146" s="15"/>
      <c r="X146" s="18"/>
      <c r="Y146" s="19"/>
      <c r="Z146" s="15"/>
      <c r="AA146" s="848"/>
      <c r="AB146" s="19"/>
      <c r="AC146" s="15"/>
      <c r="AD146" s="848"/>
      <c r="AE146" s="19"/>
      <c r="AF146" s="15"/>
      <c r="AG146" s="848"/>
      <c r="AH146" s="19"/>
      <c r="AI146" s="15"/>
      <c r="AJ146" s="16"/>
      <c r="AK146" s="9"/>
      <c r="AL146" s="172"/>
      <c r="AM146" s="173"/>
      <c r="AN146" s="9"/>
    </row>
    <row r="147" spans="1:40" s="372" customFormat="1" ht="24.95" customHeight="1">
      <c r="A147" s="734"/>
      <c r="B147" s="643"/>
      <c r="N147" s="9"/>
      <c r="R147" s="9"/>
      <c r="S147" s="687">
        <f>+IF(SEPTIEMBRE!S147=0,"",SEPTIEMBRE!S147)</f>
        <v>2020100</v>
      </c>
      <c r="T147" s="663" t="str">
        <f>+IF(SEPTIEMBRE!T147=0,"",SEPTIEMBRE!T147)</f>
        <v>Adquisición de bienes</v>
      </c>
      <c r="U147" s="132">
        <f t="shared" ref="U147:AJ147" si="146">SUM(U148:U149)+U153</f>
        <v>1211000000</v>
      </c>
      <c r="V147" s="122">
        <f t="shared" si="146"/>
        <v>-378000000</v>
      </c>
      <c r="W147" s="122">
        <f t="shared" si="146"/>
        <v>863000000</v>
      </c>
      <c r="X147" s="129">
        <f t="shared" si="146"/>
        <v>1696000000</v>
      </c>
      <c r="Y147" s="128">
        <f t="shared" si="146"/>
        <v>517910617</v>
      </c>
      <c r="Z147" s="122">
        <f t="shared" si="146"/>
        <v>131814206</v>
      </c>
      <c r="AA147" s="215">
        <f t="shared" si="146"/>
        <v>649724823</v>
      </c>
      <c r="AB147" s="128">
        <f t="shared" si="146"/>
        <v>494353617</v>
      </c>
      <c r="AC147" s="122">
        <f t="shared" si="146"/>
        <v>42666091</v>
      </c>
      <c r="AD147" s="215">
        <f t="shared" si="146"/>
        <v>537019708</v>
      </c>
      <c r="AE147" s="128">
        <f t="shared" si="146"/>
        <v>414650250</v>
      </c>
      <c r="AF147" s="122">
        <f t="shared" si="146"/>
        <v>40286783</v>
      </c>
      <c r="AG147" s="215">
        <f t="shared" si="146"/>
        <v>454937033</v>
      </c>
      <c r="AH147" s="128">
        <f t="shared" si="146"/>
        <v>1046275177</v>
      </c>
      <c r="AI147" s="122">
        <f t="shared" si="146"/>
        <v>1158980292</v>
      </c>
      <c r="AJ147" s="130">
        <f t="shared" si="146"/>
        <v>1241062967</v>
      </c>
      <c r="AK147" s="9"/>
      <c r="AL147" s="128">
        <f>SUM(AL148:AL149)+AL153</f>
        <v>60000000</v>
      </c>
      <c r="AM147" s="130">
        <f>SUM(AM148:AM149)+AM153</f>
        <v>763000000</v>
      </c>
      <c r="AN147" s="9"/>
    </row>
    <row r="148" spans="1:40" s="372" customFormat="1" ht="24.95" customHeight="1">
      <c r="A148" s="734"/>
      <c r="B148" s="643"/>
      <c r="N148" s="9"/>
      <c r="R148" s="9"/>
      <c r="S148" s="688">
        <f>+IF(SEPTIEMBRE!S148=0,"",SEPTIEMBRE!S148)</f>
        <v>2020101</v>
      </c>
      <c r="T148" s="664" t="str">
        <f>+IF(SEPTIEMBRE!T148=0,"",SEPTIEMBRE!T148)</f>
        <v>Mantenimiento Hospitalario</v>
      </c>
      <c r="U148" s="27">
        <f>+ENERO!U148</f>
        <v>1000000000</v>
      </c>
      <c r="V148" s="15">
        <f>SEPTIEMBRE!V148+OCTUBRE!AL148</f>
        <v>-438000000</v>
      </c>
      <c r="W148" s="15">
        <f>SEPTIEMBRE!W148+OCTUBRE!AM148</f>
        <v>200000000</v>
      </c>
      <c r="X148" s="18">
        <f>SUM(U148:W148)</f>
        <v>762000000</v>
      </c>
      <c r="Y148" s="19">
        <f>SEPTIEMBRE!AA148</f>
        <v>284867140</v>
      </c>
      <c r="Z148" s="364">
        <v>20110712</v>
      </c>
      <c r="AA148" s="848">
        <f>SUM(Y148:Z148)</f>
        <v>304977852</v>
      </c>
      <c r="AB148" s="19">
        <f>SEPTIEMBRE!AD148</f>
        <v>261310140</v>
      </c>
      <c r="AC148" s="364">
        <v>20110712</v>
      </c>
      <c r="AD148" s="848">
        <f>SUM(AB148:AC148)</f>
        <v>281420852</v>
      </c>
      <c r="AE148" s="19">
        <f>SEPTIEMBRE!AG148</f>
        <v>206123153</v>
      </c>
      <c r="AF148" s="364">
        <v>37886553</v>
      </c>
      <c r="AG148" s="848">
        <f>SUM(AE148:AF148)</f>
        <v>244009706</v>
      </c>
      <c r="AH148" s="19">
        <f>X148-AA148</f>
        <v>457022148</v>
      </c>
      <c r="AI148" s="15">
        <f>X148-AD148</f>
        <v>480579148</v>
      </c>
      <c r="AJ148" s="16">
        <f>X148-AG148</f>
        <v>517990294</v>
      </c>
      <c r="AK148" s="9"/>
      <c r="AL148" s="362">
        <v>0</v>
      </c>
      <c r="AM148" s="365">
        <v>200000000</v>
      </c>
      <c r="AN148" s="9"/>
    </row>
    <row r="149" spans="1:40" s="372" customFormat="1" ht="24.95" customHeight="1">
      <c r="A149" s="734"/>
      <c r="B149" s="643"/>
      <c r="N149" s="9"/>
      <c r="R149" s="9"/>
      <c r="S149" s="688">
        <f>+IF(SEPTIEMBRE!S149=0,"",SEPTIEMBRE!S149)</f>
        <v>2020102</v>
      </c>
      <c r="T149" s="664" t="str">
        <f>+IF(SEPTIEMBRE!T149=0,"",SEPTIEMBRE!T149)</f>
        <v>Otros</v>
      </c>
      <c r="U149" s="27">
        <f t="shared" ref="U149:AJ149" si="147">SUM(U150:U152)</f>
        <v>150000000</v>
      </c>
      <c r="V149" s="15">
        <f t="shared" si="147"/>
        <v>60000000</v>
      </c>
      <c r="W149" s="15">
        <f t="shared" si="147"/>
        <v>563000000</v>
      </c>
      <c r="X149" s="18">
        <f t="shared" si="147"/>
        <v>773000000</v>
      </c>
      <c r="Y149" s="19">
        <f t="shared" si="147"/>
        <v>84075071</v>
      </c>
      <c r="Z149" s="142">
        <f t="shared" si="147"/>
        <v>114426214</v>
      </c>
      <c r="AA149" s="848">
        <f t="shared" si="147"/>
        <v>198501285</v>
      </c>
      <c r="AB149" s="19">
        <f t="shared" si="147"/>
        <v>84075071</v>
      </c>
      <c r="AC149" s="142">
        <f t="shared" si="147"/>
        <v>25278099</v>
      </c>
      <c r="AD149" s="848">
        <f t="shared" si="147"/>
        <v>109353170</v>
      </c>
      <c r="AE149" s="19">
        <f t="shared" si="147"/>
        <v>59558691</v>
      </c>
      <c r="AF149" s="142">
        <f t="shared" si="147"/>
        <v>5122950</v>
      </c>
      <c r="AG149" s="848">
        <f t="shared" si="147"/>
        <v>64681641</v>
      </c>
      <c r="AH149" s="19">
        <f t="shared" si="147"/>
        <v>574498715</v>
      </c>
      <c r="AI149" s="15">
        <f t="shared" si="147"/>
        <v>663646830</v>
      </c>
      <c r="AJ149" s="16">
        <f t="shared" si="147"/>
        <v>708318359</v>
      </c>
      <c r="AK149" s="9"/>
      <c r="AL149" s="29">
        <f>SUM(AL150:AL152)</f>
        <v>60000000</v>
      </c>
      <c r="AM149" s="26">
        <f>SUM(AM150:AM152)</f>
        <v>563000000</v>
      </c>
      <c r="AN149" s="9"/>
    </row>
    <row r="150" spans="1:40" s="372" customFormat="1" ht="24.95" customHeight="1">
      <c r="A150" s="734"/>
      <c r="B150" s="643"/>
      <c r="N150" s="9"/>
      <c r="R150" s="9"/>
      <c r="S150" s="689" t="str">
        <f>+IF(SEPTIEMBRE!S150=0,"",SEPTIEMBRE!S150)</f>
        <v>2020102-1</v>
      </c>
      <c r="T150" s="664" t="str">
        <f>+IF(SEPTIEMBRE!T150=0,"",SEPTIEMBRE!T150)</f>
        <v>Compra de Equipo e Instr. Mco. y Laborat.</v>
      </c>
      <c r="U150" s="27">
        <f>+ENERO!U150</f>
        <v>150000000</v>
      </c>
      <c r="V150" s="15">
        <f>SEPTIEMBRE!V150+OCTUBRE!AL150</f>
        <v>60000000</v>
      </c>
      <c r="W150" s="15">
        <f>SEPTIEMBRE!W150+OCTUBRE!AM150</f>
        <v>563000000</v>
      </c>
      <c r="X150" s="18">
        <f>SUM(U150:W150)</f>
        <v>773000000</v>
      </c>
      <c r="Y150" s="19">
        <f>SEPTIEMBRE!AA150</f>
        <v>84075071</v>
      </c>
      <c r="Z150" s="364">
        <v>114426214</v>
      </c>
      <c r="AA150" s="848">
        <f>SUM(Y150:Z150)</f>
        <v>198501285</v>
      </c>
      <c r="AB150" s="19">
        <f>SEPTIEMBRE!AD150</f>
        <v>84075071</v>
      </c>
      <c r="AC150" s="364">
        <v>25278099</v>
      </c>
      <c r="AD150" s="848">
        <f>SUM(AB150:AC150)</f>
        <v>109353170</v>
      </c>
      <c r="AE150" s="19">
        <f>SEPTIEMBRE!AG150</f>
        <v>59558691</v>
      </c>
      <c r="AF150" s="364">
        <v>5122950</v>
      </c>
      <c r="AG150" s="848">
        <f>SUM(AE150:AF150)</f>
        <v>64681641</v>
      </c>
      <c r="AH150" s="19">
        <f>X150-AA150</f>
        <v>574498715</v>
      </c>
      <c r="AI150" s="15">
        <f>X150-AD150</f>
        <v>663646830</v>
      </c>
      <c r="AJ150" s="16">
        <f>X150-AG150</f>
        <v>708318359</v>
      </c>
      <c r="AK150" s="9"/>
      <c r="AL150" s="362">
        <v>60000000</v>
      </c>
      <c r="AM150" s="365">
        <v>563000000</v>
      </c>
      <c r="AN150" s="9"/>
    </row>
    <row r="151" spans="1:40" s="372" customFormat="1" ht="24.95" customHeight="1">
      <c r="A151" s="734"/>
      <c r="B151" s="643"/>
      <c r="N151" s="9"/>
      <c r="R151" s="9"/>
      <c r="S151" s="689" t="str">
        <f>+IF(SEPTIEMBRE!S151=0,"",SEPTIEMBRE!S151)</f>
        <v>2020102-2</v>
      </c>
      <c r="T151" s="664" t="str">
        <f>+IF(SEPTIEMBRE!T151=0,"",SEPTIEMBRE!T151)</f>
        <v>Materiales</v>
      </c>
      <c r="U151" s="27">
        <f>+ENERO!U151</f>
        <v>0</v>
      </c>
      <c r="V151" s="15">
        <f>SEPTIEMBRE!V151+OCTUBRE!AL151</f>
        <v>0</v>
      </c>
      <c r="W151" s="15">
        <f>SEPTIEMBRE!W151+OCTUBRE!AM151</f>
        <v>0</v>
      </c>
      <c r="X151" s="18">
        <f>SUM(U151:W151)</f>
        <v>0</v>
      </c>
      <c r="Y151" s="19">
        <f>SEPTIEMBRE!AA151</f>
        <v>0</v>
      </c>
      <c r="Z151" s="364">
        <v>0</v>
      </c>
      <c r="AA151" s="848">
        <f>SUM(Y151:Z151)</f>
        <v>0</v>
      </c>
      <c r="AB151" s="19">
        <f>SEPTIEMBRE!AD151</f>
        <v>0</v>
      </c>
      <c r="AC151" s="364">
        <v>0</v>
      </c>
      <c r="AD151" s="848">
        <f>SUM(AB151:AC151)</f>
        <v>0</v>
      </c>
      <c r="AE151" s="19">
        <f>SEPTIEMBRE!AG151</f>
        <v>0</v>
      </c>
      <c r="AF151" s="364">
        <v>0</v>
      </c>
      <c r="AG151" s="84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+IF(SEPTIEMBRE!S152=0,"",SEPTIEMBRE!S152)</f>
        <v>2020102-3</v>
      </c>
      <c r="T152" s="664" t="str">
        <f>+IF(SEPTIEMBRE!T152=0,"",SEPTIEMBRE!T152)</f>
        <v/>
      </c>
      <c r="U152" s="27">
        <f>+ENERO!U152</f>
        <v>0</v>
      </c>
      <c r="V152" s="15">
        <f>SEPTIEMBRE!V152+OCTUBRE!AL152</f>
        <v>0</v>
      </c>
      <c r="W152" s="15">
        <f>SEPTIEMBRE!W152+OCTUBRE!AM152</f>
        <v>0</v>
      </c>
      <c r="X152" s="18">
        <f>SUM(U152:W152)</f>
        <v>0</v>
      </c>
      <c r="Y152" s="19">
        <f>SEPTIEMBRE!AA152</f>
        <v>0</v>
      </c>
      <c r="Z152" s="364">
        <v>0</v>
      </c>
      <c r="AA152" s="848">
        <f>SUM(Y152:Z152)</f>
        <v>0</v>
      </c>
      <c r="AB152" s="19">
        <f>SEPTIEMBRE!AD152</f>
        <v>0</v>
      </c>
      <c r="AC152" s="364">
        <v>0</v>
      </c>
      <c r="AD152" s="848">
        <f>SUM(AB152:AC152)</f>
        <v>0</v>
      </c>
      <c r="AE152" s="19">
        <f>SEPTIEMBRE!AG152</f>
        <v>0</v>
      </c>
      <c r="AF152" s="364">
        <v>0</v>
      </c>
      <c r="AG152" s="84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+IF(SEPTIEMBRE!S153=0,"",SEPTIEMBRE!S153)</f>
        <v>2020199</v>
      </c>
      <c r="T153" s="664" t="str">
        <f>+IF(SEPTIEMBRE!T153=0,"",SEPTIEMBRE!T153)</f>
        <v>Vigencias Anteriores</v>
      </c>
      <c r="U153" s="27">
        <f>+ENERO!U153</f>
        <v>61000000</v>
      </c>
      <c r="V153" s="15">
        <f>SEPTIEMBRE!V153+OCTUBRE!AL153</f>
        <v>0</v>
      </c>
      <c r="W153" s="15">
        <f>SEPTIEMBRE!W153+OCTUBRE!AM153</f>
        <v>100000000</v>
      </c>
      <c r="X153" s="18">
        <f>SUM(U153:W153)</f>
        <v>161000000</v>
      </c>
      <c r="Y153" s="19">
        <f>SEPTIEMBRE!AA153</f>
        <v>148968406</v>
      </c>
      <c r="Z153" s="364">
        <v>-2722720</v>
      </c>
      <c r="AA153" s="848">
        <f>SUM(Y153:Z153)</f>
        <v>146245686</v>
      </c>
      <c r="AB153" s="19">
        <f>SEPTIEMBRE!AD153</f>
        <v>148968406</v>
      </c>
      <c r="AC153" s="364">
        <v>-2722720</v>
      </c>
      <c r="AD153" s="848">
        <f>SUM(AB153:AC153)</f>
        <v>146245686</v>
      </c>
      <c r="AE153" s="19">
        <f>SEPTIEMBRE!AG153</f>
        <v>148968406</v>
      </c>
      <c r="AF153" s="364">
        <v>-2722720</v>
      </c>
      <c r="AG153" s="848">
        <f>SUM(AE153:AF153)</f>
        <v>146245686</v>
      </c>
      <c r="AH153" s="19">
        <f>X153-AA153</f>
        <v>14754314</v>
      </c>
      <c r="AI153" s="15">
        <f>X153-AD153</f>
        <v>14754314</v>
      </c>
      <c r="AJ153" s="16">
        <f>X153-AG153</f>
        <v>14754314</v>
      </c>
      <c r="AK153" s="9"/>
      <c r="AL153" s="362">
        <v>0</v>
      </c>
      <c r="AM153" s="365">
        <v>0</v>
      </c>
      <c r="AN153" s="9"/>
    </row>
    <row r="154" spans="1:40" s="372" customFormat="1" ht="24.95" customHeight="1">
      <c r="A154" s="734"/>
      <c r="B154" s="643"/>
      <c r="N154" s="9"/>
      <c r="R154" s="9"/>
      <c r="S154" s="356" t="str">
        <f>+IF(SEPTIEMBRE!S154=0,"",SEPTIEMBRE!S154)</f>
        <v/>
      </c>
      <c r="T154" s="678" t="str">
        <f>+IF(SEPTIEMBRE!T154=0,"",SEPTIEMBRE!T154)</f>
        <v/>
      </c>
      <c r="U154" s="161"/>
      <c r="V154" s="161"/>
      <c r="W154" s="161"/>
      <c r="X154" s="161"/>
      <c r="Y154" s="161"/>
      <c r="Z154" s="161"/>
      <c r="AA154" s="846"/>
      <c r="AB154" s="161"/>
      <c r="AC154" s="161"/>
      <c r="AD154" s="846"/>
      <c r="AE154" s="161"/>
      <c r="AF154" s="161"/>
      <c r="AG154" s="846"/>
      <c r="AH154" s="161"/>
      <c r="AI154" s="161"/>
      <c r="AJ154" s="166"/>
      <c r="AK154" s="9"/>
      <c r="AL154" s="172"/>
      <c r="AM154" s="173"/>
      <c r="AN154" s="9"/>
    </row>
    <row r="155" spans="1:40" s="372" customFormat="1" ht="24.95" customHeight="1">
      <c r="A155" s="734"/>
      <c r="B155" s="643"/>
      <c r="N155" s="9"/>
      <c r="R155" s="9"/>
      <c r="S155" s="687">
        <f>+IF(SEPTIEMBRE!S155=0,"",SEPTIEMBRE!S155)</f>
        <v>2020200</v>
      </c>
      <c r="T155" s="663" t="str">
        <f>+IF(SEPTIEMBRE!T155=0,"",SEPTIEMBRE!T155)</f>
        <v>Adquisición de Servicios</v>
      </c>
      <c r="U155" s="132">
        <f t="shared" ref="U155:AJ155" si="148">SUM(U156:U157)+U168</f>
        <v>4712637263</v>
      </c>
      <c r="V155" s="122">
        <f t="shared" si="148"/>
        <v>900000000</v>
      </c>
      <c r="W155" s="122">
        <f t="shared" si="148"/>
        <v>1682301905</v>
      </c>
      <c r="X155" s="129">
        <f t="shared" si="148"/>
        <v>7294939168</v>
      </c>
      <c r="Y155" s="128">
        <f t="shared" si="148"/>
        <v>6215712130</v>
      </c>
      <c r="Z155" s="122">
        <f t="shared" si="148"/>
        <v>300217275</v>
      </c>
      <c r="AA155" s="215">
        <f t="shared" si="148"/>
        <v>6515929405</v>
      </c>
      <c r="AB155" s="128">
        <f t="shared" si="148"/>
        <v>5324818951</v>
      </c>
      <c r="AC155" s="122">
        <f t="shared" si="148"/>
        <v>487210488</v>
      </c>
      <c r="AD155" s="215">
        <f t="shared" si="148"/>
        <v>5812029439</v>
      </c>
      <c r="AE155" s="128">
        <f t="shared" si="148"/>
        <v>4061872541</v>
      </c>
      <c r="AF155" s="122">
        <f t="shared" si="148"/>
        <v>689420910</v>
      </c>
      <c r="AG155" s="215">
        <f t="shared" si="148"/>
        <v>4751293451</v>
      </c>
      <c r="AH155" s="128">
        <f t="shared" si="148"/>
        <v>779009763</v>
      </c>
      <c r="AI155" s="122">
        <f t="shared" si="148"/>
        <v>1482909729</v>
      </c>
      <c r="AJ155" s="130">
        <f t="shared" si="148"/>
        <v>2543645717</v>
      </c>
      <c r="AK155" s="9"/>
      <c r="AL155" s="128">
        <f>SUM(AL156:AL157)+AL168</f>
        <v>100000000</v>
      </c>
      <c r="AM155" s="130">
        <f>SUM(AM156:AM157)+AM168</f>
        <v>402301905</v>
      </c>
      <c r="AN155" s="9"/>
    </row>
    <row r="156" spans="1:40" s="372" customFormat="1" ht="24.95" customHeight="1">
      <c r="A156" s="734"/>
      <c r="B156" s="643"/>
      <c r="N156" s="9"/>
      <c r="P156" s="9"/>
      <c r="Q156" s="9"/>
      <c r="R156" s="9"/>
      <c r="S156" s="688">
        <f>+IF(SEPTIEMBRE!S156=0,"",SEPTIEMBRE!S156)</f>
        <v>2020201</v>
      </c>
      <c r="T156" s="664" t="str">
        <f>+IF(SEPTIEMBRE!T156=0,"",SEPTIEMBRE!T156)</f>
        <v>Mantenimiento Hospitalario</v>
      </c>
      <c r="U156" s="27">
        <f>+ENERO!U156</f>
        <v>2002025000</v>
      </c>
      <c r="V156" s="15">
        <f>SEPTIEMBRE!V156+OCTUBRE!AL156</f>
        <v>630000000</v>
      </c>
      <c r="W156" s="15">
        <f>SEPTIEMBRE!W156+OCTUBRE!AM156</f>
        <v>280000000</v>
      </c>
      <c r="X156" s="18">
        <f>SUM(U156:W156)</f>
        <v>2912025000</v>
      </c>
      <c r="Y156" s="19">
        <f>SEPTIEMBRE!AA156</f>
        <v>2523038682</v>
      </c>
      <c r="Z156" s="364">
        <v>127568034</v>
      </c>
      <c r="AA156" s="848">
        <f>SUM(Y156:Z156)</f>
        <v>2650606716</v>
      </c>
      <c r="AB156" s="19">
        <f>SEPTIEMBRE!AD156</f>
        <v>2110655818</v>
      </c>
      <c r="AC156" s="364">
        <v>196661436</v>
      </c>
      <c r="AD156" s="848">
        <f>SUM(AB156:AC156)</f>
        <v>2307317254</v>
      </c>
      <c r="AE156" s="19">
        <f>SEPTIEMBRE!AG156</f>
        <v>1681622143</v>
      </c>
      <c r="AF156" s="364">
        <v>389737186</v>
      </c>
      <c r="AG156" s="848">
        <f>SUM(AE156:AF156)</f>
        <v>2071359329</v>
      </c>
      <c r="AH156" s="19">
        <f>X156-AA156</f>
        <v>261418284</v>
      </c>
      <c r="AI156" s="15">
        <f>X156-AD156</f>
        <v>604707746</v>
      </c>
      <c r="AJ156" s="16">
        <f>X156-AG156</f>
        <v>840665671</v>
      </c>
      <c r="AK156" s="9"/>
      <c r="AL156" s="362">
        <v>0</v>
      </c>
      <c r="AM156" s="365">
        <f>200000000+80000000</f>
        <v>280000000</v>
      </c>
      <c r="AN156" s="9"/>
    </row>
    <row r="157" spans="1:40" s="372" customFormat="1" ht="24.95" customHeight="1">
      <c r="A157" s="734"/>
      <c r="B157" s="643"/>
      <c r="N157" s="9"/>
      <c r="P157" s="9"/>
      <c r="Q157" s="9"/>
      <c r="R157" s="9"/>
      <c r="S157" s="688">
        <f>+IF(SEPTIEMBRE!S157=0,"",SEPTIEMBRE!S157)</f>
        <v>2020202</v>
      </c>
      <c r="T157" s="664" t="str">
        <f>+IF(SEPTIEMBRE!T157=0,"",SEPTIEMBRE!T157)</f>
        <v>Otros</v>
      </c>
      <c r="U157" s="27">
        <f t="shared" ref="U157:AJ157" si="149">SUM(U158:U167)</f>
        <v>2609712263</v>
      </c>
      <c r="V157" s="15">
        <f t="shared" si="149"/>
        <v>100000000</v>
      </c>
      <c r="W157" s="15">
        <f t="shared" si="149"/>
        <v>500000000</v>
      </c>
      <c r="X157" s="18">
        <f t="shared" si="149"/>
        <v>3209712263</v>
      </c>
      <c r="Y157" s="19">
        <f t="shared" si="149"/>
        <v>2757337888</v>
      </c>
      <c r="Z157" s="142">
        <f t="shared" si="149"/>
        <v>121178375</v>
      </c>
      <c r="AA157" s="848">
        <f t="shared" si="149"/>
        <v>2878516263</v>
      </c>
      <c r="AB157" s="19">
        <f t="shared" si="149"/>
        <v>2278827573</v>
      </c>
      <c r="AC157" s="142">
        <f t="shared" si="149"/>
        <v>239078186</v>
      </c>
      <c r="AD157" s="848">
        <f t="shared" si="149"/>
        <v>2517905759</v>
      </c>
      <c r="AE157" s="19">
        <f t="shared" si="149"/>
        <v>1444914838</v>
      </c>
      <c r="AF157" s="142">
        <f t="shared" si="149"/>
        <v>248212858</v>
      </c>
      <c r="AG157" s="848">
        <f t="shared" si="149"/>
        <v>1693127696</v>
      </c>
      <c r="AH157" s="19">
        <f t="shared" si="149"/>
        <v>331196000</v>
      </c>
      <c r="AI157" s="15">
        <f t="shared" si="149"/>
        <v>691806504</v>
      </c>
      <c r="AJ157" s="16">
        <f t="shared" si="149"/>
        <v>1516584567</v>
      </c>
      <c r="AK157" s="10"/>
      <c r="AL157" s="29">
        <f>SUM(AL158:AL167)</f>
        <v>100000000</v>
      </c>
      <c r="AM157" s="26">
        <f>SUM(AM158:AM167)</f>
        <v>0</v>
      </c>
      <c r="AN157" s="9"/>
    </row>
    <row r="158" spans="1:40" s="372" customFormat="1" ht="24.95" customHeight="1">
      <c r="A158" s="734"/>
      <c r="B158" s="643"/>
      <c r="N158" s="9"/>
      <c r="P158" s="9"/>
      <c r="Q158" s="9"/>
      <c r="R158" s="9"/>
      <c r="S158" s="689" t="str">
        <f>+IF(SEPTIEMBRE!S158=0,"",SEPTIEMBRE!S158)</f>
        <v>2020202-1</v>
      </c>
      <c r="T158" s="665" t="str">
        <f>+IF(SEPTIEMBRE!T158=0,"",SEPTIEMBRE!T158)</f>
        <v>Seguros</v>
      </c>
      <c r="U158" s="27">
        <f>+ENERO!U158</f>
        <v>200000000</v>
      </c>
      <c r="V158" s="15">
        <f>SEPTIEMBRE!V158+OCTUBRE!AL158</f>
        <v>0</v>
      </c>
      <c r="W158" s="15">
        <f>SEPTIEMBRE!W158+OCTUBRE!AM158</f>
        <v>0</v>
      </c>
      <c r="X158" s="18">
        <f t="shared" ref="X158:X168" si="150">SUM(U158:W158)</f>
        <v>200000000</v>
      </c>
      <c r="Y158" s="19">
        <f>SEPTIEMBRE!AA158</f>
        <v>199150182</v>
      </c>
      <c r="Z158" s="364">
        <v>0</v>
      </c>
      <c r="AA158" s="848">
        <f t="shared" ref="AA158:AA168" si="151">SUM(Y158:Z158)</f>
        <v>199150182</v>
      </c>
      <c r="AB158" s="19">
        <f>SEPTIEMBRE!AD158</f>
        <v>137589799</v>
      </c>
      <c r="AC158" s="364">
        <v>20230000</v>
      </c>
      <c r="AD158" s="848">
        <f t="shared" ref="AD158:AD168" si="152">SUM(AB158:AC158)</f>
        <v>157819799</v>
      </c>
      <c r="AE158" s="19">
        <f>SEPTIEMBRE!AG158</f>
        <v>137589799</v>
      </c>
      <c r="AF158" s="364">
        <v>20230000</v>
      </c>
      <c r="AG158" s="848">
        <f t="shared" ref="AG158:AG168" si="153">SUM(AE158:AF158)</f>
        <v>157819799</v>
      </c>
      <c r="AH158" s="19">
        <f t="shared" ref="AH158:AH168" si="154">X158-AA158</f>
        <v>849818</v>
      </c>
      <c r="AI158" s="15">
        <f t="shared" ref="AI158:AI168" si="155">X158-AD158</f>
        <v>42180201</v>
      </c>
      <c r="AJ158" s="16">
        <f t="shared" ref="AJ158:AJ168" si="156">X158-AG158</f>
        <v>42180201</v>
      </c>
      <c r="AK158" s="9"/>
      <c r="AL158" s="362">
        <v>0</v>
      </c>
      <c r="AM158" s="365">
        <v>0</v>
      </c>
      <c r="AN158" s="9"/>
    </row>
    <row r="159" spans="1:40" s="372" customFormat="1" ht="24.95" customHeight="1">
      <c r="A159" s="734"/>
      <c r="B159" s="643"/>
      <c r="N159" s="9"/>
      <c r="P159" s="9"/>
      <c r="Q159" s="9"/>
      <c r="R159" s="9"/>
      <c r="S159" s="689" t="str">
        <f>+IF(SEPTIEMBRE!S159=0,"",SEPTIEMBRE!S159)</f>
        <v>2020202-2</v>
      </c>
      <c r="T159" s="665" t="str">
        <f>+IF(SEPTIEMBRE!T159=0,"",SEPTIEMBRE!T159)</f>
        <v>Impresos y Publicaciones</v>
      </c>
      <c r="U159" s="27">
        <f>+ENERO!U159</f>
        <v>40000000</v>
      </c>
      <c r="V159" s="15">
        <f>SEPTIEMBRE!V159+OCTUBRE!AL159</f>
        <v>0</v>
      </c>
      <c r="W159" s="15">
        <f>SEPTIEMBRE!W159+OCTUBRE!AM159</f>
        <v>0</v>
      </c>
      <c r="X159" s="18">
        <f t="shared" si="150"/>
        <v>40000000</v>
      </c>
      <c r="Y159" s="19">
        <f>SEPTIEMBRE!AA159</f>
        <v>35420000</v>
      </c>
      <c r="Z159" s="364">
        <v>0</v>
      </c>
      <c r="AA159" s="848">
        <f t="shared" si="151"/>
        <v>35420000</v>
      </c>
      <c r="AB159" s="19">
        <f>SEPTIEMBRE!AD159</f>
        <v>35420000</v>
      </c>
      <c r="AC159" s="364">
        <v>0</v>
      </c>
      <c r="AD159" s="848">
        <f t="shared" si="152"/>
        <v>35420000</v>
      </c>
      <c r="AE159" s="19">
        <f>SEPTIEMBRE!AG159</f>
        <v>33249873</v>
      </c>
      <c r="AF159" s="364">
        <v>0</v>
      </c>
      <c r="AG159" s="848">
        <f t="shared" si="153"/>
        <v>33249873</v>
      </c>
      <c r="AH159" s="19">
        <f t="shared" si="154"/>
        <v>4580000</v>
      </c>
      <c r="AI159" s="15">
        <f t="shared" si="155"/>
        <v>4580000</v>
      </c>
      <c r="AJ159" s="16">
        <f t="shared" si="156"/>
        <v>6750127</v>
      </c>
      <c r="AK159" s="9"/>
      <c r="AL159" s="362">
        <v>0</v>
      </c>
      <c r="AM159" s="365">
        <v>0</v>
      </c>
      <c r="AN159" s="9"/>
    </row>
    <row r="160" spans="1:40" s="372" customFormat="1" ht="24.95" customHeight="1">
      <c r="A160" s="734"/>
      <c r="B160" s="643"/>
      <c r="N160" s="9"/>
      <c r="P160" s="9"/>
      <c r="Q160" s="9"/>
      <c r="R160" s="9"/>
      <c r="S160" s="689" t="str">
        <f>+IF(SEPTIEMBRE!S160=0,"",SEPTIEMBRE!S160)</f>
        <v>2020202-3</v>
      </c>
      <c r="T160" s="665" t="str">
        <f>+IF(SEPTIEMBRE!T160=0,"",SEPTIEMBRE!T160)</f>
        <v>Pago a otras IPS</v>
      </c>
      <c r="U160" s="27">
        <f>+ENERO!U160</f>
        <v>0</v>
      </c>
      <c r="V160" s="15">
        <f>SEPTIEMBRE!V160+OCTUBRE!AL160</f>
        <v>0</v>
      </c>
      <c r="W160" s="15">
        <f>SEPTIEMBRE!W160+OCTUBRE!AM160</f>
        <v>0</v>
      </c>
      <c r="X160" s="18">
        <f t="shared" si="150"/>
        <v>0</v>
      </c>
      <c r="Y160" s="19">
        <f>SEPTIEMBRE!AA160</f>
        <v>0</v>
      </c>
      <c r="Z160" s="364">
        <v>0</v>
      </c>
      <c r="AA160" s="848">
        <f t="shared" si="151"/>
        <v>0</v>
      </c>
      <c r="AB160" s="19">
        <f>SEPTIEMBRE!AD160</f>
        <v>0</v>
      </c>
      <c r="AC160" s="364">
        <v>0</v>
      </c>
      <c r="AD160" s="848">
        <f t="shared" si="152"/>
        <v>0</v>
      </c>
      <c r="AE160" s="19">
        <f>SEPTIEMBRE!AG160</f>
        <v>0</v>
      </c>
      <c r="AF160" s="364">
        <v>0</v>
      </c>
      <c r="AG160" s="848">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N161" s="9"/>
      <c r="P161" s="9"/>
      <c r="Q161" s="9"/>
      <c r="R161" s="9"/>
      <c r="S161" s="689" t="str">
        <f>+IF(SEPTIEMBRE!S161=0,"",SEPTIEMBRE!S161)</f>
        <v>2020202-4</v>
      </c>
      <c r="T161" s="665" t="str">
        <f>+IF(SEPTIEMBRE!T161=0,"",SEPTIEMBRE!T161)</f>
        <v>Comunicaciones y Transportes</v>
      </c>
      <c r="U161" s="27">
        <f>+ENERO!U161</f>
        <v>5000000</v>
      </c>
      <c r="V161" s="15">
        <f>SEPTIEMBRE!V161+OCTUBRE!AL161</f>
        <v>0</v>
      </c>
      <c r="W161" s="15">
        <f>SEPTIEMBRE!W161+OCTUBRE!AM161</f>
        <v>0</v>
      </c>
      <c r="X161" s="18">
        <f t="shared" si="150"/>
        <v>5000000</v>
      </c>
      <c r="Y161" s="19">
        <f>SEPTIEMBRE!AA161</f>
        <v>320000</v>
      </c>
      <c r="Z161" s="364">
        <v>0</v>
      </c>
      <c r="AA161" s="848">
        <f t="shared" si="151"/>
        <v>320000</v>
      </c>
      <c r="AB161" s="19">
        <f>SEPTIEMBRE!AD161</f>
        <v>320000</v>
      </c>
      <c r="AC161" s="364">
        <v>0</v>
      </c>
      <c r="AD161" s="848">
        <f t="shared" si="152"/>
        <v>320000</v>
      </c>
      <c r="AE161" s="19">
        <f>SEPTIEMBRE!AG161</f>
        <v>0</v>
      </c>
      <c r="AF161" s="364">
        <v>0</v>
      </c>
      <c r="AG161" s="848">
        <f t="shared" si="153"/>
        <v>0</v>
      </c>
      <c r="AH161" s="19">
        <f t="shared" si="154"/>
        <v>4680000</v>
      </c>
      <c r="AI161" s="15">
        <f t="shared" si="155"/>
        <v>4680000</v>
      </c>
      <c r="AJ161" s="16">
        <f t="shared" si="156"/>
        <v>5000000</v>
      </c>
      <c r="AK161" s="9"/>
      <c r="AL161" s="362">
        <v>0</v>
      </c>
      <c r="AM161" s="365">
        <v>0</v>
      </c>
      <c r="AN161" s="9"/>
    </row>
    <row r="162" spans="1:40" s="372" customFormat="1" ht="24.95" customHeight="1">
      <c r="A162" s="734"/>
      <c r="B162" s="643"/>
      <c r="N162" s="9"/>
      <c r="P162" s="9"/>
      <c r="Q162" s="9"/>
      <c r="R162" s="9"/>
      <c r="S162" s="689" t="str">
        <f>+IF(SEPTIEMBRE!S162=0,"",SEPTIEMBRE!S162)</f>
        <v>2020202-5</v>
      </c>
      <c r="T162" s="665" t="str">
        <f>+IF(SEPTIEMBRE!T162=0,"",SEPTIEMBRE!T162)</f>
        <v>Viáticos y Gastos de Viaje</v>
      </c>
      <c r="U162" s="27">
        <f>+ENERO!U162</f>
        <v>5000000</v>
      </c>
      <c r="V162" s="15">
        <f>SEPTIEMBRE!V162+OCTUBRE!AL162</f>
        <v>0</v>
      </c>
      <c r="W162" s="15">
        <f>SEPTIEMBRE!W162+OCTUBRE!AM162</f>
        <v>0</v>
      </c>
      <c r="X162" s="18">
        <f t="shared" si="150"/>
        <v>5000000</v>
      </c>
      <c r="Y162" s="19">
        <f>SEPTIEMBRE!AA162</f>
        <v>712500</v>
      </c>
      <c r="Z162" s="364">
        <v>0</v>
      </c>
      <c r="AA162" s="848">
        <f t="shared" si="151"/>
        <v>712500</v>
      </c>
      <c r="AB162" s="19">
        <f>SEPTIEMBRE!AD162</f>
        <v>712500</v>
      </c>
      <c r="AC162" s="364">
        <v>0</v>
      </c>
      <c r="AD162" s="848">
        <f t="shared" si="152"/>
        <v>712500</v>
      </c>
      <c r="AE162" s="19">
        <f>SEPTIEMBRE!AG162</f>
        <v>712500</v>
      </c>
      <c r="AF162" s="364">
        <v>0</v>
      </c>
      <c r="AG162" s="848">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N163" s="9"/>
      <c r="P163" s="9"/>
      <c r="Q163" s="9"/>
      <c r="R163" s="9"/>
      <c r="S163" s="689" t="str">
        <f>+IF(SEPTIEMBRE!S163=0,"",SEPTIEMBRE!S163)</f>
        <v>2020202-6</v>
      </c>
      <c r="T163" s="665" t="str">
        <f>+IF(SEPTIEMBRE!T163=0,"",SEPTIEMBRE!T163)</f>
        <v>Plan Integral de Manejo de Residuos Sólidos Hospitalarios</v>
      </c>
      <c r="U163" s="27">
        <f>+ENERO!U163</f>
        <v>300000000</v>
      </c>
      <c r="V163" s="15">
        <f>SEPTIEMBRE!V163+OCTUBRE!AL163</f>
        <v>0</v>
      </c>
      <c r="W163" s="15">
        <f>SEPTIEMBRE!W163+OCTUBRE!AM163</f>
        <v>0</v>
      </c>
      <c r="X163" s="18">
        <f t="shared" si="150"/>
        <v>300000000</v>
      </c>
      <c r="Y163" s="19">
        <f>SEPTIEMBRE!AA163</f>
        <v>211106211</v>
      </c>
      <c r="Z163" s="364">
        <v>1274375</v>
      </c>
      <c r="AA163" s="848">
        <f t="shared" si="151"/>
        <v>212380586</v>
      </c>
      <c r="AB163" s="19">
        <f>SEPTIEMBRE!AD163</f>
        <v>194661223</v>
      </c>
      <c r="AC163" s="364">
        <v>13542649</v>
      </c>
      <c r="AD163" s="848">
        <f t="shared" si="152"/>
        <v>208203872</v>
      </c>
      <c r="AE163" s="19">
        <f>SEPTIEMBRE!AG163</f>
        <v>145682064</v>
      </c>
      <c r="AF163" s="364">
        <v>22108537</v>
      </c>
      <c r="AG163" s="848">
        <f t="shared" si="153"/>
        <v>167790601</v>
      </c>
      <c r="AH163" s="19">
        <f t="shared" si="154"/>
        <v>87619414</v>
      </c>
      <c r="AI163" s="15">
        <f t="shared" si="155"/>
        <v>91796128</v>
      </c>
      <c r="AJ163" s="16">
        <f t="shared" si="156"/>
        <v>132209399</v>
      </c>
      <c r="AK163" s="9"/>
      <c r="AL163" s="362">
        <v>0</v>
      </c>
      <c r="AM163" s="365">
        <v>0</v>
      </c>
      <c r="AN163" s="9"/>
    </row>
    <row r="164" spans="1:40" s="372" customFormat="1" ht="24.95" customHeight="1">
      <c r="A164" s="734"/>
      <c r="B164" s="643"/>
      <c r="N164" s="9"/>
      <c r="P164" s="9"/>
      <c r="Q164" s="9"/>
      <c r="R164" s="9"/>
      <c r="S164" s="689" t="str">
        <f>+IF(SEPTIEMBRE!S164=0,"",SEPTIEMBRE!S164)</f>
        <v>2020202-7</v>
      </c>
      <c r="T164" s="665" t="str">
        <f>+IF(SEPTIEMBRE!T164=0,"",SEPTIEMBRE!T164)</f>
        <v>Servicios de Laboratorio contratados con terceros</v>
      </c>
      <c r="U164" s="27">
        <f>+ENERO!U164</f>
        <v>778712263</v>
      </c>
      <c r="V164" s="15">
        <f>SEPTIEMBRE!V164+OCTUBRE!AL164</f>
        <v>100000000</v>
      </c>
      <c r="W164" s="15">
        <f>SEPTIEMBRE!W164+OCTUBRE!AM164</f>
        <v>0</v>
      </c>
      <c r="X164" s="18">
        <f t="shared" si="150"/>
        <v>878712263</v>
      </c>
      <c r="Y164" s="19">
        <f>SEPTIEMBRE!AA164</f>
        <v>745815495</v>
      </c>
      <c r="Z164" s="364">
        <v>87904000</v>
      </c>
      <c r="AA164" s="848">
        <f t="shared" si="151"/>
        <v>833719495</v>
      </c>
      <c r="AB164" s="19">
        <f>SEPTIEMBRE!AD164</f>
        <v>657006687</v>
      </c>
      <c r="AC164" s="364">
        <v>65635474</v>
      </c>
      <c r="AD164" s="848">
        <f t="shared" si="152"/>
        <v>722642161</v>
      </c>
      <c r="AE164" s="19">
        <f>SEPTIEMBRE!AG164</f>
        <v>274481891</v>
      </c>
      <c r="AF164" s="364">
        <v>74162463</v>
      </c>
      <c r="AG164" s="848">
        <f t="shared" si="153"/>
        <v>348644354</v>
      </c>
      <c r="AH164" s="19">
        <f t="shared" si="154"/>
        <v>44992768</v>
      </c>
      <c r="AI164" s="15">
        <f t="shared" si="155"/>
        <v>156070102</v>
      </c>
      <c r="AJ164" s="16">
        <f t="shared" si="156"/>
        <v>530067909</v>
      </c>
      <c r="AK164" s="9"/>
      <c r="AL164" s="362">
        <v>100000000</v>
      </c>
      <c r="AM164" s="365">
        <v>0</v>
      </c>
      <c r="AN164" s="9"/>
    </row>
    <row r="165" spans="1:40" s="372" customFormat="1" ht="24.95" customHeight="1">
      <c r="A165" s="734"/>
      <c r="B165" s="643"/>
      <c r="N165" s="9"/>
      <c r="P165" s="9"/>
      <c r="Q165" s="9"/>
      <c r="R165" s="9"/>
      <c r="S165" s="689" t="str">
        <f>+IF(SEPTIEMBRE!S165=0,"",SEPTIEMBRE!S165)</f>
        <v>2020202-8</v>
      </c>
      <c r="T165" s="665" t="str">
        <f>+IF(SEPTIEMBRE!T165=0,"",SEPTIEMBRE!T165)</f>
        <v>Servicios de Rayos X e Imaginología contratado con terceros</v>
      </c>
      <c r="U165" s="27">
        <f>+ENERO!U165</f>
        <v>1116000000</v>
      </c>
      <c r="V165" s="15">
        <f>SEPTIEMBRE!V165+OCTUBRE!AL165</f>
        <v>0</v>
      </c>
      <c r="W165" s="15">
        <f>SEPTIEMBRE!W165+OCTUBRE!AM165</f>
        <v>500000000</v>
      </c>
      <c r="X165" s="18">
        <f t="shared" si="150"/>
        <v>1616000000</v>
      </c>
      <c r="Y165" s="19">
        <f>SEPTIEMBRE!AA165</f>
        <v>1545000000</v>
      </c>
      <c r="Z165" s="364">
        <v>32000000</v>
      </c>
      <c r="AA165" s="848">
        <f t="shared" si="151"/>
        <v>1577000000</v>
      </c>
      <c r="AB165" s="19">
        <f>SEPTIEMBRE!AD165</f>
        <v>1233303864</v>
      </c>
      <c r="AC165" s="364">
        <v>139670063</v>
      </c>
      <c r="AD165" s="848">
        <f t="shared" si="152"/>
        <v>1372973927</v>
      </c>
      <c r="AE165" s="19">
        <f>SEPTIEMBRE!AG165</f>
        <v>833385211</v>
      </c>
      <c r="AF165" s="364">
        <v>131711858</v>
      </c>
      <c r="AG165" s="848">
        <f t="shared" si="153"/>
        <v>965097069</v>
      </c>
      <c r="AH165" s="19">
        <f t="shared" si="154"/>
        <v>39000000</v>
      </c>
      <c r="AI165" s="15">
        <f t="shared" si="155"/>
        <v>243026073</v>
      </c>
      <c r="AJ165" s="16">
        <f t="shared" si="156"/>
        <v>650902931</v>
      </c>
      <c r="AK165" s="9"/>
      <c r="AL165" s="362">
        <v>0</v>
      </c>
      <c r="AM165" s="365">
        <v>0</v>
      </c>
      <c r="AN165" s="9"/>
    </row>
    <row r="166" spans="1:40" s="372" customFormat="1" ht="24.95" customHeight="1">
      <c r="A166" s="734"/>
      <c r="B166" s="643"/>
      <c r="N166" s="9"/>
      <c r="P166" s="9"/>
      <c r="Q166" s="9"/>
      <c r="R166" s="9"/>
      <c r="S166" s="689" t="str">
        <f>+IF(SEPTIEMBRE!S166=0,"",SEPTIEMBRE!S166)</f>
        <v>2020202-9</v>
      </c>
      <c r="T166" s="665" t="str">
        <f>+IF(SEPTIEMBRE!T166=0,"",SEPTIEMBRE!T166)</f>
        <v>Arrendamientos</v>
      </c>
      <c r="U166" s="27">
        <f>+ENERO!U166</f>
        <v>165000000</v>
      </c>
      <c r="V166" s="15">
        <f>SEPTIEMBRE!V166+OCTUBRE!AL166</f>
        <v>0</v>
      </c>
      <c r="W166" s="15">
        <f>SEPTIEMBRE!W166+OCTUBRE!AM166</f>
        <v>0</v>
      </c>
      <c r="X166" s="18">
        <f t="shared" si="150"/>
        <v>165000000</v>
      </c>
      <c r="Y166" s="19">
        <f>SEPTIEMBRE!AA166</f>
        <v>19813500</v>
      </c>
      <c r="Z166" s="364">
        <v>0</v>
      </c>
      <c r="AA166" s="848">
        <f t="shared" si="151"/>
        <v>19813500</v>
      </c>
      <c r="AB166" s="19">
        <f>SEPTIEMBRE!AD166</f>
        <v>19813500</v>
      </c>
      <c r="AC166" s="364">
        <v>0</v>
      </c>
      <c r="AD166" s="848">
        <f t="shared" si="152"/>
        <v>19813500</v>
      </c>
      <c r="AE166" s="19">
        <f>SEPTIEMBRE!AG166</f>
        <v>19813500</v>
      </c>
      <c r="AF166" s="364">
        <v>0</v>
      </c>
      <c r="AG166" s="848">
        <f t="shared" si="153"/>
        <v>19813500</v>
      </c>
      <c r="AH166" s="19">
        <f t="shared" si="154"/>
        <v>145186500</v>
      </c>
      <c r="AI166" s="15">
        <f t="shared" si="155"/>
        <v>145186500</v>
      </c>
      <c r="AJ166" s="16">
        <f t="shared" si="156"/>
        <v>145186500</v>
      </c>
      <c r="AK166" s="9"/>
      <c r="AL166" s="362">
        <v>0</v>
      </c>
      <c r="AM166" s="365">
        <v>0</v>
      </c>
      <c r="AN166" s="9"/>
    </row>
    <row r="167" spans="1:40" s="372" customFormat="1" ht="24.95" customHeight="1">
      <c r="A167" s="734"/>
      <c r="B167" s="643"/>
      <c r="N167" s="9"/>
      <c r="P167" s="9"/>
      <c r="Q167" s="9"/>
      <c r="R167" s="9"/>
      <c r="S167" s="689" t="str">
        <f>+IF(SEPTIEMBRE!S167=0,"",SEPTIEMBRE!S167)</f>
        <v>2020202-10</v>
      </c>
      <c r="T167" s="665" t="str">
        <f>+IF(SEPTIEMBRE!T167=0,"",SEPTIEMBRE!T167)</f>
        <v>Servicios Públicos</v>
      </c>
      <c r="U167" s="27">
        <f>+ENERO!U167</f>
        <v>0</v>
      </c>
      <c r="V167" s="15">
        <f>SEPTIEMBRE!V167+OCTUBRE!AL167</f>
        <v>0</v>
      </c>
      <c r="W167" s="15">
        <f>SEPTIEMBRE!W167+OCTUBRE!AM167</f>
        <v>0</v>
      </c>
      <c r="X167" s="18">
        <f>SUM(U167:W167)</f>
        <v>0</v>
      </c>
      <c r="Y167" s="19">
        <f>SEPTIEMBRE!AA167</f>
        <v>0</v>
      </c>
      <c r="Z167" s="364">
        <v>0</v>
      </c>
      <c r="AA167" s="848">
        <f>SUM(Y167:Z167)</f>
        <v>0</v>
      </c>
      <c r="AB167" s="19">
        <f>SEPTIEMBRE!AD167</f>
        <v>0</v>
      </c>
      <c r="AC167" s="364">
        <v>0</v>
      </c>
      <c r="AD167" s="848">
        <f>SUM(AB167:AC167)</f>
        <v>0</v>
      </c>
      <c r="AE167" s="19">
        <f>SEPTIEMBRE!AG167</f>
        <v>0</v>
      </c>
      <c r="AF167" s="364">
        <v>0</v>
      </c>
      <c r="AG167" s="84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+IF(SEPTIEMBRE!S168=0,"",SEPTIEMBRE!S168)</f>
        <v>2020299</v>
      </c>
      <c r="T168" s="664" t="str">
        <f>+IF(SEPTIEMBRE!T168=0,"",SEPTIEMBRE!T168)</f>
        <v>Vigencias Anteriores</v>
      </c>
      <c r="U168" s="27">
        <f>+ENERO!U168</f>
        <v>100900000</v>
      </c>
      <c r="V168" s="15">
        <f>SEPTIEMBRE!V168+OCTUBRE!AL168</f>
        <v>170000000</v>
      </c>
      <c r="W168" s="15">
        <f>SEPTIEMBRE!W168+OCTUBRE!AM168</f>
        <v>902301905</v>
      </c>
      <c r="X168" s="18">
        <f t="shared" si="150"/>
        <v>1173201905</v>
      </c>
      <c r="Y168" s="19">
        <f>SEPTIEMBRE!AA168</f>
        <v>935335560</v>
      </c>
      <c r="Z168" s="364">
        <v>51470866</v>
      </c>
      <c r="AA168" s="848">
        <f t="shared" si="151"/>
        <v>986806426</v>
      </c>
      <c r="AB168" s="19">
        <f>SEPTIEMBRE!AD168</f>
        <v>935335560</v>
      </c>
      <c r="AC168" s="364">
        <v>51470866</v>
      </c>
      <c r="AD168" s="848">
        <f t="shared" si="152"/>
        <v>986806426</v>
      </c>
      <c r="AE168" s="19">
        <f>SEPTIEMBRE!AG168</f>
        <v>935335560</v>
      </c>
      <c r="AF168" s="364">
        <v>51470866</v>
      </c>
      <c r="AG168" s="848">
        <f t="shared" si="153"/>
        <v>986806426</v>
      </c>
      <c r="AH168" s="19">
        <f t="shared" si="154"/>
        <v>186395479</v>
      </c>
      <c r="AI168" s="15">
        <f t="shared" si="155"/>
        <v>186395479</v>
      </c>
      <c r="AJ168" s="16">
        <f t="shared" si="156"/>
        <v>186395479</v>
      </c>
      <c r="AK168" s="9"/>
      <c r="AL168" s="362">
        <v>0</v>
      </c>
      <c r="AM168" s="365">
        <v>122301905</v>
      </c>
      <c r="AN168" s="9"/>
    </row>
    <row r="169" spans="1:40" s="372" customFormat="1" ht="24.95" customHeight="1">
      <c r="A169" s="734"/>
      <c r="B169" s="643"/>
      <c r="N169" s="9"/>
      <c r="P169" s="9"/>
      <c r="Q169" s="9"/>
      <c r="R169" s="9"/>
      <c r="S169" s="356" t="str">
        <f>+IF(SEPTIEMBRE!S169=0,"",SEPTIEMBRE!S169)</f>
        <v/>
      </c>
      <c r="T169" s="678" t="str">
        <f>+IF(SEPTIEMBRE!T169=0,"",SEPTIEMBRE!T169)</f>
        <v/>
      </c>
      <c r="U169" s="161"/>
      <c r="V169" s="161"/>
      <c r="W169" s="161"/>
      <c r="X169" s="161"/>
      <c r="Y169" s="161"/>
      <c r="Z169" s="161"/>
      <c r="AA169" s="846"/>
      <c r="AB169" s="161"/>
      <c r="AC169" s="161"/>
      <c r="AD169" s="846"/>
      <c r="AE169" s="161"/>
      <c r="AF169" s="161">
        <v>0</v>
      </c>
      <c r="AG169" s="846"/>
      <c r="AH169" s="161"/>
      <c r="AI169" s="161"/>
      <c r="AJ169" s="166"/>
      <c r="AK169" s="9"/>
      <c r="AL169" s="172"/>
      <c r="AM169" s="173"/>
      <c r="AN169" s="9"/>
    </row>
    <row r="170" spans="1:40" s="372" customFormat="1" ht="24.95" customHeight="1">
      <c r="A170" s="734"/>
      <c r="B170" s="643"/>
      <c r="N170" s="9"/>
      <c r="P170" s="9"/>
      <c r="Q170" s="9"/>
      <c r="R170" s="9"/>
      <c r="S170" s="686">
        <f>+IF(SEPTIEMBRE!S170=0,"",SEPTIEMBRE!S170)</f>
        <v>3000000</v>
      </c>
      <c r="T170" s="668" t="str">
        <f>+IF(SEPTIEMBRE!T170=0,"",SEPTIEMBRE!T170)</f>
        <v>TRANSFERENCIAS CORRIENTES</v>
      </c>
      <c r="U170" s="460">
        <f t="shared" ref="U170:AJ170" si="157">U172+U176+U185</f>
        <v>1240354144</v>
      </c>
      <c r="V170" s="461">
        <f t="shared" si="157"/>
        <v>52000000</v>
      </c>
      <c r="W170" s="461">
        <f t="shared" si="157"/>
        <v>0</v>
      </c>
      <c r="X170" s="462">
        <f t="shared" si="157"/>
        <v>1292354144</v>
      </c>
      <c r="Y170" s="369">
        <f t="shared" si="157"/>
        <v>785857987</v>
      </c>
      <c r="Z170" s="461">
        <f t="shared" si="157"/>
        <v>61013032</v>
      </c>
      <c r="AA170" s="849">
        <f t="shared" si="157"/>
        <v>846871019</v>
      </c>
      <c r="AB170" s="369">
        <f t="shared" si="157"/>
        <v>785857987</v>
      </c>
      <c r="AC170" s="461">
        <f t="shared" si="157"/>
        <v>61013032</v>
      </c>
      <c r="AD170" s="849">
        <f t="shared" si="157"/>
        <v>846871019</v>
      </c>
      <c r="AE170" s="369">
        <f t="shared" si="157"/>
        <v>781397065</v>
      </c>
      <c r="AF170" s="461">
        <f t="shared" si="157"/>
        <v>61363814</v>
      </c>
      <c r="AG170" s="849">
        <f t="shared" si="157"/>
        <v>842760879</v>
      </c>
      <c r="AH170" s="369">
        <f t="shared" si="157"/>
        <v>445483125</v>
      </c>
      <c r="AI170" s="461">
        <f t="shared" si="157"/>
        <v>445483125</v>
      </c>
      <c r="AJ170" s="370">
        <f t="shared" si="157"/>
        <v>449593265</v>
      </c>
      <c r="AK170" s="9"/>
      <c r="AL170" s="128">
        <f>AL172+AL176+AL185</f>
        <v>0</v>
      </c>
      <c r="AM170" s="130">
        <f>AM172+AM176+AM185</f>
        <v>0</v>
      </c>
      <c r="AN170" s="9"/>
    </row>
    <row r="171" spans="1:40" s="372" customFormat="1" ht="24.95" customHeight="1">
      <c r="A171" s="734"/>
      <c r="B171" s="643"/>
      <c r="N171" s="9"/>
      <c r="P171" s="9"/>
      <c r="Q171" s="9"/>
      <c r="R171" s="9"/>
      <c r="S171" s="356" t="str">
        <f>+IF(SEPTIEMBRE!S171=0,"",SEPTIEMBRE!S171)</f>
        <v/>
      </c>
      <c r="T171" s="678" t="str">
        <f>+IF(SEPTIEMBRE!T171=0,"",SEPTIEMBRE!T171)</f>
        <v/>
      </c>
      <c r="U171" s="161"/>
      <c r="V171" s="161"/>
      <c r="W171" s="161"/>
      <c r="X171" s="161"/>
      <c r="Y171" s="161"/>
      <c r="Z171" s="161"/>
      <c r="AA171" s="846"/>
      <c r="AB171" s="161"/>
      <c r="AC171" s="161"/>
      <c r="AD171" s="846"/>
      <c r="AE171" s="161"/>
      <c r="AF171" s="161"/>
      <c r="AG171" s="846"/>
      <c r="AH171" s="161"/>
      <c r="AI171" s="161"/>
      <c r="AJ171" s="166"/>
      <c r="AK171" s="9"/>
      <c r="AL171" s="172"/>
      <c r="AM171" s="173"/>
      <c r="AN171" s="9"/>
    </row>
    <row r="172" spans="1:40" s="372" customFormat="1" ht="24.95" customHeight="1">
      <c r="A172" s="734"/>
      <c r="B172" s="643"/>
      <c r="N172" s="9"/>
      <c r="P172" s="9"/>
      <c r="Q172" s="9"/>
      <c r="R172" s="9"/>
      <c r="S172" s="687">
        <f>+IF(SEPTIEMBRE!S172=0,"",SEPTIEMBRE!S172)</f>
        <v>3100000</v>
      </c>
      <c r="T172" s="663" t="str">
        <f>+IF(SEPTIEMBRE!T172=0,"",SEPTIEMBRE!T172)</f>
        <v>Transferencias al Sector Público</v>
      </c>
      <c r="U172" s="132">
        <f t="shared" ref="U172:AJ172" si="158">SUM(U173:U174)</f>
        <v>50000000</v>
      </c>
      <c r="V172" s="122">
        <f t="shared" si="158"/>
        <v>44000000</v>
      </c>
      <c r="W172" s="122">
        <f t="shared" si="158"/>
        <v>0</v>
      </c>
      <c r="X172" s="129">
        <f t="shared" si="158"/>
        <v>94000000</v>
      </c>
      <c r="Y172" s="128">
        <f t="shared" si="158"/>
        <v>91353733</v>
      </c>
      <c r="Z172" s="122">
        <f t="shared" si="158"/>
        <v>0</v>
      </c>
      <c r="AA172" s="215">
        <f t="shared" si="158"/>
        <v>91353733</v>
      </c>
      <c r="AB172" s="128">
        <f t="shared" si="158"/>
        <v>91353733</v>
      </c>
      <c r="AC172" s="122">
        <f t="shared" si="158"/>
        <v>0</v>
      </c>
      <c r="AD172" s="215">
        <f t="shared" si="158"/>
        <v>91353733</v>
      </c>
      <c r="AE172" s="128">
        <f t="shared" si="158"/>
        <v>91353733</v>
      </c>
      <c r="AF172" s="122">
        <f t="shared" si="158"/>
        <v>0</v>
      </c>
      <c r="AG172" s="215">
        <f t="shared" si="158"/>
        <v>91353733</v>
      </c>
      <c r="AH172" s="128">
        <f t="shared" si="158"/>
        <v>2646267</v>
      </c>
      <c r="AI172" s="122">
        <f t="shared" si="158"/>
        <v>2646267</v>
      </c>
      <c r="AJ172" s="130">
        <f t="shared" si="158"/>
        <v>2646267</v>
      </c>
      <c r="AK172" s="9"/>
      <c r="AL172" s="128">
        <f>SUM(AL173:AL174)</f>
        <v>0</v>
      </c>
      <c r="AM172" s="130">
        <f>SUM(AM173:AM174)</f>
        <v>0</v>
      </c>
      <c r="AN172" s="9"/>
    </row>
    <row r="173" spans="1:40" s="372" customFormat="1" ht="24.95" customHeight="1">
      <c r="A173" s="734"/>
      <c r="B173" s="643"/>
      <c r="N173" s="9"/>
      <c r="P173" s="9"/>
      <c r="Q173" s="9"/>
      <c r="R173" s="9"/>
      <c r="S173" s="688">
        <f>+IF(SEPTIEMBRE!S173=0,"",SEPTIEMBRE!S173)</f>
        <v>3100003</v>
      </c>
      <c r="T173" s="664" t="str">
        <f>+IF(SEPTIEMBRE!T173=0,"",SEPTIEMBRE!T173)</f>
        <v>Entidades Públicas (Contraloria, Supersalud,…)</v>
      </c>
      <c r="U173" s="27">
        <f>+ENERO!U173</f>
        <v>50000000</v>
      </c>
      <c r="V173" s="15">
        <f>SEPTIEMBRE!V173+OCTUBRE!AL173</f>
        <v>44000000</v>
      </c>
      <c r="W173" s="15">
        <f>SEPTIEMBRE!W173+OCTUBRE!AM173</f>
        <v>0</v>
      </c>
      <c r="X173" s="18">
        <f>SUM(U173:W173)</f>
        <v>94000000</v>
      </c>
      <c r="Y173" s="19">
        <f>SEPTIEMBRE!AA173</f>
        <v>91353733</v>
      </c>
      <c r="Z173" s="364">
        <v>0</v>
      </c>
      <c r="AA173" s="848">
        <f>SUM(Y173:Z173)</f>
        <v>91353733</v>
      </c>
      <c r="AB173" s="19">
        <f>SEPTIEMBRE!AD173</f>
        <v>91353733</v>
      </c>
      <c r="AC173" s="364">
        <v>0</v>
      </c>
      <c r="AD173" s="848">
        <f>SUM(AB173:AC173)</f>
        <v>91353733</v>
      </c>
      <c r="AE173" s="19">
        <f>SEPTIEMBRE!AG173</f>
        <v>91353733</v>
      </c>
      <c r="AF173" s="364">
        <v>0</v>
      </c>
      <c r="AG173" s="848">
        <f>SUM(AE173:AF173)</f>
        <v>91353733</v>
      </c>
      <c r="AH173" s="19">
        <f>X173-AA173</f>
        <v>2646267</v>
      </c>
      <c r="AI173" s="15">
        <f>X173-AD173</f>
        <v>2646267</v>
      </c>
      <c r="AJ173" s="16">
        <f>X173-AG173</f>
        <v>2646267</v>
      </c>
      <c r="AK173" s="9"/>
      <c r="AL173" s="362">
        <v>0</v>
      </c>
      <c r="AM173" s="365">
        <v>0</v>
      </c>
      <c r="AN173" s="9"/>
    </row>
    <row r="174" spans="1:40" s="372" customFormat="1" ht="24.95" customHeight="1">
      <c r="A174" s="734"/>
      <c r="B174" s="643"/>
      <c r="N174" s="9"/>
      <c r="P174" s="9"/>
      <c r="Q174" s="9"/>
      <c r="R174" s="9"/>
      <c r="S174" s="688">
        <f>+IF(SEPTIEMBRE!S174=0,"",SEPTIEMBRE!S174)</f>
        <v>3199999</v>
      </c>
      <c r="T174" s="664" t="str">
        <f>+IF(SEPTIEMBRE!T174=0,"",SEPTIEMBRE!T174)</f>
        <v>Vigencias Anteriores</v>
      </c>
      <c r="U174" s="27">
        <f>+ENERO!U174</f>
        <v>0</v>
      </c>
      <c r="V174" s="15">
        <f>SEPTIEMBRE!V174+OCTUBRE!AL174</f>
        <v>0</v>
      </c>
      <c r="W174" s="15">
        <f>SEPTIEMBRE!W174+OCTUBRE!AM174</f>
        <v>0</v>
      </c>
      <c r="X174" s="18">
        <f>SUM(U174:W174)</f>
        <v>0</v>
      </c>
      <c r="Y174" s="19">
        <f>SEPTIEMBRE!AA174</f>
        <v>0</v>
      </c>
      <c r="Z174" s="364">
        <v>0</v>
      </c>
      <c r="AA174" s="848">
        <f>SUM(Y174:Z174)</f>
        <v>0</v>
      </c>
      <c r="AB174" s="19">
        <f>SEPTIEMBRE!AD174</f>
        <v>0</v>
      </c>
      <c r="AC174" s="364">
        <v>0</v>
      </c>
      <c r="AD174" s="848">
        <f>SUM(AB174:AC174)</f>
        <v>0</v>
      </c>
      <c r="AE174" s="19">
        <f>SEPTIEMBRE!AG174</f>
        <v>0</v>
      </c>
      <c r="AF174" s="364">
        <v>0</v>
      </c>
      <c r="AG174" s="84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+IF(SEPTIEMBRE!S175=0,"",SEPTIEMBRE!S175)</f>
        <v/>
      </c>
      <c r="T175" s="678" t="str">
        <f>+IF(SEPTIEMBRE!T175=0,"",SEPTIEMBRE!T175)</f>
        <v/>
      </c>
      <c r="U175" s="161"/>
      <c r="V175" s="161"/>
      <c r="W175" s="161"/>
      <c r="X175" s="161"/>
      <c r="Y175" s="161"/>
      <c r="Z175" s="161"/>
      <c r="AA175" s="846"/>
      <c r="AB175" s="161"/>
      <c r="AC175" s="161"/>
      <c r="AD175" s="846"/>
      <c r="AE175" s="161"/>
      <c r="AF175" s="161"/>
      <c r="AG175" s="846"/>
      <c r="AH175" s="161"/>
      <c r="AI175" s="161"/>
      <c r="AJ175" s="166"/>
      <c r="AK175" s="10"/>
      <c r="AL175" s="172"/>
      <c r="AM175" s="173"/>
      <c r="AN175" s="9"/>
    </row>
    <row r="176" spans="1:40" s="372" customFormat="1" ht="24.95" customHeight="1">
      <c r="A176" s="734"/>
      <c r="B176" s="643"/>
      <c r="N176" s="9"/>
      <c r="P176" s="9"/>
      <c r="Q176" s="9"/>
      <c r="R176" s="9"/>
      <c r="S176" s="687">
        <f>+IF(SEPTIEMBRE!S176=0,"",SEPTIEMBRE!S176)</f>
        <v>320000</v>
      </c>
      <c r="T176" s="663" t="str">
        <f>+IF(SEPTIEMBRE!T176=0,"",SEPTIEMBRE!T176)</f>
        <v>Transf. Previsión y Seguridad Social</v>
      </c>
      <c r="U176" s="132">
        <f t="shared" ref="U176:AJ176" si="159">SUM(U177:U183)</f>
        <v>1110354144</v>
      </c>
      <c r="V176" s="122">
        <f t="shared" si="159"/>
        <v>0</v>
      </c>
      <c r="W176" s="122">
        <f t="shared" si="159"/>
        <v>0</v>
      </c>
      <c r="X176" s="129">
        <f t="shared" si="159"/>
        <v>1110354144</v>
      </c>
      <c r="Y176" s="128">
        <f t="shared" si="159"/>
        <v>672050274</v>
      </c>
      <c r="Z176" s="122">
        <f t="shared" si="159"/>
        <v>61013032</v>
      </c>
      <c r="AA176" s="215">
        <f t="shared" si="159"/>
        <v>733063306</v>
      </c>
      <c r="AB176" s="128">
        <f t="shared" si="159"/>
        <v>672050274</v>
      </c>
      <c r="AC176" s="122">
        <f t="shared" si="159"/>
        <v>61013032</v>
      </c>
      <c r="AD176" s="215">
        <f t="shared" si="159"/>
        <v>733063306</v>
      </c>
      <c r="AE176" s="128">
        <f t="shared" si="159"/>
        <v>667589352</v>
      </c>
      <c r="AF176" s="122">
        <f t="shared" si="159"/>
        <v>61363814</v>
      </c>
      <c r="AG176" s="215">
        <f t="shared" si="159"/>
        <v>728953166</v>
      </c>
      <c r="AH176" s="128">
        <f t="shared" si="159"/>
        <v>377290838</v>
      </c>
      <c r="AI176" s="122">
        <f t="shared" si="159"/>
        <v>377290838</v>
      </c>
      <c r="AJ176" s="130">
        <f t="shared" si="159"/>
        <v>381400978</v>
      </c>
      <c r="AK176" s="9"/>
      <c r="AL176" s="128">
        <f>SUM(AL177:AL183)</f>
        <v>0</v>
      </c>
      <c r="AM176" s="130">
        <f>SUM(AM177:AM183)</f>
        <v>0</v>
      </c>
      <c r="AN176" s="9"/>
    </row>
    <row r="177" spans="1:40" s="372" customFormat="1" ht="24.95" customHeight="1">
      <c r="A177" s="734"/>
      <c r="B177" s="643"/>
      <c r="N177" s="9"/>
      <c r="P177" s="9"/>
      <c r="Q177" s="9"/>
      <c r="R177" s="9"/>
      <c r="S177" s="688">
        <f>+IF(SEPTIEMBRE!S177=0,"",SEPTIEMBRE!S177)</f>
        <v>3200100</v>
      </c>
      <c r="T177" s="664" t="str">
        <f>+IF(SEPTIEMBRE!T177=0,"",SEPTIEMBRE!T177)</f>
        <v>Pensiones y Jubilaciones (Pago Directo)</v>
      </c>
      <c r="U177" s="27">
        <f>+ENERO!U177</f>
        <v>965336472</v>
      </c>
      <c r="V177" s="15">
        <f>SEPTIEMBRE!V177+OCTUBRE!AL177</f>
        <v>0</v>
      </c>
      <c r="W177" s="15">
        <f>SEPTIEMBRE!W177+OCTUBRE!AM177</f>
        <v>0</v>
      </c>
      <c r="X177" s="18">
        <f t="shared" ref="X177:X183" si="160">SUM(U177:W177)</f>
        <v>965336472</v>
      </c>
      <c r="Y177" s="19">
        <f>SEPTIEMBRE!AA177</f>
        <v>617208436</v>
      </c>
      <c r="Z177" s="364">
        <v>61013032</v>
      </c>
      <c r="AA177" s="848">
        <f t="shared" ref="AA177:AA183" si="161">SUM(Y177:Z177)</f>
        <v>678221468</v>
      </c>
      <c r="AB177" s="19">
        <f>SEPTIEMBRE!AD177</f>
        <v>617208436</v>
      </c>
      <c r="AC177" s="364">
        <v>61013032</v>
      </c>
      <c r="AD177" s="848">
        <f t="shared" ref="AD177:AD183" si="162">SUM(AB177:AC177)</f>
        <v>678221468</v>
      </c>
      <c r="AE177" s="19">
        <f>SEPTIEMBRE!AG177</f>
        <v>613530336</v>
      </c>
      <c r="AF177" s="364">
        <v>61013032</v>
      </c>
      <c r="AG177" s="848">
        <f t="shared" ref="AG177:AG183" si="163">SUM(AE177:AF177)</f>
        <v>674543368</v>
      </c>
      <c r="AH177" s="19">
        <f t="shared" ref="AH177:AH183" si="164">X177-AA177</f>
        <v>287115004</v>
      </c>
      <c r="AI177" s="15">
        <f t="shared" ref="AI177:AI183" si="165">X177-AD177</f>
        <v>287115004</v>
      </c>
      <c r="AJ177" s="16">
        <f t="shared" ref="AJ177:AJ183" si="166">X177-AG177</f>
        <v>290793104</v>
      </c>
      <c r="AK177" s="9"/>
      <c r="AL177" s="362">
        <v>0</v>
      </c>
      <c r="AM177" s="365">
        <v>0</v>
      </c>
      <c r="AN177" s="9"/>
    </row>
    <row r="178" spans="1:40" s="372" customFormat="1" ht="24.95" customHeight="1">
      <c r="A178" s="734"/>
      <c r="B178" s="643"/>
      <c r="N178" s="9"/>
      <c r="P178" s="9"/>
      <c r="Q178" s="9"/>
      <c r="R178" s="9"/>
      <c r="S178" s="688">
        <f>+IF(SEPTIEMBRE!S178=0,"",SEPTIEMBRE!S178)</f>
        <v>3200200</v>
      </c>
      <c r="T178" s="664" t="str">
        <f>+IF(SEPTIEMBRE!T178=0,"",SEPTIEMBRE!T178)</f>
        <v>Cesantías Pago Directo (Pago Directo)</v>
      </c>
      <c r="U178" s="27">
        <f>+ENERO!U178</f>
        <v>20000000</v>
      </c>
      <c r="V178" s="15">
        <f>SEPTIEMBRE!V178+OCTUBRE!AL178</f>
        <v>20000000</v>
      </c>
      <c r="W178" s="15">
        <f>SEPTIEMBRE!W178+OCTUBRE!AM178</f>
        <v>0</v>
      </c>
      <c r="X178" s="18">
        <f t="shared" si="160"/>
        <v>40000000</v>
      </c>
      <c r="Y178" s="19">
        <f>SEPTIEMBRE!AA178</f>
        <v>18617802</v>
      </c>
      <c r="Z178" s="364">
        <v>0</v>
      </c>
      <c r="AA178" s="848">
        <f t="shared" si="161"/>
        <v>18617802</v>
      </c>
      <c r="AB178" s="19">
        <f>SEPTIEMBRE!AD178</f>
        <v>18617802</v>
      </c>
      <c r="AC178" s="364">
        <v>0</v>
      </c>
      <c r="AD178" s="848">
        <f t="shared" si="162"/>
        <v>18617802</v>
      </c>
      <c r="AE178" s="19">
        <f>SEPTIEMBRE!AG178</f>
        <v>17849008</v>
      </c>
      <c r="AF178" s="364">
        <v>337317</v>
      </c>
      <c r="AG178" s="848">
        <f t="shared" si="163"/>
        <v>18186325</v>
      </c>
      <c r="AH178" s="19">
        <f t="shared" si="164"/>
        <v>21382198</v>
      </c>
      <c r="AI178" s="15">
        <f t="shared" si="165"/>
        <v>21382198</v>
      </c>
      <c r="AJ178" s="16">
        <f t="shared" si="166"/>
        <v>21813675</v>
      </c>
      <c r="AK178" s="9"/>
      <c r="AL178" s="362">
        <v>0</v>
      </c>
      <c r="AM178" s="365">
        <v>0</v>
      </c>
      <c r="AN178" s="9"/>
    </row>
    <row r="179" spans="1:40" s="372" customFormat="1" ht="24.95" customHeight="1">
      <c r="A179" s="734"/>
      <c r="B179" s="643"/>
      <c r="N179" s="9"/>
      <c r="P179" s="9"/>
      <c r="Q179" s="9"/>
      <c r="R179" s="9"/>
      <c r="S179" s="688">
        <f>+IF(SEPTIEMBRE!S179=0,"",SEPTIEMBRE!S179)</f>
        <v>3200300</v>
      </c>
      <c r="T179" s="664" t="str">
        <f>+IF(SEPTIEMBRE!T179=0,"",SEPTIEMBRE!T179)</f>
        <v>Bonos, Cuotas de Bonos y cuotas partes jubilatorias</v>
      </c>
      <c r="U179" s="27">
        <f>+ENERO!U179</f>
        <v>20000000</v>
      </c>
      <c r="V179" s="15">
        <f>SEPTIEMBRE!V179+OCTUBRE!AL179</f>
        <v>0</v>
      </c>
      <c r="W179" s="15">
        <f>SEPTIEMBRE!W179+OCTUBRE!AM179</f>
        <v>0</v>
      </c>
      <c r="X179" s="18">
        <f t="shared" si="160"/>
        <v>20000000</v>
      </c>
      <c r="Y179" s="19">
        <f>SEPTIEMBRE!AA179</f>
        <v>0</v>
      </c>
      <c r="Z179" s="364">
        <v>0</v>
      </c>
      <c r="AA179" s="848">
        <f t="shared" si="161"/>
        <v>0</v>
      </c>
      <c r="AB179" s="19">
        <f>SEPTIEMBRE!AD179</f>
        <v>0</v>
      </c>
      <c r="AC179" s="364">
        <v>0</v>
      </c>
      <c r="AD179" s="848">
        <f t="shared" si="162"/>
        <v>0</v>
      </c>
      <c r="AE179" s="19">
        <f>SEPTIEMBRE!AG179</f>
        <v>0</v>
      </c>
      <c r="AF179" s="364">
        <v>0</v>
      </c>
      <c r="AG179" s="848">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N180" s="9"/>
      <c r="P180" s="9"/>
      <c r="Q180" s="9"/>
      <c r="R180" s="9"/>
      <c r="S180" s="688">
        <f>+IF(SEPTIEMBRE!S180=0,"",SEPTIEMBRE!S180)</f>
        <v>3200400</v>
      </c>
      <c r="T180" s="664" t="str">
        <f>+IF(SEPTIEMBRE!T180=0,"",SEPTIEMBRE!T180)</f>
        <v>Intereses a las cesantias</v>
      </c>
      <c r="U180" s="27">
        <f>+ENERO!U180</f>
        <v>105017672</v>
      </c>
      <c r="V180" s="15">
        <f>SEPTIEMBRE!V180+OCTUBRE!AL180</f>
        <v>-20000000</v>
      </c>
      <c r="W180" s="15">
        <f>SEPTIEMBRE!W180+OCTUBRE!AM180</f>
        <v>0</v>
      </c>
      <c r="X180" s="18">
        <f t="shared" si="160"/>
        <v>85017672</v>
      </c>
      <c r="Y180" s="19">
        <f>SEPTIEMBRE!AA180</f>
        <v>36224036</v>
      </c>
      <c r="Z180" s="364">
        <v>0</v>
      </c>
      <c r="AA180" s="848">
        <f t="shared" si="161"/>
        <v>36224036</v>
      </c>
      <c r="AB180" s="19">
        <f>SEPTIEMBRE!AD180</f>
        <v>36224036</v>
      </c>
      <c r="AC180" s="364">
        <v>0</v>
      </c>
      <c r="AD180" s="848">
        <f t="shared" si="162"/>
        <v>36224036</v>
      </c>
      <c r="AE180" s="19">
        <f>SEPTIEMBRE!AG180</f>
        <v>36210008</v>
      </c>
      <c r="AF180" s="364">
        <v>13465</v>
      </c>
      <c r="AG180" s="848">
        <f t="shared" si="163"/>
        <v>36223473</v>
      </c>
      <c r="AH180" s="19">
        <f t="shared" si="164"/>
        <v>48793636</v>
      </c>
      <c r="AI180" s="15">
        <f t="shared" si="165"/>
        <v>48793636</v>
      </c>
      <c r="AJ180" s="16">
        <f t="shared" si="166"/>
        <v>48794199</v>
      </c>
      <c r="AK180" s="9"/>
      <c r="AL180" s="362">
        <v>0</v>
      </c>
      <c r="AM180" s="365">
        <v>0</v>
      </c>
      <c r="AN180" s="9"/>
    </row>
    <row r="181" spans="1:40" s="372" customFormat="1" ht="24.95" customHeight="1">
      <c r="A181" s="734"/>
      <c r="B181" s="643"/>
      <c r="N181" s="9"/>
      <c r="P181" s="9"/>
      <c r="Q181" s="9"/>
      <c r="R181" s="9"/>
      <c r="S181" s="688">
        <f>+IF(SEPTIEMBRE!S181=0,"",SEPTIEMBRE!S181)</f>
        <v>3200500</v>
      </c>
      <c r="T181" s="664" t="str">
        <f>+IF(SEPTIEMBRE!T181=0,"",SEPTIEMBRE!T181)</f>
        <v/>
      </c>
      <c r="U181" s="27">
        <f>+ENERO!U181</f>
        <v>0</v>
      </c>
      <c r="V181" s="15">
        <f>SEPTIEMBRE!V181+OCTUBRE!AL181</f>
        <v>0</v>
      </c>
      <c r="W181" s="15">
        <f>SEPTIEMBRE!W181+OCTUBRE!AM181</f>
        <v>0</v>
      </c>
      <c r="X181" s="18">
        <f t="shared" si="160"/>
        <v>0</v>
      </c>
      <c r="Y181" s="19">
        <f>SEPTIEMBRE!AA181</f>
        <v>0</v>
      </c>
      <c r="Z181" s="364">
        <v>0</v>
      </c>
      <c r="AA181" s="848">
        <f t="shared" si="161"/>
        <v>0</v>
      </c>
      <c r="AB181" s="19">
        <f>SEPTIEMBRE!AD181</f>
        <v>0</v>
      </c>
      <c r="AC181" s="364">
        <v>0</v>
      </c>
      <c r="AD181" s="848">
        <f t="shared" si="162"/>
        <v>0</v>
      </c>
      <c r="AE181" s="19">
        <f>SEPTIEMBRE!AG181</f>
        <v>0</v>
      </c>
      <c r="AF181" s="364">
        <v>0</v>
      </c>
      <c r="AG181" s="848">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N182" s="9"/>
      <c r="P182" s="9"/>
      <c r="Q182" s="9"/>
      <c r="R182" s="9"/>
      <c r="S182" s="688">
        <f>+IF(SEPTIEMBRE!S182=0,"",SEPTIEMBRE!S182)</f>
        <v>3200600</v>
      </c>
      <c r="T182" s="664" t="str">
        <f>+IF(SEPTIEMBRE!T182=0,"",SEPTIEMBRE!T182)</f>
        <v/>
      </c>
      <c r="U182" s="27">
        <f>+ENERO!U182</f>
        <v>0</v>
      </c>
      <c r="V182" s="15">
        <f>SEPTIEMBRE!V182+OCTUBRE!AL182</f>
        <v>0</v>
      </c>
      <c r="W182" s="15">
        <f>SEPTIEMBRE!W182+OCTUBRE!AM182</f>
        <v>0</v>
      </c>
      <c r="X182" s="18">
        <f t="shared" si="160"/>
        <v>0</v>
      </c>
      <c r="Y182" s="19">
        <f>SEPTIEMBRE!AA182</f>
        <v>0</v>
      </c>
      <c r="Z182" s="364">
        <v>0</v>
      </c>
      <c r="AA182" s="848">
        <f t="shared" si="161"/>
        <v>0</v>
      </c>
      <c r="AB182" s="19">
        <f>SEPTIEMBRE!AD182</f>
        <v>0</v>
      </c>
      <c r="AC182" s="364">
        <v>0</v>
      </c>
      <c r="AD182" s="848">
        <f t="shared" si="162"/>
        <v>0</v>
      </c>
      <c r="AE182" s="19">
        <f>SEPTIEMBRE!AG182</f>
        <v>0</v>
      </c>
      <c r="AF182" s="364">
        <v>0</v>
      </c>
      <c r="AG182" s="848">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N183" s="9"/>
      <c r="P183" s="9"/>
      <c r="Q183" s="9"/>
      <c r="R183" s="9"/>
      <c r="S183" s="688">
        <f>+IF(SEPTIEMBRE!S183=0,"",SEPTIEMBRE!S183)</f>
        <v>3299999</v>
      </c>
      <c r="T183" s="664" t="str">
        <f>+IF(SEPTIEMBRE!T183=0,"",SEPTIEMBRE!T183)</f>
        <v>Vigencias Anteriores</v>
      </c>
      <c r="U183" s="27">
        <f>+ENERO!U183</f>
        <v>0</v>
      </c>
      <c r="V183" s="15">
        <f>SEPTIEMBRE!V183+OCTUBRE!AL183</f>
        <v>0</v>
      </c>
      <c r="W183" s="15">
        <f>SEPTIEMBRE!W183+OCTUBRE!AM183</f>
        <v>0</v>
      </c>
      <c r="X183" s="18">
        <f t="shared" si="160"/>
        <v>0</v>
      </c>
      <c r="Y183" s="19">
        <f>SEPTIEMBRE!AA183</f>
        <v>0</v>
      </c>
      <c r="Z183" s="364">
        <v>0</v>
      </c>
      <c r="AA183" s="848">
        <f t="shared" si="161"/>
        <v>0</v>
      </c>
      <c r="AB183" s="19">
        <f>SEPTIEMBRE!AD183</f>
        <v>0</v>
      </c>
      <c r="AC183" s="364">
        <v>0</v>
      </c>
      <c r="AD183" s="848">
        <f t="shared" si="162"/>
        <v>0</v>
      </c>
      <c r="AE183" s="19">
        <f>SEPTIEMBRE!AG183</f>
        <v>0</v>
      </c>
      <c r="AF183" s="364">
        <v>0</v>
      </c>
      <c r="AG183" s="848">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N184" s="9"/>
      <c r="P184" s="9"/>
      <c r="Q184" s="9"/>
      <c r="R184" s="9"/>
      <c r="S184" s="356" t="str">
        <f>+IF(SEPTIEMBRE!S184=0,"",SEPTIEMBRE!S184)</f>
        <v/>
      </c>
      <c r="T184" s="678" t="str">
        <f>+IF(SEPTIEMBRE!T184=0,"",SEPTIEMBRE!T184)</f>
        <v/>
      </c>
      <c r="U184" s="161"/>
      <c r="V184" s="161"/>
      <c r="W184" s="161"/>
      <c r="X184" s="161"/>
      <c r="Y184" s="161"/>
      <c r="Z184" s="161"/>
      <c r="AA184" s="846"/>
      <c r="AB184" s="161"/>
      <c r="AC184" s="161"/>
      <c r="AD184" s="846"/>
      <c r="AE184" s="161"/>
      <c r="AF184" s="161"/>
      <c r="AG184" s="846"/>
      <c r="AH184" s="161"/>
      <c r="AI184" s="161"/>
      <c r="AJ184" s="166"/>
      <c r="AK184" s="9"/>
      <c r="AL184" s="172"/>
      <c r="AM184" s="173"/>
      <c r="AN184" s="9"/>
    </row>
    <row r="185" spans="1:40" s="372" customFormat="1" ht="24.95" customHeight="1">
      <c r="A185" s="734"/>
      <c r="B185" s="643"/>
      <c r="N185" s="9"/>
      <c r="P185" s="9"/>
      <c r="Q185" s="9"/>
      <c r="R185" s="9"/>
      <c r="S185" s="687">
        <f>+IF(SEPTIEMBRE!S185=0,"",SEPTIEMBRE!S185)</f>
        <v>3300000</v>
      </c>
      <c r="T185" s="663" t="str">
        <f>+IF(SEPTIEMBRE!T185=0,"",SEPTIEMBRE!T185)</f>
        <v>Otras Transferencias</v>
      </c>
      <c r="U185" s="132">
        <f t="shared" ref="U185:AJ185" si="167">U186+U187+U191</f>
        <v>80000000</v>
      </c>
      <c r="V185" s="122">
        <f t="shared" si="167"/>
        <v>8000000</v>
      </c>
      <c r="W185" s="122">
        <f t="shared" si="167"/>
        <v>0</v>
      </c>
      <c r="X185" s="129">
        <f t="shared" si="167"/>
        <v>88000000</v>
      </c>
      <c r="Y185" s="128">
        <f t="shared" si="167"/>
        <v>22453980</v>
      </c>
      <c r="Z185" s="122">
        <f t="shared" si="167"/>
        <v>0</v>
      </c>
      <c r="AA185" s="215">
        <f t="shared" si="167"/>
        <v>22453980</v>
      </c>
      <c r="AB185" s="128">
        <f t="shared" si="167"/>
        <v>22453980</v>
      </c>
      <c r="AC185" s="122">
        <f t="shared" si="167"/>
        <v>0</v>
      </c>
      <c r="AD185" s="215">
        <f t="shared" si="167"/>
        <v>22453980</v>
      </c>
      <c r="AE185" s="128">
        <f t="shared" si="167"/>
        <v>22453980</v>
      </c>
      <c r="AF185" s="122">
        <f t="shared" si="167"/>
        <v>0</v>
      </c>
      <c r="AG185" s="215">
        <f t="shared" si="167"/>
        <v>22453980</v>
      </c>
      <c r="AH185" s="128">
        <f t="shared" si="167"/>
        <v>65546020</v>
      </c>
      <c r="AI185" s="122">
        <f t="shared" si="167"/>
        <v>65546020</v>
      </c>
      <c r="AJ185" s="130">
        <f t="shared" si="167"/>
        <v>65546020</v>
      </c>
      <c r="AK185" s="9"/>
      <c r="AL185" s="128">
        <f>AL186+AL187+AL191</f>
        <v>0</v>
      </c>
      <c r="AM185" s="130">
        <f>AM186+AM187+AM191</f>
        <v>0</v>
      </c>
      <c r="AN185" s="9"/>
    </row>
    <row r="186" spans="1:40" s="372" customFormat="1" ht="24.95" customHeight="1">
      <c r="A186" s="734"/>
      <c r="B186" s="643"/>
      <c r="N186" s="9"/>
      <c r="P186" s="9"/>
      <c r="Q186" s="9"/>
      <c r="R186" s="9"/>
      <c r="S186" s="688">
        <f>+IF(SEPTIEMBRE!S186=0,"",SEPTIEMBRE!S186)</f>
        <v>3300100</v>
      </c>
      <c r="T186" s="664" t="str">
        <f>+IF(SEPTIEMBRE!T186=0,"",SEPTIEMBRE!T186)</f>
        <v>Sentencias y Conciliaciones</v>
      </c>
      <c r="U186" s="27">
        <f>+ENERO!U186</f>
        <v>60000000</v>
      </c>
      <c r="V186" s="15">
        <f>SEPTIEMBRE!V186+OCTUBRE!AL186</f>
        <v>0</v>
      </c>
      <c r="W186" s="15">
        <f>SEPTIEMBRE!W186+OCTUBRE!AM186</f>
        <v>0</v>
      </c>
      <c r="X186" s="18">
        <f>SUM(U186:W186)</f>
        <v>60000000</v>
      </c>
      <c r="Y186" s="19">
        <f>SEPTIEMBRE!AA186</f>
        <v>0</v>
      </c>
      <c r="Z186" s="364">
        <v>0</v>
      </c>
      <c r="AA186" s="848">
        <f>SUM(Y186:Z186)</f>
        <v>0</v>
      </c>
      <c r="AB186" s="19">
        <f>SEPTIEMBRE!AD186</f>
        <v>0</v>
      </c>
      <c r="AC186" s="364">
        <v>0</v>
      </c>
      <c r="AD186" s="848">
        <f>SUM(AB186:AC186)</f>
        <v>0</v>
      </c>
      <c r="AE186" s="19">
        <f>SEPTIEMBRE!AG186</f>
        <v>0</v>
      </c>
      <c r="AF186" s="364">
        <v>0</v>
      </c>
      <c r="AG186" s="848">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N187" s="9"/>
      <c r="P187" s="9"/>
      <c r="Q187" s="9"/>
      <c r="R187" s="9"/>
      <c r="S187" s="688">
        <f>+IF(SEPTIEMBRE!S187=0,"",SEPTIEMBRE!S187)</f>
        <v>3300200</v>
      </c>
      <c r="T187" s="664" t="str">
        <f>+IF(SEPTIEMBRE!T187=0,"",SEPTIEMBRE!T187)</f>
        <v>Destinatarios de otras transferencias</v>
      </c>
      <c r="U187" s="27">
        <f t="shared" ref="U187:AM187" si="168">SUM(U188:U190)</f>
        <v>20000000</v>
      </c>
      <c r="V187" s="15">
        <f t="shared" si="168"/>
        <v>8000000</v>
      </c>
      <c r="W187" s="15">
        <f t="shared" si="168"/>
        <v>0</v>
      </c>
      <c r="X187" s="18">
        <f t="shared" si="168"/>
        <v>28000000</v>
      </c>
      <c r="Y187" s="19">
        <f t="shared" si="168"/>
        <v>22453980</v>
      </c>
      <c r="Z187" s="142">
        <f t="shared" si="168"/>
        <v>0</v>
      </c>
      <c r="AA187" s="848">
        <f t="shared" si="168"/>
        <v>22453980</v>
      </c>
      <c r="AB187" s="19">
        <f t="shared" si="168"/>
        <v>22453980</v>
      </c>
      <c r="AC187" s="142">
        <f t="shared" si="168"/>
        <v>0</v>
      </c>
      <c r="AD187" s="848">
        <f t="shared" si="168"/>
        <v>22453980</v>
      </c>
      <c r="AE187" s="19">
        <f t="shared" si="168"/>
        <v>22453980</v>
      </c>
      <c r="AF187" s="142">
        <f t="shared" si="168"/>
        <v>0</v>
      </c>
      <c r="AG187" s="848">
        <f t="shared" si="168"/>
        <v>22453980</v>
      </c>
      <c r="AH187" s="19">
        <f t="shared" si="168"/>
        <v>5546020</v>
      </c>
      <c r="AI187" s="15">
        <f t="shared" si="168"/>
        <v>5546020</v>
      </c>
      <c r="AJ187" s="16">
        <f t="shared" si="168"/>
        <v>5546020</v>
      </c>
      <c r="AK187" s="9"/>
      <c r="AL187" s="29">
        <f t="shared" si="168"/>
        <v>0</v>
      </c>
      <c r="AM187" s="26">
        <f t="shared" si="168"/>
        <v>0</v>
      </c>
      <c r="AN187" s="9"/>
    </row>
    <row r="188" spans="1:40" s="372" customFormat="1" ht="24.95" customHeight="1">
      <c r="A188" s="734"/>
      <c r="B188" s="644"/>
      <c r="N188" s="9"/>
      <c r="P188" s="9"/>
      <c r="Q188" s="9"/>
      <c r="R188" s="9"/>
      <c r="S188" s="689" t="str">
        <f>+IF(SEPTIEMBRE!S188=0,"",SEPTIEMBRE!S188)</f>
        <v>3300200-1</v>
      </c>
      <c r="T188" s="664" t="str">
        <f>+IF(SEPTIEMBRE!T188=0,"",SEPTIEMBRE!T188)</f>
        <v>COHAN</v>
      </c>
      <c r="U188" s="27">
        <f>+ENERO!U188</f>
        <v>10000000</v>
      </c>
      <c r="V188" s="15">
        <f>SEPTIEMBRE!V188+OCTUBRE!AL188</f>
        <v>8000000</v>
      </c>
      <c r="W188" s="15">
        <f>SEPTIEMBRE!W188+OCTUBRE!AM188</f>
        <v>0</v>
      </c>
      <c r="X188" s="18">
        <f>SUM(U188:W188)</f>
        <v>18000000</v>
      </c>
      <c r="Y188" s="19">
        <f>SEPTIEMBRE!AA188</f>
        <v>17803516</v>
      </c>
      <c r="Z188" s="364">
        <v>0</v>
      </c>
      <c r="AA188" s="848">
        <f>SUM(Y188:Z188)</f>
        <v>17803516</v>
      </c>
      <c r="AB188" s="19">
        <f>SEPTIEMBRE!AD188</f>
        <v>17803516</v>
      </c>
      <c r="AC188" s="364">
        <v>0</v>
      </c>
      <c r="AD188" s="848">
        <f>SUM(AB188:AC188)</f>
        <v>17803516</v>
      </c>
      <c r="AE188" s="19">
        <f>SEPTIEMBRE!AG188</f>
        <v>17803516</v>
      </c>
      <c r="AF188" s="364">
        <v>0</v>
      </c>
      <c r="AG188" s="848">
        <f>SUM(AE188:AF188)</f>
        <v>17803516</v>
      </c>
      <c r="AH188" s="19">
        <f>X188-AA188</f>
        <v>196484</v>
      </c>
      <c r="AI188" s="15">
        <f>X188-AD188</f>
        <v>196484</v>
      </c>
      <c r="AJ188" s="16">
        <f>X188-AG188</f>
        <v>196484</v>
      </c>
      <c r="AK188" s="9"/>
      <c r="AL188" s="362">
        <v>0</v>
      </c>
      <c r="AM188" s="365">
        <v>0</v>
      </c>
      <c r="AN188" s="9"/>
    </row>
    <row r="189" spans="1:40" s="372" customFormat="1" ht="24.95" customHeight="1">
      <c r="A189" s="734"/>
      <c r="B189" s="644"/>
      <c r="N189" s="9"/>
      <c r="P189" s="9"/>
      <c r="Q189" s="9"/>
      <c r="R189" s="9"/>
      <c r="S189" s="689" t="str">
        <f>+IF(SEPTIEMBRE!S189=0,"",SEPTIEMBRE!S189)</f>
        <v>3300200-2</v>
      </c>
      <c r="T189" s="664" t="str">
        <f>+IF(SEPTIEMBRE!T189=0,"",SEPTIEMBRE!T189)</f>
        <v>AESA</v>
      </c>
      <c r="U189" s="27">
        <f>+ENERO!U189</f>
        <v>5000000</v>
      </c>
      <c r="V189" s="15">
        <f>SEPTIEMBRE!V189+OCTUBRE!AL189</f>
        <v>0</v>
      </c>
      <c r="W189" s="15">
        <f>SEPTIEMBRE!W189+OCTUBRE!AM189</f>
        <v>0</v>
      </c>
      <c r="X189" s="18">
        <f>SUM(U189:W189)</f>
        <v>5000000</v>
      </c>
      <c r="Y189" s="19">
        <f>SEPTIEMBRE!AA189</f>
        <v>3312464</v>
      </c>
      <c r="Z189" s="364">
        <v>0</v>
      </c>
      <c r="AA189" s="848">
        <f>SUM(Y189:Z189)</f>
        <v>3312464</v>
      </c>
      <c r="AB189" s="19">
        <f>SEPTIEMBRE!AD189</f>
        <v>3312464</v>
      </c>
      <c r="AC189" s="364">
        <v>0</v>
      </c>
      <c r="AD189" s="848">
        <f>SUM(AB189:AC189)</f>
        <v>3312464</v>
      </c>
      <c r="AE189" s="19">
        <f>SEPTIEMBRE!AG189</f>
        <v>3312464</v>
      </c>
      <c r="AF189" s="364">
        <v>0</v>
      </c>
      <c r="AG189" s="848">
        <f>SUM(AE189:AF189)</f>
        <v>3312464</v>
      </c>
      <c r="AH189" s="19">
        <f>X189-AA189</f>
        <v>1687536</v>
      </c>
      <c r="AI189" s="15">
        <f>X189-AD189</f>
        <v>1687536</v>
      </c>
      <c r="AJ189" s="16">
        <f>X189-AG189</f>
        <v>1687536</v>
      </c>
      <c r="AK189" s="9"/>
      <c r="AL189" s="362">
        <v>0</v>
      </c>
      <c r="AM189" s="365">
        <v>0</v>
      </c>
      <c r="AN189" s="9"/>
    </row>
    <row r="190" spans="1:40" s="372" customFormat="1" ht="24.95" customHeight="1">
      <c r="A190" s="734"/>
      <c r="B190" s="644"/>
      <c r="N190" s="9"/>
      <c r="P190" s="9"/>
      <c r="Q190" s="9"/>
      <c r="R190" s="9"/>
      <c r="S190" s="689" t="str">
        <f>+IF(SEPTIEMBRE!S190=0,"",SEPTIEMBRE!S190)</f>
        <v>3300200-3</v>
      </c>
      <c r="T190" s="664" t="str">
        <f>+IF(SEPTIEMBRE!T190=0,"",SEPTIEMBRE!T190)</f>
        <v xml:space="preserve">OTRAS </v>
      </c>
      <c r="U190" s="27">
        <f>+ENERO!U190</f>
        <v>5000000</v>
      </c>
      <c r="V190" s="15">
        <f>SEPTIEMBRE!V190+OCTUBRE!AL190</f>
        <v>0</v>
      </c>
      <c r="W190" s="15">
        <f>SEPTIEMBRE!W190+OCTUBRE!AM190</f>
        <v>0</v>
      </c>
      <c r="X190" s="18">
        <f>SUM(U190:W190)</f>
        <v>5000000</v>
      </c>
      <c r="Y190" s="19">
        <f>SEPTIEMBRE!AA190</f>
        <v>1338000</v>
      </c>
      <c r="Z190" s="364">
        <v>0</v>
      </c>
      <c r="AA190" s="848">
        <f>SUM(Y190:Z190)</f>
        <v>1338000</v>
      </c>
      <c r="AB190" s="19">
        <f>SEPTIEMBRE!AD190</f>
        <v>1338000</v>
      </c>
      <c r="AC190" s="364">
        <v>0</v>
      </c>
      <c r="AD190" s="848">
        <f>SUM(AB190:AC190)</f>
        <v>1338000</v>
      </c>
      <c r="AE190" s="19">
        <f>SEPTIEMBRE!AG190</f>
        <v>1338000</v>
      </c>
      <c r="AF190" s="364">
        <v>0</v>
      </c>
      <c r="AG190" s="848">
        <f>SUM(AE190:AF190)</f>
        <v>1338000</v>
      </c>
      <c r="AH190" s="19">
        <f>X190-AA190</f>
        <v>3662000</v>
      </c>
      <c r="AI190" s="15">
        <f>X190-AD190</f>
        <v>3662000</v>
      </c>
      <c r="AJ190" s="16">
        <f>X190-AG190</f>
        <v>3662000</v>
      </c>
      <c r="AK190" s="9"/>
      <c r="AL190" s="362">
        <v>0</v>
      </c>
      <c r="AM190" s="365">
        <v>0</v>
      </c>
      <c r="AN190" s="9"/>
    </row>
    <row r="191" spans="1:40" s="372" customFormat="1" ht="24.95" customHeight="1">
      <c r="A191" s="734"/>
      <c r="B191" s="644"/>
      <c r="N191" s="9"/>
      <c r="P191" s="9"/>
      <c r="Q191" s="9"/>
      <c r="R191" s="9"/>
      <c r="S191" s="688">
        <f>+IF(SEPTIEMBRE!S191=0,"",SEPTIEMBRE!S191)</f>
        <v>3399999</v>
      </c>
      <c r="T191" s="664" t="str">
        <f>+IF(SEPTIEMBRE!T191=0,"",SEPTIEMBRE!T191)</f>
        <v>Vigencias Anteriores</v>
      </c>
      <c r="U191" s="27">
        <f>+ENERO!U191</f>
        <v>0</v>
      </c>
      <c r="V191" s="15">
        <f>SEPTIEMBRE!V191+OCTUBRE!AL191</f>
        <v>0</v>
      </c>
      <c r="W191" s="15">
        <f>SEPTIEMBRE!W191+OCTUBRE!AM191</f>
        <v>0</v>
      </c>
      <c r="X191" s="18">
        <f>SUM(U191:W191)</f>
        <v>0</v>
      </c>
      <c r="Y191" s="19">
        <f>SEPTIEMBRE!AA191</f>
        <v>0</v>
      </c>
      <c r="Z191" s="364">
        <v>0</v>
      </c>
      <c r="AA191" s="848">
        <f>SUM(Y191:Z191)</f>
        <v>0</v>
      </c>
      <c r="AB191" s="19">
        <f>SEPTIEMBRE!AD191</f>
        <v>0</v>
      </c>
      <c r="AC191" s="364">
        <v>0</v>
      </c>
      <c r="AD191" s="848">
        <f>SUM(AB191:AC191)</f>
        <v>0</v>
      </c>
      <c r="AE191" s="19">
        <f>SEPTIEMBRE!AG191</f>
        <v>0</v>
      </c>
      <c r="AF191" s="364">
        <v>0</v>
      </c>
      <c r="AG191" s="84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850"/>
      <c r="AB192" s="797"/>
      <c r="AC192" s="798"/>
      <c r="AD192" s="850"/>
      <c r="AE192" s="797"/>
      <c r="AF192" s="798"/>
      <c r="AG192" s="850"/>
      <c r="AH192" s="797"/>
      <c r="AI192" s="797"/>
      <c r="AJ192" s="173"/>
      <c r="AK192" s="9"/>
      <c r="AL192" s="799"/>
      <c r="AM192" s="800"/>
      <c r="AN192" s="9"/>
    </row>
    <row r="193" spans="1:40" s="372" customFormat="1" ht="43.5" customHeight="1">
      <c r="A193" s="734"/>
      <c r="B193" s="644"/>
      <c r="N193" s="9"/>
      <c r="P193" s="9"/>
      <c r="Q193" s="9"/>
      <c r="R193" s="9"/>
      <c r="S193" s="483" t="s">
        <v>318</v>
      </c>
      <c r="T193" s="672" t="s">
        <v>561</v>
      </c>
      <c r="U193" s="460">
        <f>U195+U209</f>
        <v>10282942055</v>
      </c>
      <c r="V193" s="461">
        <f t="shared" ref="V193:AJ193" si="169">V195+V209</f>
        <v>5385317789</v>
      </c>
      <c r="W193" s="461">
        <f t="shared" si="169"/>
        <v>12133776232</v>
      </c>
      <c r="X193" s="370">
        <f t="shared" si="169"/>
        <v>27802036076</v>
      </c>
      <c r="Y193" s="369">
        <f t="shared" si="169"/>
        <v>23787426444</v>
      </c>
      <c r="Z193" s="484">
        <f t="shared" si="169"/>
        <v>2436350179</v>
      </c>
      <c r="AA193" s="851">
        <f t="shared" si="169"/>
        <v>26223776623</v>
      </c>
      <c r="AB193" s="460">
        <f t="shared" si="169"/>
        <v>21509003661</v>
      </c>
      <c r="AC193" s="484">
        <f t="shared" si="169"/>
        <v>2451933755</v>
      </c>
      <c r="AD193" s="849">
        <f t="shared" si="169"/>
        <v>23960937416</v>
      </c>
      <c r="AE193" s="369">
        <f t="shared" si="169"/>
        <v>14166034697</v>
      </c>
      <c r="AF193" s="484">
        <f t="shared" si="169"/>
        <v>4458607098</v>
      </c>
      <c r="AG193" s="851">
        <f t="shared" si="169"/>
        <v>18624641795</v>
      </c>
      <c r="AH193" s="369">
        <f t="shared" si="169"/>
        <v>1578259453</v>
      </c>
      <c r="AI193" s="461">
        <f t="shared" si="169"/>
        <v>3841098660</v>
      </c>
      <c r="AJ193" s="370">
        <f t="shared" si="169"/>
        <v>9177394281</v>
      </c>
      <c r="AK193" s="9"/>
      <c r="AL193" s="369">
        <f>AL195+AL209</f>
        <v>0</v>
      </c>
      <c r="AM193" s="370">
        <f>AM195+AM209</f>
        <v>3374494793</v>
      </c>
      <c r="AN193" s="9"/>
    </row>
    <row r="194" spans="1:40" s="372" customFormat="1" ht="24.95" customHeight="1">
      <c r="A194" s="734"/>
      <c r="B194" s="644"/>
      <c r="N194" s="9"/>
      <c r="P194" s="9"/>
      <c r="Q194" s="9"/>
      <c r="R194" s="9"/>
      <c r="S194" s="356" t="str">
        <f>+IF(SEPTIEMBRE!S194=0,"",SEPTIEMBRE!S194)</f>
        <v/>
      </c>
      <c r="T194" s="678" t="str">
        <f>+IF(SEPTIEMBRE!T194=0,"",SEPTIEMBRE!T194)</f>
        <v/>
      </c>
      <c r="U194" s="161"/>
      <c r="V194" s="161"/>
      <c r="W194" s="161"/>
      <c r="X194" s="161"/>
      <c r="Y194" s="161"/>
      <c r="Z194" s="161"/>
      <c r="AA194" s="846"/>
      <c r="AB194" s="161"/>
      <c r="AC194" s="161"/>
      <c r="AD194" s="846"/>
      <c r="AE194" s="161"/>
      <c r="AF194" s="161"/>
      <c r="AG194" s="846"/>
      <c r="AH194" s="161"/>
      <c r="AI194" s="161"/>
      <c r="AJ194" s="166"/>
      <c r="AK194" s="9"/>
      <c r="AL194" s="172"/>
      <c r="AM194" s="173"/>
      <c r="AN194" s="9"/>
    </row>
    <row r="195" spans="1:40" s="372" customFormat="1" ht="24.95" customHeight="1">
      <c r="A195" s="734"/>
      <c r="B195" s="644"/>
      <c r="N195" s="9"/>
      <c r="P195" s="9"/>
      <c r="Q195" s="9"/>
      <c r="R195" s="9"/>
      <c r="S195" s="686">
        <f>+IF(SEPTIEMBRE!S195=0,"",SEPTIEMBRE!S195)</f>
        <v>4000000</v>
      </c>
      <c r="T195" s="668" t="str">
        <f>+IF(SEPTIEMBRE!T195=0,"",SEPTIEMBRE!T195)</f>
        <v>GASTOS  DE PRESTACION DE SERVICIOS</v>
      </c>
      <c r="U195" s="460">
        <f t="shared" ref="U195:AJ195" si="170">U196</f>
        <v>10282942055</v>
      </c>
      <c r="V195" s="461">
        <f t="shared" si="170"/>
        <v>5385317789</v>
      </c>
      <c r="W195" s="461">
        <f t="shared" si="170"/>
        <v>12133776232</v>
      </c>
      <c r="X195" s="462">
        <f t="shared" si="170"/>
        <v>27802036076</v>
      </c>
      <c r="Y195" s="369">
        <f t="shared" si="170"/>
        <v>23787426444</v>
      </c>
      <c r="Z195" s="461">
        <f t="shared" si="170"/>
        <v>2436350179</v>
      </c>
      <c r="AA195" s="849">
        <f t="shared" si="170"/>
        <v>26223776623</v>
      </c>
      <c r="AB195" s="369">
        <f t="shared" si="170"/>
        <v>21509003661</v>
      </c>
      <c r="AC195" s="461">
        <f t="shared" si="170"/>
        <v>2451933755</v>
      </c>
      <c r="AD195" s="849">
        <f t="shared" si="170"/>
        <v>23960937416</v>
      </c>
      <c r="AE195" s="369">
        <f t="shared" si="170"/>
        <v>14166034697</v>
      </c>
      <c r="AF195" s="461">
        <f t="shared" si="170"/>
        <v>4458607098</v>
      </c>
      <c r="AG195" s="849">
        <f t="shared" si="170"/>
        <v>18624641795</v>
      </c>
      <c r="AH195" s="369">
        <f t="shared" si="170"/>
        <v>1578259453</v>
      </c>
      <c r="AI195" s="461">
        <f t="shared" si="170"/>
        <v>3841098660</v>
      </c>
      <c r="AJ195" s="370">
        <f t="shared" si="170"/>
        <v>9177394281</v>
      </c>
      <c r="AK195" s="9"/>
      <c r="AL195" s="128">
        <f>AL196</f>
        <v>0</v>
      </c>
      <c r="AM195" s="130">
        <f>AM196</f>
        <v>3374494793</v>
      </c>
      <c r="AN195" s="9"/>
    </row>
    <row r="196" spans="1:40" s="372" customFormat="1" ht="24.95" customHeight="1">
      <c r="A196" s="734"/>
      <c r="B196" s="644"/>
      <c r="N196" s="9"/>
      <c r="P196" s="9"/>
      <c r="Q196" s="9"/>
      <c r="R196" s="9"/>
      <c r="S196" s="687">
        <f>+IF(SEPTIEMBRE!S196=0,"",SEPTIEMBRE!S196)</f>
        <v>4100000</v>
      </c>
      <c r="T196" s="663" t="str">
        <f>+IF(SEPTIEMBRE!T196=0,"",SEPTIEMBRE!T196)</f>
        <v>Insumos y Suministros Hospitalarios</v>
      </c>
      <c r="U196" s="132">
        <f t="shared" ref="U196:AJ196" si="171">U197+U205+U207</f>
        <v>10282942055</v>
      </c>
      <c r="V196" s="122">
        <f t="shared" si="171"/>
        <v>5385317789</v>
      </c>
      <c r="W196" s="122">
        <f t="shared" si="171"/>
        <v>12133776232</v>
      </c>
      <c r="X196" s="129">
        <f t="shared" si="171"/>
        <v>27802036076</v>
      </c>
      <c r="Y196" s="128">
        <f t="shared" si="171"/>
        <v>23787426444</v>
      </c>
      <c r="Z196" s="122">
        <f t="shared" si="171"/>
        <v>2436350179</v>
      </c>
      <c r="AA196" s="215">
        <f t="shared" si="171"/>
        <v>26223776623</v>
      </c>
      <c r="AB196" s="128">
        <f t="shared" si="171"/>
        <v>21509003661</v>
      </c>
      <c r="AC196" s="122">
        <f t="shared" si="171"/>
        <v>2451933755</v>
      </c>
      <c r="AD196" s="215">
        <f t="shared" si="171"/>
        <v>23960937416</v>
      </c>
      <c r="AE196" s="128">
        <f t="shared" si="171"/>
        <v>14166034697</v>
      </c>
      <c r="AF196" s="122">
        <f t="shared" si="171"/>
        <v>4458607098</v>
      </c>
      <c r="AG196" s="215">
        <f t="shared" si="171"/>
        <v>18624641795</v>
      </c>
      <c r="AH196" s="128">
        <f t="shared" si="171"/>
        <v>1578259453</v>
      </c>
      <c r="AI196" s="122">
        <f t="shared" si="171"/>
        <v>3841098660</v>
      </c>
      <c r="AJ196" s="130">
        <f t="shared" si="171"/>
        <v>9177394281</v>
      </c>
      <c r="AK196" s="10"/>
      <c r="AL196" s="128">
        <f>AL197+AL205+AL207</f>
        <v>0</v>
      </c>
      <c r="AM196" s="130">
        <f>AM197+AM205+AM207</f>
        <v>3374494793</v>
      </c>
      <c r="AN196" s="9"/>
    </row>
    <row r="197" spans="1:40" s="372" customFormat="1" ht="24.95" customHeight="1">
      <c r="A197" s="734"/>
      <c r="B197" s="644"/>
      <c r="N197" s="9"/>
      <c r="P197" s="9"/>
      <c r="Q197" s="9"/>
      <c r="R197" s="9"/>
      <c r="S197" s="688">
        <f>+IF(SEPTIEMBRE!S197=0,"",SEPTIEMBRE!S197)</f>
        <v>4100100</v>
      </c>
      <c r="T197" s="664" t="str">
        <f>+IF(SEPTIEMBRE!T197=0,"",SEPTIEMBRE!T197)</f>
        <v>Compra de Bienes para la Prestacion de servicios</v>
      </c>
      <c r="U197" s="27">
        <f t="shared" ref="U197:AJ197" si="172">SUM(U198:U204)</f>
        <v>8084311192</v>
      </c>
      <c r="V197" s="15">
        <f t="shared" si="172"/>
        <v>3940190078</v>
      </c>
      <c r="W197" s="15">
        <f t="shared" si="172"/>
        <v>6421407445</v>
      </c>
      <c r="X197" s="18">
        <f t="shared" si="172"/>
        <v>18445908715</v>
      </c>
      <c r="Y197" s="19">
        <f t="shared" si="172"/>
        <v>15826538699</v>
      </c>
      <c r="Z197" s="142">
        <f t="shared" si="172"/>
        <v>1875257355</v>
      </c>
      <c r="AA197" s="848">
        <f t="shared" si="172"/>
        <v>17701796054</v>
      </c>
      <c r="AB197" s="19">
        <f t="shared" si="172"/>
        <v>13868028394</v>
      </c>
      <c r="AC197" s="142">
        <f t="shared" si="172"/>
        <v>1854718496</v>
      </c>
      <c r="AD197" s="848">
        <f t="shared" si="172"/>
        <v>15722746890</v>
      </c>
      <c r="AE197" s="19">
        <f t="shared" si="172"/>
        <v>6699011414</v>
      </c>
      <c r="AF197" s="142">
        <f t="shared" si="172"/>
        <v>3847144937</v>
      </c>
      <c r="AG197" s="848">
        <f t="shared" si="172"/>
        <v>10546156351</v>
      </c>
      <c r="AH197" s="19">
        <f t="shared" si="172"/>
        <v>744112661</v>
      </c>
      <c r="AI197" s="15">
        <f t="shared" si="172"/>
        <v>2723161825</v>
      </c>
      <c r="AJ197" s="16">
        <f t="shared" si="172"/>
        <v>7899752364</v>
      </c>
      <c r="AK197" s="9"/>
      <c r="AL197" s="29">
        <f>SUM(AL198:AL204)</f>
        <v>-70000000</v>
      </c>
      <c r="AM197" s="26">
        <f>SUM(AM198:AM204)</f>
        <v>2100000000</v>
      </c>
      <c r="AN197" s="9"/>
    </row>
    <row r="198" spans="1:40" s="372" customFormat="1" ht="24.95" customHeight="1">
      <c r="A198" s="734"/>
      <c r="B198" s="644"/>
      <c r="N198" s="9"/>
      <c r="P198" s="9"/>
      <c r="Q198" s="9"/>
      <c r="R198" s="9"/>
      <c r="S198" s="689" t="str">
        <f>+IF(SEPTIEMBRE!S198=0,"",SEPTIEMBRE!S198)</f>
        <v>4100100-1</v>
      </c>
      <c r="T198" s="665" t="str">
        <f>+IF(SEPTIEMBRE!T198=0,"",SEPTIEMBRE!T198)</f>
        <v>Productos Farmaceuticos</v>
      </c>
      <c r="U198" s="27">
        <f>+ENERO!U198</f>
        <v>4000000000</v>
      </c>
      <c r="V198" s="15">
        <f>SEPTIEMBRE!V198+OCTUBRE!AL198</f>
        <v>1635190078</v>
      </c>
      <c r="W198" s="15">
        <f>SEPTIEMBRE!W198+OCTUBRE!AM198</f>
        <v>2843274278</v>
      </c>
      <c r="X198" s="18">
        <f t="shared" ref="X198:X204" si="173">SUM(U198:W198)</f>
        <v>8478464356</v>
      </c>
      <c r="Y198" s="19">
        <f>SEPTIEMBRE!AA198</f>
        <v>7159874627</v>
      </c>
      <c r="Z198" s="364">
        <v>824881686</v>
      </c>
      <c r="AA198" s="848">
        <f t="shared" ref="AA198:AA204" si="174">SUM(Y198:Z198)</f>
        <v>7984756313</v>
      </c>
      <c r="AB198" s="19">
        <f>SEPTIEMBRE!AD198</f>
        <v>6423972217</v>
      </c>
      <c r="AC198" s="364">
        <v>800257696</v>
      </c>
      <c r="AD198" s="848">
        <f t="shared" ref="AD198:AD204" si="175">SUM(AB198:AC198)</f>
        <v>7224229913</v>
      </c>
      <c r="AE198" s="19">
        <f>SEPTIEMBRE!AG198</f>
        <v>2700472867</v>
      </c>
      <c r="AF198" s="364">
        <v>1653616784</v>
      </c>
      <c r="AG198" s="848">
        <f t="shared" ref="AG198:AG204" si="176">SUM(AE198:AF198)</f>
        <v>4354089651</v>
      </c>
      <c r="AH198" s="19">
        <f t="shared" ref="AH198:AH204" si="177">X198-AA198</f>
        <v>493708043</v>
      </c>
      <c r="AI198" s="15">
        <f t="shared" ref="AI198:AI204" si="178">X198-AD198</f>
        <v>1254234443</v>
      </c>
      <c r="AJ198" s="16">
        <f t="shared" ref="AJ198:AJ204" si="179">X198-AG198</f>
        <v>4124374705</v>
      </c>
      <c r="AK198" s="9"/>
      <c r="AL198" s="362">
        <v>-70000000</v>
      </c>
      <c r="AM198" s="365">
        <f>800000000+400000000</f>
        <v>1200000000</v>
      </c>
      <c r="AN198" s="9"/>
    </row>
    <row r="199" spans="1:40" s="372" customFormat="1" ht="24.95" customHeight="1">
      <c r="A199" s="734"/>
      <c r="B199" s="644"/>
      <c r="N199" s="9"/>
      <c r="P199" s="9"/>
      <c r="Q199" s="9"/>
      <c r="R199" s="9"/>
      <c r="S199" s="689" t="str">
        <f>+IF(SEPTIEMBRE!S199=0,"",SEPTIEMBRE!S199)</f>
        <v>4100100-2</v>
      </c>
      <c r="T199" s="665" t="str">
        <f>+IF(SEPTIEMBRE!T199=0,"",SEPTIEMBRE!T199)</f>
        <v>Material Médico Quirúrgico</v>
      </c>
      <c r="U199" s="27">
        <f>+ENERO!U199</f>
        <v>3244311192</v>
      </c>
      <c r="V199" s="15">
        <f>SEPTIEMBRE!V199+OCTUBRE!AL199</f>
        <v>2305000000</v>
      </c>
      <c r="W199" s="15">
        <f>SEPTIEMBRE!W199+OCTUBRE!AM199</f>
        <v>3578133167</v>
      </c>
      <c r="X199" s="18">
        <f t="shared" si="173"/>
        <v>9127444359</v>
      </c>
      <c r="Y199" s="19">
        <f>SEPTIEMBRE!AA199</f>
        <v>8057984171</v>
      </c>
      <c r="Z199" s="364">
        <v>952692034</v>
      </c>
      <c r="AA199" s="848">
        <f t="shared" si="174"/>
        <v>9010676205</v>
      </c>
      <c r="AB199" s="19">
        <f>SEPTIEMBRE!AD199</f>
        <v>6836270338</v>
      </c>
      <c r="AC199" s="364">
        <v>955883103</v>
      </c>
      <c r="AD199" s="848">
        <f t="shared" si="175"/>
        <v>7792153441</v>
      </c>
      <c r="AE199" s="19">
        <f>SEPTIEMBRE!AG199</f>
        <v>3659165208</v>
      </c>
      <c r="AF199" s="364">
        <v>2041035527</v>
      </c>
      <c r="AG199" s="848">
        <f t="shared" si="176"/>
        <v>5700200735</v>
      </c>
      <c r="AH199" s="19">
        <f t="shared" si="177"/>
        <v>116768154</v>
      </c>
      <c r="AI199" s="15">
        <f t="shared" si="178"/>
        <v>1335290918</v>
      </c>
      <c r="AJ199" s="16">
        <f t="shared" si="179"/>
        <v>3427243624</v>
      </c>
      <c r="AK199" s="9"/>
      <c r="AL199" s="362">
        <v>0</v>
      </c>
      <c r="AM199" s="365">
        <f>600000000+300000000</f>
        <v>900000000</v>
      </c>
      <c r="AN199" s="9"/>
    </row>
    <row r="200" spans="1:40" s="372" customFormat="1" ht="24.95" customHeight="1">
      <c r="A200" s="734"/>
      <c r="B200" s="644"/>
      <c r="N200" s="9"/>
      <c r="P200" s="9"/>
      <c r="Q200" s="9"/>
      <c r="R200" s="9"/>
      <c r="S200" s="689" t="str">
        <f>+IF(SEPTIEMBRE!S200=0,"",SEPTIEMBRE!S200)</f>
        <v>4100100-3</v>
      </c>
      <c r="T200" s="665" t="str">
        <f>+IF(SEPTIEMBRE!T200=0,"",SEPTIEMBRE!T200)</f>
        <v>Material de Laboratorio</v>
      </c>
      <c r="U200" s="27">
        <f>+ENERO!U200</f>
        <v>840000000</v>
      </c>
      <c r="V200" s="15">
        <f>SEPTIEMBRE!V200+OCTUBRE!AL200</f>
        <v>0</v>
      </c>
      <c r="W200" s="15">
        <f>SEPTIEMBRE!W200+OCTUBRE!AM200</f>
        <v>0</v>
      </c>
      <c r="X200" s="18">
        <f t="shared" si="173"/>
        <v>840000000</v>
      </c>
      <c r="Y200" s="19">
        <f>SEPTIEMBRE!AA200</f>
        <v>608679901</v>
      </c>
      <c r="Z200" s="364">
        <v>97683635</v>
      </c>
      <c r="AA200" s="848">
        <f t="shared" si="174"/>
        <v>706363536</v>
      </c>
      <c r="AB200" s="19">
        <f>SEPTIEMBRE!AD200</f>
        <v>607785839</v>
      </c>
      <c r="AC200" s="364">
        <v>98577697</v>
      </c>
      <c r="AD200" s="848">
        <f t="shared" si="175"/>
        <v>706363536</v>
      </c>
      <c r="AE200" s="19">
        <f>SEPTIEMBRE!AG200</f>
        <v>339373339</v>
      </c>
      <c r="AF200" s="364">
        <v>152492626</v>
      </c>
      <c r="AG200" s="848">
        <f t="shared" si="176"/>
        <v>491865965</v>
      </c>
      <c r="AH200" s="19">
        <f t="shared" si="177"/>
        <v>133636464</v>
      </c>
      <c r="AI200" s="15">
        <f t="shared" si="178"/>
        <v>133636464</v>
      </c>
      <c r="AJ200" s="16">
        <f t="shared" si="179"/>
        <v>348134035</v>
      </c>
      <c r="AK200" s="9"/>
      <c r="AL200" s="362">
        <v>0</v>
      </c>
      <c r="AM200" s="365">
        <v>0</v>
      </c>
      <c r="AN200" s="9"/>
    </row>
    <row r="201" spans="1:40" s="372" customFormat="1" ht="24.95" customHeight="1">
      <c r="A201" s="734"/>
      <c r="B201" s="644"/>
      <c r="N201" s="9"/>
      <c r="P201" s="9"/>
      <c r="Q201" s="9"/>
      <c r="R201" s="9"/>
      <c r="S201" s="689" t="str">
        <f>+IF(SEPTIEMBRE!S201=0,"",SEPTIEMBRE!S201)</f>
        <v>4100100-4</v>
      </c>
      <c r="T201" s="665" t="str">
        <f>+IF(SEPTIEMBRE!T201=0,"",SEPTIEMBRE!T201)</f>
        <v>Material para Odontologia</v>
      </c>
      <c r="U201" s="27">
        <f>+ENERO!U201</f>
        <v>0</v>
      </c>
      <c r="V201" s="15">
        <f>SEPTIEMBRE!V201+OCTUBRE!AL201</f>
        <v>0</v>
      </c>
      <c r="W201" s="15">
        <f>SEPTIEMBRE!W201+OCTUBRE!AM201</f>
        <v>0</v>
      </c>
      <c r="X201" s="18">
        <f t="shared" si="173"/>
        <v>0</v>
      </c>
      <c r="Y201" s="19">
        <f>SEPTIEMBRE!AA201</f>
        <v>0</v>
      </c>
      <c r="Z201" s="364">
        <v>0</v>
      </c>
      <c r="AA201" s="848">
        <f t="shared" si="174"/>
        <v>0</v>
      </c>
      <c r="AB201" s="19">
        <f>SEPTIEMBRE!AD201</f>
        <v>0</v>
      </c>
      <c r="AC201" s="364">
        <v>0</v>
      </c>
      <c r="AD201" s="848">
        <f t="shared" si="175"/>
        <v>0</v>
      </c>
      <c r="AE201" s="19">
        <f>SEPTIEMBRE!AG201</f>
        <v>0</v>
      </c>
      <c r="AF201" s="364">
        <v>0</v>
      </c>
      <c r="AG201" s="848">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N202" s="9"/>
      <c r="P202" s="9"/>
      <c r="Q202" s="9"/>
      <c r="R202" s="9"/>
      <c r="S202" s="689" t="str">
        <f>+IF(SEPTIEMBRE!S202=0,"",SEPTIEMBRE!S202)</f>
        <v>4100100-5</v>
      </c>
      <c r="T202" s="665" t="str">
        <f>+IF(SEPTIEMBRE!T202=0,"",SEPTIEMBRE!T202)</f>
        <v>Material para Rayos X</v>
      </c>
      <c r="U202" s="27">
        <f>+ENERO!U202</f>
        <v>0</v>
      </c>
      <c r="V202" s="15">
        <f>SEPTIEMBRE!V202+OCTUBRE!AL202</f>
        <v>0</v>
      </c>
      <c r="W202" s="15">
        <f>SEPTIEMBRE!W202+OCTUBRE!AM202</f>
        <v>0</v>
      </c>
      <c r="X202" s="18">
        <f t="shared" si="173"/>
        <v>0</v>
      </c>
      <c r="Y202" s="19">
        <f>SEPTIEMBRE!AA202</f>
        <v>0</v>
      </c>
      <c r="Z202" s="364">
        <v>0</v>
      </c>
      <c r="AA202" s="848">
        <f t="shared" si="174"/>
        <v>0</v>
      </c>
      <c r="AB202" s="19">
        <f>SEPTIEMBRE!AD202</f>
        <v>0</v>
      </c>
      <c r="AC202" s="364">
        <v>0</v>
      </c>
      <c r="AD202" s="848">
        <f t="shared" si="175"/>
        <v>0</v>
      </c>
      <c r="AE202" s="19">
        <f>SEPTIEMBRE!AG202</f>
        <v>0</v>
      </c>
      <c r="AF202" s="364">
        <v>0</v>
      </c>
      <c r="AG202" s="848">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N203" s="9"/>
      <c r="P203" s="9"/>
      <c r="Q203" s="9"/>
      <c r="R203" s="9"/>
      <c r="S203" s="689" t="str">
        <f>+IF(SEPTIEMBRE!S203=0,"",SEPTIEMBRE!S203)</f>
        <v>4100100-6</v>
      </c>
      <c r="T203" s="665" t="str">
        <f>+IF(SEPTIEMBRE!T203=0,"",SEPTIEMBRE!T203)</f>
        <v/>
      </c>
      <c r="U203" s="27">
        <f>+ENERO!U203</f>
        <v>0</v>
      </c>
      <c r="V203" s="15">
        <f>SEPTIEMBRE!V203+OCTUBRE!AL203</f>
        <v>0</v>
      </c>
      <c r="W203" s="15">
        <f>SEPTIEMBRE!W203+OCTUBRE!AM203</f>
        <v>0</v>
      </c>
      <c r="X203" s="18">
        <f t="shared" si="173"/>
        <v>0</v>
      </c>
      <c r="Y203" s="19">
        <f>SEPTIEMBRE!AA203</f>
        <v>0</v>
      </c>
      <c r="Z203" s="364">
        <v>0</v>
      </c>
      <c r="AA203" s="848">
        <f t="shared" si="174"/>
        <v>0</v>
      </c>
      <c r="AB203" s="19">
        <f>SEPTIEMBRE!AD203</f>
        <v>0</v>
      </c>
      <c r="AC203" s="364">
        <v>0</v>
      </c>
      <c r="AD203" s="848">
        <f t="shared" si="175"/>
        <v>0</v>
      </c>
      <c r="AE203" s="19">
        <f>SEPTIEMBRE!AG203</f>
        <v>0</v>
      </c>
      <c r="AF203" s="364">
        <v>0</v>
      </c>
      <c r="AG203" s="848">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N204" s="9"/>
      <c r="P204" s="9"/>
      <c r="Q204" s="9"/>
      <c r="R204" s="9"/>
      <c r="S204" s="689" t="str">
        <f>+IF(SEPTIEMBRE!S204=0,"",SEPTIEMBRE!S204)</f>
        <v>4100100-7</v>
      </c>
      <c r="T204" s="665" t="str">
        <f>+IF(SEPTIEMBRE!T204=0,"",SEPTIEMBRE!T204)</f>
        <v/>
      </c>
      <c r="U204" s="27">
        <f>+ENERO!U204</f>
        <v>0</v>
      </c>
      <c r="V204" s="15">
        <f>SEPTIEMBRE!V204+OCTUBRE!AL204</f>
        <v>0</v>
      </c>
      <c r="W204" s="15">
        <f>SEPTIEMBRE!W204+OCTUBRE!AM204</f>
        <v>0</v>
      </c>
      <c r="X204" s="18">
        <f t="shared" si="173"/>
        <v>0</v>
      </c>
      <c r="Y204" s="19">
        <f>SEPTIEMBRE!AA204</f>
        <v>0</v>
      </c>
      <c r="Z204" s="364">
        <v>0</v>
      </c>
      <c r="AA204" s="848">
        <f t="shared" si="174"/>
        <v>0</v>
      </c>
      <c r="AB204" s="19">
        <f>SEPTIEMBRE!AD204</f>
        <v>0</v>
      </c>
      <c r="AC204" s="364">
        <v>0</v>
      </c>
      <c r="AD204" s="848">
        <f t="shared" si="175"/>
        <v>0</v>
      </c>
      <c r="AE204" s="19">
        <f>SEPTIEMBRE!AG204</f>
        <v>0</v>
      </c>
      <c r="AF204" s="364">
        <v>0</v>
      </c>
      <c r="AG204" s="848">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N205" s="9"/>
      <c r="P205" s="9"/>
      <c r="Q205" s="9"/>
      <c r="R205" s="9"/>
      <c r="S205" s="688">
        <f>+IF(SEPTIEMBRE!S205=0,"",SEPTIEMBRE!S205)</f>
        <v>4100200</v>
      </c>
      <c r="T205" s="664" t="str">
        <f>+IF(SEPTIEMBRE!T205=0,"",SEPTIEMBRE!T205)</f>
        <v>Gastos Complementarios e Intermedios</v>
      </c>
      <c r="U205" s="27">
        <f t="shared" ref="U205:AJ205" si="180">U206</f>
        <v>1200000000</v>
      </c>
      <c r="V205" s="15">
        <f t="shared" si="180"/>
        <v>0</v>
      </c>
      <c r="W205" s="15">
        <f t="shared" si="180"/>
        <v>20000000</v>
      </c>
      <c r="X205" s="18">
        <f t="shared" si="180"/>
        <v>1220000000</v>
      </c>
      <c r="Y205" s="19">
        <f t="shared" si="180"/>
        <v>1153140240</v>
      </c>
      <c r="Z205" s="142">
        <f t="shared" si="180"/>
        <v>40000000</v>
      </c>
      <c r="AA205" s="848">
        <f t="shared" si="180"/>
        <v>1193140240</v>
      </c>
      <c r="AB205" s="19">
        <f t="shared" si="180"/>
        <v>833227762</v>
      </c>
      <c r="AC205" s="142">
        <f t="shared" si="180"/>
        <v>76122435</v>
      </c>
      <c r="AD205" s="848">
        <f t="shared" si="180"/>
        <v>909350197</v>
      </c>
      <c r="AE205" s="19">
        <f t="shared" si="180"/>
        <v>659275778</v>
      </c>
      <c r="AF205" s="142">
        <f t="shared" si="180"/>
        <v>90369337</v>
      </c>
      <c r="AG205" s="848">
        <f t="shared" si="180"/>
        <v>749645115</v>
      </c>
      <c r="AH205" s="19">
        <f t="shared" si="180"/>
        <v>26859760</v>
      </c>
      <c r="AI205" s="15">
        <f t="shared" si="180"/>
        <v>310649803</v>
      </c>
      <c r="AJ205" s="16">
        <f t="shared" si="180"/>
        <v>470354885</v>
      </c>
      <c r="AK205" s="9"/>
      <c r="AL205" s="29">
        <f>AL206</f>
        <v>0</v>
      </c>
      <c r="AM205" s="26">
        <f>AM206</f>
        <v>20000000</v>
      </c>
      <c r="AN205" s="9"/>
    </row>
    <row r="206" spans="1:40" s="372" customFormat="1" ht="24.95" customHeight="1">
      <c r="A206" s="734"/>
      <c r="B206" s="644"/>
      <c r="N206" s="9"/>
      <c r="P206" s="9"/>
      <c r="Q206" s="9"/>
      <c r="R206" s="9"/>
      <c r="S206" s="689" t="str">
        <f>+IF(SEPTIEMBRE!S206=0,"",SEPTIEMBRE!S206)</f>
        <v>4100200-1</v>
      </c>
      <c r="T206" s="665" t="str">
        <f>+IF(SEPTIEMBRE!T206=0,"",SEPTIEMBRE!T206)</f>
        <v>Alimentación</v>
      </c>
      <c r="U206" s="27">
        <f>+ENERO!U206</f>
        <v>1200000000</v>
      </c>
      <c r="V206" s="15">
        <f>SEPTIEMBRE!V206+OCTUBRE!AL206</f>
        <v>0</v>
      </c>
      <c r="W206" s="15">
        <f>SEPTIEMBRE!W206+OCTUBRE!AM206</f>
        <v>20000000</v>
      </c>
      <c r="X206" s="18">
        <f>SUM(U206:W206)</f>
        <v>1220000000</v>
      </c>
      <c r="Y206" s="19">
        <f>SEPTIEMBRE!AA206</f>
        <v>1153140240</v>
      </c>
      <c r="Z206" s="364">
        <v>40000000</v>
      </c>
      <c r="AA206" s="848">
        <f>SUM(Y206:Z206)</f>
        <v>1193140240</v>
      </c>
      <c r="AB206" s="19">
        <f>SEPTIEMBRE!AD206</f>
        <v>833227762</v>
      </c>
      <c r="AC206" s="364">
        <v>76122435</v>
      </c>
      <c r="AD206" s="848">
        <f>SUM(AB206:AC206)</f>
        <v>909350197</v>
      </c>
      <c r="AE206" s="19">
        <f>SEPTIEMBRE!AG206</f>
        <v>659275778</v>
      </c>
      <c r="AF206" s="364">
        <v>90369337</v>
      </c>
      <c r="AG206" s="848">
        <f>SUM(AE206:AF206)</f>
        <v>749645115</v>
      </c>
      <c r="AH206" s="19">
        <f>X206-AA206</f>
        <v>26859760</v>
      </c>
      <c r="AI206" s="15">
        <f>X206-AD206</f>
        <v>310649803</v>
      </c>
      <c r="AJ206" s="16">
        <f>X206-AG206</f>
        <v>470354885</v>
      </c>
      <c r="AK206" s="9"/>
      <c r="AL206" s="362">
        <v>0</v>
      </c>
      <c r="AM206" s="365">
        <v>20000000</v>
      </c>
      <c r="AN206" s="9"/>
    </row>
    <row r="207" spans="1:40" s="372" customFormat="1" ht="24.95" customHeight="1" thickBot="1">
      <c r="A207" s="734"/>
      <c r="B207" s="644"/>
      <c r="N207" s="9"/>
      <c r="P207" s="9"/>
      <c r="Q207" s="9"/>
      <c r="R207" s="9"/>
      <c r="S207" s="691">
        <f>+IF(SEPTIEMBRE!S207=0,"",SEPTIEMBRE!S207)</f>
        <v>4199999</v>
      </c>
      <c r="T207" s="670" t="str">
        <f>+IF(SEPTIEMBRE!T207=0,"",SEPTIEMBRE!T207)</f>
        <v>Vigencias Anteriores</v>
      </c>
      <c r="U207" s="133">
        <f>+ENERO!U207</f>
        <v>998630863</v>
      </c>
      <c r="V207" s="121">
        <f>SEPTIEMBRE!V207+OCTUBRE!AL207</f>
        <v>1445127711</v>
      </c>
      <c r="W207" s="121">
        <f>SEPTIEMBRE!W207+OCTUBRE!AM207</f>
        <v>5692368787</v>
      </c>
      <c r="X207" s="126">
        <f>SUM(U207:W207)</f>
        <v>8136127361</v>
      </c>
      <c r="Y207" s="124">
        <f>SEPTIEMBRE!AA207</f>
        <v>6807747505</v>
      </c>
      <c r="Z207" s="378">
        <v>521092824</v>
      </c>
      <c r="AA207" s="852">
        <f>SUM(Y207:Z207)</f>
        <v>7328840329</v>
      </c>
      <c r="AB207" s="124">
        <f>SEPTIEMBRE!AD207</f>
        <v>6807747505</v>
      </c>
      <c r="AC207" s="378">
        <v>521092824</v>
      </c>
      <c r="AD207" s="852">
        <f>SUM(AB207:AC207)</f>
        <v>7328840329</v>
      </c>
      <c r="AE207" s="124">
        <f>SEPTIEMBRE!AG207</f>
        <v>6807747505</v>
      </c>
      <c r="AF207" s="378">
        <v>521092824</v>
      </c>
      <c r="AG207" s="852">
        <f>SUM(AE207:AF207)</f>
        <v>7328840329</v>
      </c>
      <c r="AH207" s="124">
        <f>X207-AA207</f>
        <v>807287032</v>
      </c>
      <c r="AI207" s="121">
        <f>X207-AD207</f>
        <v>807287032</v>
      </c>
      <c r="AJ207" s="125">
        <f>X207-AG207</f>
        <v>807287032</v>
      </c>
      <c r="AK207" s="9"/>
      <c r="AL207" s="374">
        <v>70000000</v>
      </c>
      <c r="AM207" s="379">
        <f>454494793+800000000</f>
        <v>1254494793</v>
      </c>
      <c r="AN207" s="9"/>
    </row>
    <row r="208" spans="1:40" s="372" customFormat="1" ht="24.95" customHeight="1">
      <c r="A208" s="734"/>
      <c r="B208" s="644"/>
      <c r="N208" s="9"/>
      <c r="P208" s="9"/>
      <c r="Q208" s="9"/>
      <c r="R208" s="9"/>
      <c r="S208" s="479" t="str">
        <f>+IF(SEPTIEMBRE!S208=0,"",SEPTIEMBRE!S208)</f>
        <v/>
      </c>
      <c r="T208" s="671" t="str">
        <f>+IF(SEPTIEMBRE!T208=0,"",SEPTIEMBRE!T208)</f>
        <v/>
      </c>
      <c r="U208" s="167"/>
      <c r="V208" s="167"/>
      <c r="W208" s="167"/>
      <c r="X208" s="167"/>
      <c r="Y208" s="167"/>
      <c r="Z208" s="167"/>
      <c r="AA208" s="853"/>
      <c r="AB208" s="167"/>
      <c r="AC208" s="167"/>
      <c r="AD208" s="853"/>
      <c r="AE208" s="167"/>
      <c r="AF208" s="167"/>
      <c r="AG208" s="853"/>
      <c r="AH208" s="167"/>
      <c r="AI208" s="167"/>
      <c r="AJ208" s="168"/>
      <c r="AK208" s="9"/>
      <c r="AL208" s="481"/>
      <c r="AM208" s="482"/>
      <c r="AN208" s="9"/>
    </row>
    <row r="209" spans="1:40" s="372" customFormat="1" ht="24.95" customHeight="1">
      <c r="A209" s="734"/>
      <c r="B209" s="644"/>
      <c r="N209" s="9"/>
      <c r="P209" s="9"/>
      <c r="Q209" s="9"/>
      <c r="R209" s="9"/>
      <c r="S209" s="686">
        <f>+IF(SEPTIEMBRE!S209=0,"",SEPTIEMBRE!S209)</f>
        <v>5000000</v>
      </c>
      <c r="T209" s="668" t="s">
        <v>435</v>
      </c>
      <c r="U209" s="460">
        <f t="shared" ref="U209:AJ209" si="181">U210</f>
        <v>0</v>
      </c>
      <c r="V209" s="461">
        <f t="shared" si="181"/>
        <v>0</v>
      </c>
      <c r="W209" s="461">
        <f t="shared" si="181"/>
        <v>0</v>
      </c>
      <c r="X209" s="462">
        <f t="shared" si="181"/>
        <v>0</v>
      </c>
      <c r="Y209" s="369">
        <f t="shared" si="181"/>
        <v>0</v>
      </c>
      <c r="Z209" s="461">
        <f t="shared" si="181"/>
        <v>0</v>
      </c>
      <c r="AA209" s="849">
        <f t="shared" si="181"/>
        <v>0</v>
      </c>
      <c r="AB209" s="369">
        <f t="shared" si="181"/>
        <v>0</v>
      </c>
      <c r="AC209" s="461">
        <f t="shared" si="181"/>
        <v>0</v>
      </c>
      <c r="AD209" s="849">
        <f t="shared" si="181"/>
        <v>0</v>
      </c>
      <c r="AE209" s="369">
        <f t="shared" si="181"/>
        <v>0</v>
      </c>
      <c r="AF209" s="461">
        <f t="shared" si="181"/>
        <v>0</v>
      </c>
      <c r="AG209" s="849">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N210" s="9"/>
      <c r="P210" s="9"/>
      <c r="Q210" s="9"/>
      <c r="R210" s="9"/>
      <c r="S210" s="687">
        <f>+IF(SEPTIEMBRE!S210=0,"",SEPTIEMBRE!S210)</f>
        <v>5100000</v>
      </c>
      <c r="T210" s="663" t="str">
        <f>+IF(SEPTIEMBRE!T210=0,"",SEPTIEMBRE!T210)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215">
        <f t="shared" si="182"/>
        <v>0</v>
      </c>
      <c r="AB210" s="128">
        <f t="shared" si="182"/>
        <v>0</v>
      </c>
      <c r="AC210" s="122">
        <f t="shared" si="182"/>
        <v>0</v>
      </c>
      <c r="AD210" s="215">
        <f t="shared" si="182"/>
        <v>0</v>
      </c>
      <c r="AE210" s="128">
        <f t="shared" si="182"/>
        <v>0</v>
      </c>
      <c r="AF210" s="122">
        <f t="shared" si="182"/>
        <v>0</v>
      </c>
      <c r="AG210" s="215">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N211" s="9"/>
      <c r="P211" s="9"/>
      <c r="Q211" s="9"/>
      <c r="R211" s="9"/>
      <c r="S211" s="688">
        <f>+IF(SEPTIEMBRE!S211=0,"",SEPTIEMBRE!S211)</f>
        <v>5100100</v>
      </c>
      <c r="T211" s="664" t="str">
        <f>+IF(SEPTIEMBRE!T211=0,"",SEPTIEMBRE!T211)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848">
        <f t="shared" si="183"/>
        <v>0</v>
      </c>
      <c r="AB211" s="19">
        <f t="shared" si="183"/>
        <v>0</v>
      </c>
      <c r="AC211" s="142">
        <f t="shared" si="183"/>
        <v>0</v>
      </c>
      <c r="AD211" s="848">
        <f t="shared" si="183"/>
        <v>0</v>
      </c>
      <c r="AE211" s="19">
        <f t="shared" si="183"/>
        <v>0</v>
      </c>
      <c r="AF211" s="142">
        <f t="shared" si="183"/>
        <v>0</v>
      </c>
      <c r="AG211" s="848">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N212" s="9"/>
      <c r="P212" s="9"/>
      <c r="Q212" s="9"/>
      <c r="R212" s="9"/>
      <c r="S212" s="689" t="str">
        <f>+IF(SEPTIEMBRE!S212=0,"",SEPTIEMBRE!S212)</f>
        <v>5100100-1</v>
      </c>
      <c r="T212" s="665" t="str">
        <f>+IF(SEPTIEMBRE!T212=0,"",SEPTIEMBRE!T212)</f>
        <v>Productos Farmaceuticos</v>
      </c>
      <c r="U212" s="27">
        <f>+ENERO!U212</f>
        <v>0</v>
      </c>
      <c r="V212" s="15">
        <f>SEPTIEMBRE!V212+OCTUBRE!AL212</f>
        <v>0</v>
      </c>
      <c r="W212" s="15">
        <f>SEPTIEMBRE!W212+OCTUBRE!AM212</f>
        <v>0</v>
      </c>
      <c r="X212" s="18">
        <f t="shared" ref="X212:X218" si="184">SUM(U212:W212)</f>
        <v>0</v>
      </c>
      <c r="Y212" s="19">
        <f>SEPTIEMBRE!AA212</f>
        <v>0</v>
      </c>
      <c r="Z212" s="364">
        <v>0</v>
      </c>
      <c r="AA212" s="848">
        <f t="shared" ref="AA212:AA218" si="185">SUM(Y212:Z212)</f>
        <v>0</v>
      </c>
      <c r="AB212" s="19">
        <f>SEPTIEMBRE!AD212</f>
        <v>0</v>
      </c>
      <c r="AC212" s="364">
        <v>0</v>
      </c>
      <c r="AD212" s="848">
        <f t="shared" ref="AD212:AD218" si="186">SUM(AB212:AC212)</f>
        <v>0</v>
      </c>
      <c r="AE212" s="19">
        <f>SEPTIEMBRE!AG212</f>
        <v>0</v>
      </c>
      <c r="AF212" s="364">
        <v>0</v>
      </c>
      <c r="AG212" s="84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N213" s="9"/>
      <c r="P213" s="9"/>
      <c r="Q213" s="9"/>
      <c r="R213" s="9"/>
      <c r="S213" s="689" t="str">
        <f>+IF(SEPTIEMBRE!S213=0,"",SEPTIEMBRE!S213)</f>
        <v>5100100-2</v>
      </c>
      <c r="T213" s="665" t="str">
        <f>+IF(SEPTIEMBRE!T213=0,"",SEPTIEMBRE!T213)</f>
        <v>Material Médico Quirúrgico</v>
      </c>
      <c r="U213" s="27">
        <f>+ENERO!U213</f>
        <v>0</v>
      </c>
      <c r="V213" s="15">
        <f>SEPTIEMBRE!V213+OCTUBRE!AL213</f>
        <v>0</v>
      </c>
      <c r="W213" s="15">
        <f>SEPTIEMBRE!W213+OCTUBRE!AM213</f>
        <v>0</v>
      </c>
      <c r="X213" s="18">
        <f t="shared" si="184"/>
        <v>0</v>
      </c>
      <c r="Y213" s="19">
        <f>SEPTIEMBRE!AA213</f>
        <v>0</v>
      </c>
      <c r="Z213" s="364">
        <v>0</v>
      </c>
      <c r="AA213" s="848">
        <f t="shared" si="185"/>
        <v>0</v>
      </c>
      <c r="AB213" s="19">
        <f>SEPTIEMBRE!AD213</f>
        <v>0</v>
      </c>
      <c r="AC213" s="364">
        <v>0</v>
      </c>
      <c r="AD213" s="848">
        <f t="shared" si="186"/>
        <v>0</v>
      </c>
      <c r="AE213" s="19">
        <f>SEPTIEMBRE!AG213</f>
        <v>0</v>
      </c>
      <c r="AF213" s="364">
        <v>0</v>
      </c>
      <c r="AG213" s="848">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N214" s="9"/>
      <c r="P214" s="9"/>
      <c r="Q214" s="9"/>
      <c r="R214" s="9"/>
      <c r="S214" s="689" t="str">
        <f>+IF(SEPTIEMBRE!S214=0,"",SEPTIEMBRE!S214)</f>
        <v>5100100-3</v>
      </c>
      <c r="T214" s="665" t="str">
        <f>+IF(SEPTIEMBRE!T214=0,"",SEPTIEMBRE!T214)</f>
        <v>Material de Laboratorio</v>
      </c>
      <c r="U214" s="27">
        <f>+ENERO!U214</f>
        <v>0</v>
      </c>
      <c r="V214" s="15">
        <f>SEPTIEMBRE!V214+OCTUBRE!AL214</f>
        <v>0</v>
      </c>
      <c r="W214" s="15">
        <f>SEPTIEMBRE!W214+OCTUBRE!AM214</f>
        <v>0</v>
      </c>
      <c r="X214" s="18">
        <f t="shared" si="184"/>
        <v>0</v>
      </c>
      <c r="Y214" s="19">
        <f>SEPTIEMBRE!AA214</f>
        <v>0</v>
      </c>
      <c r="Z214" s="364">
        <v>0</v>
      </c>
      <c r="AA214" s="848">
        <f t="shared" si="185"/>
        <v>0</v>
      </c>
      <c r="AB214" s="19">
        <f>SEPTIEMBRE!AD214</f>
        <v>0</v>
      </c>
      <c r="AC214" s="364">
        <v>0</v>
      </c>
      <c r="AD214" s="848">
        <f t="shared" si="186"/>
        <v>0</v>
      </c>
      <c r="AE214" s="19">
        <f>SEPTIEMBRE!AG214</f>
        <v>0</v>
      </c>
      <c r="AF214" s="364">
        <v>0</v>
      </c>
      <c r="AG214" s="848">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N215" s="9"/>
      <c r="P215" s="9"/>
      <c r="Q215" s="9"/>
      <c r="R215" s="9"/>
      <c r="S215" s="689" t="str">
        <f>+IF(SEPTIEMBRE!S215=0,"",SEPTIEMBRE!S215)</f>
        <v>5100100-4</v>
      </c>
      <c r="T215" s="665" t="str">
        <f>+IF(SEPTIEMBRE!T215=0,"",SEPTIEMBRE!T215)</f>
        <v>Material para Odontologia</v>
      </c>
      <c r="U215" s="27">
        <f>+ENERO!U215</f>
        <v>0</v>
      </c>
      <c r="V215" s="15">
        <f>SEPTIEMBRE!V215+OCTUBRE!AL215</f>
        <v>0</v>
      </c>
      <c r="W215" s="15">
        <f>SEPTIEMBRE!W215+OCTUBRE!AM215</f>
        <v>0</v>
      </c>
      <c r="X215" s="18">
        <f t="shared" si="184"/>
        <v>0</v>
      </c>
      <c r="Y215" s="19">
        <f>SEPTIEMBRE!AA215</f>
        <v>0</v>
      </c>
      <c r="Z215" s="364">
        <v>0</v>
      </c>
      <c r="AA215" s="848">
        <f t="shared" si="185"/>
        <v>0</v>
      </c>
      <c r="AB215" s="19">
        <f>SEPTIEMBRE!AD215</f>
        <v>0</v>
      </c>
      <c r="AC215" s="364">
        <v>0</v>
      </c>
      <c r="AD215" s="848">
        <f t="shared" si="186"/>
        <v>0</v>
      </c>
      <c r="AE215" s="19">
        <f>SEPTIEMBRE!AG215</f>
        <v>0</v>
      </c>
      <c r="AF215" s="364">
        <v>0</v>
      </c>
      <c r="AG215" s="848">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N216" s="9"/>
      <c r="P216" s="9"/>
      <c r="Q216" s="9"/>
      <c r="R216" s="9"/>
      <c r="S216" s="689" t="str">
        <f>+IF(SEPTIEMBRE!S216=0,"",SEPTIEMBRE!S216)</f>
        <v>5100100-5</v>
      </c>
      <c r="T216" s="665" t="str">
        <f>+IF(SEPTIEMBRE!T216=0,"",SEPTIEMBRE!T216)</f>
        <v>Material para Rayos X</v>
      </c>
      <c r="U216" s="27">
        <f>+ENERO!U216</f>
        <v>0</v>
      </c>
      <c r="V216" s="15">
        <f>SEPTIEMBRE!V216+OCTUBRE!AL216</f>
        <v>0</v>
      </c>
      <c r="W216" s="15">
        <f>SEPTIEMBRE!W216+OCTUBRE!AM216</f>
        <v>0</v>
      </c>
      <c r="X216" s="18">
        <f t="shared" si="184"/>
        <v>0</v>
      </c>
      <c r="Y216" s="19">
        <f>SEPTIEMBRE!AA216</f>
        <v>0</v>
      </c>
      <c r="Z216" s="364">
        <v>0</v>
      </c>
      <c r="AA216" s="848">
        <f t="shared" si="185"/>
        <v>0</v>
      </c>
      <c r="AB216" s="19">
        <f>SEPTIEMBRE!AD216</f>
        <v>0</v>
      </c>
      <c r="AC216" s="364">
        <v>0</v>
      </c>
      <c r="AD216" s="848">
        <f t="shared" si="186"/>
        <v>0</v>
      </c>
      <c r="AE216" s="19">
        <f>SEPTIEMBRE!AG216</f>
        <v>0</v>
      </c>
      <c r="AF216" s="364">
        <v>0</v>
      </c>
      <c r="AG216" s="848">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N217" s="9"/>
      <c r="P217" s="9"/>
      <c r="Q217" s="9"/>
      <c r="R217" s="9"/>
      <c r="S217" s="689" t="str">
        <f>+IF(SEPTIEMBRE!S217=0,"",SEPTIEMBRE!S217)</f>
        <v>5100100-6</v>
      </c>
      <c r="T217" s="665" t="str">
        <f>+IF(SEPTIEMBRE!T217=0,"",SEPTIEMBRE!T217)</f>
        <v>Material aseo personal, etc.</v>
      </c>
      <c r="U217" s="27">
        <f>+ENERO!U217</f>
        <v>0</v>
      </c>
      <c r="V217" s="15">
        <f>SEPTIEMBRE!V217+OCTUBRE!AL217</f>
        <v>0</v>
      </c>
      <c r="W217" s="15">
        <f>SEPTIEMBRE!W217+OCTUBRE!AM217</f>
        <v>0</v>
      </c>
      <c r="X217" s="18">
        <f t="shared" si="184"/>
        <v>0</v>
      </c>
      <c r="Y217" s="19">
        <f>SEPTIEMBRE!AA217</f>
        <v>0</v>
      </c>
      <c r="Z217" s="364">
        <v>0</v>
      </c>
      <c r="AA217" s="848">
        <f t="shared" si="185"/>
        <v>0</v>
      </c>
      <c r="AB217" s="19">
        <f>SEPTIEMBRE!AD217</f>
        <v>0</v>
      </c>
      <c r="AC217" s="364">
        <v>0</v>
      </c>
      <c r="AD217" s="848">
        <f t="shared" si="186"/>
        <v>0</v>
      </c>
      <c r="AE217" s="19">
        <f>SEPTIEMBRE!AG217</f>
        <v>0</v>
      </c>
      <c r="AF217" s="364">
        <v>0</v>
      </c>
      <c r="AG217" s="848">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N218" s="9"/>
      <c r="P218" s="9"/>
      <c r="Q218" s="9"/>
      <c r="R218" s="9"/>
      <c r="S218" s="698">
        <f>+IF(SEPTIEMBRE!S218=0,"",SEPTIEMBRE!S218)</f>
        <v>5199999</v>
      </c>
      <c r="T218" s="680" t="str">
        <f>+IF(SEPTIEMBRE!T218=0,"",SEPTIEMBRE!T218)</f>
        <v>Vigencias Anteriores</v>
      </c>
      <c r="U218" s="133">
        <f>+ENERO!U218</f>
        <v>0</v>
      </c>
      <c r="V218" s="121">
        <f>SEPTIEMBRE!V218+OCTUBRE!AL218</f>
        <v>0</v>
      </c>
      <c r="W218" s="121">
        <f>SEPTIEMBRE!W218+OCTUBRE!AM218</f>
        <v>0</v>
      </c>
      <c r="X218" s="126">
        <f t="shared" si="184"/>
        <v>0</v>
      </c>
      <c r="Y218" s="124">
        <f>SEPTIEMBRE!AA218</f>
        <v>0</v>
      </c>
      <c r="Z218" s="378">
        <v>0</v>
      </c>
      <c r="AA218" s="852">
        <f t="shared" si="185"/>
        <v>0</v>
      </c>
      <c r="AB218" s="124">
        <f>SEPTIEMBRE!AD218</f>
        <v>0</v>
      </c>
      <c r="AC218" s="378">
        <v>0</v>
      </c>
      <c r="AD218" s="852">
        <f t="shared" si="186"/>
        <v>0</v>
      </c>
      <c r="AE218" s="124">
        <f>SEPTIEMBRE!AG218</f>
        <v>0</v>
      </c>
      <c r="AF218" s="378">
        <v>0</v>
      </c>
      <c r="AG218" s="852">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N219" s="9"/>
      <c r="P219" s="9"/>
      <c r="Q219" s="9"/>
      <c r="R219" s="9"/>
      <c r="S219" s="485" t="str">
        <f>+IF(SEPTIEMBRE!S219=0,"",SEPTIEMBRE!S219)</f>
        <v/>
      </c>
      <c r="T219" s="677" t="str">
        <f>+IF(SEPTIEMBRE!T219=0,"",SEPTIEMBRE!T219)</f>
        <v/>
      </c>
      <c r="U219" s="160"/>
      <c r="V219" s="160"/>
      <c r="W219" s="160"/>
      <c r="X219" s="160"/>
      <c r="Y219" s="160"/>
      <c r="Z219" s="160"/>
      <c r="AA219" s="854"/>
      <c r="AB219" s="160"/>
      <c r="AC219" s="160"/>
      <c r="AD219" s="854"/>
      <c r="AE219" s="160"/>
      <c r="AF219" s="160"/>
      <c r="AG219" s="854"/>
      <c r="AH219" s="160"/>
      <c r="AI219" s="160"/>
      <c r="AJ219" s="169"/>
      <c r="AK219" s="10"/>
      <c r="AL219" s="487"/>
      <c r="AM219" s="488"/>
      <c r="AN219" s="9"/>
    </row>
    <row r="220" spans="1:40" s="372" customFormat="1" ht="24.95" customHeight="1">
      <c r="A220" s="734"/>
      <c r="B220" s="644"/>
      <c r="N220" s="9"/>
      <c r="P220" s="9"/>
      <c r="Q220" s="9"/>
      <c r="R220" s="9"/>
      <c r="S220" s="347" t="str">
        <f>+IF(SEPTIEMBRE!S220=0,"",SEPTIEMBRE!S220)</f>
        <v>C</v>
      </c>
      <c r="T220" s="659" t="str">
        <f>+IF(SEPTIEMBRE!T220=0,"",SEPTIEMBRE!T220)</f>
        <v xml:space="preserve">SERVICIO DE LA DEUDA </v>
      </c>
      <c r="U220" s="348">
        <f t="shared" ref="U220:AJ220" si="191">U222+U227</f>
        <v>262344980</v>
      </c>
      <c r="V220" s="349">
        <f t="shared" si="191"/>
        <v>-15000000</v>
      </c>
      <c r="W220" s="349">
        <f t="shared" si="191"/>
        <v>27000000</v>
      </c>
      <c r="X220" s="352">
        <f t="shared" si="191"/>
        <v>274344980</v>
      </c>
      <c r="Y220" s="351">
        <f t="shared" si="191"/>
        <v>253165186</v>
      </c>
      <c r="Z220" s="349">
        <f t="shared" si="191"/>
        <v>0</v>
      </c>
      <c r="AA220" s="845">
        <f t="shared" si="191"/>
        <v>253165186</v>
      </c>
      <c r="AB220" s="351">
        <f t="shared" si="191"/>
        <v>253165186</v>
      </c>
      <c r="AC220" s="349">
        <f t="shared" si="191"/>
        <v>0</v>
      </c>
      <c r="AD220" s="845">
        <f t="shared" si="191"/>
        <v>253165186</v>
      </c>
      <c r="AE220" s="351">
        <f t="shared" si="191"/>
        <v>231840261</v>
      </c>
      <c r="AF220" s="349">
        <f t="shared" si="191"/>
        <v>21324925</v>
      </c>
      <c r="AG220" s="845">
        <f t="shared" si="191"/>
        <v>253165186</v>
      </c>
      <c r="AH220" s="351">
        <f t="shared" si="191"/>
        <v>21179794</v>
      </c>
      <c r="AI220" s="349">
        <f t="shared" si="191"/>
        <v>21179794</v>
      </c>
      <c r="AJ220" s="350">
        <f t="shared" si="191"/>
        <v>21179794</v>
      </c>
      <c r="AK220" s="490"/>
      <c r="AL220" s="351">
        <f>AL222+AL227</f>
        <v>-15000000</v>
      </c>
      <c r="AM220" s="350">
        <f>AM222+AM227</f>
        <v>0</v>
      </c>
      <c r="AN220" s="9"/>
    </row>
    <row r="221" spans="1:40" s="372" customFormat="1" ht="24.95" customHeight="1">
      <c r="A221" s="734"/>
      <c r="B221" s="644"/>
      <c r="N221" s="9"/>
      <c r="P221" s="9"/>
      <c r="Q221" s="9"/>
      <c r="R221" s="9"/>
      <c r="S221" s="356" t="str">
        <f>+IF(SEPTIEMBRE!S221=0,"",SEPTIEMBRE!S221)</f>
        <v/>
      </c>
      <c r="T221" s="678" t="str">
        <f>+IF(SEPTIEMBRE!T221=0,"",SEPTIEMBRE!T221)</f>
        <v/>
      </c>
      <c r="U221" s="161"/>
      <c r="V221" s="161"/>
      <c r="W221" s="161"/>
      <c r="X221" s="161"/>
      <c r="Y221" s="161"/>
      <c r="Z221" s="161"/>
      <c r="AA221" s="846"/>
      <c r="AB221" s="161"/>
      <c r="AC221" s="161"/>
      <c r="AD221" s="846"/>
      <c r="AE221" s="161"/>
      <c r="AF221" s="161"/>
      <c r="AG221" s="846"/>
      <c r="AH221" s="161"/>
      <c r="AI221" s="161"/>
      <c r="AJ221" s="166"/>
      <c r="AK221" s="9"/>
      <c r="AL221" s="172"/>
      <c r="AM221" s="173"/>
      <c r="AN221" s="9"/>
    </row>
    <row r="222" spans="1:40" s="372" customFormat="1" ht="24.95" customHeight="1">
      <c r="A222" s="734"/>
      <c r="B222" s="644"/>
      <c r="N222" s="9"/>
      <c r="P222" s="9"/>
      <c r="Q222" s="9"/>
      <c r="R222" s="9"/>
      <c r="S222" s="687">
        <f>+IF(SEPTIEMBRE!S222=0,"",SEPTIEMBRE!S222)</f>
        <v>7001000</v>
      </c>
      <c r="T222" s="663" t="str">
        <f>+IF(SEPTIEMBRE!T222=0,"",SEPTIEMBRE!T222)</f>
        <v>SERVICIO DE LA DEUDA INTERNA</v>
      </c>
      <c r="U222" s="132">
        <f t="shared" ref="U222:AJ222" si="192">SUM(U223:U225)</f>
        <v>262344980</v>
      </c>
      <c r="V222" s="122">
        <f t="shared" si="192"/>
        <v>-15000000</v>
      </c>
      <c r="W222" s="122">
        <f t="shared" si="192"/>
        <v>27000000</v>
      </c>
      <c r="X222" s="129">
        <f t="shared" si="192"/>
        <v>274344980</v>
      </c>
      <c r="Y222" s="128">
        <f t="shared" si="192"/>
        <v>253165186</v>
      </c>
      <c r="Z222" s="122">
        <f t="shared" si="192"/>
        <v>0</v>
      </c>
      <c r="AA222" s="215">
        <f t="shared" si="192"/>
        <v>253165186</v>
      </c>
      <c r="AB222" s="128">
        <f t="shared" si="192"/>
        <v>253165186</v>
      </c>
      <c r="AC222" s="122">
        <f t="shared" si="192"/>
        <v>0</v>
      </c>
      <c r="AD222" s="215">
        <f t="shared" si="192"/>
        <v>253165186</v>
      </c>
      <c r="AE222" s="128">
        <f t="shared" si="192"/>
        <v>231840261</v>
      </c>
      <c r="AF222" s="122">
        <f t="shared" si="192"/>
        <v>21324925</v>
      </c>
      <c r="AG222" s="215">
        <f t="shared" si="192"/>
        <v>253165186</v>
      </c>
      <c r="AH222" s="128">
        <f t="shared" si="192"/>
        <v>21179794</v>
      </c>
      <c r="AI222" s="122">
        <f t="shared" si="192"/>
        <v>21179794</v>
      </c>
      <c r="AJ222" s="130">
        <f t="shared" si="192"/>
        <v>21179794</v>
      </c>
      <c r="AK222" s="9"/>
      <c r="AL222" s="128">
        <f>SUM(AL223:AL225)</f>
        <v>-15000000</v>
      </c>
      <c r="AM222" s="130">
        <f>SUM(AM223:AM225)</f>
        <v>0</v>
      </c>
      <c r="AN222" s="9"/>
    </row>
    <row r="223" spans="1:40" s="372" customFormat="1" ht="24.95" customHeight="1">
      <c r="A223" s="734"/>
      <c r="B223" s="644"/>
      <c r="N223" s="9"/>
      <c r="P223" s="9"/>
      <c r="Q223" s="9"/>
      <c r="R223" s="9"/>
      <c r="S223" s="688">
        <f>+IF(SEPTIEMBRE!S223=0,"",SEPTIEMBRE!S223)</f>
        <v>7001100</v>
      </c>
      <c r="T223" s="664" t="str">
        <f>+IF(SEPTIEMBRE!T223=0,"",SEPTIEMBRE!T223)</f>
        <v>Amortización deuda Pública Interna</v>
      </c>
      <c r="U223" s="27">
        <f>+ENERO!U223</f>
        <v>250000000</v>
      </c>
      <c r="V223" s="15">
        <f>SEPTIEMBRE!V223+OCTUBRE!AL223</f>
        <v>-15000000</v>
      </c>
      <c r="W223" s="15">
        <f>SEPTIEMBRE!W223+OCTUBRE!AM223</f>
        <v>0</v>
      </c>
      <c r="X223" s="18">
        <f>SUM(U223:W223)</f>
        <v>235000000</v>
      </c>
      <c r="Y223" s="19">
        <f>SEPTIEMBRE!AA223</f>
        <v>221195509</v>
      </c>
      <c r="Z223" s="364">
        <v>0</v>
      </c>
      <c r="AA223" s="848">
        <f>SUM(Y223:Z223)</f>
        <v>221195509</v>
      </c>
      <c r="AB223" s="19">
        <f>SEPTIEMBRE!AD223</f>
        <v>221195509</v>
      </c>
      <c r="AC223" s="364">
        <v>0</v>
      </c>
      <c r="AD223" s="848">
        <f>SUM(AB223:AC223)</f>
        <v>221195509</v>
      </c>
      <c r="AE223" s="19">
        <f>SEPTIEMBRE!AG223</f>
        <v>200000000</v>
      </c>
      <c r="AF223" s="364">
        <v>21195509</v>
      </c>
      <c r="AG223" s="848">
        <f>SUM(AE223:AF223)</f>
        <v>221195509</v>
      </c>
      <c r="AH223" s="19">
        <f>X223-AA223</f>
        <v>13804491</v>
      </c>
      <c r="AI223" s="15">
        <f>X223-AD223</f>
        <v>13804491</v>
      </c>
      <c r="AJ223" s="16">
        <f>X223-AG223</f>
        <v>13804491</v>
      </c>
      <c r="AK223" s="9"/>
      <c r="AL223" s="362">
        <v>-15000000</v>
      </c>
      <c r="AM223" s="365">
        <v>0</v>
      </c>
      <c r="AN223" s="9"/>
    </row>
    <row r="224" spans="1:40" s="372" customFormat="1" ht="24.95" customHeight="1">
      <c r="A224" s="734"/>
      <c r="B224" s="644"/>
      <c r="N224" s="9"/>
      <c r="P224" s="9"/>
      <c r="Q224" s="9"/>
      <c r="R224" s="9"/>
      <c r="S224" s="688">
        <f>+IF(SEPTIEMBRE!S224=0,"",SEPTIEMBRE!S224)</f>
        <v>7001200</v>
      </c>
      <c r="T224" s="664" t="str">
        <f>+IF(SEPTIEMBRE!T224=0,"",SEPTIEMBRE!T224)</f>
        <v>Intereses Comisiones y gastos de la Deuda Pública</v>
      </c>
      <c r="U224" s="27">
        <f>+ENERO!U224</f>
        <v>12344980</v>
      </c>
      <c r="V224" s="15">
        <f>SEPTIEMBRE!V224+OCTUBRE!AL224</f>
        <v>0</v>
      </c>
      <c r="W224" s="15">
        <f>SEPTIEMBRE!W224+OCTUBRE!AM224</f>
        <v>0</v>
      </c>
      <c r="X224" s="18">
        <f>SUM(U224:W224)</f>
        <v>12344980</v>
      </c>
      <c r="Y224" s="19">
        <f>SEPTIEMBRE!AA224</f>
        <v>5697023</v>
      </c>
      <c r="Z224" s="364">
        <v>0</v>
      </c>
      <c r="AA224" s="848">
        <f>SUM(Y224:Z224)</f>
        <v>5697023</v>
      </c>
      <c r="AB224" s="19">
        <f>SEPTIEMBRE!AD224</f>
        <v>5697023</v>
      </c>
      <c r="AC224" s="364">
        <v>0</v>
      </c>
      <c r="AD224" s="848">
        <f>SUM(AB224:AC224)</f>
        <v>5697023</v>
      </c>
      <c r="AE224" s="19">
        <f>SEPTIEMBRE!AG224</f>
        <v>5567607</v>
      </c>
      <c r="AF224" s="364">
        <v>129416</v>
      </c>
      <c r="AG224" s="848">
        <f>SUM(AE224:AF224)</f>
        <v>5697023</v>
      </c>
      <c r="AH224" s="19">
        <f>X224-AA224</f>
        <v>6647957</v>
      </c>
      <c r="AI224" s="15">
        <f>X224-AD224</f>
        <v>6647957</v>
      </c>
      <c r="AJ224" s="16">
        <f>X224-AG224</f>
        <v>6647957</v>
      </c>
      <c r="AK224" s="9"/>
      <c r="AL224" s="362">
        <v>0</v>
      </c>
      <c r="AM224" s="365">
        <v>0</v>
      </c>
      <c r="AN224" s="9"/>
    </row>
    <row r="225" spans="1:64" s="372" customFormat="1" ht="24.95" customHeight="1">
      <c r="A225" s="734"/>
      <c r="B225" s="644"/>
      <c r="N225" s="9"/>
      <c r="P225" s="9"/>
      <c r="Q225" s="9"/>
      <c r="R225" s="9"/>
      <c r="S225" s="688">
        <f>+IF(SEPTIEMBRE!S225=0,"",SEPTIEMBRE!S225)</f>
        <v>7001999</v>
      </c>
      <c r="T225" s="664" t="str">
        <f>+IF(SEPTIEMBRE!T225=0,"",SEPTIEMBRE!T225)</f>
        <v>Vigencias Anteriores</v>
      </c>
      <c r="U225" s="27">
        <f>+ENERO!U225</f>
        <v>0</v>
      </c>
      <c r="V225" s="15">
        <f>SEPTIEMBRE!V225+OCTUBRE!AL225</f>
        <v>0</v>
      </c>
      <c r="W225" s="15">
        <f>SEPTIEMBRE!W225+OCTUBRE!AM225</f>
        <v>27000000</v>
      </c>
      <c r="X225" s="18">
        <f>SUM(U225:W225)</f>
        <v>27000000</v>
      </c>
      <c r="Y225" s="19">
        <f>SEPTIEMBRE!AA225</f>
        <v>26272654</v>
      </c>
      <c r="Z225" s="364">
        <v>0</v>
      </c>
      <c r="AA225" s="848">
        <f>SUM(Y225:Z225)</f>
        <v>26272654</v>
      </c>
      <c r="AB225" s="19">
        <f>SEPTIEMBRE!AD225</f>
        <v>26272654</v>
      </c>
      <c r="AC225" s="364">
        <v>0</v>
      </c>
      <c r="AD225" s="848">
        <f>SUM(AB225:AC225)</f>
        <v>26272654</v>
      </c>
      <c r="AE225" s="19">
        <f>SEPTIEMBRE!AG225</f>
        <v>26272654</v>
      </c>
      <c r="AF225" s="364">
        <v>0</v>
      </c>
      <c r="AG225" s="848">
        <f>SUM(AE225:AF225)</f>
        <v>26272654</v>
      </c>
      <c r="AH225" s="19">
        <f>X225-AA225</f>
        <v>727346</v>
      </c>
      <c r="AI225" s="15">
        <f>X225-AD225</f>
        <v>727346</v>
      </c>
      <c r="AJ225" s="16">
        <f>X225-AG225</f>
        <v>727346</v>
      </c>
      <c r="AK225" s="9"/>
      <c r="AL225" s="362">
        <v>0</v>
      </c>
      <c r="AM225" s="365">
        <v>0</v>
      </c>
      <c r="AN225" s="9"/>
    </row>
    <row r="226" spans="1:64" s="372" customFormat="1" ht="24.95" customHeight="1">
      <c r="A226" s="734"/>
      <c r="B226" s="644"/>
      <c r="N226" s="9"/>
      <c r="P226" s="9"/>
      <c r="Q226" s="9"/>
      <c r="R226" s="9"/>
      <c r="S226" s="356" t="str">
        <f>+IF(SEPTIEMBRE!S226=0,"",SEPTIEMBRE!S226)</f>
        <v/>
      </c>
      <c r="T226" s="678" t="str">
        <f>+IF(SEPTIEMBRE!T226=0,"",SEPTIEMBRE!T226)</f>
        <v/>
      </c>
      <c r="U226" s="161"/>
      <c r="V226" s="161"/>
      <c r="W226" s="161"/>
      <c r="X226" s="161"/>
      <c r="Y226" s="161"/>
      <c r="Z226" s="161"/>
      <c r="AA226" s="846"/>
      <c r="AB226" s="161"/>
      <c r="AC226" s="161"/>
      <c r="AD226" s="846"/>
      <c r="AE226" s="161"/>
      <c r="AF226" s="161"/>
      <c r="AG226" s="846"/>
      <c r="AH226" s="161"/>
      <c r="AI226" s="161"/>
      <c r="AJ226" s="166"/>
      <c r="AK226" s="10"/>
      <c r="AL226" s="172"/>
      <c r="AM226" s="173"/>
      <c r="AN226" s="9"/>
    </row>
    <row r="227" spans="1:64" s="372" customFormat="1" ht="24.95" customHeight="1">
      <c r="A227" s="734"/>
      <c r="B227" s="644"/>
      <c r="N227" s="9"/>
      <c r="P227" s="9"/>
      <c r="Q227" s="9"/>
      <c r="R227" s="9"/>
      <c r="S227" s="687">
        <f>+IF(SEPTIEMBRE!S227=0,"",SEPTIEMBRE!S227)</f>
        <v>7002001</v>
      </c>
      <c r="T227" s="663" t="str">
        <f>+IF(SEPTIEMBRE!T227=0,"",SEPTIEMBRE!T227)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215">
        <f t="shared" si="193"/>
        <v>0</v>
      </c>
      <c r="AB227" s="128">
        <f t="shared" si="193"/>
        <v>0</v>
      </c>
      <c r="AC227" s="122">
        <f t="shared" si="193"/>
        <v>0</v>
      </c>
      <c r="AD227" s="215">
        <f t="shared" si="193"/>
        <v>0</v>
      </c>
      <c r="AE227" s="128">
        <f t="shared" si="193"/>
        <v>0</v>
      </c>
      <c r="AF227" s="122">
        <f t="shared" si="193"/>
        <v>0</v>
      </c>
      <c r="AG227" s="215">
        <f t="shared" si="193"/>
        <v>0</v>
      </c>
      <c r="AH227" s="128">
        <f t="shared" si="193"/>
        <v>0</v>
      </c>
      <c r="AI227" s="122">
        <f t="shared" si="193"/>
        <v>0</v>
      </c>
      <c r="AJ227" s="130">
        <f t="shared" si="193"/>
        <v>0</v>
      </c>
      <c r="AK227" s="10"/>
      <c r="AL227" s="128">
        <f>SUM(AL228:AL230)</f>
        <v>0</v>
      </c>
      <c r="AM227" s="130">
        <f>SUM(AM228:AM230)</f>
        <v>0</v>
      </c>
      <c r="AN227" s="9"/>
    </row>
    <row r="228" spans="1:64" s="372" customFormat="1" ht="24.95" customHeight="1">
      <c r="A228" s="734"/>
      <c r="B228" s="644"/>
      <c r="N228" s="9"/>
      <c r="P228" s="9"/>
      <c r="Q228" s="9"/>
      <c r="R228" s="9"/>
      <c r="S228" s="688">
        <f>+IF(SEPTIEMBRE!S228=0,"",SEPTIEMBRE!S228)</f>
        <v>7002100</v>
      </c>
      <c r="T228" s="664" t="str">
        <f>+IF(SEPTIEMBRE!T228=0,"",SEPTIEMBRE!T228)</f>
        <v>Amortización deuda Pública Externa</v>
      </c>
      <c r="U228" s="27">
        <f>+ENERO!U228</f>
        <v>0</v>
      </c>
      <c r="V228" s="15">
        <f>SEPTIEMBRE!V228+OCTUBRE!AL228</f>
        <v>0</v>
      </c>
      <c r="W228" s="15">
        <f>SEPTIEMBRE!W228+OCTUBRE!AM228</f>
        <v>0</v>
      </c>
      <c r="X228" s="18">
        <f>SUM(U228:W228)</f>
        <v>0</v>
      </c>
      <c r="Y228" s="19">
        <f>SEPTIEMBRE!AA228</f>
        <v>0</v>
      </c>
      <c r="Z228" s="364">
        <v>0</v>
      </c>
      <c r="AA228" s="848">
        <f>SUM(Y228:Z228)</f>
        <v>0</v>
      </c>
      <c r="AB228" s="19">
        <f>SEPTIEMBRE!AD228</f>
        <v>0</v>
      </c>
      <c r="AC228" s="364">
        <v>0</v>
      </c>
      <c r="AD228" s="848">
        <f>SUM(AB228:AC228)</f>
        <v>0</v>
      </c>
      <c r="AE228" s="19">
        <f>SEPTIEMBRE!AG228</f>
        <v>0</v>
      </c>
      <c r="AF228" s="364">
        <v>0</v>
      </c>
      <c r="AG228" s="84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+IF(SEPTIEMBRE!S229=0,"",SEPTIEMBRE!S229)</f>
        <v>7002200</v>
      </c>
      <c r="T229" s="664" t="str">
        <f>+IF(SEPTIEMBRE!T229=0,"",SEPTIEMBRE!T229)</f>
        <v>Intereses Comisiones y gastos de la Deuda Pública</v>
      </c>
      <c r="U229" s="27">
        <f>+ENERO!U229</f>
        <v>0</v>
      </c>
      <c r="V229" s="15">
        <f>SEPTIEMBRE!V229+OCTUBRE!AL229</f>
        <v>0</v>
      </c>
      <c r="W229" s="15">
        <f>SEPTIEMBRE!W229+OCTUBRE!AM229</f>
        <v>0</v>
      </c>
      <c r="X229" s="18">
        <f>SUM(U229:W229)</f>
        <v>0</v>
      </c>
      <c r="Y229" s="19">
        <f>SEPTIEMBRE!AA229</f>
        <v>0</v>
      </c>
      <c r="Z229" s="364">
        <v>0</v>
      </c>
      <c r="AA229" s="848">
        <f>SUM(Y229:Z229)</f>
        <v>0</v>
      </c>
      <c r="AB229" s="19">
        <f>SEPTIEMBRE!AD229</f>
        <v>0</v>
      </c>
      <c r="AC229" s="364">
        <v>0</v>
      </c>
      <c r="AD229" s="848">
        <f>SUM(AB229:AC229)</f>
        <v>0</v>
      </c>
      <c r="AE229" s="19">
        <f>SEPTIEMBRE!AG229</f>
        <v>0</v>
      </c>
      <c r="AF229" s="364">
        <v>0</v>
      </c>
      <c r="AG229" s="84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+IF(SEPTIEMBRE!S230=0,"",SEPTIEMBRE!S230)</f>
        <v>7002999</v>
      </c>
      <c r="T230" s="670" t="str">
        <f>+IF(SEPTIEMBRE!T230=0,"",SEPTIEMBRE!T230)</f>
        <v>Vigencias Anteriores</v>
      </c>
      <c r="U230" s="133">
        <f>+ENERO!U230</f>
        <v>0</v>
      </c>
      <c r="V230" s="121">
        <f>SEPTIEMBRE!V230+OCTUBRE!AL230</f>
        <v>0</v>
      </c>
      <c r="W230" s="121">
        <f>SEPTIEMBRE!W230+OCTUBRE!AM230</f>
        <v>0</v>
      </c>
      <c r="X230" s="126">
        <f>SUM(U230:W230)</f>
        <v>0</v>
      </c>
      <c r="Y230" s="124">
        <f>SEPTIEMBRE!AA230</f>
        <v>0</v>
      </c>
      <c r="Z230" s="378">
        <v>0</v>
      </c>
      <c r="AA230" s="852">
        <f>SUM(Y230:Z230)</f>
        <v>0</v>
      </c>
      <c r="AB230" s="124">
        <f>SEPTIEMBRE!AD230</f>
        <v>0</v>
      </c>
      <c r="AC230" s="378">
        <v>0</v>
      </c>
      <c r="AD230" s="852">
        <f>SUM(AB230:AC230)</f>
        <v>0</v>
      </c>
      <c r="AE230" s="124">
        <f>SEPTIEMBRE!AG230</f>
        <v>0</v>
      </c>
      <c r="AF230" s="378">
        <v>0</v>
      </c>
      <c r="AG230" s="852">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+IF(SEPTIEMBRE!S231=0,"",SEPTIEMBRE!S231)</f>
        <v/>
      </c>
      <c r="T231" s="671" t="str">
        <f>+IF(SEPTIEMBRE!T231=0,"",SEPTIEMBRE!T231)</f>
        <v/>
      </c>
      <c r="U231" s="167"/>
      <c r="V231" s="167"/>
      <c r="W231" s="167"/>
      <c r="X231" s="167"/>
      <c r="Y231" s="167"/>
      <c r="Z231" s="167"/>
      <c r="AA231" s="853"/>
      <c r="AB231" s="167"/>
      <c r="AC231" s="167"/>
      <c r="AD231" s="853"/>
      <c r="AE231" s="167"/>
      <c r="AF231" s="167"/>
      <c r="AG231" s="853"/>
      <c r="AH231" s="167"/>
      <c r="AI231" s="167"/>
      <c r="AJ231" s="168"/>
      <c r="AK231" s="9"/>
      <c r="AL231" s="493"/>
      <c r="AM231" s="494"/>
      <c r="AN231" s="9"/>
    </row>
    <row r="232" spans="1:64" s="372" customFormat="1" ht="24.95" customHeight="1">
      <c r="A232" s="734"/>
      <c r="B232" s="644"/>
      <c r="N232" s="9"/>
      <c r="P232" s="9"/>
      <c r="Q232" s="9"/>
      <c r="R232" s="9"/>
      <c r="S232" s="495" t="str">
        <f>+IF(SEPTIEMBRE!S232=0,"",SEPTIEMBRE!S232)</f>
        <v>D</v>
      </c>
      <c r="T232" s="679" t="str">
        <f>+IF(SEPTIEMBRE!T232=0,"",SEPTIEMBRE!T232)</f>
        <v>INVERSION</v>
      </c>
      <c r="U232" s="460">
        <f>U234+U243</f>
        <v>5765730053</v>
      </c>
      <c r="V232" s="461">
        <f t="shared" ref="V232:AJ232" si="194">V234+V243</f>
        <v>0</v>
      </c>
      <c r="W232" s="461">
        <f t="shared" si="194"/>
        <v>27022523310</v>
      </c>
      <c r="X232" s="462">
        <f t="shared" si="194"/>
        <v>32788253363</v>
      </c>
      <c r="Y232" s="369">
        <f t="shared" si="194"/>
        <v>25186213757</v>
      </c>
      <c r="Z232" s="461">
        <f t="shared" si="194"/>
        <v>483486462</v>
      </c>
      <c r="AA232" s="849">
        <f t="shared" si="194"/>
        <v>25669700219</v>
      </c>
      <c r="AB232" s="369">
        <f t="shared" si="194"/>
        <v>15552330013</v>
      </c>
      <c r="AC232" s="461">
        <f t="shared" si="194"/>
        <v>705230161</v>
      </c>
      <c r="AD232" s="849">
        <f t="shared" si="194"/>
        <v>16257560174</v>
      </c>
      <c r="AE232" s="369">
        <f t="shared" si="194"/>
        <v>12616814820</v>
      </c>
      <c r="AF232" s="461">
        <f t="shared" si="194"/>
        <v>2176595544</v>
      </c>
      <c r="AG232" s="849">
        <f t="shared" si="194"/>
        <v>14793410364</v>
      </c>
      <c r="AH232" s="369">
        <f t="shared" si="194"/>
        <v>7118553144</v>
      </c>
      <c r="AI232" s="461">
        <f t="shared" si="194"/>
        <v>16530693189</v>
      </c>
      <c r="AJ232" s="370">
        <f t="shared" si="194"/>
        <v>17994842999</v>
      </c>
      <c r="AK232" s="490"/>
      <c r="AL232" s="369">
        <f>AL234+AL243</f>
        <v>0</v>
      </c>
      <c r="AM232" s="370">
        <f>AM234+AM243</f>
        <v>450000000</v>
      </c>
      <c r="AN232" s="9"/>
    </row>
    <row r="233" spans="1:64" s="372" customFormat="1" ht="24.95" customHeight="1">
      <c r="A233" s="734"/>
      <c r="B233" s="644"/>
      <c r="N233" s="9"/>
      <c r="P233" s="9"/>
      <c r="Q233" s="9"/>
      <c r="R233" s="9"/>
      <c r="S233" s="356" t="str">
        <f>+IF(SEPTIEMBRE!S233=0,"",SEPTIEMBRE!S233)</f>
        <v/>
      </c>
      <c r="T233" s="678" t="str">
        <f>+IF(SEPTIEMBRE!T233=0,"",SEPTIEMBRE!T233)</f>
        <v/>
      </c>
      <c r="U233" s="161"/>
      <c r="V233" s="161"/>
      <c r="W233" s="161"/>
      <c r="X233" s="161"/>
      <c r="Y233" s="161"/>
      <c r="Z233" s="161"/>
      <c r="AA233" s="846"/>
      <c r="AB233" s="161"/>
      <c r="AC233" s="161"/>
      <c r="AD233" s="846"/>
      <c r="AE233" s="161"/>
      <c r="AF233" s="161"/>
      <c r="AG233" s="846"/>
      <c r="AH233" s="161"/>
      <c r="AI233" s="161"/>
      <c r="AJ233" s="166"/>
      <c r="AK233" s="9"/>
      <c r="AL233" s="172"/>
      <c r="AM233" s="173"/>
      <c r="AN233" s="9"/>
    </row>
    <row r="234" spans="1:64" s="372" customFormat="1" ht="24.95" customHeight="1">
      <c r="A234" s="734"/>
      <c r="B234" s="644"/>
      <c r="N234" s="9"/>
      <c r="P234" s="9"/>
      <c r="Q234" s="9"/>
      <c r="R234" s="9"/>
      <c r="S234" s="687">
        <f>+IF(SEPTIEMBRE!S234=0,"",SEPTIEMBRE!S234)</f>
        <v>8000000</v>
      </c>
      <c r="T234" s="663" t="str">
        <f>+IF(SEPTIEMBRE!T234=0,"",SEPTIEMBRE!T234)</f>
        <v>Programas de Inversión</v>
      </c>
      <c r="U234" s="132">
        <f>U235</f>
        <v>5265730053</v>
      </c>
      <c r="V234" s="122">
        <f t="shared" ref="V234:AJ234" si="195">V235</f>
        <v>0</v>
      </c>
      <c r="W234" s="122">
        <f t="shared" si="195"/>
        <v>13752626782</v>
      </c>
      <c r="X234" s="129">
        <f t="shared" si="195"/>
        <v>19018356835</v>
      </c>
      <c r="Y234" s="128">
        <f t="shared" si="195"/>
        <v>18853908934</v>
      </c>
      <c r="Z234" s="122">
        <f t="shared" si="195"/>
        <v>-10000000</v>
      </c>
      <c r="AA234" s="215">
        <f t="shared" si="195"/>
        <v>18843908934</v>
      </c>
      <c r="AB234" s="128">
        <f t="shared" si="195"/>
        <v>10228745813</v>
      </c>
      <c r="AC234" s="122">
        <f t="shared" si="195"/>
        <v>85103734</v>
      </c>
      <c r="AD234" s="215">
        <f t="shared" si="195"/>
        <v>10313849547</v>
      </c>
      <c r="AE234" s="128">
        <f t="shared" si="195"/>
        <v>8371336260</v>
      </c>
      <c r="AF234" s="122">
        <f t="shared" si="195"/>
        <v>1566202229</v>
      </c>
      <c r="AG234" s="215">
        <f t="shared" si="195"/>
        <v>9937538489</v>
      </c>
      <c r="AH234" s="128">
        <f t="shared" si="195"/>
        <v>174447901</v>
      </c>
      <c r="AI234" s="122">
        <f t="shared" si="195"/>
        <v>8704507288</v>
      </c>
      <c r="AJ234" s="130">
        <f t="shared" si="195"/>
        <v>9080818346</v>
      </c>
      <c r="AK234" s="9"/>
      <c r="AL234" s="128">
        <f>AL235</f>
        <v>0</v>
      </c>
      <c r="AM234" s="130">
        <f>AM235</f>
        <v>0</v>
      </c>
      <c r="AN234" s="9"/>
    </row>
    <row r="235" spans="1:64" s="372" customFormat="1" ht="24.95" customHeight="1">
      <c r="A235" s="734"/>
      <c r="B235" s="644"/>
      <c r="N235" s="9"/>
      <c r="P235" s="9"/>
      <c r="Q235" s="9"/>
      <c r="R235" s="9"/>
      <c r="S235" s="688">
        <f>+IF(SEPTIEMBRE!S235=0,"",SEPTIEMBRE!S235)</f>
        <v>8001000</v>
      </c>
      <c r="T235" s="664" t="str">
        <f>+IF(SEPTIEMBRE!T235=0,"",SEPTIEMBRE!T235)</f>
        <v>Formación Bruta del Capital</v>
      </c>
      <c r="U235" s="27">
        <f t="shared" ref="U235:AJ235" si="196">SUM(U236:U241)</f>
        <v>5265730053</v>
      </c>
      <c r="V235" s="15">
        <f t="shared" si="196"/>
        <v>0</v>
      </c>
      <c r="W235" s="15">
        <f t="shared" si="196"/>
        <v>13752626782</v>
      </c>
      <c r="X235" s="18">
        <f t="shared" si="196"/>
        <v>19018356835</v>
      </c>
      <c r="Y235" s="19">
        <f t="shared" si="196"/>
        <v>18853908934</v>
      </c>
      <c r="Z235" s="142">
        <f t="shared" si="196"/>
        <v>-10000000</v>
      </c>
      <c r="AA235" s="848">
        <f t="shared" si="196"/>
        <v>18843908934</v>
      </c>
      <c r="AB235" s="19">
        <f t="shared" si="196"/>
        <v>10228745813</v>
      </c>
      <c r="AC235" s="142">
        <f t="shared" si="196"/>
        <v>85103734</v>
      </c>
      <c r="AD235" s="848">
        <f t="shared" si="196"/>
        <v>10313849547</v>
      </c>
      <c r="AE235" s="19">
        <f t="shared" si="196"/>
        <v>8371336260</v>
      </c>
      <c r="AF235" s="142">
        <f t="shared" si="196"/>
        <v>1566202229</v>
      </c>
      <c r="AG235" s="848">
        <f t="shared" si="196"/>
        <v>9937538489</v>
      </c>
      <c r="AH235" s="19">
        <f t="shared" si="196"/>
        <v>174447901</v>
      </c>
      <c r="AI235" s="15">
        <f t="shared" si="196"/>
        <v>8704507288</v>
      </c>
      <c r="AJ235" s="16">
        <f t="shared" si="196"/>
        <v>9080818346</v>
      </c>
      <c r="AK235" s="9"/>
      <c r="AL235" s="29">
        <f>SUM(AL236:AL241)</f>
        <v>0</v>
      </c>
      <c r="AM235" s="26">
        <f>SUM(AM236:AM241)</f>
        <v>0</v>
      </c>
      <c r="AN235" s="9"/>
    </row>
    <row r="236" spans="1:64" s="372" customFormat="1" ht="24.95" customHeight="1">
      <c r="A236" s="734"/>
      <c r="B236" s="644"/>
      <c r="N236" s="9"/>
      <c r="P236" s="9"/>
      <c r="Q236" s="9"/>
      <c r="R236" s="9"/>
      <c r="S236" s="689" t="str">
        <f>+IF(SEPTIEMBRE!S236=0,"",SEPTIEMBRE!S236)</f>
        <v>8001000-1</v>
      </c>
      <c r="T236" s="665" t="str">
        <f>+IF(SEPTIEMBRE!T236=0,"",SEPTIEMBRE!T236)</f>
        <v>Subprogr.Construc. Remodelac. Adecuación y Apliac.1</v>
      </c>
      <c r="U236" s="27">
        <f>+ENERO!U236</f>
        <v>4765730053</v>
      </c>
      <c r="V236" s="15">
        <f>SEPTIEMBRE!V236+OCTUBRE!AL236</f>
        <v>0</v>
      </c>
      <c r="W236" s="15">
        <f>SEPTIEMBRE!W236+OCTUBRE!AM236</f>
        <v>8000000000</v>
      </c>
      <c r="X236" s="18">
        <f t="shared" ref="X236:X241" si="197">SUM(U236:W236)</f>
        <v>12765730053</v>
      </c>
      <c r="Y236" s="19">
        <f>SEPTIEMBRE!AA236</f>
        <v>12715773638</v>
      </c>
      <c r="Z236" s="364">
        <v>-10000000</v>
      </c>
      <c r="AA236" s="848">
        <f t="shared" ref="AA236:AA241" si="198">SUM(Y236:Z236)</f>
        <v>12705773638</v>
      </c>
      <c r="AB236" s="19">
        <f>SEPTIEMBRE!AD236</f>
        <v>7508314065</v>
      </c>
      <c r="AC236" s="364">
        <v>85103734</v>
      </c>
      <c r="AD236" s="848">
        <f t="shared" ref="AD236:AD241" si="199">SUM(AB236:AC236)</f>
        <v>7593417799</v>
      </c>
      <c r="AE236" s="19">
        <f>SEPTIEMBRE!AG236</f>
        <v>7445896757</v>
      </c>
      <c r="AF236" s="364">
        <v>78592308</v>
      </c>
      <c r="AG236" s="848">
        <f t="shared" ref="AG236:AG241" si="200">SUM(AE236:AF236)</f>
        <v>7524489065</v>
      </c>
      <c r="AH236" s="19">
        <f t="shared" ref="AH236:AH241" si="201">X236-AA236</f>
        <v>59956415</v>
      </c>
      <c r="AI236" s="15">
        <f t="shared" ref="AI236:AI241" si="202">X236-AD236</f>
        <v>5172312254</v>
      </c>
      <c r="AJ236" s="16">
        <f t="shared" ref="AJ236:AJ241" si="203">X236-AG236</f>
        <v>5241240988</v>
      </c>
      <c r="AK236" s="9"/>
      <c r="AL236" s="362">
        <v>0</v>
      </c>
      <c r="AM236" s="365">
        <v>0</v>
      </c>
      <c r="AN236" s="9"/>
    </row>
    <row r="237" spans="1:64" s="372" customFormat="1" ht="24.95" customHeight="1">
      <c r="A237" s="734"/>
      <c r="B237" s="644"/>
      <c r="N237" s="9"/>
      <c r="P237" s="9"/>
      <c r="Q237" s="9"/>
      <c r="R237" s="9"/>
      <c r="S237" s="689" t="str">
        <f>+IF(SEPTIEMBRE!S237=0,"",SEPTIEMBRE!S237)</f>
        <v>8001000-2</v>
      </c>
      <c r="T237" s="665" t="str">
        <f>+IF(SEPTIEMBRE!T237=0,"",SEPTIEMBRE!T237)</f>
        <v>Subprogr.Construc. Remodelac. Adecuación y Apliac.2</v>
      </c>
      <c r="U237" s="27">
        <f>+ENERO!U237</f>
        <v>500000000</v>
      </c>
      <c r="V237" s="15">
        <f>SEPTIEMBRE!V237+OCTUBRE!AL237</f>
        <v>0</v>
      </c>
      <c r="W237" s="15">
        <f>SEPTIEMBRE!W237+OCTUBRE!AM237</f>
        <v>719283217</v>
      </c>
      <c r="X237" s="18">
        <f t="shared" si="197"/>
        <v>1219283217</v>
      </c>
      <c r="Y237" s="19">
        <f>SEPTIEMBRE!AA237</f>
        <v>1219283217</v>
      </c>
      <c r="Z237" s="364">
        <v>0</v>
      </c>
      <c r="AA237" s="848">
        <f t="shared" si="198"/>
        <v>1219283217</v>
      </c>
      <c r="AB237" s="19">
        <f>SEPTIEMBRE!AD237</f>
        <v>307382324</v>
      </c>
      <c r="AC237" s="364">
        <v>0</v>
      </c>
      <c r="AD237" s="848">
        <f t="shared" si="199"/>
        <v>307382324</v>
      </c>
      <c r="AE237" s="19">
        <f>SEPTIEMBRE!AG237</f>
        <v>0</v>
      </c>
      <c r="AF237" s="364">
        <v>0</v>
      </c>
      <c r="AG237" s="848">
        <f t="shared" si="200"/>
        <v>0</v>
      </c>
      <c r="AH237" s="19">
        <f t="shared" si="201"/>
        <v>0</v>
      </c>
      <c r="AI237" s="15">
        <f t="shared" si="202"/>
        <v>911900893</v>
      </c>
      <c r="AJ237" s="16">
        <f t="shared" si="203"/>
        <v>1219283217</v>
      </c>
      <c r="AK237" s="9"/>
      <c r="AL237" s="362">
        <v>0</v>
      </c>
      <c r="AM237" s="365">
        <v>0</v>
      </c>
      <c r="AN237" s="9"/>
    </row>
    <row r="238" spans="1:64" s="372" customFormat="1" ht="24.95" customHeight="1">
      <c r="A238" s="734"/>
      <c r="B238" s="644"/>
      <c r="N238" s="9"/>
      <c r="P238" s="9"/>
      <c r="Q238" s="9"/>
      <c r="R238" s="9"/>
      <c r="S238" s="689" t="str">
        <f>+IF(SEPTIEMBRE!S238=0,"",SEPTIEMBRE!S238)</f>
        <v>8001000-3</v>
      </c>
      <c r="T238" s="665" t="str">
        <f>+IF(SEPTIEMBRE!T238=0,"",SEPTIEMBRE!T238)</f>
        <v>Subprogr.Construc. Remodelac. Adecuación y Apliac.3</v>
      </c>
      <c r="U238" s="27">
        <f>+ENERO!U238</f>
        <v>0</v>
      </c>
      <c r="V238" s="15">
        <f>SEPTIEMBRE!V238+OCTUBRE!AL238</f>
        <v>0</v>
      </c>
      <c r="W238" s="15">
        <f>SEPTIEMBRE!W238+OCTUBRE!AM238</f>
        <v>0</v>
      </c>
      <c r="X238" s="18">
        <f t="shared" si="197"/>
        <v>0</v>
      </c>
      <c r="Y238" s="19">
        <f>SEPTIEMBRE!AA238</f>
        <v>0</v>
      </c>
      <c r="Z238" s="364">
        <v>0</v>
      </c>
      <c r="AA238" s="848">
        <f t="shared" si="198"/>
        <v>0</v>
      </c>
      <c r="AB238" s="19">
        <f>SEPTIEMBRE!AD238</f>
        <v>0</v>
      </c>
      <c r="AC238" s="364">
        <v>0</v>
      </c>
      <c r="AD238" s="848">
        <f t="shared" si="199"/>
        <v>0</v>
      </c>
      <c r="AE238" s="19">
        <f>SEPTIEMBRE!AG238</f>
        <v>0</v>
      </c>
      <c r="AF238" s="364">
        <v>0</v>
      </c>
      <c r="AG238" s="848">
        <f t="shared" si="200"/>
        <v>0</v>
      </c>
      <c r="AH238" s="19">
        <f t="shared" si="201"/>
        <v>0</v>
      </c>
      <c r="AI238" s="15">
        <f t="shared" si="202"/>
        <v>0</v>
      </c>
      <c r="AJ238" s="16">
        <f t="shared" si="203"/>
        <v>0</v>
      </c>
      <c r="AK238" s="9"/>
      <c r="AL238" s="362">
        <v>0</v>
      </c>
      <c r="AM238" s="365">
        <v>0</v>
      </c>
      <c r="AN238" s="9"/>
    </row>
    <row r="239" spans="1:64" s="372" customFormat="1" ht="24.95" customHeight="1">
      <c r="A239" s="734"/>
      <c r="B239" s="644"/>
      <c r="N239" s="9"/>
      <c r="P239" s="9"/>
      <c r="Q239" s="9"/>
      <c r="S239" s="689" t="str">
        <f>+IF(SEPTIEMBRE!S239=0,"",SEPTIEMBRE!S239)</f>
        <v>8001000-4</v>
      </c>
      <c r="T239" s="665" t="str">
        <f>+IF(SEPTIEMBRE!T239=0,"",SEPTIEMBRE!T239)</f>
        <v>Subprogr.Construc. Remodelac. Adecuación y Apliac.4</v>
      </c>
      <c r="U239" s="27">
        <f>+ENERO!U239</f>
        <v>0</v>
      </c>
      <c r="V239" s="15">
        <f>SEPTIEMBRE!V239+OCTUBRE!AL239</f>
        <v>0</v>
      </c>
      <c r="W239" s="15">
        <f>SEPTIEMBRE!W239+OCTUBRE!AM239</f>
        <v>0</v>
      </c>
      <c r="X239" s="18">
        <f t="shared" si="197"/>
        <v>0</v>
      </c>
      <c r="Y239" s="19">
        <f>SEPTIEMBRE!AA239</f>
        <v>0</v>
      </c>
      <c r="Z239" s="364">
        <v>0</v>
      </c>
      <c r="AA239" s="848">
        <f t="shared" si="198"/>
        <v>0</v>
      </c>
      <c r="AB239" s="19">
        <f>SEPTIEMBRE!AD239</f>
        <v>0</v>
      </c>
      <c r="AC239" s="364">
        <v>0</v>
      </c>
      <c r="AD239" s="848">
        <f t="shared" si="199"/>
        <v>0</v>
      </c>
      <c r="AE239" s="19">
        <f>SEPTIEMBRE!AG239</f>
        <v>0</v>
      </c>
      <c r="AF239" s="364">
        <v>0</v>
      </c>
      <c r="AG239" s="848">
        <f t="shared" si="200"/>
        <v>0</v>
      </c>
      <c r="AH239" s="19">
        <f t="shared" si="201"/>
        <v>0</v>
      </c>
      <c r="AI239" s="15">
        <f t="shared" si="202"/>
        <v>0</v>
      </c>
      <c r="AJ239" s="16">
        <f t="shared" si="203"/>
        <v>0</v>
      </c>
      <c r="AK239" s="9"/>
      <c r="AL239" s="362">
        <v>0</v>
      </c>
      <c r="AM239" s="365">
        <v>0</v>
      </c>
      <c r="AN239" s="9"/>
    </row>
    <row r="240" spans="1:64" s="372" customFormat="1" ht="24.95" customHeight="1">
      <c r="A240" s="734"/>
      <c r="B240" s="644"/>
      <c r="N240" s="9"/>
      <c r="P240" s="9"/>
      <c r="Q240" s="9"/>
      <c r="S240" s="689" t="str">
        <f>+IF(SEPTIEMBRE!S240=0,"",SEPTIEMBRE!S240)</f>
        <v>8001000-5</v>
      </c>
      <c r="T240" s="665" t="str">
        <f>+IF(SEPTIEMBRE!T240=0,"",SEPTIEMBRE!T240)</f>
        <v>Subprogr.Construc. Remodelac. Adecuación y Apliac.5</v>
      </c>
      <c r="U240" s="27">
        <f>+ENERO!U240</f>
        <v>0</v>
      </c>
      <c r="V240" s="15">
        <f>SEPTIEMBRE!V240+OCTUBRE!AL240</f>
        <v>0</v>
      </c>
      <c r="W240" s="15">
        <f>SEPTIEMBRE!W240+OCTUBRE!AM240</f>
        <v>0</v>
      </c>
      <c r="X240" s="18">
        <f t="shared" si="197"/>
        <v>0</v>
      </c>
      <c r="Y240" s="19">
        <f>SEPTIEMBRE!AA240</f>
        <v>0</v>
      </c>
      <c r="Z240" s="364">
        <v>0</v>
      </c>
      <c r="AA240" s="848">
        <f t="shared" si="198"/>
        <v>0</v>
      </c>
      <c r="AB240" s="19">
        <f>SEPTIEMBRE!AD240</f>
        <v>0</v>
      </c>
      <c r="AC240" s="364">
        <v>0</v>
      </c>
      <c r="AD240" s="848">
        <f t="shared" si="199"/>
        <v>0</v>
      </c>
      <c r="AE240" s="19">
        <f>SEPTIEMBRE!AG240</f>
        <v>0</v>
      </c>
      <c r="AF240" s="364">
        <v>0</v>
      </c>
      <c r="AG240" s="848">
        <f t="shared" si="200"/>
        <v>0</v>
      </c>
      <c r="AH240" s="19">
        <f t="shared" si="201"/>
        <v>0</v>
      </c>
      <c r="AI240" s="15">
        <f t="shared" si="202"/>
        <v>0</v>
      </c>
      <c r="AJ240" s="16">
        <f t="shared" si="203"/>
        <v>0</v>
      </c>
      <c r="AK240" s="9"/>
      <c r="AL240" s="362">
        <v>0</v>
      </c>
      <c r="AM240" s="365">
        <v>0</v>
      </c>
      <c r="AN240" s="9"/>
      <c r="BB240" s="262"/>
      <c r="BC240" s="262"/>
      <c r="BD240" s="262"/>
      <c r="BE240" s="262"/>
      <c r="BF240" s="262"/>
      <c r="BG240" s="262"/>
      <c r="BH240" s="262"/>
      <c r="BI240" s="262"/>
      <c r="BJ240" s="262"/>
      <c r="BK240" s="262"/>
      <c r="BL240" s="262"/>
    </row>
    <row r="241" spans="1:70" s="372" customFormat="1" ht="24.95" customHeight="1">
      <c r="A241" s="734"/>
      <c r="B241" s="644"/>
      <c r="N241" s="9"/>
      <c r="P241" s="9"/>
      <c r="Q241" s="9"/>
      <c r="S241" s="697">
        <f>+IF(SEPTIEMBRE!S241=0,"",SEPTIEMBRE!S241)</f>
        <v>8001999</v>
      </c>
      <c r="T241" s="665" t="str">
        <f>+IF(SEPTIEMBRE!T241=0,"",SEPTIEMBRE!T241)</f>
        <v>Vigencias Anteriores</v>
      </c>
      <c r="U241" s="27">
        <f>+ENERO!U241</f>
        <v>0</v>
      </c>
      <c r="V241" s="15">
        <f>SEPTIEMBRE!V241+OCTUBRE!AL241</f>
        <v>0</v>
      </c>
      <c r="W241" s="15">
        <f>SEPTIEMBRE!W241+OCTUBRE!AM241</f>
        <v>5033343565</v>
      </c>
      <c r="X241" s="18">
        <f t="shared" si="197"/>
        <v>5033343565</v>
      </c>
      <c r="Y241" s="19">
        <f>SEPTIEMBRE!AA241</f>
        <v>4918852079</v>
      </c>
      <c r="Z241" s="364">
        <v>0</v>
      </c>
      <c r="AA241" s="848">
        <f t="shared" si="198"/>
        <v>4918852079</v>
      </c>
      <c r="AB241" s="19">
        <f>SEPTIEMBRE!AD241</f>
        <v>2413049424</v>
      </c>
      <c r="AC241" s="364">
        <v>0</v>
      </c>
      <c r="AD241" s="848">
        <f t="shared" si="199"/>
        <v>2413049424</v>
      </c>
      <c r="AE241" s="19">
        <f>SEPTIEMBRE!AG241</f>
        <v>925439503</v>
      </c>
      <c r="AF241" s="364">
        <v>1487609921</v>
      </c>
      <c r="AG241" s="848">
        <f t="shared" si="200"/>
        <v>2413049424</v>
      </c>
      <c r="AH241" s="19">
        <f t="shared" si="201"/>
        <v>114491486</v>
      </c>
      <c r="AI241" s="15">
        <f t="shared" si="202"/>
        <v>2620294141</v>
      </c>
      <c r="AJ241" s="16">
        <f t="shared" si="203"/>
        <v>2620294141</v>
      </c>
      <c r="AK241" s="9"/>
      <c r="AL241" s="362">
        <v>0</v>
      </c>
      <c r="AM241" s="365">
        <v>0</v>
      </c>
      <c r="AN241" s="9"/>
      <c r="BB241" s="262"/>
      <c r="BC241" s="262"/>
      <c r="BD241" s="262"/>
      <c r="BE241" s="262"/>
      <c r="BF241" s="262"/>
      <c r="BG241" s="262"/>
      <c r="BH241" s="262"/>
      <c r="BI241" s="262"/>
      <c r="BJ241" s="262"/>
      <c r="BK241" s="262"/>
      <c r="BL241" s="26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+IF(SEPTIEMBRE!S242=0,"",SEPTIEMBRE!S242)</f>
        <v/>
      </c>
      <c r="T242" s="678" t="str">
        <f>+IF(SEPTIEMBRE!T242=0,"",SEPTIEMBRE!T242)</f>
        <v/>
      </c>
      <c r="U242" s="161"/>
      <c r="V242" s="161"/>
      <c r="W242" s="161"/>
      <c r="X242" s="161"/>
      <c r="Y242" s="161"/>
      <c r="Z242" s="161"/>
      <c r="AA242" s="846"/>
      <c r="AB242" s="161"/>
      <c r="AC242" s="161"/>
      <c r="AD242" s="846"/>
      <c r="AE242" s="161"/>
      <c r="AF242" s="161"/>
      <c r="AG242" s="846"/>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+IF(SEPTIEMBRE!S243=0,"",SEPTIEMBRE!S243)</f>
        <v>8002001</v>
      </c>
      <c r="T243" s="663" t="str">
        <f>+IF(SEPTIEMBRE!T243=0,"",SEPTIEMBRE!T243)</f>
        <v>Gastos Operativos de Inversion   (Programas Especiales)</v>
      </c>
      <c r="U243" s="132">
        <f t="shared" ref="U243:AJ243" si="204">SUM(U244:U256)</f>
        <v>500000000</v>
      </c>
      <c r="V243" s="122">
        <f t="shared" si="204"/>
        <v>0</v>
      </c>
      <c r="W243" s="122">
        <f t="shared" si="204"/>
        <v>13269896528</v>
      </c>
      <c r="X243" s="129">
        <f t="shared" si="204"/>
        <v>13769896528</v>
      </c>
      <c r="Y243" s="128">
        <f t="shared" si="204"/>
        <v>6332304823</v>
      </c>
      <c r="Z243" s="122">
        <f t="shared" si="204"/>
        <v>493486462</v>
      </c>
      <c r="AA243" s="215">
        <f t="shared" si="204"/>
        <v>6825791285</v>
      </c>
      <c r="AB243" s="128">
        <f t="shared" si="204"/>
        <v>5323584200</v>
      </c>
      <c r="AC243" s="122">
        <f t="shared" si="204"/>
        <v>620126427</v>
      </c>
      <c r="AD243" s="215">
        <f t="shared" si="204"/>
        <v>5943710627</v>
      </c>
      <c r="AE243" s="128">
        <f t="shared" si="204"/>
        <v>4245478560</v>
      </c>
      <c r="AF243" s="122">
        <f t="shared" si="204"/>
        <v>610393315</v>
      </c>
      <c r="AG243" s="215">
        <f t="shared" si="204"/>
        <v>4855871875</v>
      </c>
      <c r="AH243" s="128">
        <f t="shared" si="204"/>
        <v>6944105243</v>
      </c>
      <c r="AI243" s="122">
        <f t="shared" si="204"/>
        <v>7826185901</v>
      </c>
      <c r="AJ243" s="130">
        <f t="shared" si="204"/>
        <v>8914024653</v>
      </c>
      <c r="AK243" s="9"/>
      <c r="AL243" s="128">
        <f>SUM(AL244:AL256)</f>
        <v>0</v>
      </c>
      <c r="AM243" s="130">
        <f>SUM(AM244:AM256)</f>
        <v>450000000</v>
      </c>
      <c r="BR243" s="372"/>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+IF(SEPTIEMBRE!S244=0,"",SEPTIEMBRE!S244)</f>
        <v>8002100-1</v>
      </c>
      <c r="T244" s="665" t="str">
        <f>+IF(SEPTIEMBRE!T244=0,"",SEPTIEMBRE!T244)</f>
        <v>Fondo de la Vivienda</v>
      </c>
      <c r="U244" s="27">
        <f>+ENERO!U244</f>
        <v>0</v>
      </c>
      <c r="V244" s="15">
        <f>SEPTIEMBRE!V244+OCTUBRE!AL244</f>
        <v>0</v>
      </c>
      <c r="W244" s="15">
        <f>SEPTIEMBRE!W244+OCTUBRE!AM244</f>
        <v>0</v>
      </c>
      <c r="X244" s="18">
        <f t="shared" ref="X244:X256" si="205">SUM(U244:W244)</f>
        <v>0</v>
      </c>
      <c r="Y244" s="19">
        <f>SEPTIEMBRE!AA244</f>
        <v>0</v>
      </c>
      <c r="Z244" s="364">
        <v>0</v>
      </c>
      <c r="AA244" s="848">
        <f t="shared" ref="AA244:AA256" si="206">SUM(Y244:Z244)</f>
        <v>0</v>
      </c>
      <c r="AB244" s="19">
        <f>SEPTIEMBRE!AD244</f>
        <v>0</v>
      </c>
      <c r="AC244" s="364">
        <v>0</v>
      </c>
      <c r="AD244" s="848">
        <f t="shared" ref="AD244:AD256" si="207">SUM(AB244:AC244)</f>
        <v>0</v>
      </c>
      <c r="AE244" s="19">
        <f>SEPTIEMBRE!AG244</f>
        <v>0</v>
      </c>
      <c r="AF244" s="364">
        <v>0</v>
      </c>
      <c r="AG244" s="84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+IF(SEPTIEMBRE!S245=0,"",SEPTIEMBRE!S245)</f>
        <v>8002100-2</v>
      </c>
      <c r="T245" s="665" t="str">
        <f>+IF(SEPTIEMBRE!T245=0,"",SEPTIEMBRE!T245)</f>
        <v>Programas Especial 01</v>
      </c>
      <c r="U245" s="27">
        <f>+ENERO!U245</f>
        <v>0</v>
      </c>
      <c r="V245" s="15">
        <f>SEPTIEMBRE!V245+OCTUBRE!AL245</f>
        <v>0</v>
      </c>
      <c r="W245" s="15">
        <f>SEPTIEMBRE!W245+OCTUBRE!AM245</f>
        <v>152517826</v>
      </c>
      <c r="X245" s="18">
        <f t="shared" si="205"/>
        <v>152517826</v>
      </c>
      <c r="Y245" s="19">
        <f>SEPTIEMBRE!AA245</f>
        <v>0</v>
      </c>
      <c r="Z245" s="364">
        <v>0</v>
      </c>
      <c r="AA245" s="848">
        <f t="shared" si="206"/>
        <v>0</v>
      </c>
      <c r="AB245" s="19">
        <f>SEPTIEMBRE!AD245</f>
        <v>0</v>
      </c>
      <c r="AC245" s="364">
        <v>0</v>
      </c>
      <c r="AD245" s="848">
        <f t="shared" si="207"/>
        <v>0</v>
      </c>
      <c r="AE245" s="19">
        <f>SEPTIEMBRE!AG245</f>
        <v>0</v>
      </c>
      <c r="AF245" s="364">
        <v>0</v>
      </c>
      <c r="AG245" s="848">
        <f t="shared" si="208"/>
        <v>0</v>
      </c>
      <c r="AH245" s="19">
        <f t="shared" si="209"/>
        <v>152517826</v>
      </c>
      <c r="AI245" s="15">
        <f t="shared" si="210"/>
        <v>152517826</v>
      </c>
      <c r="AJ245" s="16">
        <f t="shared" si="211"/>
        <v>152517826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+IF(SEPTIEMBRE!S246=0,"",SEPTIEMBRE!S246)</f>
        <v>8002100-3</v>
      </c>
      <c r="T246" s="665" t="str">
        <f>+IF(SEPTIEMBRE!T246=0,"",SEPTIEMBRE!T246)</f>
        <v>Programas Especial 02</v>
      </c>
      <c r="U246" s="27">
        <f>+ENERO!U246</f>
        <v>0</v>
      </c>
      <c r="V246" s="15">
        <f>SEPTIEMBRE!V246+OCTUBRE!AL246</f>
        <v>0</v>
      </c>
      <c r="W246" s="15">
        <f>SEPTIEMBRE!W246+OCTUBRE!AM246</f>
        <v>450000000</v>
      </c>
      <c r="X246" s="18">
        <f t="shared" si="205"/>
        <v>450000000</v>
      </c>
      <c r="Y246" s="19">
        <f>SEPTIEMBRE!AA246</f>
        <v>0</v>
      </c>
      <c r="Z246" s="364">
        <v>292210000</v>
      </c>
      <c r="AA246" s="848">
        <f t="shared" si="206"/>
        <v>292210000</v>
      </c>
      <c r="AB246" s="19">
        <f>SEPTIEMBRE!AD246</f>
        <v>0</v>
      </c>
      <c r="AC246" s="364">
        <v>0</v>
      </c>
      <c r="AD246" s="848">
        <f t="shared" si="207"/>
        <v>0</v>
      </c>
      <c r="AE246" s="19">
        <f>SEPTIEMBRE!AG246</f>
        <v>0</v>
      </c>
      <c r="AF246" s="364">
        <v>0</v>
      </c>
      <c r="AG246" s="848">
        <f t="shared" si="208"/>
        <v>0</v>
      </c>
      <c r="AH246" s="19">
        <f t="shared" si="209"/>
        <v>157790000</v>
      </c>
      <c r="AI246" s="15">
        <f t="shared" si="210"/>
        <v>450000000</v>
      </c>
      <c r="AJ246" s="16">
        <f t="shared" si="211"/>
        <v>450000000</v>
      </c>
      <c r="AK246" s="9"/>
      <c r="AL246" s="362">
        <v>0</v>
      </c>
      <c r="AM246" s="365">
        <v>450000000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+IF(SEPTIEMBRE!S247=0,"",SEPTIEMBRE!S247)</f>
        <v>8002100-4</v>
      </c>
      <c r="T247" s="665" t="str">
        <f>+IF(SEPTIEMBRE!T247=0,"",SEPTIEMBRE!T247)</f>
        <v>Programas Especial 03</v>
      </c>
      <c r="U247" s="27">
        <f>+ENERO!U247</f>
        <v>0</v>
      </c>
      <c r="V247" s="15">
        <f>SEPTIEMBRE!V247+OCTUBRE!AL247</f>
        <v>0</v>
      </c>
      <c r="W247" s="15">
        <f>SEPTIEMBRE!W247+OCTUBRE!AM247</f>
        <v>193911300</v>
      </c>
      <c r="X247" s="18">
        <f t="shared" si="205"/>
        <v>193911300</v>
      </c>
      <c r="Y247" s="19">
        <f>SEPTIEMBRE!AA247</f>
        <v>135471040</v>
      </c>
      <c r="Z247" s="364">
        <v>0</v>
      </c>
      <c r="AA247" s="848">
        <f t="shared" si="206"/>
        <v>135471040</v>
      </c>
      <c r="AB247" s="19">
        <f>SEPTIEMBRE!AD247</f>
        <v>121360040</v>
      </c>
      <c r="AC247" s="364">
        <v>14111000</v>
      </c>
      <c r="AD247" s="848">
        <f t="shared" si="207"/>
        <v>135471040</v>
      </c>
      <c r="AE247" s="19">
        <f>SEPTIEMBRE!AG247</f>
        <v>119188600</v>
      </c>
      <c r="AF247" s="364">
        <v>14111000</v>
      </c>
      <c r="AG247" s="848">
        <f t="shared" si="208"/>
        <v>133299600</v>
      </c>
      <c r="AH247" s="19">
        <f t="shared" si="209"/>
        <v>58440260</v>
      </c>
      <c r="AI247" s="15">
        <f t="shared" si="210"/>
        <v>58440260</v>
      </c>
      <c r="AJ247" s="16">
        <f t="shared" si="211"/>
        <v>60611700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+IF(SEPTIEMBRE!S248=0,"",SEPTIEMBRE!S248)</f>
        <v>8002100-5</v>
      </c>
      <c r="T248" s="665" t="str">
        <f>+IF(SEPTIEMBRE!T248=0,"",SEPTIEMBRE!T248)</f>
        <v>Programas Especial 04</v>
      </c>
      <c r="U248" s="27">
        <f>+ENERO!U248</f>
        <v>500000000</v>
      </c>
      <c r="V248" s="15">
        <f>SEPTIEMBRE!V248+OCTUBRE!AL248</f>
        <v>0</v>
      </c>
      <c r="W248" s="15">
        <f>SEPTIEMBRE!W248+OCTUBRE!AM248</f>
        <v>2619976000</v>
      </c>
      <c r="X248" s="18">
        <f t="shared" si="205"/>
        <v>3119976000</v>
      </c>
      <c r="Y248" s="19">
        <f>SEPTIEMBRE!AA248</f>
        <v>2183689603</v>
      </c>
      <c r="Z248" s="364">
        <v>52300728</v>
      </c>
      <c r="AA248" s="848">
        <f t="shared" si="206"/>
        <v>2235990331</v>
      </c>
      <c r="AB248" s="19">
        <f>SEPTIEMBRE!AD248</f>
        <v>2183095998</v>
      </c>
      <c r="AC248" s="364">
        <v>52300728</v>
      </c>
      <c r="AD248" s="848">
        <f t="shared" si="207"/>
        <v>2235396726</v>
      </c>
      <c r="AE248" s="19">
        <f>SEPTIEMBRE!AG248</f>
        <v>2183095998</v>
      </c>
      <c r="AF248" s="364">
        <v>52300728</v>
      </c>
      <c r="AG248" s="848">
        <f t="shared" si="208"/>
        <v>2235396726</v>
      </c>
      <c r="AH248" s="19">
        <f t="shared" si="209"/>
        <v>883985669</v>
      </c>
      <c r="AI248" s="15">
        <f t="shared" si="210"/>
        <v>884579274</v>
      </c>
      <c r="AJ248" s="16">
        <f t="shared" si="211"/>
        <v>884579274</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+IF(SEPTIEMBRE!S249=0,"",SEPTIEMBRE!S249)</f>
        <v>8002100-6</v>
      </c>
      <c r="T249" s="665" t="str">
        <f>+IF(SEPTIEMBRE!T249=0,"",SEPTIEMBRE!T249)</f>
        <v>Programas Especial 05</v>
      </c>
      <c r="U249" s="27">
        <f>+ENERO!U249</f>
        <v>0</v>
      </c>
      <c r="V249" s="15">
        <f>SEPTIEMBRE!V249+OCTUBRE!AL249</f>
        <v>0</v>
      </c>
      <c r="W249" s="15">
        <f>SEPTIEMBRE!W249+OCTUBRE!AM249</f>
        <v>20000000</v>
      </c>
      <c r="X249" s="18">
        <f t="shared" si="205"/>
        <v>20000000</v>
      </c>
      <c r="Y249" s="19">
        <f>SEPTIEMBRE!AA249</f>
        <v>0</v>
      </c>
      <c r="Z249" s="364">
        <v>0</v>
      </c>
      <c r="AA249" s="848">
        <f t="shared" si="206"/>
        <v>0</v>
      </c>
      <c r="AB249" s="19">
        <f>SEPTIEMBRE!AD249</f>
        <v>0</v>
      </c>
      <c r="AC249" s="364">
        <v>0</v>
      </c>
      <c r="AD249" s="848">
        <f t="shared" si="207"/>
        <v>0</v>
      </c>
      <c r="AE249" s="19">
        <f>SEPTIEMBRE!AG249</f>
        <v>0</v>
      </c>
      <c r="AF249" s="364">
        <v>0</v>
      </c>
      <c r="AG249" s="84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+IF(SEPTIEMBRE!S250=0,"",SEPTIEMBRE!S250)</f>
        <v>8002100-7</v>
      </c>
      <c r="T250" s="665" t="str">
        <f>+IF(SEPTIEMBRE!T250=0,"",SEPTIEMBRE!T250)</f>
        <v>Programas Especial 06</v>
      </c>
      <c r="U250" s="27">
        <f>+ENERO!U250</f>
        <v>0</v>
      </c>
      <c r="V250" s="15">
        <f>SEPTIEMBRE!V250+OCTUBRE!AL250</f>
        <v>0</v>
      </c>
      <c r="W250" s="15">
        <f>SEPTIEMBRE!W250+OCTUBRE!AM250</f>
        <v>9358200000</v>
      </c>
      <c r="X250" s="18">
        <f>SUM(U250:W250)</f>
        <v>9358200000</v>
      </c>
      <c r="Y250" s="19">
        <f>SEPTIEMBRE!AA250</f>
        <v>3546604696</v>
      </c>
      <c r="Z250" s="364">
        <v>149607734</v>
      </c>
      <c r="AA250" s="848">
        <f>SUM(Y250:Z250)</f>
        <v>3696212430</v>
      </c>
      <c r="AB250" s="19">
        <f>SEPTIEMBRE!AD250</f>
        <v>2552588678</v>
      </c>
      <c r="AC250" s="364">
        <v>554346699</v>
      </c>
      <c r="AD250" s="848">
        <f>SUM(AB250:AC250)</f>
        <v>3106935377</v>
      </c>
      <c r="AE250" s="19">
        <f>SEPTIEMBRE!AG250</f>
        <v>1476654478</v>
      </c>
      <c r="AF250" s="364">
        <v>544613587</v>
      </c>
      <c r="AG250" s="848">
        <f>SUM(AE250:AF250)</f>
        <v>2021268065</v>
      </c>
      <c r="AH250" s="19">
        <f>X250-AA250</f>
        <v>5661987570</v>
      </c>
      <c r="AI250" s="15">
        <f>X250-AD250</f>
        <v>6251264623</v>
      </c>
      <c r="AJ250" s="16">
        <f>X250-AG250</f>
        <v>7336931935</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+IF(SEPTIEMBRE!S251=0,"",SEPTIEMBRE!S251)</f>
        <v>8002100-8</v>
      </c>
      <c r="T251" s="665" t="str">
        <f>+IF(SEPTIEMBRE!T251=0,"",SEPTIEMBRE!T251)</f>
        <v>Programas Especial 07</v>
      </c>
      <c r="U251" s="27">
        <f>+ENERO!U251</f>
        <v>0</v>
      </c>
      <c r="V251" s="15">
        <f>SEPTIEMBRE!V251+OCTUBRE!AL251</f>
        <v>0</v>
      </c>
      <c r="W251" s="15">
        <f>SEPTIEMBRE!W251+OCTUBRE!AM251</f>
        <v>0</v>
      </c>
      <c r="X251" s="18">
        <f>SUM(U251:W251)</f>
        <v>0</v>
      </c>
      <c r="Y251" s="19">
        <f>SEPTIEMBRE!AA251</f>
        <v>0</v>
      </c>
      <c r="Z251" s="364">
        <v>0</v>
      </c>
      <c r="AA251" s="848">
        <f>SUM(Y251:Z251)</f>
        <v>0</v>
      </c>
      <c r="AB251" s="19">
        <f>SEPTIEMBRE!AD251</f>
        <v>0</v>
      </c>
      <c r="AC251" s="364">
        <v>0</v>
      </c>
      <c r="AD251" s="848">
        <f>SUM(AB251:AC251)</f>
        <v>0</v>
      </c>
      <c r="AE251" s="19">
        <f>SEPTIEMBRE!AG251</f>
        <v>0</v>
      </c>
      <c r="AF251" s="364">
        <v>0</v>
      </c>
      <c r="AG251" s="84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+IF(SEPTIEMBRE!S252=0,"",SEPTIEMBRE!S252)</f>
        <v>8002100-9</v>
      </c>
      <c r="T252" s="665" t="str">
        <f>+IF(SEPTIEMBRE!T252=0,"",SEPTIEMBRE!T252)</f>
        <v>Programas Especial 08</v>
      </c>
      <c r="U252" s="27">
        <f>+ENERO!U252</f>
        <v>0</v>
      </c>
      <c r="V252" s="15">
        <f>SEPTIEMBRE!V252+OCTUBRE!AL252</f>
        <v>0</v>
      </c>
      <c r="W252" s="15">
        <f>SEPTIEMBRE!W252+OCTUBRE!AM252</f>
        <v>0</v>
      </c>
      <c r="X252" s="18">
        <f>SUM(U252:W252)</f>
        <v>0</v>
      </c>
      <c r="Y252" s="19">
        <f>SEPTIEMBRE!AA252</f>
        <v>0</v>
      </c>
      <c r="Z252" s="364">
        <v>0</v>
      </c>
      <c r="AA252" s="848">
        <f>SUM(Y252:Z252)</f>
        <v>0</v>
      </c>
      <c r="AB252" s="19">
        <f>SEPTIEMBRE!AD252</f>
        <v>0</v>
      </c>
      <c r="AC252" s="364">
        <v>0</v>
      </c>
      <c r="AD252" s="848">
        <f>SUM(AB252:AC252)</f>
        <v>0</v>
      </c>
      <c r="AE252" s="19">
        <f>SEPTIEMBRE!AG252</f>
        <v>0</v>
      </c>
      <c r="AF252" s="364">
        <v>0</v>
      </c>
      <c r="AG252" s="84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+IF(SEPTIEMBRE!S253=0,"",SEPTIEMBRE!S253)</f>
        <v>8002100-10</v>
      </c>
      <c r="T253" s="665" t="str">
        <f>+IF(SEPTIEMBRE!T253=0,"",SEPTIEMBRE!T253)</f>
        <v>Programas Especial 09</v>
      </c>
      <c r="U253" s="27">
        <f>+ENERO!U253</f>
        <v>0</v>
      </c>
      <c r="V253" s="15">
        <f>SEPTIEMBRE!V253+OCTUBRE!AL253</f>
        <v>0</v>
      </c>
      <c r="W253" s="15">
        <f>SEPTIEMBRE!W253+OCTUBRE!AM253</f>
        <v>0</v>
      </c>
      <c r="X253" s="18">
        <f>SUM(U253:W253)</f>
        <v>0</v>
      </c>
      <c r="Y253" s="19">
        <f>SEPTIEMBRE!AA253</f>
        <v>0</v>
      </c>
      <c r="Z253" s="364">
        <v>0</v>
      </c>
      <c r="AA253" s="848">
        <f>SUM(Y253:Z253)</f>
        <v>0</v>
      </c>
      <c r="AB253" s="19">
        <f>SEPTIEMBRE!AD253</f>
        <v>0</v>
      </c>
      <c r="AC253" s="364">
        <v>0</v>
      </c>
      <c r="AD253" s="848">
        <f>SUM(AB253:AC253)</f>
        <v>0</v>
      </c>
      <c r="AE253" s="19">
        <f>SEPTIEMBRE!AG253</f>
        <v>0</v>
      </c>
      <c r="AF253" s="364">
        <v>0</v>
      </c>
      <c r="AG253" s="84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+IF(SEPTIEMBRE!S254=0,"",SEPTIEMBRE!S254)</f>
        <v>8002100-11</v>
      </c>
      <c r="T254" s="665" t="str">
        <f>+IF(SEPTIEMBRE!T254=0,"",SEPTIEMBRE!T254)</f>
        <v>Programas Especial 10</v>
      </c>
      <c r="U254" s="27">
        <f>+ENERO!U254</f>
        <v>0</v>
      </c>
      <c r="V254" s="15">
        <f>SEPTIEMBRE!V254+OCTUBRE!AL254</f>
        <v>0</v>
      </c>
      <c r="W254" s="15">
        <f>SEPTIEMBRE!W254+OCTUBRE!AM254</f>
        <v>0</v>
      </c>
      <c r="X254" s="18">
        <f>SUM(U254:W254)</f>
        <v>0</v>
      </c>
      <c r="Y254" s="19">
        <f>SEPTIEMBRE!AA254</f>
        <v>0</v>
      </c>
      <c r="Z254" s="364">
        <v>0</v>
      </c>
      <c r="AA254" s="848">
        <f>SUM(Y254:Z254)</f>
        <v>0</v>
      </c>
      <c r="AB254" s="19">
        <f>SEPTIEMBRE!AD254</f>
        <v>0</v>
      </c>
      <c r="AC254" s="364">
        <v>0</v>
      </c>
      <c r="AD254" s="848">
        <f>SUM(AB254:AC254)</f>
        <v>0</v>
      </c>
      <c r="AE254" s="19">
        <f>SEPTIEMBRE!AG254</f>
        <v>0</v>
      </c>
      <c r="AF254" s="364">
        <v>0</v>
      </c>
      <c r="AG254" s="84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+IF(SEPTIEMBRE!S255=0,"",SEPTIEMBRE!S255)</f>
        <v>8002100-12</v>
      </c>
      <c r="T255" s="665" t="str">
        <f>+IF(SEPTIEMBRE!T255=0,"",SEPTIEMBRE!T255)</f>
        <v>Programas Especial 11</v>
      </c>
      <c r="U255" s="27">
        <f>+ENERO!U255</f>
        <v>0</v>
      </c>
      <c r="V255" s="15">
        <f>SEPTIEMBRE!V255+OCTUBRE!AL255</f>
        <v>0</v>
      </c>
      <c r="W255" s="15">
        <f>SEPTIEMBRE!W255+OCTUBRE!AM255</f>
        <v>0</v>
      </c>
      <c r="X255" s="18">
        <f t="shared" si="205"/>
        <v>0</v>
      </c>
      <c r="Y255" s="19">
        <f>SEPTIEMBRE!AA255</f>
        <v>0</v>
      </c>
      <c r="Z255" s="364">
        <v>0</v>
      </c>
      <c r="AA255" s="848">
        <f t="shared" si="206"/>
        <v>0</v>
      </c>
      <c r="AB255" s="19">
        <f>SEPTIEMBRE!AD255</f>
        <v>0</v>
      </c>
      <c r="AC255" s="364">
        <v>0</v>
      </c>
      <c r="AD255" s="848">
        <f t="shared" si="207"/>
        <v>0</v>
      </c>
      <c r="AE255" s="19">
        <f>SEPTIEMBRE!AG255</f>
        <v>0</v>
      </c>
      <c r="AF255" s="364">
        <v>0</v>
      </c>
      <c r="AG255" s="84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+IF(SEPTIEMBRE!S256=0,"",SEPTIEMBRE!S256)</f>
        <v>8002999</v>
      </c>
      <c r="T256" s="680" t="str">
        <f>+IF(SEPTIEMBRE!T256=0,"",SEPTIEMBRE!T256)</f>
        <v>Vigencias Anteriores</v>
      </c>
      <c r="U256" s="133">
        <f>+ENERO!U256</f>
        <v>0</v>
      </c>
      <c r="V256" s="121">
        <f>SEPTIEMBRE!V256+OCTUBRE!AL256</f>
        <v>0</v>
      </c>
      <c r="W256" s="121">
        <f>SEPTIEMBRE!W256+OCTUBRE!AM256</f>
        <v>475291402</v>
      </c>
      <c r="X256" s="126">
        <f t="shared" si="205"/>
        <v>475291402</v>
      </c>
      <c r="Y256" s="124">
        <f>SEPTIEMBRE!AA256</f>
        <v>466539484</v>
      </c>
      <c r="Z256" s="378">
        <v>-632000</v>
      </c>
      <c r="AA256" s="852">
        <f t="shared" si="206"/>
        <v>465907484</v>
      </c>
      <c r="AB256" s="124">
        <f>SEPTIEMBRE!AD256</f>
        <v>466539484</v>
      </c>
      <c r="AC256" s="378">
        <v>-632000</v>
      </c>
      <c r="AD256" s="852">
        <f t="shared" si="207"/>
        <v>465907484</v>
      </c>
      <c r="AE256" s="124">
        <f>SEPTIEMBRE!AG256</f>
        <v>466539484</v>
      </c>
      <c r="AF256" s="378">
        <v>-632000</v>
      </c>
      <c r="AG256" s="852">
        <f t="shared" si="208"/>
        <v>465907484</v>
      </c>
      <c r="AH256" s="124">
        <f t="shared" si="209"/>
        <v>9383918</v>
      </c>
      <c r="AI256" s="121">
        <f t="shared" si="210"/>
        <v>9383918</v>
      </c>
      <c r="AJ256" s="125">
        <f t="shared" si="211"/>
        <v>9383918</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+IF(SEPTIEMBRE!S257=0,"",SEPTIEMBRE!S257)</f>
        <v/>
      </c>
      <c r="T257" s="677" t="str">
        <f>+IF(SEPTIEMBRE!T257=0,"",SEPTIEMBRE!T257)</f>
        <v/>
      </c>
      <c r="U257" s="160"/>
      <c r="V257" s="160"/>
      <c r="W257" s="160"/>
      <c r="X257" s="160"/>
      <c r="Y257" s="160"/>
      <c r="Z257" s="160"/>
      <c r="AA257" s="854"/>
      <c r="AB257" s="160"/>
      <c r="AC257" s="160"/>
      <c r="AD257" s="854"/>
      <c r="AE257" s="160"/>
      <c r="AF257" s="160"/>
      <c r="AG257" s="854"/>
      <c r="AH257" s="160"/>
      <c r="AI257" s="160"/>
      <c r="AJ257" s="169"/>
      <c r="AK257" s="10"/>
      <c r="AL257" s="496"/>
      <c r="AM257" s="497"/>
    </row>
    <row r="258" spans="1:39" ht="24.95" customHeight="1" thickBot="1">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2">+(D10+D17+D113)-(V10+V193+V220+V232)</f>
        <v>0</v>
      </c>
      <c r="W258" s="330">
        <f t="shared" si="212"/>
        <v>0</v>
      </c>
      <c r="X258" s="330">
        <f t="shared" si="212"/>
        <v>0</v>
      </c>
      <c r="Y258" s="330">
        <f t="shared" si="212"/>
        <v>-635968427</v>
      </c>
      <c r="Z258" s="330">
        <f t="shared" si="212"/>
        <v>12063852774</v>
      </c>
      <c r="AA258" s="855">
        <f t="shared" si="212"/>
        <v>11427884347</v>
      </c>
      <c r="AB258" s="330">
        <f t="shared" si="212"/>
        <v>-7615143416.2399979</v>
      </c>
      <c r="AC258" s="330">
        <f t="shared" si="212"/>
        <v>2361030209</v>
      </c>
      <c r="AD258" s="855">
        <f t="shared" si="212"/>
        <v>-5254113207.2399902</v>
      </c>
      <c r="AE258" s="330">
        <f t="shared" si="212"/>
        <v>-51646597113</v>
      </c>
      <c r="AF258" s="330">
        <f t="shared" si="212"/>
        <v>26762109349.240005</v>
      </c>
      <c r="AG258" s="855">
        <f t="shared" si="212"/>
        <v>-64841369394</v>
      </c>
      <c r="AH258" s="330">
        <f t="shared" si="212"/>
        <v>-14709650683</v>
      </c>
      <c r="AI258" s="330">
        <f t="shared" si="212"/>
        <v>-25939005389</v>
      </c>
      <c r="AJ258" s="768">
        <f t="shared" si="212"/>
        <v>-46803892464</v>
      </c>
      <c r="AK258" s="9"/>
      <c r="AL258" s="328">
        <v>0</v>
      </c>
      <c r="AM258" s="329">
        <v>0</v>
      </c>
    </row>
    <row r="259" spans="1:39" ht="24.95" customHeight="1" thickBot="1">
      <c r="S259" s="971"/>
      <c r="T259" s="972"/>
      <c r="U259" s="781"/>
      <c r="V259" s="781"/>
      <c r="W259" s="781"/>
      <c r="X259" s="781"/>
      <c r="Y259" s="781"/>
      <c r="Z259" s="781"/>
      <c r="AA259" s="856"/>
      <c r="AB259" s="781"/>
      <c r="AC259" s="781"/>
      <c r="AD259" s="856"/>
      <c r="AE259" s="781"/>
      <c r="AF259" s="781"/>
      <c r="AG259" s="856"/>
      <c r="AH259" s="781"/>
      <c r="AI259" s="781"/>
      <c r="AJ259" s="782"/>
      <c r="AK259" s="10"/>
      <c r="AL259" s="123">
        <f>+SUMIF(AK8:AK256,AK33,AL8:AL256)</f>
        <v>0</v>
      </c>
      <c r="AM259" s="115">
        <f>+SUMIF(AL8:AL256,AL33,AM8:AM256)</f>
        <v>19554382982</v>
      </c>
    </row>
    <row r="260" spans="1:39" ht="24.95" customHeight="1" thickBot="1">
      <c r="S260" s="785" t="s">
        <v>562</v>
      </c>
      <c r="T260" s="786"/>
      <c r="U260" s="761">
        <f>+U8-U262</f>
        <v>62391028787</v>
      </c>
      <c r="V260" s="761">
        <f t="shared" ref="V260:AJ260" si="213">+V8-V262</f>
        <v>-3245127711</v>
      </c>
      <c r="W260" s="761">
        <f t="shared" si="213"/>
        <v>30601413520</v>
      </c>
      <c r="X260" s="761">
        <f t="shared" si="213"/>
        <v>89747314596</v>
      </c>
      <c r="Y260" s="761">
        <f t="shared" si="213"/>
        <v>72981695601</v>
      </c>
      <c r="Z260" s="761">
        <f t="shared" si="213"/>
        <v>3311194096</v>
      </c>
      <c r="AA260" s="857">
        <f t="shared" si="213"/>
        <v>76292889697</v>
      </c>
      <c r="AB260" s="761">
        <f t="shared" si="213"/>
        <v>56361362916</v>
      </c>
      <c r="AC260" s="761">
        <f t="shared" si="213"/>
        <v>5725978032</v>
      </c>
      <c r="AD260" s="857">
        <f t="shared" si="213"/>
        <v>62087340948</v>
      </c>
      <c r="AE260" s="761">
        <f t="shared" si="213"/>
        <v>38809769407</v>
      </c>
      <c r="AF260" s="761">
        <f t="shared" si="213"/>
        <v>7894681164</v>
      </c>
      <c r="AG260" s="857">
        <f t="shared" si="213"/>
        <v>46704450571</v>
      </c>
      <c r="AH260" s="761">
        <f t="shared" si="213"/>
        <v>13454424899</v>
      </c>
      <c r="AI260" s="761">
        <f t="shared" si="213"/>
        <v>27659973648</v>
      </c>
      <c r="AJ260" s="762">
        <f t="shared" si="213"/>
        <v>43042864025</v>
      </c>
      <c r="AK260" s="10"/>
      <c r="AL260" s="372"/>
      <c r="AM260" s="372"/>
    </row>
    <row r="261" spans="1:39" ht="24.95" customHeight="1" thickBot="1">
      <c r="S261" s="790"/>
      <c r="T261" s="791"/>
      <c r="U261" s="769"/>
      <c r="V261" s="769"/>
      <c r="W261" s="769"/>
      <c r="X261" s="769"/>
      <c r="Y261" s="769"/>
      <c r="Z261" s="769"/>
      <c r="AA261" s="858"/>
      <c r="AB261" s="769"/>
      <c r="AC261" s="769"/>
      <c r="AD261" s="858"/>
      <c r="AE261" s="769"/>
      <c r="AF261" s="769"/>
      <c r="AG261" s="858"/>
      <c r="AH261" s="769"/>
      <c r="AI261" s="769"/>
      <c r="AJ261" s="770"/>
      <c r="AK261" s="10"/>
      <c r="AL261" s="372"/>
      <c r="AM261" s="372"/>
    </row>
    <row r="262" spans="1:39" ht="24.95" customHeight="1" thickBot="1">
      <c r="S262" s="787" t="s">
        <v>563</v>
      </c>
      <c r="T262" s="788"/>
      <c r="U262" s="765">
        <f>+SUMIF($T$8:$T$256,$T$33,U8:U256)</f>
        <v>4029331818</v>
      </c>
      <c r="V262" s="765">
        <f t="shared" ref="V262:AJ262" si="214">+SUMIF($T$8:$T$256,$T$33,V8:V256)</f>
        <v>3245127711</v>
      </c>
      <c r="W262" s="765">
        <f t="shared" si="214"/>
        <v>14623487733</v>
      </c>
      <c r="X262" s="765">
        <f t="shared" si="214"/>
        <v>21897947262</v>
      </c>
      <c r="Y262" s="765">
        <f t="shared" si="214"/>
        <v>20112006618</v>
      </c>
      <c r="Z262" s="765">
        <f t="shared" si="214"/>
        <v>530714860</v>
      </c>
      <c r="AA262" s="859">
        <f t="shared" si="214"/>
        <v>20642721478</v>
      </c>
      <c r="AB262" s="765">
        <f t="shared" si="214"/>
        <v>17606203963</v>
      </c>
      <c r="AC262" s="765">
        <f t="shared" si="214"/>
        <v>530714860</v>
      </c>
      <c r="AD262" s="859">
        <f t="shared" si="214"/>
        <v>18136918823</v>
      </c>
      <c r="AE262" s="765">
        <f t="shared" si="214"/>
        <v>16118594042</v>
      </c>
      <c r="AF262" s="765">
        <f t="shared" si="214"/>
        <v>2018324781</v>
      </c>
      <c r="AG262" s="859">
        <f t="shared" si="214"/>
        <v>18136918823</v>
      </c>
      <c r="AH262" s="765">
        <f t="shared" si="214"/>
        <v>1255225784</v>
      </c>
      <c r="AI262" s="765">
        <f t="shared" si="214"/>
        <v>3761028439</v>
      </c>
      <c r="AJ262" s="789">
        <f t="shared" si="214"/>
        <v>3761028439</v>
      </c>
    </row>
    <row r="263" spans="1:39" ht="24.95" customHeight="1" thickBot="1">
      <c r="S263" s="790"/>
      <c r="T263" s="791"/>
      <c r="U263" s="791"/>
      <c r="V263" s="769"/>
      <c r="W263" s="769"/>
      <c r="X263" s="769"/>
      <c r="Y263" s="769"/>
      <c r="Z263" s="769"/>
      <c r="AA263" s="858"/>
      <c r="AB263" s="769"/>
      <c r="AC263" s="769"/>
      <c r="AD263" s="858"/>
      <c r="AE263" s="769"/>
      <c r="AF263" s="769"/>
      <c r="AG263" s="858"/>
      <c r="AH263" s="769"/>
      <c r="AI263" s="769"/>
      <c r="AJ263" s="769"/>
    </row>
    <row r="264" spans="1:39" ht="24.95" customHeight="1" thickBot="1">
      <c r="S264" s="763" t="s">
        <v>564</v>
      </c>
      <c r="T264" s="764"/>
      <c r="U264" s="783">
        <f>+U260+U262</f>
        <v>66420360605</v>
      </c>
      <c r="V264" s="783">
        <f t="shared" ref="V264:AJ264" si="215">+V260+V262</f>
        <v>0</v>
      </c>
      <c r="W264" s="783">
        <f t="shared" si="215"/>
        <v>45224901253</v>
      </c>
      <c r="X264" s="783">
        <f t="shared" si="215"/>
        <v>111645261858</v>
      </c>
      <c r="Y264" s="783">
        <f t="shared" si="215"/>
        <v>93093702219</v>
      </c>
      <c r="Z264" s="783">
        <f t="shared" si="215"/>
        <v>3841908956</v>
      </c>
      <c r="AA264" s="165">
        <f t="shared" si="215"/>
        <v>96935611175</v>
      </c>
      <c r="AB264" s="783">
        <f t="shared" si="215"/>
        <v>73967566879</v>
      </c>
      <c r="AC264" s="783">
        <f t="shared" si="215"/>
        <v>6256692892</v>
      </c>
      <c r="AD264" s="165">
        <f t="shared" si="215"/>
        <v>80224259771</v>
      </c>
      <c r="AE264" s="783">
        <f t="shared" si="215"/>
        <v>54928363449</v>
      </c>
      <c r="AF264" s="783">
        <f t="shared" si="215"/>
        <v>9913005945</v>
      </c>
      <c r="AG264" s="165">
        <f t="shared" si="215"/>
        <v>64841369394</v>
      </c>
      <c r="AH264" s="783">
        <f t="shared" si="215"/>
        <v>14709650683</v>
      </c>
      <c r="AI264" s="783">
        <f t="shared" si="215"/>
        <v>31421002087</v>
      </c>
      <c r="AJ264" s="784">
        <f t="shared" si="215"/>
        <v>46803892464</v>
      </c>
    </row>
  </sheetData>
  <sheetProtection password="E2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2"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BS264"/>
  <sheetViews>
    <sheetView showGridLines="0" topLeftCell="A79" zoomScale="80" zoomScaleNormal="80" workbookViewId="0">
      <selection activeCell="K36" sqref="K36"/>
    </sheetView>
  </sheetViews>
  <sheetFormatPr baseColWidth="10" defaultColWidth="0" defaultRowHeight="24.95" customHeight="1"/>
  <cols>
    <col min="1" max="1" width="15.140625" style="735" customWidth="1"/>
    <col min="2" max="2" width="50.5703125" style="645" customWidth="1"/>
    <col min="3" max="3" width="17.140625" style="262" bestFit="1" customWidth="1"/>
    <col min="4" max="4" width="16.140625" style="262" customWidth="1"/>
    <col min="5" max="6" width="14.42578125" style="262" customWidth="1"/>
    <col min="7" max="7" width="16.42578125" style="262" customWidth="1"/>
    <col min="8" max="8" width="17" style="262" customWidth="1"/>
    <col min="9" max="9" width="15.7109375" style="508" bestFit="1" customWidth="1"/>
    <col min="10" max="10" width="16.42578125" style="262" customWidth="1"/>
    <col min="11" max="11" width="17.140625" style="262" customWidth="1"/>
    <col min="12" max="12" width="14.42578125" style="508" customWidth="1"/>
    <col min="13" max="13" width="16.7109375" style="262" customWidth="1"/>
    <col min="14" max="14" width="17" style="31" customWidth="1"/>
    <col min="15" max="15" width="2.85546875" style="262" customWidth="1"/>
    <col min="16" max="17" width="23.7109375" style="31" customWidth="1"/>
    <col min="18" max="18" width="5.42578125" style="262" customWidth="1"/>
    <col min="19" max="19" width="17.7109375" style="681" customWidth="1"/>
    <col min="20" max="20" width="39.28515625" style="657" customWidth="1"/>
    <col min="21" max="21" width="17.7109375" style="262" customWidth="1"/>
    <col min="22" max="25" width="14.7109375" style="262" customWidth="1"/>
    <col min="26" max="26" width="18.140625" style="262" customWidth="1"/>
    <col min="27" max="27" width="14.7109375" style="262" customWidth="1"/>
    <col min="28" max="28" width="20.140625" style="262" customWidth="1"/>
    <col min="29" max="29" width="16.28515625" style="262" customWidth="1"/>
    <col min="30" max="30" width="14.7109375" style="262" customWidth="1"/>
    <col min="31" max="31" width="19.140625" style="262" customWidth="1"/>
    <col min="32" max="32" width="17.7109375" style="262" customWidth="1"/>
    <col min="33" max="33" width="16.28515625" style="262" customWidth="1"/>
    <col min="34" max="36" width="16.7109375" style="262" hidden="1" customWidth="1"/>
    <col min="37" max="37" width="8.85546875" style="1" customWidth="1"/>
    <col min="38" max="39" width="23.7109375" style="262" customWidth="1"/>
    <col min="40" max="40" width="4.85546875" style="262" customWidth="1"/>
    <col min="41" max="41" width="12.28515625" style="262" customWidth="1"/>
    <col min="42" max="42" width="52.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82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11</v>
      </c>
      <c r="AP2" s="270" t="s">
        <v>7</v>
      </c>
      <c r="AQ2" s="271"/>
      <c r="AR2" s="3"/>
      <c r="AS2" s="3"/>
      <c r="AT2" s="3"/>
      <c r="AU2" s="3"/>
      <c r="AV2" s="3"/>
      <c r="AW2" s="3"/>
      <c r="AX2" s="3"/>
      <c r="AY2" s="3"/>
      <c r="AZ2" s="4"/>
      <c r="BB2" s="941" t="s">
        <v>588</v>
      </c>
      <c r="BC2" s="958"/>
      <c r="BD2" s="51" t="s">
        <v>380</v>
      </c>
      <c r="BE2" s="268" t="str">
        <f>+L3</f>
        <v>NOVIEMBRE</v>
      </c>
      <c r="BF2" s="263"/>
      <c r="BG2" s="941" t="s">
        <v>589</v>
      </c>
      <c r="BH2" s="958"/>
      <c r="BI2" s="958"/>
      <c r="BJ2" s="51" t="s">
        <v>380</v>
      </c>
      <c r="BK2" s="268" t="str">
        <f>+BE2</f>
        <v>NOVIEMBRE</v>
      </c>
      <c r="BM2" s="941" t="s">
        <v>589</v>
      </c>
      <c r="BN2" s="958"/>
      <c r="BO2" s="958"/>
      <c r="BP2" s="51" t="s">
        <v>380</v>
      </c>
      <c r="BQ2" s="268" t="str">
        <f>+BK2</f>
        <v>NOVIEMBRE</v>
      </c>
    </row>
    <row r="3" spans="1:69"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367</v>
      </c>
      <c r="M3" s="975"/>
      <c r="N3" s="954">
        <f>+INSTRUCCIONES!F3</f>
        <v>2019</v>
      </c>
      <c r="P3" s="943" t="s">
        <v>510</v>
      </c>
      <c r="Q3" s="961" t="s">
        <v>517</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NOVIEMBRE</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50">
        <f>+BK3</f>
        <v>2019</v>
      </c>
    </row>
    <row r="4" spans="1:69"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285"/>
    </row>
    <row r="5" spans="1:69" ht="42" customHeight="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66" t="str">
        <f>+CONCATENATE("ACUMULADO ",N3)</f>
        <v>ACUMULADO 2019</v>
      </c>
      <c r="BI5" s="967"/>
      <c r="BJ5" s="967"/>
      <c r="BK5" s="968"/>
      <c r="BM5" s="964" t="s">
        <v>32</v>
      </c>
      <c r="BN5" s="298" t="str">
        <f>+CONCATENATE("ACUMULADO ",BQ3)</f>
        <v>ACUMULADO 2019</v>
      </c>
      <c r="BO5" s="299"/>
      <c r="BP5" s="300"/>
      <c r="BQ5" s="301"/>
    </row>
    <row r="6" spans="1:69" ht="24.95" customHeight="1" thickBot="1">
      <c r="A6" s="994"/>
      <c r="B6" s="996"/>
      <c r="C6" s="127" t="s">
        <v>33</v>
      </c>
      <c r="D6" s="119" t="s">
        <v>34</v>
      </c>
      <c r="E6" s="119" t="s">
        <v>35</v>
      </c>
      <c r="F6" s="120" t="s">
        <v>36</v>
      </c>
      <c r="G6" s="127" t="s">
        <v>37</v>
      </c>
      <c r="H6" s="119" t="s">
        <v>38</v>
      </c>
      <c r="I6" s="827" t="s">
        <v>39</v>
      </c>
      <c r="J6" s="127" t="s">
        <v>37</v>
      </c>
      <c r="K6" s="119" t="s">
        <v>38</v>
      </c>
      <c r="L6" s="827"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NOVIEMBRE</v>
      </c>
      <c r="AS6" s="306" t="str">
        <f>AR6</f>
        <v>NOVIEMBRE</v>
      </c>
      <c r="AT6" s="306" t="str">
        <f>AR6</f>
        <v>NOVIEMBRE</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65"/>
      <c r="BN6" s="315" t="s">
        <v>45</v>
      </c>
      <c r="BO6" s="313" t="s">
        <v>48</v>
      </c>
      <c r="BP6" s="313" t="s">
        <v>49</v>
      </c>
      <c r="BQ6" s="314" t="s">
        <v>50</v>
      </c>
    </row>
    <row r="7" spans="1:69" s="9" customFormat="1" ht="24.95" customHeight="1" thickBot="1">
      <c r="A7" s="500"/>
      <c r="B7" s="501"/>
      <c r="C7" s="164"/>
      <c r="D7" s="164"/>
      <c r="E7" s="164"/>
      <c r="F7" s="164"/>
      <c r="G7" s="164"/>
      <c r="H7" s="164"/>
      <c r="I7" s="828"/>
      <c r="J7" s="164"/>
      <c r="K7" s="164"/>
      <c r="L7" s="828"/>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3922434279</v>
      </c>
      <c r="AR7" s="317">
        <f>I22</f>
        <v>4006291408</v>
      </c>
      <c r="AS7" s="317">
        <f>L22</f>
        <v>2039231963</v>
      </c>
      <c r="AT7" s="13"/>
      <c r="AU7" s="318">
        <f t="shared" ref="AU7:AU17" si="0">IF(AQ7=0," ",AR7/AQ7)</f>
        <v>1.0213788487034585</v>
      </c>
      <c r="AV7" s="318">
        <f t="shared" ref="AV7:AV17" si="1">IF(AQ7=0," ",AS7/AQ7)</f>
        <v>0.5198893895858695</v>
      </c>
      <c r="AW7" s="317">
        <f>I23/AO$2*12+I24</f>
        <v>4292869386.727273</v>
      </c>
      <c r="AX7" s="317">
        <f>L23/AO$2*12+L24</f>
        <v>2146986355.8181818</v>
      </c>
      <c r="AY7" s="317">
        <f t="shared" ref="AY7:AY16" si="2">AW7-AQ7</f>
        <v>370435107.72727299</v>
      </c>
      <c r="AZ7" s="319">
        <f t="shared" ref="AZ7:AZ16" si="3">AX7-AQ7</f>
        <v>-1775447923.1818182</v>
      </c>
      <c r="BB7" s="320" t="s">
        <v>53</v>
      </c>
      <c r="BC7" s="54">
        <f>F10</f>
        <v>10176865038</v>
      </c>
      <c r="BD7" s="55">
        <f>I10</f>
        <v>10176865038</v>
      </c>
      <c r="BE7" s="56">
        <f>K10</f>
        <v>0</v>
      </c>
      <c r="BF7" s="57"/>
      <c r="BG7" s="91" t="s">
        <v>54</v>
      </c>
      <c r="BH7" s="116">
        <f>+SUM(BH8:BH11)</f>
        <v>43564442505</v>
      </c>
      <c r="BI7" s="116">
        <f>+SUM(BI8:BI11)</f>
        <v>39625832800</v>
      </c>
      <c r="BJ7" s="116">
        <f>+SUM(BJ8:BJ11)</f>
        <v>35288804401</v>
      </c>
      <c r="BK7" s="116">
        <f>+SUM(BK8:BK11)</f>
        <v>3335048392</v>
      </c>
      <c r="BM7" s="61" t="s">
        <v>54</v>
      </c>
      <c r="BN7" s="62">
        <f>BN8+BN15+BN22</f>
        <v>43564442505</v>
      </c>
      <c r="BO7" s="63">
        <f>BO8+BO15+BO22</f>
        <v>39625832800</v>
      </c>
      <c r="BP7" s="63">
        <f>BP8+BP15+BP22</f>
        <v>35288804401</v>
      </c>
      <c r="BQ7" s="64">
        <f>BQ8+BQ15+BQ22</f>
        <v>3335048392</v>
      </c>
    </row>
    <row r="8" spans="1:69" s="9" customFormat="1" ht="24.95" customHeight="1" thickBot="1">
      <c r="A8" s="711">
        <f>+IF(OCTUBRE!A8=0,"",OCTUBRE!A8)</f>
        <v>1</v>
      </c>
      <c r="B8" s="618" t="str">
        <f>+IF(OCTUBRE!B8=0,"",OCTUBRE!B8)</f>
        <v>INGRESOS</v>
      </c>
      <c r="C8" s="321">
        <f>C10+C17+C113</f>
        <v>66420360605</v>
      </c>
      <c r="D8" s="321">
        <f t="shared" ref="D8:Q8" si="4">D10+D17+D113</f>
        <v>0</v>
      </c>
      <c r="E8" s="321">
        <f t="shared" si="4"/>
        <v>50204930511</v>
      </c>
      <c r="F8" s="321">
        <f t="shared" si="4"/>
        <v>116625291116</v>
      </c>
      <c r="G8" s="321">
        <f t="shared" si="4"/>
        <v>108363495522</v>
      </c>
      <c r="H8" s="321">
        <f t="shared" si="4"/>
        <v>7829427372</v>
      </c>
      <c r="I8" s="829">
        <f t="shared" si="4"/>
        <v>116192922894</v>
      </c>
      <c r="J8" s="321">
        <f t="shared" si="4"/>
        <v>74970146563.76001</v>
      </c>
      <c r="K8" s="321">
        <f t="shared" si="4"/>
        <v>4406598999</v>
      </c>
      <c r="L8" s="829">
        <f t="shared" si="4"/>
        <v>79376745562.76001</v>
      </c>
      <c r="M8" s="321">
        <f t="shared" si="4"/>
        <v>432368222</v>
      </c>
      <c r="N8" s="321">
        <f t="shared" si="4"/>
        <v>37248545553.240005</v>
      </c>
      <c r="O8" s="323"/>
      <c r="P8" s="324">
        <f t="shared" si="4"/>
        <v>0</v>
      </c>
      <c r="Q8" s="322">
        <f t="shared" si="4"/>
        <v>4980029258</v>
      </c>
      <c r="S8" s="684" t="str">
        <f>+IF(OCTUBRE!S8=0,"",OCTUBRE!S8)</f>
        <v/>
      </c>
      <c r="T8" s="658" t="str">
        <f>+IF(OCTUBRE!T8=0,"",OCTUBRE!T8)</f>
        <v>GASTOS</v>
      </c>
      <c r="U8" s="325">
        <f>U10+U193+U220+U232</f>
        <v>66420360605</v>
      </c>
      <c r="V8" s="326">
        <f t="shared" ref="V8:AJ8" si="5">V10+V193+V220+V232</f>
        <v>0</v>
      </c>
      <c r="W8" s="326">
        <f t="shared" si="5"/>
        <v>50204930511</v>
      </c>
      <c r="X8" s="327">
        <f t="shared" si="5"/>
        <v>116625291116</v>
      </c>
      <c r="Y8" s="328">
        <f t="shared" si="5"/>
        <v>96935611175</v>
      </c>
      <c r="Z8" s="326">
        <f t="shared" si="5"/>
        <v>6578173961</v>
      </c>
      <c r="AA8" s="327">
        <f t="shared" si="5"/>
        <v>103513785136</v>
      </c>
      <c r="AB8" s="328">
        <f t="shared" si="5"/>
        <v>80224259771</v>
      </c>
      <c r="AC8" s="326">
        <f t="shared" si="5"/>
        <v>6830882209</v>
      </c>
      <c r="AD8" s="327">
        <f t="shared" si="5"/>
        <v>87055141980</v>
      </c>
      <c r="AE8" s="328">
        <f t="shared" si="5"/>
        <v>64841369394</v>
      </c>
      <c r="AF8" s="326">
        <f t="shared" si="5"/>
        <v>5097037552</v>
      </c>
      <c r="AG8" s="327">
        <f t="shared" si="5"/>
        <v>69938406946</v>
      </c>
      <c r="AH8" s="328">
        <f t="shared" si="5"/>
        <v>13111505980</v>
      </c>
      <c r="AI8" s="326">
        <f t="shared" si="5"/>
        <v>29570149136</v>
      </c>
      <c r="AJ8" s="329">
        <f t="shared" si="5"/>
        <v>46686884170</v>
      </c>
      <c r="AL8" s="330">
        <f>AL10+AL193+AL220+AL232</f>
        <v>0</v>
      </c>
      <c r="AM8" s="331">
        <f>AM10+AM193+AM220+AM232</f>
        <v>4980029258</v>
      </c>
      <c r="AO8" s="21"/>
      <c r="AP8" s="11" t="s">
        <v>56</v>
      </c>
      <c r="AQ8" s="12">
        <f>F25</f>
        <v>41800078840</v>
      </c>
      <c r="AR8" s="12">
        <f>I25</f>
        <v>48084280632</v>
      </c>
      <c r="AS8" s="12">
        <f>L25</f>
        <v>28794899059</v>
      </c>
      <c r="AT8" s="13"/>
      <c r="AU8" s="332">
        <f t="shared" si="0"/>
        <v>1.1503394722305265</v>
      </c>
      <c r="AV8" s="332">
        <f t="shared" si="1"/>
        <v>0.68887188393159504</v>
      </c>
      <c r="AW8" s="12">
        <f>I26/AO$2*12+I27</f>
        <v>51396881538.63636</v>
      </c>
      <c r="AX8" s="12">
        <f>L26/AO$2*12+L27</f>
        <v>30353919822.636364</v>
      </c>
      <c r="AY8" s="12">
        <f t="shared" si="2"/>
        <v>9596802698.6363602</v>
      </c>
      <c r="AZ8" s="333">
        <f t="shared" si="3"/>
        <v>-11446159017.363636</v>
      </c>
      <c r="BB8" s="140" t="s">
        <v>57</v>
      </c>
      <c r="BC8" s="65">
        <f>BC9+BC19</f>
        <v>87758406076</v>
      </c>
      <c r="BD8" s="66">
        <f>BD9+BD19</f>
        <v>84800939072</v>
      </c>
      <c r="BE8" s="67">
        <f>BE9+BE19</f>
        <v>1834040266</v>
      </c>
      <c r="BF8" s="57"/>
      <c r="BG8" s="68" t="s">
        <v>58</v>
      </c>
      <c r="BH8" s="69">
        <f>BN9+BN13</f>
        <v>6664797719</v>
      </c>
      <c r="BI8" s="69">
        <f>BO9+BO13</f>
        <v>5026529007</v>
      </c>
      <c r="BJ8" s="69">
        <f>BP9+BP13</f>
        <v>5026529007</v>
      </c>
      <c r="BK8" s="69">
        <f>BQ9+BQ13</f>
        <v>736820518</v>
      </c>
      <c r="BM8" s="71" t="s">
        <v>59</v>
      </c>
      <c r="BN8" s="72">
        <f>BN9+BN14+BN13</f>
        <v>29808954105</v>
      </c>
      <c r="BO8" s="69">
        <f>BO9+BO14+BO13</f>
        <v>27886701576</v>
      </c>
      <c r="BP8" s="69">
        <f>BP9+BP14+BP13</f>
        <v>25080835085</v>
      </c>
      <c r="BQ8" s="70">
        <f>BQ9+BQ14+BQ13</f>
        <v>2579709817</v>
      </c>
    </row>
    <row r="9" spans="1:69" s="9" customFormat="1" ht="24.95" customHeight="1" thickBot="1">
      <c r="A9" s="652"/>
      <c r="B9" s="619"/>
      <c r="C9" s="334"/>
      <c r="D9" s="334"/>
      <c r="E9" s="334"/>
      <c r="F9" s="334"/>
      <c r="G9" s="334"/>
      <c r="H9" s="334"/>
      <c r="I9" s="830"/>
      <c r="J9" s="334"/>
      <c r="K9" s="334"/>
      <c r="L9" s="830"/>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14201451614</v>
      </c>
      <c r="AR9" s="12">
        <f>I28+I75</f>
        <v>16827511054</v>
      </c>
      <c r="AS9" s="12">
        <f>L28+L75</f>
        <v>7297045094</v>
      </c>
      <c r="AT9" s="13"/>
      <c r="AU9" s="340">
        <f t="shared" si="0"/>
        <v>1.1849148602112753</v>
      </c>
      <c r="AV9" s="340">
        <f t="shared" si="1"/>
        <v>0.51382388873588569</v>
      </c>
      <c r="AW9" s="341">
        <f>(I30+I33+I36+I76)/AO$2*12+I31+I34+I37+I38+I39+I40+I77</f>
        <v>17811407187.818184</v>
      </c>
      <c r="AX9" s="341">
        <f>(L30+L33+L36+L76)/AO$2*12+L31+L34+L37+L38+L39+L40+L77</f>
        <v>7414535231.454546</v>
      </c>
      <c r="AY9" s="341">
        <f t="shared" si="2"/>
        <v>3609955573.8181839</v>
      </c>
      <c r="AZ9" s="342">
        <f t="shared" si="3"/>
        <v>-6786916382.545454</v>
      </c>
      <c r="BB9" s="343" t="s">
        <v>412</v>
      </c>
      <c r="BC9" s="73">
        <f>BC10+BC18</f>
        <v>87658028013</v>
      </c>
      <c r="BD9" s="74">
        <f>BD10+BD18</f>
        <v>84675460256</v>
      </c>
      <c r="BE9" s="75">
        <f>BE10+BE18</f>
        <v>1832556167</v>
      </c>
      <c r="BF9" s="76"/>
      <c r="BG9" s="77" t="s">
        <v>62</v>
      </c>
      <c r="BH9" s="78">
        <f t="shared" ref="BH9:BK10" si="6">BN14</f>
        <v>23144156386</v>
      </c>
      <c r="BI9" s="78">
        <f t="shared" si="6"/>
        <v>22860172569</v>
      </c>
      <c r="BJ9" s="78">
        <f t="shared" si="6"/>
        <v>20054306078</v>
      </c>
      <c r="BK9" s="78">
        <f t="shared" si="6"/>
        <v>1842889299</v>
      </c>
      <c r="BM9" s="137" t="s">
        <v>63</v>
      </c>
      <c r="BN9" s="80">
        <f>SUM(BN10:BN12)</f>
        <v>4908685503</v>
      </c>
      <c r="BO9" s="78">
        <f>SUM(BO10:BO12)</f>
        <v>3915760126</v>
      </c>
      <c r="BP9" s="78">
        <f>SUM(BP10:BP12)</f>
        <v>3915760126</v>
      </c>
      <c r="BQ9" s="79">
        <f>SUM(BQ10:BQ12)</f>
        <v>637893767</v>
      </c>
    </row>
    <row r="10" spans="1:69" s="9" customFormat="1" ht="24.95" customHeight="1">
      <c r="A10" s="712">
        <f>+IF(OCTUBRE!A10=0,"",OCTUBRE!A10)</f>
        <v>10</v>
      </c>
      <c r="B10" s="620" t="str">
        <f>+IF(OCTUBRE!B10=0,"",OCTUBRE!B10)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831">
        <f t="shared" si="7"/>
        <v>10176865038</v>
      </c>
      <c r="J10" s="174">
        <f t="shared" si="7"/>
        <v>10176865038</v>
      </c>
      <c r="K10" s="344">
        <f t="shared" si="7"/>
        <v>0</v>
      </c>
      <c r="L10" s="840">
        <f t="shared" si="7"/>
        <v>10176865038</v>
      </c>
      <c r="M10" s="174">
        <f t="shared" si="7"/>
        <v>0</v>
      </c>
      <c r="N10" s="175">
        <f t="shared" si="7"/>
        <v>0</v>
      </c>
      <c r="O10" s="13"/>
      <c r="P10" s="174">
        <f>SUM(P12:P15)</f>
        <v>0</v>
      </c>
      <c r="Q10" s="175">
        <f>SUM(Q12:Q15)</f>
        <v>0</v>
      </c>
      <c r="S10" s="347" t="str">
        <f>+IF(OCTUBRE!S10=0,"",OCTUBRE!S10)</f>
        <v>A</v>
      </c>
      <c r="T10" s="659" t="str">
        <f>+IF(OCTUBRE!T10=0,"",OCTUBRE!T10)</f>
        <v>GASTOS DE FUNCIONAMIENTO</v>
      </c>
      <c r="U10" s="348">
        <f>U12+U110+U170</f>
        <v>50109343517</v>
      </c>
      <c r="V10" s="349">
        <f t="shared" ref="V10:AJ10" si="8">V12+V110+V170</f>
        <v>-5470317789</v>
      </c>
      <c r="W10" s="349">
        <f t="shared" si="8"/>
        <v>7151601711</v>
      </c>
      <c r="X10" s="352">
        <f t="shared" si="8"/>
        <v>51790627439</v>
      </c>
      <c r="Y10" s="351">
        <f t="shared" si="8"/>
        <v>44788969147</v>
      </c>
      <c r="Z10" s="349">
        <f t="shared" si="8"/>
        <v>2739712585</v>
      </c>
      <c r="AA10" s="352">
        <f t="shared" si="8"/>
        <v>47528681732</v>
      </c>
      <c r="AB10" s="351">
        <f t="shared" si="8"/>
        <v>39752596995</v>
      </c>
      <c r="AC10" s="349">
        <f t="shared" si="8"/>
        <v>3439056338</v>
      </c>
      <c r="AD10" s="352">
        <f t="shared" si="8"/>
        <v>43191653333</v>
      </c>
      <c r="AE10" s="351">
        <f t="shared" si="8"/>
        <v>31170152049</v>
      </c>
      <c r="AF10" s="349">
        <f t="shared" si="8"/>
        <v>3335048392</v>
      </c>
      <c r="AG10" s="352">
        <f t="shared" si="8"/>
        <v>34505200441</v>
      </c>
      <c r="AH10" s="351">
        <f t="shared" si="8"/>
        <v>4261945707</v>
      </c>
      <c r="AI10" s="349">
        <f t="shared" si="8"/>
        <v>8598974106</v>
      </c>
      <c r="AJ10" s="350">
        <f t="shared" si="8"/>
        <v>17285426998</v>
      </c>
      <c r="AL10" s="353">
        <f>AL12+AL110+AL170</f>
        <v>-100000000</v>
      </c>
      <c r="AM10" s="354">
        <f>AM12+AM110+AM170</f>
        <v>1110000000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66159827035</v>
      </c>
      <c r="BD10" s="74">
        <f>BD11+BD12+BD13+BD14+BD16+BD17+BD15</f>
        <v>66393197500</v>
      </c>
      <c r="BE10" s="75">
        <f>BE11+BE12+BE13+BE14+BE16+BE17+BE15</f>
        <v>1832556167</v>
      </c>
      <c r="BF10" s="76"/>
      <c r="BG10" s="68" t="s">
        <v>66</v>
      </c>
      <c r="BH10" s="81">
        <f t="shared" si="6"/>
        <v>12463134256</v>
      </c>
      <c r="BI10" s="81">
        <f t="shared" si="6"/>
        <v>10756365978</v>
      </c>
      <c r="BJ10" s="81">
        <f t="shared" si="6"/>
        <v>9225204070</v>
      </c>
      <c r="BK10" s="81">
        <f t="shared" si="6"/>
        <v>625878038</v>
      </c>
      <c r="BM10" s="134" t="s">
        <v>425</v>
      </c>
      <c r="BN10" s="83">
        <f>X17+X66</f>
        <v>3409004812</v>
      </c>
      <c r="BO10" s="81">
        <f>AA17+AA66</f>
        <v>3098205184</v>
      </c>
      <c r="BP10" s="81">
        <f>AD17+AD66</f>
        <v>3098205184</v>
      </c>
      <c r="BQ10" s="82">
        <f>AF17+AF66</f>
        <v>292652407</v>
      </c>
    </row>
    <row r="11" spans="1:69" s="9" customFormat="1" ht="24.95" customHeight="1">
      <c r="A11" s="652"/>
      <c r="B11" s="619"/>
      <c r="C11" s="334"/>
      <c r="D11" s="334"/>
      <c r="E11" s="334"/>
      <c r="F11" s="334"/>
      <c r="G11" s="334"/>
      <c r="H11" s="334"/>
      <c r="I11" s="830"/>
      <c r="J11" s="334"/>
      <c r="K11" s="334"/>
      <c r="L11" s="830"/>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222386275</v>
      </c>
      <c r="AR11" s="12">
        <f>I88</f>
        <v>222380129</v>
      </c>
      <c r="AS11" s="12">
        <f>L88</f>
        <v>222380129</v>
      </c>
      <c r="AT11" s="361">
        <f>AO2/12</f>
        <v>0.91666666666666663</v>
      </c>
      <c r="AU11" s="340">
        <f t="shared" si="0"/>
        <v>0.99997236340237272</v>
      </c>
      <c r="AV11" s="340">
        <f t="shared" si="1"/>
        <v>0.99997236340237272</v>
      </c>
      <c r="AW11" s="341">
        <f>I88</f>
        <v>222380129</v>
      </c>
      <c r="AX11" s="341">
        <f>L88</f>
        <v>222380129</v>
      </c>
      <c r="AY11" s="341">
        <f t="shared" si="2"/>
        <v>-6146</v>
      </c>
      <c r="AZ11" s="342">
        <f t="shared" si="3"/>
        <v>-6146</v>
      </c>
      <c r="BB11" s="355" t="s">
        <v>414</v>
      </c>
      <c r="BC11" s="73">
        <f>F26</f>
        <v>32167564656</v>
      </c>
      <c r="BD11" s="74">
        <f>I26</f>
        <v>36438609973</v>
      </c>
      <c r="BE11" s="75">
        <f>K26</f>
        <v>4084944</v>
      </c>
      <c r="BF11" s="76"/>
      <c r="BG11" s="68" t="s">
        <v>67</v>
      </c>
      <c r="BH11" s="84">
        <f>BN22</f>
        <v>1292354144</v>
      </c>
      <c r="BI11" s="84">
        <f>BO22</f>
        <v>982765246</v>
      </c>
      <c r="BJ11" s="84">
        <f>BP22</f>
        <v>982765246</v>
      </c>
      <c r="BK11" s="84">
        <f>BQ22</f>
        <v>129460537</v>
      </c>
      <c r="BM11" s="135" t="s">
        <v>426</v>
      </c>
      <c r="BN11" s="86">
        <f>X18+X67</f>
        <v>276902465</v>
      </c>
      <c r="BO11" s="84">
        <f>AA18+AA67</f>
        <v>128477438</v>
      </c>
      <c r="BP11" s="84">
        <f>AD18+AD67</f>
        <v>128477438</v>
      </c>
      <c r="BQ11" s="85">
        <f>AF18+AF67</f>
        <v>13856837</v>
      </c>
    </row>
    <row r="12" spans="1:69" s="9" customFormat="1" ht="24.95" customHeight="1">
      <c r="A12" s="593">
        <f>+IF(OCTUBRE!A12=0,"",OCTUBRE!A12)</f>
        <v>1001</v>
      </c>
      <c r="B12" s="621" t="str">
        <f>+IF(OCTUBRE!B12=0,"",OCTUBRE!B12)</f>
        <v>Bienestar Social (Caja, Bancos, Inversiones Tempor.) a Dic-31-2018</v>
      </c>
      <c r="C12" s="655">
        <f>+ENERO!C12</f>
        <v>0</v>
      </c>
      <c r="D12" s="363">
        <f>OCTUBRE!D12+NOVIEMBRE!P12</f>
        <v>0</v>
      </c>
      <c r="E12" s="363">
        <f>OCTUBRE!E12+NOVIEMBRE!Q12</f>
        <v>0</v>
      </c>
      <c r="F12" s="143">
        <f>SUM(C12:E12)</f>
        <v>0</v>
      </c>
      <c r="G12" s="216">
        <f>OCTUBRE!I12</f>
        <v>0</v>
      </c>
      <c r="H12" s="364">
        <v>0</v>
      </c>
      <c r="I12" s="455">
        <f>SUM(G12:H12)</f>
        <v>0</v>
      </c>
      <c r="J12" s="216">
        <f>OCTUBRE!L12</f>
        <v>0</v>
      </c>
      <c r="K12" s="131">
        <v>0</v>
      </c>
      <c r="L12" s="455">
        <f>SUM(J12:K12)</f>
        <v>0</v>
      </c>
      <c r="M12" s="216">
        <f>F12-I12</f>
        <v>0</v>
      </c>
      <c r="N12" s="143">
        <f>F12-L12</f>
        <v>0</v>
      </c>
      <c r="O12" s="284"/>
      <c r="P12" s="362">
        <v>0</v>
      </c>
      <c r="Q12" s="365">
        <v>0</v>
      </c>
      <c r="S12" s="685">
        <f>+IF(OCTUBRE!S12=0,"",OCTUBRE!S12)</f>
        <v>1000000</v>
      </c>
      <c r="T12" s="661" t="str">
        <f>+IF(OCTUBRE!T12=0,"",OCTUBRE!T12)</f>
        <v>GASTOS DE PERSONAL</v>
      </c>
      <c r="U12" s="366">
        <f t="shared" ref="U12:AJ12" si="9">U14+U63</f>
        <v>36893269846</v>
      </c>
      <c r="V12" s="367">
        <f t="shared" si="9"/>
        <v>-4454317789</v>
      </c>
      <c r="W12" s="367">
        <f t="shared" si="9"/>
        <v>3171985077</v>
      </c>
      <c r="X12" s="368">
        <f t="shared" si="9"/>
        <v>35610937134</v>
      </c>
      <c r="Y12" s="353">
        <f t="shared" si="9"/>
        <v>32046472284</v>
      </c>
      <c r="Z12" s="367">
        <f t="shared" si="9"/>
        <v>1556988640</v>
      </c>
      <c r="AA12" s="368">
        <f t="shared" si="9"/>
        <v>33603460924</v>
      </c>
      <c r="AB12" s="353">
        <f t="shared" si="9"/>
        <v>28212119148</v>
      </c>
      <c r="AC12" s="367">
        <f t="shared" si="9"/>
        <v>2585475285</v>
      </c>
      <c r="AD12" s="368">
        <f t="shared" si="9"/>
        <v>30797594433</v>
      </c>
      <c r="AE12" s="353">
        <f t="shared" si="9"/>
        <v>21457800193</v>
      </c>
      <c r="AF12" s="367">
        <f t="shared" si="9"/>
        <v>2579709817</v>
      </c>
      <c r="AG12" s="368">
        <f t="shared" si="9"/>
        <v>24037510010</v>
      </c>
      <c r="AH12" s="353">
        <f t="shared" si="9"/>
        <v>2007476210</v>
      </c>
      <c r="AI12" s="367">
        <f t="shared" si="9"/>
        <v>4813342701</v>
      </c>
      <c r="AJ12" s="354">
        <f t="shared" si="9"/>
        <v>11573427124</v>
      </c>
      <c r="AK12" s="10"/>
      <c r="AL12" s="369">
        <f>AL14+AL63</f>
        <v>0</v>
      </c>
      <c r="AM12" s="370">
        <f>AM14+AM63</f>
        <v>730000000</v>
      </c>
      <c r="AO12" s="360"/>
      <c r="AP12" s="518" t="s">
        <v>523</v>
      </c>
      <c r="AQ12" s="12">
        <f>F89</f>
        <v>450000000</v>
      </c>
      <c r="AR12" s="12">
        <f>I89</f>
        <v>450000000</v>
      </c>
      <c r="AS12" s="12">
        <f>L89</f>
        <v>450000000</v>
      </c>
      <c r="AT12" s="13"/>
      <c r="AU12" s="340">
        <f t="shared" si="0"/>
        <v>1</v>
      </c>
      <c r="AV12" s="340">
        <f t="shared" si="1"/>
        <v>1</v>
      </c>
      <c r="AW12" s="341">
        <f>I89</f>
        <v>450000000</v>
      </c>
      <c r="AX12" s="341">
        <f>L89</f>
        <v>450000000</v>
      </c>
      <c r="AY12" s="341">
        <f t="shared" si="2"/>
        <v>0</v>
      </c>
      <c r="AZ12" s="342">
        <f t="shared" si="3"/>
        <v>0</v>
      </c>
      <c r="BB12" s="355" t="s">
        <v>415</v>
      </c>
      <c r="BC12" s="73">
        <f>F23</f>
        <v>3087894380</v>
      </c>
      <c r="BD12" s="74">
        <f>I23</f>
        <v>3152357766</v>
      </c>
      <c r="BE12" s="75">
        <f>K23</f>
        <v>227888881</v>
      </c>
      <c r="BF12" s="76"/>
      <c r="BG12" s="371" t="s">
        <v>383</v>
      </c>
      <c r="BH12" s="84">
        <f>BN25</f>
        <v>20435937973</v>
      </c>
      <c r="BI12" s="15">
        <f>BO25</f>
        <v>19259310514</v>
      </c>
      <c r="BJ12" s="84">
        <f>BP25</f>
        <v>18369303911</v>
      </c>
      <c r="BK12" s="84">
        <f>BQ25</f>
        <v>328366428</v>
      </c>
      <c r="BM12" s="136" t="s">
        <v>427</v>
      </c>
      <c r="BN12" s="86">
        <f>X16+X65-X81-X33-BN10-BN11</f>
        <v>1222778226</v>
      </c>
      <c r="BO12" s="84">
        <f>AA16+AA65-AA81-AA33-BO10-BO11</f>
        <v>689077504</v>
      </c>
      <c r="BP12" s="84">
        <f>AD16+AD65-AD81-AD33-BP10-BP11</f>
        <v>689077504</v>
      </c>
      <c r="BQ12" s="85">
        <f>AF16+AF65-AF81-AF33-BQ10-BQ11</f>
        <v>331384523</v>
      </c>
    </row>
    <row r="13" spans="1:69" s="9" customFormat="1" ht="24.95" customHeight="1">
      <c r="A13" s="593">
        <f>+IF(OCTUBRE!A13=0,"",OCTUBRE!A13)</f>
        <v>1002</v>
      </c>
      <c r="B13" s="621" t="str">
        <f>+IF(OCTUBRE!B13=0,"",OCTUBRE!B13)</f>
        <v>Fondo Vivienda (Caja, Bancos, Inversiones Tempor.) a Dic-31-2018</v>
      </c>
      <c r="C13" s="655">
        <f>+ENERO!C13</f>
        <v>0</v>
      </c>
      <c r="D13" s="363">
        <f>OCTUBRE!D13+NOVIEMBRE!P13</f>
        <v>0</v>
      </c>
      <c r="E13" s="363">
        <f>OCTUBRE!E13+NOVIEMBRE!Q13</f>
        <v>0</v>
      </c>
      <c r="F13" s="143">
        <f>SUM(C13:E13)</f>
        <v>0</v>
      </c>
      <c r="G13" s="216">
        <f>OCTUBRE!I13</f>
        <v>0</v>
      </c>
      <c r="H13" s="364">
        <v>0</v>
      </c>
      <c r="I13" s="455">
        <f>SUM(G13:H13)</f>
        <v>0</v>
      </c>
      <c r="J13" s="216">
        <f>OCTUBRE!L13</f>
        <v>0</v>
      </c>
      <c r="K13" s="131">
        <v>0</v>
      </c>
      <c r="L13" s="455">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8952361140</v>
      </c>
      <c r="BD13" s="88">
        <f>+I30+I33+I36+I38+I39+I40</f>
        <v>11621943463</v>
      </c>
      <c r="BE13" s="89">
        <f>+K30+K33+K36+K38+K39+K40</f>
        <v>789925962</v>
      </c>
      <c r="BF13" s="90"/>
      <c r="BG13" s="91" t="s">
        <v>70</v>
      </c>
      <c r="BH13" s="84">
        <f t="shared" ref="BH13:BK15" si="10">BN29</f>
        <v>30479618396</v>
      </c>
      <c r="BI13" s="84">
        <f t="shared" si="10"/>
        <v>23759027812</v>
      </c>
      <c r="BJ13" s="84">
        <f t="shared" si="10"/>
        <v>14499547009</v>
      </c>
      <c r="BK13" s="84">
        <f t="shared" si="10"/>
        <v>908333762</v>
      </c>
      <c r="BM13" s="139" t="s">
        <v>428</v>
      </c>
      <c r="BN13" s="83">
        <f>X43-X55+X57-X61+X90-X102+X104-X108</f>
        <v>1756112216</v>
      </c>
      <c r="BO13" s="81">
        <f>AA43-AA55+AA57-AA61+AA90-AA102+AA104-AA108</f>
        <v>1110768881</v>
      </c>
      <c r="BP13" s="81">
        <f>AD43-AD55+AD57-AD61+AD90-AD102+AD104-AD108</f>
        <v>1110768881</v>
      </c>
      <c r="BQ13" s="82">
        <f>AF43-AF55+AF57-AF61+AF90-AF102+AF104-AF108</f>
        <v>98926751</v>
      </c>
    </row>
    <row r="14" spans="1:69" s="9" customFormat="1" ht="24.95" customHeight="1">
      <c r="A14" s="593">
        <f>+IF(OCTUBRE!A14=0,"",OCTUBRE!A14)</f>
        <v>1003</v>
      </c>
      <c r="B14" s="621" t="str">
        <f>+IF(OCTUBRE!B14=0,"",OCTUBRE!B14)</f>
        <v>Fondos Comunes y Especiales (Caja, Bancos, Invers. Tempor.) a Dic-31-2018</v>
      </c>
      <c r="C14" s="655">
        <f>+ENERO!C14</f>
        <v>4565434734</v>
      </c>
      <c r="D14" s="363">
        <f>OCTUBRE!D14+NOVIEMBRE!P14</f>
        <v>0</v>
      </c>
      <c r="E14" s="363">
        <f>OCTUBRE!E14+NOVIEMBRE!Q14</f>
        <v>5318248230</v>
      </c>
      <c r="F14" s="143">
        <f>SUM(C14:E14)</f>
        <v>9883682964</v>
      </c>
      <c r="G14" s="216">
        <f>OCTUBRE!I14</f>
        <v>9883682964</v>
      </c>
      <c r="H14" s="364">
        <v>0</v>
      </c>
      <c r="I14" s="455">
        <f>SUM(G14:H14)</f>
        <v>9883682964</v>
      </c>
      <c r="J14" s="216">
        <f>OCTUBRE!L14</f>
        <v>9883682964</v>
      </c>
      <c r="K14" s="131">
        <v>0</v>
      </c>
      <c r="L14" s="455">
        <f>SUM(J14:K14)</f>
        <v>9883682964</v>
      </c>
      <c r="M14" s="216">
        <f>F14-I14</f>
        <v>0</v>
      </c>
      <c r="N14" s="143">
        <f>F14-L14</f>
        <v>0</v>
      </c>
      <c r="O14" s="372"/>
      <c r="P14" s="362">
        <v>0</v>
      </c>
      <c r="Q14" s="365">
        <v>0</v>
      </c>
      <c r="S14" s="686">
        <f>+IF(OCTUBRE!S14=0,"",OCTUBRE!S14)</f>
        <v>1010000</v>
      </c>
      <c r="T14" s="662" t="str">
        <f>+IF(OCTUBRE!T14=0,"",OCTUBRE!T14)</f>
        <v>Gastos de Administración</v>
      </c>
      <c r="U14" s="132">
        <f t="shared" ref="U14:AJ14" si="11">U16+U35+U43+U57</f>
        <v>6899222078</v>
      </c>
      <c r="V14" s="122">
        <f t="shared" si="11"/>
        <v>-468979942</v>
      </c>
      <c r="W14" s="122">
        <f t="shared" si="11"/>
        <v>592200000</v>
      </c>
      <c r="X14" s="129">
        <f t="shared" si="11"/>
        <v>7022442136</v>
      </c>
      <c r="Y14" s="128">
        <f t="shared" si="11"/>
        <v>6003362768</v>
      </c>
      <c r="Z14" s="122">
        <f t="shared" si="11"/>
        <v>608540336</v>
      </c>
      <c r="AA14" s="129">
        <f t="shared" si="11"/>
        <v>6611903104</v>
      </c>
      <c r="AB14" s="128">
        <f t="shared" si="11"/>
        <v>5564817058</v>
      </c>
      <c r="AC14" s="122">
        <f t="shared" si="11"/>
        <v>633923225</v>
      </c>
      <c r="AD14" s="129">
        <f t="shared" si="11"/>
        <v>6198740283</v>
      </c>
      <c r="AE14" s="128">
        <f t="shared" si="11"/>
        <v>5033151721</v>
      </c>
      <c r="AF14" s="122">
        <f t="shared" si="11"/>
        <v>620310392</v>
      </c>
      <c r="AG14" s="129">
        <f t="shared" si="11"/>
        <v>5653462113</v>
      </c>
      <c r="AH14" s="128">
        <f t="shared" si="11"/>
        <v>410539032</v>
      </c>
      <c r="AI14" s="122">
        <f t="shared" si="11"/>
        <v>823701853</v>
      </c>
      <c r="AJ14" s="130">
        <f t="shared" si="11"/>
        <v>1368980023</v>
      </c>
      <c r="AK14" s="10"/>
      <c r="AL14" s="128">
        <f>AL16+AL35+AL43+AL57</f>
        <v>0</v>
      </c>
      <c r="AM14" s="130">
        <f>AM16+AM35+AM43+AM57</f>
        <v>280000000</v>
      </c>
      <c r="AO14" s="21"/>
      <c r="AP14" s="11" t="s">
        <v>73</v>
      </c>
      <c r="AQ14" s="12">
        <f>F19-AQ7-AQ8-AQ9-AQ10-AQ11-AQ12-AQ13</f>
        <v>23448706103</v>
      </c>
      <c r="AR14" s="12">
        <f>I19-AR7-AR8-AR9-AR10-AR11-AR12-AR13</f>
        <v>17239347986</v>
      </c>
      <c r="AS14" s="12">
        <f>L19-AS7-AS8-AS9-AS10-AS11-AS12-AS13</f>
        <v>11268969370.760002</v>
      </c>
      <c r="AT14" s="372"/>
      <c r="AU14" s="340">
        <f t="shared" si="0"/>
        <v>0.73519399792359619</v>
      </c>
      <c r="AV14" s="340">
        <f t="shared" si="1"/>
        <v>0.48057958171595078</v>
      </c>
      <c r="AW14" s="341">
        <f>(I41+I46+I49+I52+I55+I58+I61+I64+I67+I70+I73+I78+I81+I82+I83+I85+I94+I104)/AO$2*12+I47+I50+I53+I56+I59+I62+I65+I68+I71+I74</f>
        <v>39428688802.36364</v>
      </c>
      <c r="AX14" s="341">
        <f>(L41+L46+L49+L52+L55+L58+L61+L64+L67+L70+L73+L78+L81+L82+L83+L85+L94+L104)/AO$2*12+L47+L50+L53+L56+L59+L62+L65+L68+L71+L74</f>
        <v>32851302962.493633</v>
      </c>
      <c r="AY14" s="341">
        <f t="shared" si="2"/>
        <v>15979982699.36364</v>
      </c>
      <c r="AZ14" s="342">
        <f t="shared" si="3"/>
        <v>9402596859.4936333</v>
      </c>
      <c r="BB14" s="373" t="s">
        <v>417</v>
      </c>
      <c r="BC14" s="92">
        <f>+F64</f>
        <v>8371510292</v>
      </c>
      <c r="BD14" s="93">
        <f>+I64</f>
        <v>5017074350</v>
      </c>
      <c r="BE14" s="94">
        <f>K64</f>
        <v>311897291</v>
      </c>
      <c r="BF14" s="95"/>
      <c r="BG14" s="91" t="s">
        <v>74</v>
      </c>
      <c r="BH14" s="81">
        <f t="shared" si="10"/>
        <v>247344980</v>
      </c>
      <c r="BI14" s="81">
        <f t="shared" si="10"/>
        <v>226892532</v>
      </c>
      <c r="BJ14" s="81">
        <f t="shared" si="10"/>
        <v>226892532</v>
      </c>
      <c r="BK14" s="81">
        <f t="shared" si="10"/>
        <v>0</v>
      </c>
      <c r="BM14" s="138" t="s">
        <v>424</v>
      </c>
      <c r="BN14" s="86">
        <f>X35-X41+X83-X88</f>
        <v>23144156386</v>
      </c>
      <c r="BO14" s="84">
        <f>AA35-AA41+AA83-AA88</f>
        <v>22860172569</v>
      </c>
      <c r="BP14" s="84">
        <f>AD35-AD41+AD83-AD88</f>
        <v>20054306078</v>
      </c>
      <c r="BQ14" s="85">
        <f>AF35-AF41+AF83-AF88</f>
        <v>1842889299</v>
      </c>
    </row>
    <row r="15" spans="1:69" s="9" customFormat="1" ht="24.95" customHeight="1" thickBot="1">
      <c r="A15" s="594">
        <f>+IF(OCTUBRE!A15=0,"",OCTUBRE!A15)</f>
        <v>1004</v>
      </c>
      <c r="B15" s="621" t="str">
        <f>+IF(OCTUBRE!B15=0,"",OCTUBRE!B15)</f>
        <v>Cesantias Ley 50/1990 a Dic-31-2018</v>
      </c>
      <c r="C15" s="759">
        <f>+ENERO!C15</f>
        <v>280000000</v>
      </c>
      <c r="D15" s="375">
        <f>OCTUBRE!D15+NOVIEMBRE!P15</f>
        <v>0</v>
      </c>
      <c r="E15" s="375">
        <f>OCTUBRE!E15+NOVIEMBRE!Q15</f>
        <v>13182074</v>
      </c>
      <c r="F15" s="376">
        <f>SUM(C15:E15)</f>
        <v>293182074</v>
      </c>
      <c r="G15" s="377">
        <f>OCTUBRE!I15</f>
        <v>293182074</v>
      </c>
      <c r="H15" s="378">
        <v>0</v>
      </c>
      <c r="I15" s="823">
        <f>SUM(G15:H15)</f>
        <v>293182074</v>
      </c>
      <c r="J15" s="377">
        <f>OCTUBRE!L15</f>
        <v>293182074</v>
      </c>
      <c r="K15" s="165">
        <v>0</v>
      </c>
      <c r="L15" s="823">
        <f>SUM(J15:K15)</f>
        <v>293182074</v>
      </c>
      <c r="M15" s="377">
        <f>F15-I15</f>
        <v>0</v>
      </c>
      <c r="N15" s="376">
        <f>F15-L15</f>
        <v>0</v>
      </c>
      <c r="O15" s="372"/>
      <c r="P15" s="374">
        <v>0</v>
      </c>
      <c r="Q15" s="379">
        <v>0</v>
      </c>
      <c r="S15" s="356" t="str">
        <f>+IF(OCTUBRE!S15=0,"",OCTUBRE!S15)</f>
        <v/>
      </c>
      <c r="T15" s="678" t="str">
        <f>+IF(OCTUBRE!T15=0,"",OCTUBRE!T15)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804789926</v>
      </c>
      <c r="AR15" s="12">
        <f>I113</f>
        <v>778505075</v>
      </c>
      <c r="AS15" s="12">
        <f>L113</f>
        <v>778505075</v>
      </c>
      <c r="AT15" s="13"/>
      <c r="AU15" s="332">
        <f t="shared" si="0"/>
        <v>0.96733948804423775</v>
      </c>
      <c r="AV15" s="340">
        <f t="shared" si="1"/>
        <v>0.96733948804423775</v>
      </c>
      <c r="AW15" s="12">
        <f>+AR15</f>
        <v>778505075</v>
      </c>
      <c r="AX15" s="12">
        <f>+AS15</f>
        <v>778505075</v>
      </c>
      <c r="AY15" s="12">
        <f t="shared" si="2"/>
        <v>-26284851</v>
      </c>
      <c r="AZ15" s="333">
        <f t="shared" si="3"/>
        <v>-26284851</v>
      </c>
      <c r="BA15" s="372"/>
      <c r="BB15" s="373" t="s">
        <v>77</v>
      </c>
      <c r="BC15" s="92">
        <f>F46+F49</f>
        <v>130489617</v>
      </c>
      <c r="BD15" s="93">
        <f>I46+I49</f>
        <v>1000041835</v>
      </c>
      <c r="BE15" s="94">
        <f>K46+K49</f>
        <v>230100</v>
      </c>
      <c r="BF15" s="95"/>
      <c r="BG15" s="91" t="s">
        <v>78</v>
      </c>
      <c r="BH15" s="81">
        <f t="shared" si="10"/>
        <v>21897947262</v>
      </c>
      <c r="BI15" s="81">
        <f t="shared" si="10"/>
        <v>20642721478</v>
      </c>
      <c r="BJ15" s="81">
        <f t="shared" si="10"/>
        <v>18670594127</v>
      </c>
      <c r="BK15" s="81">
        <f t="shared" si="10"/>
        <v>525288970</v>
      </c>
      <c r="BM15" s="71" t="s">
        <v>66</v>
      </c>
      <c r="BN15" s="83">
        <f>SUM(BN16:BN21)</f>
        <v>12463134256</v>
      </c>
      <c r="BO15" s="81">
        <f>SUM(BO16:BO21)</f>
        <v>10756365978</v>
      </c>
      <c r="BP15" s="81">
        <f>SUM(BP16:BP21)</f>
        <v>9225204070</v>
      </c>
      <c r="BQ15" s="82">
        <f>SUM(BQ16:BQ21)</f>
        <v>625878038</v>
      </c>
    </row>
    <row r="16" spans="1:69" s="9" customFormat="1" ht="24.95" customHeight="1" thickBot="1">
      <c r="A16" s="713" t="str">
        <f>+IF(OCTUBRE!A16=0,"",OCTUBRE!A16)</f>
        <v/>
      </c>
      <c r="B16" s="622" t="str">
        <f>+IF(OCTUBRE!B16=0,"",OCTUBRE!B16)</f>
        <v/>
      </c>
      <c r="C16" s="380"/>
      <c r="D16" s="380"/>
      <c r="E16" s="380"/>
      <c r="F16" s="380"/>
      <c r="G16" s="380"/>
      <c r="H16" s="380"/>
      <c r="I16" s="832"/>
      <c r="J16" s="380"/>
      <c r="K16" s="380"/>
      <c r="L16" s="832"/>
      <c r="M16" s="380"/>
      <c r="N16" s="381"/>
      <c r="O16" s="372"/>
      <c r="P16" s="382"/>
      <c r="Q16" s="383"/>
      <c r="S16" s="687">
        <f>+IF(OCTUBRE!S16=0,"",OCTUBRE!S16)</f>
        <v>1010100</v>
      </c>
      <c r="T16" s="663" t="str">
        <f>+IF(OCTUBRE!T16=0,"",OCTUBRE!T16)</f>
        <v>Servicios Personales Asociados a Nómina</v>
      </c>
      <c r="U16" s="132">
        <f t="shared" ref="U16:AJ16" si="12">SUM(U17:U20)+U33</f>
        <v>1868719642</v>
      </c>
      <c r="V16" s="122">
        <f t="shared" si="12"/>
        <v>-315000000</v>
      </c>
      <c r="W16" s="122">
        <f t="shared" si="12"/>
        <v>120000000</v>
      </c>
      <c r="X16" s="129">
        <f t="shared" si="12"/>
        <v>1673719642</v>
      </c>
      <c r="Y16" s="128">
        <f t="shared" si="12"/>
        <v>1199293926</v>
      </c>
      <c r="Z16" s="122">
        <f t="shared" si="12"/>
        <v>242815331</v>
      </c>
      <c r="AA16" s="129">
        <f t="shared" si="12"/>
        <v>1442109257</v>
      </c>
      <c r="AB16" s="128">
        <f t="shared" si="12"/>
        <v>1199293926</v>
      </c>
      <c r="AC16" s="122">
        <f t="shared" si="12"/>
        <v>242815331</v>
      </c>
      <c r="AD16" s="129">
        <f t="shared" si="12"/>
        <v>1442109257</v>
      </c>
      <c r="AE16" s="128">
        <f t="shared" si="12"/>
        <v>1199293926</v>
      </c>
      <c r="AF16" s="122">
        <f t="shared" si="12"/>
        <v>242752282</v>
      </c>
      <c r="AG16" s="129">
        <f t="shared" si="12"/>
        <v>1442046208</v>
      </c>
      <c r="AH16" s="128">
        <f t="shared" si="12"/>
        <v>231610385</v>
      </c>
      <c r="AI16" s="122">
        <f t="shared" si="12"/>
        <v>231610385</v>
      </c>
      <c r="AJ16" s="130">
        <f t="shared" si="12"/>
        <v>231673434</v>
      </c>
      <c r="AK16" s="10"/>
      <c r="AL16" s="128">
        <f>SUM(AL17:AL20)+AL33</f>
        <v>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76"/>
      <c r="BG16" s="91" t="s">
        <v>82</v>
      </c>
      <c r="BH16" s="96">
        <f>BH7+BH12+BH13+BH14+BH15</f>
        <v>116625291116</v>
      </c>
      <c r="BI16" s="96">
        <f>BI7+BI12+BI13+BI14+BI15</f>
        <v>103513785136</v>
      </c>
      <c r="BJ16" s="96">
        <f>BJ7+BJ12+BJ13+BJ14+BJ15</f>
        <v>87055141980</v>
      </c>
      <c r="BK16" s="96">
        <f>BK7+BK12+BK13+BK14+BK15</f>
        <v>5097037552</v>
      </c>
      <c r="BM16" s="137" t="s">
        <v>83</v>
      </c>
      <c r="BN16" s="83">
        <f>X114-X121+X147-X148-X153</f>
        <v>2257314729</v>
      </c>
      <c r="BO16" s="81">
        <f>AA114-AA121+AA147-AA148-AA153</f>
        <v>1584960766</v>
      </c>
      <c r="BP16" s="81">
        <f>AD114-AD121+AD147-AD148-AD153</f>
        <v>1288960716</v>
      </c>
      <c r="BQ16" s="82">
        <f>AF114-AF121+AF147-AF148-AF153</f>
        <v>256247001</v>
      </c>
    </row>
    <row r="17" spans="1:70" s="372" customFormat="1" ht="24.95" customHeight="1" thickBot="1">
      <c r="A17" s="712">
        <f>+IF(OCTUBRE!A17=0,"",OCTUBRE!A17)</f>
        <v>11</v>
      </c>
      <c r="B17" s="623" t="str">
        <f>+IF(OCTUBRE!B17=0,"",OCTUBRE!B17)</f>
        <v>INGRESOS  CORRIENTES</v>
      </c>
      <c r="C17" s="324">
        <f>C19+C94+C104</f>
        <v>61374630552</v>
      </c>
      <c r="D17" s="321">
        <f t="shared" ref="D17:Q17" si="13">D19+D94+D104</f>
        <v>0</v>
      </c>
      <c r="E17" s="321">
        <f t="shared" si="13"/>
        <v>44269005600</v>
      </c>
      <c r="F17" s="321">
        <f t="shared" si="13"/>
        <v>105643636152</v>
      </c>
      <c r="G17" s="321">
        <f t="shared" si="13"/>
        <v>97429300509</v>
      </c>
      <c r="H17" s="321">
        <f t="shared" si="13"/>
        <v>7808252272</v>
      </c>
      <c r="I17" s="829">
        <f t="shared" si="13"/>
        <v>105237552781</v>
      </c>
      <c r="J17" s="321">
        <f t="shared" si="13"/>
        <v>64035951550.760002</v>
      </c>
      <c r="K17" s="321">
        <f t="shared" si="13"/>
        <v>4385423899</v>
      </c>
      <c r="L17" s="829">
        <f t="shared" si="13"/>
        <v>68421375449.760002</v>
      </c>
      <c r="M17" s="321">
        <f t="shared" si="13"/>
        <v>406083371</v>
      </c>
      <c r="N17" s="322">
        <f t="shared" si="13"/>
        <v>37222260702.240005</v>
      </c>
      <c r="P17" s="174">
        <f t="shared" si="13"/>
        <v>0</v>
      </c>
      <c r="Q17" s="175">
        <f t="shared" si="13"/>
        <v>4978563428</v>
      </c>
      <c r="R17" s="9"/>
      <c r="S17" s="688">
        <f>+IF(OCTUBRE!S17=0,"",OCTUBRE!S17)</f>
        <v>1010101</v>
      </c>
      <c r="T17" s="664" t="str">
        <f>+IF(OCTUBRE!T17=0,"",OCTUBRE!T17)</f>
        <v>Sueldos del Personal de nómina</v>
      </c>
      <c r="U17" s="27">
        <f>+ENERO!U17</f>
        <v>1519896974</v>
      </c>
      <c r="V17" s="15">
        <f>OCTUBRE!V17+NOVIEMBRE!AL17</f>
        <v>-200000000</v>
      </c>
      <c r="W17" s="15">
        <f>OCTUBRE!W17+NOVIEMBRE!AM17</f>
        <v>0</v>
      </c>
      <c r="X17" s="18">
        <f>SUM(U17:W17)</f>
        <v>1319896974</v>
      </c>
      <c r="Y17" s="19">
        <f>OCTUBRE!AA17</f>
        <v>1071327757</v>
      </c>
      <c r="Z17" s="364">
        <v>113100154</v>
      </c>
      <c r="AA17" s="18">
        <f>SUM(Y17:Z17)</f>
        <v>1184427911</v>
      </c>
      <c r="AB17" s="19">
        <f>OCTUBRE!AD17</f>
        <v>1071327757</v>
      </c>
      <c r="AC17" s="364">
        <v>113100154</v>
      </c>
      <c r="AD17" s="18">
        <f>SUM(AB17:AC17)</f>
        <v>1184427911</v>
      </c>
      <c r="AE17" s="19">
        <f>OCTUBRE!AG17</f>
        <v>1071327757</v>
      </c>
      <c r="AF17" s="364">
        <v>113063075</v>
      </c>
      <c r="AG17" s="18">
        <f>SUM(AE17:AF17)</f>
        <v>1184390832</v>
      </c>
      <c r="AH17" s="19">
        <f>X17-AA17</f>
        <v>135469063</v>
      </c>
      <c r="AI17" s="15">
        <f>X17-AD17</f>
        <v>135469063</v>
      </c>
      <c r="AJ17" s="16">
        <f>X17-AG17</f>
        <v>135506142</v>
      </c>
      <c r="AK17" s="9"/>
      <c r="AL17" s="362">
        <v>0</v>
      </c>
      <c r="AM17" s="365">
        <v>0</v>
      </c>
      <c r="AN17" s="9"/>
      <c r="AO17" s="339"/>
      <c r="AP17" s="389" t="s">
        <v>85</v>
      </c>
      <c r="AQ17" s="390">
        <f>SUM(AQ7:AQ16)</f>
        <v>95026712075</v>
      </c>
      <c r="AR17" s="391">
        <f>SUM(AR7:AR16)</f>
        <v>97785181322</v>
      </c>
      <c r="AS17" s="392">
        <f>SUM(AS7:AS16)</f>
        <v>61027895728.760002</v>
      </c>
      <c r="AT17" s="393"/>
      <c r="AU17" s="391">
        <f t="shared" si="0"/>
        <v>1.0290283562039153</v>
      </c>
      <c r="AV17" s="391">
        <f t="shared" si="1"/>
        <v>0.64221832362876696</v>
      </c>
      <c r="AW17" s="394">
        <f>SUM(AX7:AX16)</f>
        <v>84394494614.402725</v>
      </c>
      <c r="AX17" s="394">
        <f>SUM(AX7:AX16)</f>
        <v>84394494614.402725</v>
      </c>
      <c r="AY17" s="394">
        <f>SUM(AY7:AY16)</f>
        <v>29530885082.545456</v>
      </c>
      <c r="AZ17" s="395">
        <f>SUM(AZ7:AZ16)</f>
        <v>-10632217460.597275</v>
      </c>
      <c r="BA17" s="9"/>
      <c r="BB17" s="355" t="s">
        <v>419</v>
      </c>
      <c r="BC17" s="73">
        <f>F41+F52+F55+F58+F61+F67+F70+F73+F76+F79+F82+F86+F87+F88+F89+F90+F91</f>
        <v>13450006950</v>
      </c>
      <c r="BD17" s="74">
        <f>I41+I52+I55+I58+I61+I67+I70+I73+I76+I79+I82+I86+I87+I88+I89+I90+I91</f>
        <v>9163170113</v>
      </c>
      <c r="BE17" s="75">
        <f>K41+K52+K55+K58+K61+K67+K70+K73+K76+K79+K82+K86+K87+K88+K89+K90+K91</f>
        <v>498528989</v>
      </c>
      <c r="BF17" s="76"/>
      <c r="BG17" s="98" t="s">
        <v>86</v>
      </c>
      <c r="BH17" s="99">
        <f>BC23-BH16</f>
        <v>-116625291116</v>
      </c>
      <c r="BI17" s="99"/>
      <c r="BJ17" s="99"/>
      <c r="BK17" s="99"/>
      <c r="BM17" s="137" t="s">
        <v>434</v>
      </c>
      <c r="BN17" s="83">
        <f>X123-X126-X139+X155-X156-X167-X168</f>
        <v>5174712263</v>
      </c>
      <c r="BO17" s="81">
        <f>AA123-AA126-AA139+AA155-AA156-AA167-AA168</f>
        <v>4810030543</v>
      </c>
      <c r="BP17" s="81">
        <f>AD123-AD126-AD139+AD155-AD156-AD167-AD168</f>
        <v>4317304625</v>
      </c>
      <c r="BQ17" s="82">
        <f>AF123-AF126-AF139+AF155-AF156-AF167-AF168</f>
        <v>225833249</v>
      </c>
      <c r="BR17" s="9"/>
    </row>
    <row r="18" spans="1:70" s="9" customFormat="1" ht="24.95" customHeight="1" thickBot="1">
      <c r="A18" s="593" t="str">
        <f>+IF(OCTUBRE!A18=0,"",OCTUBRE!A18)</f>
        <v/>
      </c>
      <c r="B18" s="624" t="str">
        <f>+IF(OCTUBRE!B18=0,"",OCTUBRE!B18)</f>
        <v/>
      </c>
      <c r="C18" s="284"/>
      <c r="D18" s="284"/>
      <c r="E18" s="284"/>
      <c r="F18" s="284"/>
      <c r="G18" s="284"/>
      <c r="H18" s="284"/>
      <c r="I18" s="450"/>
      <c r="J18" s="284"/>
      <c r="K18" s="284"/>
      <c r="L18" s="450"/>
      <c r="M18" s="284"/>
      <c r="N18" s="453"/>
      <c r="P18" s="397"/>
      <c r="Q18" s="396"/>
      <c r="S18" s="688">
        <f>+IF(OCTUBRE!S18=0,"",OCTUBRE!S18)</f>
        <v>1010102</v>
      </c>
      <c r="T18" s="664" t="str">
        <f>+IF(OCTUBRE!T18=0,"",OCTUBRE!T18)</f>
        <v>Horas Extras,Dominic.,Festivos y Rec. Nocturnos</v>
      </c>
      <c r="U18" s="27">
        <f>+ENERO!U18</f>
        <v>7017105</v>
      </c>
      <c r="V18" s="15">
        <f>OCTUBRE!V18+NOVIEMBRE!AL18</f>
        <v>5000000</v>
      </c>
      <c r="W18" s="15">
        <f>OCTUBRE!W18+NOVIEMBRE!AM18</f>
        <v>0</v>
      </c>
      <c r="X18" s="18">
        <f>SUM(U18:W18)</f>
        <v>12017105</v>
      </c>
      <c r="Y18" s="19">
        <f>OCTUBRE!AA18</f>
        <v>8453512</v>
      </c>
      <c r="Z18" s="364">
        <v>1310951</v>
      </c>
      <c r="AA18" s="18">
        <f>SUM(Y18:Z18)</f>
        <v>9764463</v>
      </c>
      <c r="AB18" s="19">
        <f>OCTUBRE!AD18</f>
        <v>8453512</v>
      </c>
      <c r="AC18" s="364">
        <v>1310951</v>
      </c>
      <c r="AD18" s="18">
        <f>SUM(AB18:AC18)</f>
        <v>9764463</v>
      </c>
      <c r="AE18" s="19">
        <f>OCTUBRE!AG18</f>
        <v>8453512</v>
      </c>
      <c r="AF18" s="364">
        <v>1310951</v>
      </c>
      <c r="AG18" s="18">
        <f>SUM(AE18:AF18)</f>
        <v>9764463</v>
      </c>
      <c r="AH18" s="19">
        <f>X18-AA18</f>
        <v>2252642</v>
      </c>
      <c r="AI18" s="15">
        <f>X18-AD18</f>
        <v>2252642</v>
      </c>
      <c r="AJ18" s="16">
        <f>X18-AG18</f>
        <v>2252642</v>
      </c>
      <c r="AL18" s="362">
        <v>0</v>
      </c>
      <c r="AM18" s="365">
        <v>0</v>
      </c>
      <c r="AO18" s="21"/>
      <c r="AP18" s="284" t="s">
        <v>51</v>
      </c>
      <c r="AQ18" s="284"/>
      <c r="AR18" s="284"/>
      <c r="AS18" s="284"/>
      <c r="AT18" s="284"/>
      <c r="AU18" s="284"/>
      <c r="AV18" s="284"/>
      <c r="AW18" s="284"/>
      <c r="AX18" s="284"/>
      <c r="AY18" s="284"/>
      <c r="AZ18" s="284"/>
      <c r="BA18" s="372"/>
      <c r="BB18" s="373" t="s">
        <v>420</v>
      </c>
      <c r="BC18" s="73">
        <f>+F95+F96+F97+F99</f>
        <v>21498200978</v>
      </c>
      <c r="BD18" s="74">
        <f>+I95+I96+I97+I99</f>
        <v>18282262756</v>
      </c>
      <c r="BE18" s="75">
        <f>+K95+K96+K97+K99</f>
        <v>0</v>
      </c>
      <c r="BF18" s="95"/>
      <c r="BM18" s="137" t="s">
        <v>87</v>
      </c>
      <c r="BN18" s="83">
        <f>X148+X156</f>
        <v>3764025000</v>
      </c>
      <c r="BO18" s="81">
        <f>AA148+AA156</f>
        <v>3437651138</v>
      </c>
      <c r="BP18" s="81">
        <f>AD148+AD156</f>
        <v>2758747055</v>
      </c>
      <c r="BQ18" s="82">
        <f>AF148+AF156</f>
        <v>84357907</v>
      </c>
      <c r="BR18" s="372"/>
    </row>
    <row r="19" spans="1:70" s="9" customFormat="1" ht="24.95" customHeight="1" thickBot="1">
      <c r="A19" s="714">
        <f>+IF(OCTUBRE!A19=0,"",OCTUBRE!A19)</f>
        <v>113</v>
      </c>
      <c r="B19" s="625" t="str">
        <f>+IF(OCTUBRE!B19=0,"",OCTUBRE!B19)</f>
        <v>VENTA DE SERVICIOS</v>
      </c>
      <c r="C19" s="324">
        <f t="shared" ref="C19:N19" si="14">C21+C85</f>
        <v>53293559356</v>
      </c>
      <c r="D19" s="321">
        <f t="shared" si="14"/>
        <v>0</v>
      </c>
      <c r="E19" s="321">
        <f t="shared" si="14"/>
        <v>30751497755</v>
      </c>
      <c r="F19" s="322">
        <f t="shared" si="14"/>
        <v>84045057111</v>
      </c>
      <c r="G19" s="324">
        <f t="shared" si="14"/>
        <v>79025865353</v>
      </c>
      <c r="H19" s="321">
        <f t="shared" si="14"/>
        <v>7803945856</v>
      </c>
      <c r="I19" s="833">
        <f t="shared" si="14"/>
        <v>86829811209</v>
      </c>
      <c r="J19" s="324">
        <f t="shared" si="14"/>
        <v>45688585815.760002</v>
      </c>
      <c r="K19" s="321">
        <f t="shared" si="14"/>
        <v>4383939800</v>
      </c>
      <c r="L19" s="833">
        <f t="shared" si="14"/>
        <v>50072525615.760002</v>
      </c>
      <c r="M19" s="324">
        <f t="shared" si="14"/>
        <v>-2784754098</v>
      </c>
      <c r="N19" s="322">
        <f t="shared" si="14"/>
        <v>33972531495.240002</v>
      </c>
      <c r="O19" s="372"/>
      <c r="P19" s="43">
        <f>P21+P85</f>
        <v>0</v>
      </c>
      <c r="Q19" s="45">
        <f>Q21+Q85</f>
        <v>1778563428</v>
      </c>
      <c r="S19" s="688">
        <f>+IF(OCTUBRE!S19=0,"",OCTUBRE!S19)</f>
        <v>1010103</v>
      </c>
      <c r="T19" s="664" t="str">
        <f>+IF(OCTUBRE!T19=0,"",OCTUBRE!T19)</f>
        <v>Prima Técnica</v>
      </c>
      <c r="U19" s="27">
        <f>+ENERO!U19</f>
        <v>0</v>
      </c>
      <c r="V19" s="15">
        <f>OCTUBRE!V19+NOVIEMBRE!AL19</f>
        <v>0</v>
      </c>
      <c r="W19" s="15">
        <f>OCTUBRE!W19+NOVIEMBRE!AM19</f>
        <v>0</v>
      </c>
      <c r="X19" s="18">
        <f>SUM(U19:W19)</f>
        <v>0</v>
      </c>
      <c r="Y19" s="19">
        <f>OCTUBRE!AA19</f>
        <v>0</v>
      </c>
      <c r="Z19" s="364">
        <v>0</v>
      </c>
      <c r="AA19" s="18">
        <f>SUM(Y19:Z19)</f>
        <v>0</v>
      </c>
      <c r="AB19" s="19">
        <f>OCTUBRE!AD19</f>
        <v>0</v>
      </c>
      <c r="AC19" s="364">
        <v>0</v>
      </c>
      <c r="AD19" s="18">
        <f>SUM(AB19:AC19)</f>
        <v>0</v>
      </c>
      <c r="AE19" s="19">
        <f>OCTUBRE!AG19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100378063</v>
      </c>
      <c r="BD19" s="93">
        <f>+I105+I106+I107+I108+I109+I110+I98+I100+I101</f>
        <v>125478816</v>
      </c>
      <c r="BE19" s="94">
        <f>+K105+K106+K107+K108+K109+K110+K98+K100+K101</f>
        <v>1484099</v>
      </c>
      <c r="BF19" s="57"/>
      <c r="BG19" s="372"/>
      <c r="BH19" s="372">
        <f>BN33</f>
        <v>0</v>
      </c>
      <c r="BI19" s="372"/>
      <c r="BJ19" s="372"/>
      <c r="BK19" s="372"/>
      <c r="BM19" s="137" t="s">
        <v>94</v>
      </c>
      <c r="BN19" s="83">
        <f>X126+X167</f>
        <v>740000000</v>
      </c>
      <c r="BO19" s="81">
        <f>AA126+AA167</f>
        <v>660836671</v>
      </c>
      <c r="BP19" s="81">
        <f>AD126+AD167</f>
        <v>597304814</v>
      </c>
      <c r="BQ19" s="82">
        <f>AF126+AF167</f>
        <v>43585904</v>
      </c>
    </row>
    <row r="20" spans="1:70" s="412" customFormat="1" ht="24.95" customHeight="1" thickBot="1">
      <c r="A20" s="593" t="str">
        <f>+IF(OCTUBRE!A20=0,"",OCTUBRE!A20)</f>
        <v/>
      </c>
      <c r="B20" s="626" t="str">
        <f>+IF(OCTUBRE!B20=0,"",OCTUBRE!B20)</f>
        <v/>
      </c>
      <c r="C20" s="284"/>
      <c r="D20" s="284"/>
      <c r="E20" s="284"/>
      <c r="F20" s="284"/>
      <c r="G20" s="284"/>
      <c r="H20" s="284"/>
      <c r="I20" s="450"/>
      <c r="J20" s="284"/>
      <c r="K20" s="284"/>
      <c r="L20" s="450"/>
      <c r="M20" s="284"/>
      <c r="N20" s="453"/>
      <c r="O20" s="9"/>
      <c r="P20" s="397"/>
      <c r="Q20" s="396"/>
      <c r="R20" s="9"/>
      <c r="S20" s="688">
        <f>+IF(OCTUBRE!S20=0,"",OCTUBRE!S20)</f>
        <v>1010104</v>
      </c>
      <c r="T20" s="664" t="str">
        <f>+IF(OCTUBRE!T20=0,"",OCTUBRE!T20)</f>
        <v>Otros</v>
      </c>
      <c r="U20" s="27">
        <f t="shared" ref="U20:AJ20" si="15">SUM(U21:U32)</f>
        <v>341805563</v>
      </c>
      <c r="V20" s="15">
        <f t="shared" si="15"/>
        <v>0</v>
      </c>
      <c r="W20" s="15">
        <f t="shared" si="15"/>
        <v>0</v>
      </c>
      <c r="X20" s="18">
        <f t="shared" si="15"/>
        <v>341805563</v>
      </c>
      <c r="Y20" s="19">
        <f t="shared" si="15"/>
        <v>119512657</v>
      </c>
      <c r="Z20" s="142">
        <f t="shared" si="15"/>
        <v>128404226</v>
      </c>
      <c r="AA20" s="18">
        <f t="shared" si="15"/>
        <v>247916883</v>
      </c>
      <c r="AB20" s="19">
        <f t="shared" si="15"/>
        <v>119512657</v>
      </c>
      <c r="AC20" s="142">
        <f t="shared" si="15"/>
        <v>128404226</v>
      </c>
      <c r="AD20" s="18">
        <f t="shared" si="15"/>
        <v>247916883</v>
      </c>
      <c r="AE20" s="19">
        <f t="shared" si="15"/>
        <v>119512657</v>
      </c>
      <c r="AF20" s="142">
        <f t="shared" si="15"/>
        <v>128378256</v>
      </c>
      <c r="AG20" s="18">
        <f t="shared" si="15"/>
        <v>247890913</v>
      </c>
      <c r="AH20" s="19">
        <f t="shared" si="15"/>
        <v>93888680</v>
      </c>
      <c r="AI20" s="15">
        <f t="shared" si="15"/>
        <v>93888680</v>
      </c>
      <c r="AJ20" s="16">
        <f t="shared" si="15"/>
        <v>93914650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804789926</v>
      </c>
      <c r="BD20" s="66">
        <f>+I115+I117+I119+I120+I121+I123+I124</f>
        <v>778505075</v>
      </c>
      <c r="BE20" s="67">
        <f>+K115+K117+K119+K120+K121+K123+K124</f>
        <v>21175100</v>
      </c>
      <c r="BF20" s="57"/>
      <c r="BG20" s="372"/>
      <c r="BH20" s="372">
        <f>BH19-BH16</f>
        <v>-116625291116</v>
      </c>
      <c r="BI20" s="372"/>
      <c r="BJ20" s="372"/>
      <c r="BK20" s="372"/>
      <c r="BL20" s="372"/>
      <c r="BM20" s="139" t="s">
        <v>429</v>
      </c>
      <c r="BN20" s="83">
        <f>+X141-X143</f>
        <v>527082264</v>
      </c>
      <c r="BO20" s="81">
        <f>+AA141-AA143</f>
        <v>262886860</v>
      </c>
      <c r="BP20" s="81">
        <f>+AD141-AD143</f>
        <v>262886860</v>
      </c>
      <c r="BQ20" s="82">
        <f>+AF141-AF143</f>
        <v>15853977</v>
      </c>
      <c r="BR20" s="9"/>
    </row>
    <row r="21" spans="1:70" s="412" customFormat="1" ht="24.95" customHeight="1" thickBot="1">
      <c r="A21" s="715">
        <f>+IF(OCTUBRE!A21=0,"",OCTUBRE!A21)</f>
        <v>11301</v>
      </c>
      <c r="B21" s="627" t="str">
        <f>+IF(OCTUBRE!B21=0,"",OCTUBRE!B21)</f>
        <v>Venta de Servicios de Salud</v>
      </c>
      <c r="C21" s="174">
        <f t="shared" ref="C21:N21" si="16">C22+C25+C28+C41+C42+C45+C48+C51+C54+C57+C60+C63+C66+C69+C72+C75+C78+C81</f>
        <v>53293559356</v>
      </c>
      <c r="D21" s="344">
        <f t="shared" si="16"/>
        <v>0</v>
      </c>
      <c r="E21" s="344">
        <f t="shared" si="16"/>
        <v>17700935480</v>
      </c>
      <c r="F21" s="344">
        <f t="shared" si="16"/>
        <v>70994494836</v>
      </c>
      <c r="G21" s="344">
        <f t="shared" si="16"/>
        <v>71008319077</v>
      </c>
      <c r="H21" s="344">
        <f t="shared" si="16"/>
        <v>6606323848</v>
      </c>
      <c r="I21" s="834">
        <f t="shared" si="16"/>
        <v>77614642925</v>
      </c>
      <c r="J21" s="344">
        <f t="shared" si="16"/>
        <v>40132399746.760002</v>
      </c>
      <c r="K21" s="344">
        <f t="shared" si="16"/>
        <v>3436058890</v>
      </c>
      <c r="L21" s="834">
        <f t="shared" si="16"/>
        <v>43568458636.760002</v>
      </c>
      <c r="M21" s="344">
        <f t="shared" si="16"/>
        <v>-6620148089</v>
      </c>
      <c r="N21" s="175">
        <f t="shared" si="16"/>
        <v>27426036199.240002</v>
      </c>
      <c r="O21" s="372"/>
      <c r="P21" s="43">
        <f>P22+P25+P28+P41+P42+P45+P48+P51+P54+P57+P60+P63+P66+P69+P72+P75+P78+P81</f>
        <v>0</v>
      </c>
      <c r="Q21" s="45">
        <f>Q22+Q25+Q28+Q41+Q42+Q45+Q48+Q51+Q54+Q57+Q60+Q63+Q66+Q69+Q72+Q75+Q78+Q81</f>
        <v>1378563428</v>
      </c>
      <c r="R21" s="9"/>
      <c r="S21" s="689" t="str">
        <f>+IF(OCTUBRE!S21=0,"",OCTUBRE!S21)</f>
        <v>1010104-1</v>
      </c>
      <c r="T21" s="665" t="str">
        <f>+IF(OCTUBRE!T21=0,"",OCTUBRE!T21)</f>
        <v xml:space="preserve">Prima de Navidad </v>
      </c>
      <c r="U21" s="27">
        <f>+ENERO!U21</f>
        <v>142096948</v>
      </c>
      <c r="V21" s="15">
        <f>OCTUBRE!V21+NOVIEMBRE!AL21</f>
        <v>0</v>
      </c>
      <c r="W21" s="15">
        <f>OCTUBRE!W21+NOVIEMBRE!AM21</f>
        <v>0</v>
      </c>
      <c r="X21" s="18">
        <f t="shared" ref="X21:X33" si="17">SUM(U21:W21)</f>
        <v>142096948</v>
      </c>
      <c r="Y21" s="19">
        <f>OCTUBRE!AA21</f>
        <v>4580537</v>
      </c>
      <c r="Z21" s="364">
        <v>112422868</v>
      </c>
      <c r="AA21" s="18">
        <f t="shared" ref="AA21:AA33" si="18">SUM(Y21:Z21)</f>
        <v>117003405</v>
      </c>
      <c r="AB21" s="19">
        <f>OCTUBRE!AD21</f>
        <v>4580537</v>
      </c>
      <c r="AC21" s="364">
        <v>112422868</v>
      </c>
      <c r="AD21" s="18">
        <f t="shared" ref="AD21:AD33" si="19">SUM(AB21:AC21)</f>
        <v>117003405</v>
      </c>
      <c r="AE21" s="19">
        <f>OCTUBRE!AG21</f>
        <v>4580537</v>
      </c>
      <c r="AF21" s="364">
        <v>112420954</v>
      </c>
      <c r="AG21" s="18">
        <f t="shared" ref="AG21:AG33" si="20">SUM(AE21:AF21)</f>
        <v>117001491</v>
      </c>
      <c r="AH21" s="19">
        <f t="shared" ref="AH21:AH33" si="21">X21-AA21</f>
        <v>25093543</v>
      </c>
      <c r="AI21" s="15">
        <f t="shared" ref="AI21:AI33" si="22">X21-AD21</f>
        <v>25093543</v>
      </c>
      <c r="AJ21" s="16">
        <f t="shared" ref="AJ21:AJ33" si="23">X21-AG21</f>
        <v>25095457</v>
      </c>
      <c r="AK21" s="9"/>
      <c r="AL21" s="362">
        <v>0</v>
      </c>
      <c r="AM21" s="365">
        <v>0</v>
      </c>
      <c r="AN21" s="9"/>
      <c r="AO21" s="339"/>
      <c r="AP21" s="413"/>
      <c r="AQ21" s="414"/>
      <c r="AR21" s="415" t="str">
        <f>AR6</f>
        <v>NOVIEMBRE</v>
      </c>
      <c r="AS21" s="416" t="str">
        <f>AR6</f>
        <v>NOVIEMBRE</v>
      </c>
      <c r="AT21" s="415" t="str">
        <f>AR6</f>
        <v>NOVIEMBRE</v>
      </c>
      <c r="AU21" s="415" t="s">
        <v>44</v>
      </c>
      <c r="AV21" s="415" t="s">
        <v>22</v>
      </c>
      <c r="AW21" s="417"/>
      <c r="AX21" s="417"/>
      <c r="AY21" s="415" t="s">
        <v>44</v>
      </c>
      <c r="AZ21" s="418" t="s">
        <v>22</v>
      </c>
      <c r="BA21" s="9"/>
      <c r="BB21" s="101" t="s">
        <v>422</v>
      </c>
      <c r="BC21" s="65">
        <f>SUMIF($B8:B122,$B24,F8:F122)+F122</f>
        <v>17885230076</v>
      </c>
      <c r="BD21" s="66">
        <f>SUMIF($B8:B122,$B24,I8:I122)+I122</f>
        <v>20436613709</v>
      </c>
      <c r="BE21" s="67">
        <f>SUMIF($B8:B122,$B24,K8:K122)+K122</f>
        <v>2551383633</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+IF(OCTUBRE!A22=0,"",OCTUBRE!A22)</f>
        <v>1130101</v>
      </c>
      <c r="B22" s="628" t="str">
        <f>+IF(OCTUBRE!B22=0,"",OCTUBRE!B22)</f>
        <v>EPS - REGIMEN CONTRIBUTIVO</v>
      </c>
      <c r="C22" s="43">
        <f t="shared" ref="C22:N22" si="24">SUM(C23:C24)</f>
        <v>3087894380</v>
      </c>
      <c r="D22" s="44">
        <f t="shared" si="24"/>
        <v>0</v>
      </c>
      <c r="E22" s="44">
        <f t="shared" si="24"/>
        <v>834539899</v>
      </c>
      <c r="F22" s="44">
        <f t="shared" si="24"/>
        <v>3922434279</v>
      </c>
      <c r="G22" s="44">
        <f t="shared" si="24"/>
        <v>3582984245</v>
      </c>
      <c r="H22" s="44">
        <f t="shared" si="24"/>
        <v>423307163</v>
      </c>
      <c r="I22" s="835">
        <f t="shared" si="24"/>
        <v>4006291408</v>
      </c>
      <c r="J22" s="44">
        <f t="shared" si="24"/>
        <v>1791949339</v>
      </c>
      <c r="K22" s="44">
        <f t="shared" si="24"/>
        <v>247282624</v>
      </c>
      <c r="L22" s="835">
        <f t="shared" si="24"/>
        <v>2039231963</v>
      </c>
      <c r="M22" s="44">
        <f t="shared" si="24"/>
        <v>-83857129</v>
      </c>
      <c r="N22" s="45">
        <f t="shared" si="24"/>
        <v>1883202316</v>
      </c>
      <c r="P22" s="43">
        <f>SUM(P23:P24)</f>
        <v>0</v>
      </c>
      <c r="Q22" s="45">
        <f>SUM(Q23:Q24)</f>
        <v>11842169</v>
      </c>
      <c r="S22" s="689" t="str">
        <f>+IF(OCTUBRE!S22=0,"",OCTUBRE!S22)</f>
        <v>1010104-2</v>
      </c>
      <c r="T22" s="665" t="str">
        <f>+IF(OCTUBRE!T22=0,"",OCTUBRE!T22)</f>
        <v>Prima de Vacaciones</v>
      </c>
      <c r="U22" s="27">
        <f>+ENERO!U22</f>
        <v>72708845</v>
      </c>
      <c r="V22" s="15">
        <f>OCTUBRE!V22+NOVIEMBRE!AL22</f>
        <v>0</v>
      </c>
      <c r="W22" s="15">
        <f>OCTUBRE!W22+NOVIEMBRE!AM22</f>
        <v>0</v>
      </c>
      <c r="X22" s="18">
        <f t="shared" si="17"/>
        <v>72708845</v>
      </c>
      <c r="Y22" s="19">
        <f>OCTUBRE!AA22</f>
        <v>30480157</v>
      </c>
      <c r="Z22" s="364">
        <v>4561793</v>
      </c>
      <c r="AA22" s="18">
        <f t="shared" si="18"/>
        <v>35041950</v>
      </c>
      <c r="AB22" s="19">
        <f>OCTUBRE!AD22</f>
        <v>30480157</v>
      </c>
      <c r="AC22" s="364">
        <v>4561793</v>
      </c>
      <c r="AD22" s="18">
        <f t="shared" si="19"/>
        <v>35041950</v>
      </c>
      <c r="AE22" s="19">
        <f>OCTUBRE!AG22</f>
        <v>30480157</v>
      </c>
      <c r="AF22" s="364">
        <v>4553340</v>
      </c>
      <c r="AG22" s="18">
        <f t="shared" si="20"/>
        <v>35033497</v>
      </c>
      <c r="AH22" s="19">
        <f t="shared" si="21"/>
        <v>37666895</v>
      </c>
      <c r="AI22" s="15">
        <f t="shared" si="22"/>
        <v>37666895</v>
      </c>
      <c r="AJ22" s="16">
        <f t="shared" si="23"/>
        <v>37675348</v>
      </c>
      <c r="AL22" s="362">
        <v>0</v>
      </c>
      <c r="AM22" s="365">
        <v>0</v>
      </c>
      <c r="AO22" s="21"/>
      <c r="AP22" s="419" t="s">
        <v>104</v>
      </c>
      <c r="AQ22" s="420">
        <f>X17+X66</f>
        <v>3409004812</v>
      </c>
      <c r="AR22" s="420">
        <f>AD17+AD66</f>
        <v>3098205184</v>
      </c>
      <c r="AS22" s="420">
        <f>AG17+AG66</f>
        <v>3097998014</v>
      </c>
      <c r="AT22" s="421"/>
      <c r="AU22" s="422">
        <f t="shared" ref="AU22:AU32" si="25">IF(AQ22=0," ",AR22/AQ22)</f>
        <v>0.90882980660339419</v>
      </c>
      <c r="AV22" s="422">
        <f t="shared" ref="AV22:AV32" si="26">IF(AQ22=0," ",AS22/AQ22)</f>
        <v>0.90876903520193686</v>
      </c>
      <c r="AW22" s="423">
        <f>AR22/$AO$2*12</f>
        <v>3379860200.727273</v>
      </c>
      <c r="AX22" s="423">
        <f>AS22/$AO$2*12</f>
        <v>3379634197.090909</v>
      </c>
      <c r="AY22" s="423">
        <f t="shared" ref="AY22:AY31" si="27">AW22-AQ22</f>
        <v>-29144611.272727013</v>
      </c>
      <c r="AZ22" s="424">
        <f t="shared" ref="AZ22:AZ31" si="28">AQ22-AX22</f>
        <v>29370614.909090996</v>
      </c>
      <c r="BA22" s="372"/>
      <c r="BB22" s="102" t="s">
        <v>109</v>
      </c>
      <c r="BC22" s="103">
        <f>BC7+BC8+BC20+BC21</f>
        <v>116625291116</v>
      </c>
      <c r="BD22" s="104">
        <f>BD7+BD8+BD20+BD21</f>
        <v>116192922894</v>
      </c>
      <c r="BE22" s="105">
        <f>BE7+BE8+BE20+BE21</f>
        <v>4406598999</v>
      </c>
      <c r="BF22" s="57"/>
      <c r="BG22" s="372"/>
      <c r="BH22" s="372"/>
      <c r="BI22" s="372"/>
      <c r="BJ22" s="372"/>
      <c r="BK22" s="372"/>
      <c r="BM22" s="71" t="s">
        <v>67</v>
      </c>
      <c r="BN22" s="83">
        <f>BN23+BN24</f>
        <v>1292354144</v>
      </c>
      <c r="BO22" s="81">
        <f>BO23+BO24</f>
        <v>982765246</v>
      </c>
      <c r="BP22" s="81">
        <f>BP23+BP24</f>
        <v>982765246</v>
      </c>
      <c r="BQ22" s="82">
        <f>BQ23+BQ24</f>
        <v>129460537</v>
      </c>
      <c r="BR22" s="372"/>
    </row>
    <row r="23" spans="1:70" s="412" customFormat="1" ht="24.95" customHeight="1">
      <c r="A23" s="593" t="str">
        <f>+IF(OCTUBRE!A23=0,"",OCTUBRE!A23)</f>
        <v>1130101-1</v>
      </c>
      <c r="B23" s="629" t="str">
        <f>+CONCATENATE("Vigencia ",INSTRUCCIONES!$F$3)</f>
        <v>Vigencia 2019</v>
      </c>
      <c r="C23" s="655">
        <f>+ENERO!C23</f>
        <v>3087894380</v>
      </c>
      <c r="D23" s="363">
        <f>OCTUBRE!D23+NOVIEMBRE!P23</f>
        <v>0</v>
      </c>
      <c r="E23" s="363">
        <f>OCTUBRE!E23+NOVIEMBRE!Q23</f>
        <v>0</v>
      </c>
      <c r="F23" s="363">
        <f>SUM(C23:E23)</f>
        <v>3087894380</v>
      </c>
      <c r="G23" s="363">
        <f>OCTUBRE!I23</f>
        <v>2748444346</v>
      </c>
      <c r="H23" s="364">
        <v>403913420</v>
      </c>
      <c r="I23" s="454">
        <f>SUM(G23:H23)</f>
        <v>3152357766</v>
      </c>
      <c r="J23" s="363">
        <f>OCTUBRE!L23</f>
        <v>957409440</v>
      </c>
      <c r="K23" s="364">
        <v>227888881</v>
      </c>
      <c r="L23" s="454">
        <f>SUM(J23:K23)</f>
        <v>1185298321</v>
      </c>
      <c r="M23" s="363">
        <f>F23-I23</f>
        <v>-64463386</v>
      </c>
      <c r="N23" s="143">
        <f>F23-L23</f>
        <v>1902596059</v>
      </c>
      <c r="O23" s="9"/>
      <c r="P23" s="362">
        <v>0</v>
      </c>
      <c r="Q23" s="365">
        <v>0</v>
      </c>
      <c r="R23" s="9"/>
      <c r="S23" s="689" t="str">
        <f>+IF(OCTUBRE!S23=0,"",OCTUBRE!S23)</f>
        <v>1010104-3</v>
      </c>
      <c r="T23" s="665" t="str">
        <f>+IF(OCTUBRE!T23=0,"",OCTUBRE!T23)</f>
        <v>Bonificación  por servicios prestados</v>
      </c>
      <c r="U23" s="27">
        <f>+ENERO!U23</f>
        <v>44330324</v>
      </c>
      <c r="V23" s="15">
        <f>OCTUBRE!V23+NOVIEMBRE!AL23</f>
        <v>0</v>
      </c>
      <c r="W23" s="15">
        <f>OCTUBRE!W23+NOVIEMBRE!AM23</f>
        <v>0</v>
      </c>
      <c r="X23" s="18">
        <f t="shared" si="17"/>
        <v>44330324</v>
      </c>
      <c r="Y23" s="19">
        <f>OCTUBRE!AA23</f>
        <v>26056189</v>
      </c>
      <c r="Z23" s="364">
        <v>10725071</v>
      </c>
      <c r="AA23" s="18">
        <f t="shared" si="18"/>
        <v>36781260</v>
      </c>
      <c r="AB23" s="19">
        <f>OCTUBRE!AD23</f>
        <v>26056189</v>
      </c>
      <c r="AC23" s="364">
        <v>10725071</v>
      </c>
      <c r="AD23" s="18">
        <f t="shared" si="19"/>
        <v>36781260</v>
      </c>
      <c r="AE23" s="19">
        <f>OCTUBRE!AG23</f>
        <v>26056189</v>
      </c>
      <c r="AF23" s="364">
        <v>10719718</v>
      </c>
      <c r="AG23" s="18">
        <f t="shared" si="20"/>
        <v>36775907</v>
      </c>
      <c r="AH23" s="19">
        <f t="shared" si="21"/>
        <v>7549064</v>
      </c>
      <c r="AI23" s="15">
        <f t="shared" si="22"/>
        <v>7549064</v>
      </c>
      <c r="AJ23" s="16">
        <f t="shared" si="23"/>
        <v>7554417</v>
      </c>
      <c r="AK23" s="9"/>
      <c r="AL23" s="362">
        <v>0</v>
      </c>
      <c r="AM23" s="365">
        <v>0</v>
      </c>
      <c r="AN23" s="9"/>
      <c r="AO23" s="360"/>
      <c r="AP23" s="425" t="s">
        <v>108</v>
      </c>
      <c r="AQ23" s="426">
        <f>X16+X65-AQ22</f>
        <v>1499680691</v>
      </c>
      <c r="AR23" s="426">
        <f>AD16+AD65-AR22</f>
        <v>817554942</v>
      </c>
      <c r="AS23" s="426">
        <f>AG16+AG65-AS22</f>
        <v>817472640</v>
      </c>
      <c r="AT23" s="317"/>
      <c r="AU23" s="332">
        <f t="shared" si="25"/>
        <v>0.54515267610390272</v>
      </c>
      <c r="AV23" s="332">
        <f t="shared" si="26"/>
        <v>0.54509779642151834</v>
      </c>
      <c r="AW23" s="426">
        <f>(AR23-AD21-AD22-AD23-AD25-AD30-AD33-AD70-AD71-AD72-AD74-AD78-AD81)/$AO$2*12+AX22/12*2.5+AD30+AD33+AD78+AD81</f>
        <v>1016162396.090909</v>
      </c>
      <c r="AX23" s="426">
        <f>(AS23-AG21-AG22-AG23-AG25-AG30-AG33-AG70-AG71-AG72-AG74-AG78-AG81)/$AO$2*12+AX22/12*2.5+AG30+AG33+AG78+AG81</f>
        <v>1016121948.2727273</v>
      </c>
      <c r="AY23" s="426">
        <f t="shared" si="27"/>
        <v>-483518294.909091</v>
      </c>
      <c r="AZ23" s="46">
        <f t="shared" si="28"/>
        <v>483558742.72727275</v>
      </c>
      <c r="BA23" s="372"/>
      <c r="BF23" s="372"/>
      <c r="BG23" s="372"/>
      <c r="BH23" s="372"/>
      <c r="BI23" s="372"/>
      <c r="BJ23" s="372"/>
      <c r="BK23" s="372"/>
      <c r="BL23" s="372"/>
      <c r="BM23" s="137" t="s">
        <v>105</v>
      </c>
      <c r="BN23" s="83">
        <f>X177</f>
        <v>965336472</v>
      </c>
      <c r="BO23" s="81">
        <f>AA177</f>
        <v>807500458</v>
      </c>
      <c r="BP23" s="81">
        <f>AD177</f>
        <v>807500458</v>
      </c>
      <c r="BQ23" s="82">
        <f>AF177</f>
        <v>125274949</v>
      </c>
      <c r="BR23" s="9"/>
    </row>
    <row r="24" spans="1:70" s="412" customFormat="1" ht="24.95" customHeight="1">
      <c r="A24" s="593" t="str">
        <f>+IF(OCTUBRE!A24=0,"",OCTUBRE!A24)</f>
        <v>1130101-2</v>
      </c>
      <c r="B24" s="629" t="str">
        <f>+IF(OCTUBRE!B24=0,"",OCTUBRE!B24)</f>
        <v>Vigencia Anterior</v>
      </c>
      <c r="C24" s="655">
        <f>+ENERO!C24</f>
        <v>0</v>
      </c>
      <c r="D24" s="363">
        <f>OCTUBRE!D24+NOVIEMBRE!P24</f>
        <v>0</v>
      </c>
      <c r="E24" s="363">
        <f>OCTUBRE!E24+NOVIEMBRE!Q24</f>
        <v>834539899</v>
      </c>
      <c r="F24" s="363">
        <f>SUM(C24:E24)</f>
        <v>834539899</v>
      </c>
      <c r="G24" s="363">
        <f>OCTUBRE!I24</f>
        <v>834539899</v>
      </c>
      <c r="H24" s="364">
        <v>19393743</v>
      </c>
      <c r="I24" s="454">
        <f>SUM(G24:H24)</f>
        <v>853933642</v>
      </c>
      <c r="J24" s="363">
        <f>OCTUBRE!L24</f>
        <v>834539899</v>
      </c>
      <c r="K24" s="364">
        <v>19393743</v>
      </c>
      <c r="L24" s="454">
        <f>SUM(J24:K24)</f>
        <v>853933642</v>
      </c>
      <c r="M24" s="363">
        <f>F24-I24</f>
        <v>-19393743</v>
      </c>
      <c r="N24" s="143">
        <f>F24-L24</f>
        <v>-19393743</v>
      </c>
      <c r="O24" s="372"/>
      <c r="P24" s="362">
        <v>0</v>
      </c>
      <c r="Q24" s="365">
        <v>11842169</v>
      </c>
      <c r="R24" s="9"/>
      <c r="S24" s="689" t="str">
        <f>+IF(OCTUBRE!S24=0,"",OCTUBRE!S24)</f>
        <v>1010104-4</v>
      </c>
      <c r="T24" s="665" t="str">
        <f>+IF(OCTUBRE!T24=0,"",OCTUBRE!T24)</f>
        <v>Prima de Servicios</v>
      </c>
      <c r="U24" s="27">
        <f>+ENERO!U24</f>
        <v>67115850</v>
      </c>
      <c r="V24" s="15">
        <f>OCTUBRE!V24+NOVIEMBRE!AL24</f>
        <v>0</v>
      </c>
      <c r="W24" s="15">
        <f>OCTUBRE!W24+NOVIEMBRE!AM24</f>
        <v>0</v>
      </c>
      <c r="X24" s="18">
        <f t="shared" si="17"/>
        <v>67115850</v>
      </c>
      <c r="Y24" s="19">
        <f>OCTUBRE!AA24</f>
        <v>53399562</v>
      </c>
      <c r="Z24" s="364">
        <v>9230</v>
      </c>
      <c r="AA24" s="18">
        <f t="shared" si="18"/>
        <v>53408792</v>
      </c>
      <c r="AB24" s="19">
        <f>OCTUBRE!AD24</f>
        <v>53399562</v>
      </c>
      <c r="AC24" s="364">
        <v>9230</v>
      </c>
      <c r="AD24" s="18">
        <f t="shared" si="19"/>
        <v>53408792</v>
      </c>
      <c r="AE24" s="19">
        <f>OCTUBRE!AG24</f>
        <v>53399562</v>
      </c>
      <c r="AF24" s="364">
        <v>0</v>
      </c>
      <c r="AG24" s="18">
        <f t="shared" si="20"/>
        <v>53399562</v>
      </c>
      <c r="AH24" s="19">
        <f t="shared" si="21"/>
        <v>13707058</v>
      </c>
      <c r="AI24" s="15">
        <f t="shared" si="22"/>
        <v>13707058</v>
      </c>
      <c r="AJ24" s="16">
        <f t="shared" si="23"/>
        <v>13716288</v>
      </c>
      <c r="AK24" s="9"/>
      <c r="AL24" s="362">
        <v>0</v>
      </c>
      <c r="AM24" s="365">
        <v>0</v>
      </c>
      <c r="AN24" s="9"/>
      <c r="AO24" s="360"/>
      <c r="AP24" s="405" t="s">
        <v>113</v>
      </c>
      <c r="AQ24" s="421">
        <f>X35+X83</f>
        <v>28652957341</v>
      </c>
      <c r="AR24" s="421">
        <f>AD35+AD83</f>
        <v>25477883352</v>
      </c>
      <c r="AS24" s="421">
        <f>AG35+AG83</f>
        <v>18824323996</v>
      </c>
      <c r="AT24" s="421"/>
      <c r="AU24" s="363">
        <f t="shared" si="25"/>
        <v>0.88918861145070238</v>
      </c>
      <c r="AV24" s="363">
        <f t="shared" si="26"/>
        <v>0.65697665242616887</v>
      </c>
      <c r="AW24" s="363">
        <f>(AR24-AD41-AD88)/$AO$2*12+AD41+AD88</f>
        <v>27301002086.363636</v>
      </c>
      <c r="AX24" s="363">
        <f>(AS24-AG41-AG88)/$AO$2*12+AG41+AG88</f>
        <v>20042573698</v>
      </c>
      <c r="AY24" s="363">
        <f t="shared" si="27"/>
        <v>-1351955254.636364</v>
      </c>
      <c r="AZ24" s="143">
        <f t="shared" si="28"/>
        <v>8610383643</v>
      </c>
      <c r="BA24" s="9"/>
      <c r="BB24" s="427"/>
      <c r="BC24" s="372"/>
      <c r="BD24" s="372"/>
      <c r="BE24" s="372"/>
      <c r="BF24" s="372"/>
      <c r="BG24" s="372"/>
      <c r="BH24" s="372"/>
      <c r="BI24" s="372"/>
      <c r="BJ24" s="372"/>
      <c r="BK24" s="372"/>
      <c r="BL24" s="372"/>
      <c r="BM24" s="137" t="s">
        <v>110</v>
      </c>
      <c r="BN24" s="83">
        <f>X170-X177-X174-X183-X191</f>
        <v>327017672</v>
      </c>
      <c r="BO24" s="81">
        <f>AA170-AA177-AA174-AA183-AA191</f>
        <v>175264788</v>
      </c>
      <c r="BP24" s="81">
        <f>AD170-AD177-AD174-AD183-AD191</f>
        <v>175264788</v>
      </c>
      <c r="BQ24" s="82">
        <f>AF170-AF177-AF174-AF183-AF191</f>
        <v>4185588</v>
      </c>
      <c r="BR24" s="372"/>
    </row>
    <row r="25" spans="1:70" s="372" customFormat="1" ht="24.95" customHeight="1">
      <c r="A25" s="714">
        <f>+IF(OCTUBRE!A25=0,"",OCTUBRE!A25)</f>
        <v>1130102</v>
      </c>
      <c r="B25" s="628" t="str">
        <f>+IF(OCTUBRE!B25=0,"",OCTUBRE!B25)</f>
        <v>ARS - REGIMEN SUBSIDIADO</v>
      </c>
      <c r="C25" s="43">
        <f t="shared" ref="C25:N25" si="29">SUM(C26:C27)</f>
        <v>32167564656</v>
      </c>
      <c r="D25" s="44">
        <f t="shared" si="29"/>
        <v>0</v>
      </c>
      <c r="E25" s="44">
        <f t="shared" si="29"/>
        <v>9632514184</v>
      </c>
      <c r="F25" s="44">
        <f t="shared" si="29"/>
        <v>41800078840</v>
      </c>
      <c r="G25" s="44">
        <f t="shared" si="29"/>
        <v>43463270447</v>
      </c>
      <c r="H25" s="44">
        <f t="shared" si="29"/>
        <v>4621010185</v>
      </c>
      <c r="I25" s="835">
        <f t="shared" si="29"/>
        <v>48084280632</v>
      </c>
      <c r="J25" s="44">
        <f t="shared" si="29"/>
        <v>26777657640</v>
      </c>
      <c r="K25" s="44">
        <f t="shared" si="29"/>
        <v>2017241419</v>
      </c>
      <c r="L25" s="835">
        <f t="shared" si="29"/>
        <v>28794899059</v>
      </c>
      <c r="M25" s="44">
        <f t="shared" si="29"/>
        <v>-6284201792</v>
      </c>
      <c r="N25" s="45">
        <f t="shared" si="29"/>
        <v>13005179781</v>
      </c>
      <c r="P25" s="43">
        <f>SUM(P26:P27)</f>
        <v>0</v>
      </c>
      <c r="Q25" s="45">
        <f>SUM(Q26:Q27)</f>
        <v>517948890</v>
      </c>
      <c r="R25" s="9"/>
      <c r="S25" s="689" t="str">
        <f>+IF(OCTUBRE!S25=0,"",OCTUBRE!S25)</f>
        <v>1010104-5</v>
      </c>
      <c r="T25" s="665" t="str">
        <f>+IF(OCTUBRE!T25=0,"",OCTUBRE!T25)</f>
        <v>Bonificación Convencional</v>
      </c>
      <c r="U25" s="27">
        <f>+ENERO!U25</f>
        <v>0</v>
      </c>
      <c r="V25" s="15">
        <f>OCTUBRE!V25+NOVIEMBRE!AL25</f>
        <v>0</v>
      </c>
      <c r="W25" s="15">
        <f>OCTUBRE!W25+NOVIEMBRE!AM25</f>
        <v>0</v>
      </c>
      <c r="X25" s="18">
        <f t="shared" si="17"/>
        <v>0</v>
      </c>
      <c r="Y25" s="19">
        <f>OCTUBRE!AA25</f>
        <v>0</v>
      </c>
      <c r="Z25" s="364">
        <v>0</v>
      </c>
      <c r="AA25" s="18">
        <f t="shared" si="18"/>
        <v>0</v>
      </c>
      <c r="AB25" s="19">
        <f>OCTUBRE!AD25</f>
        <v>0</v>
      </c>
      <c r="AC25" s="364">
        <v>0</v>
      </c>
      <c r="AD25" s="18">
        <f t="shared" si="19"/>
        <v>0</v>
      </c>
      <c r="AE25" s="19">
        <f>OCTUBRE!AG25</f>
        <v>0</v>
      </c>
      <c r="AF25" s="364">
        <v>0</v>
      </c>
      <c r="AG25" s="18">
        <f t="shared" si="20"/>
        <v>0</v>
      </c>
      <c r="AH25" s="19">
        <f t="shared" si="21"/>
        <v>0</v>
      </c>
      <c r="AI25" s="15">
        <f t="shared" si="22"/>
        <v>0</v>
      </c>
      <c r="AJ25" s="16">
        <f t="shared" si="23"/>
        <v>0</v>
      </c>
      <c r="AK25" s="9"/>
      <c r="AL25" s="362">
        <v>0</v>
      </c>
      <c r="AM25" s="365">
        <v>0</v>
      </c>
      <c r="AN25" s="9"/>
      <c r="AO25" s="21"/>
      <c r="AP25" s="428" t="s">
        <v>116</v>
      </c>
      <c r="AQ25" s="363">
        <f>X43+X57+X90+X104</f>
        <v>2049294290</v>
      </c>
      <c r="AR25" s="363">
        <f>AD43+AD57+AD90+AD104</f>
        <v>1403950955</v>
      </c>
      <c r="AS25" s="363">
        <f>AG43+AG57+AG90+AG104</f>
        <v>1297715360</v>
      </c>
      <c r="AT25" s="421"/>
      <c r="AU25" s="363">
        <f t="shared" si="25"/>
        <v>0.68508996577548653</v>
      </c>
      <c r="AV25" s="363">
        <f t="shared" si="26"/>
        <v>0.63324987842522118</v>
      </c>
      <c r="AW25" s="363">
        <f>(AR25-AD55-AD61-AD102-AD108)/$AO$2*12+AD55+AD61+AD102+AD108</f>
        <v>1504929944.1818182</v>
      </c>
      <c r="AX25" s="363">
        <f>(AS25-AG55-AG61-AG102-AG108)/$AO$2*12+AG55+AG61+AG102+AG108</f>
        <v>1389036567.8181818</v>
      </c>
      <c r="AY25" s="363">
        <f t="shared" si="27"/>
        <v>-544364345.81818175</v>
      </c>
      <c r="AZ25" s="143">
        <f t="shared" si="28"/>
        <v>660257722.18181825</v>
      </c>
      <c r="BM25" s="140" t="s">
        <v>430</v>
      </c>
      <c r="BN25" s="106">
        <f>+SUM(BN26:BN28)</f>
        <v>20435937973</v>
      </c>
      <c r="BO25" s="107">
        <f>+SUM(BO26:BO28)</f>
        <v>19259310514</v>
      </c>
      <c r="BP25" s="107">
        <f>+SUM(BP26:BP28)</f>
        <v>18369303911</v>
      </c>
      <c r="BQ25" s="108">
        <f>+SUM(BQ26:BQ28)</f>
        <v>328366428</v>
      </c>
    </row>
    <row r="26" spans="1:70" s="9" customFormat="1" ht="24.95" customHeight="1">
      <c r="A26" s="593" t="str">
        <f>+IF(OCTUBRE!A26=0,"",OCTUBRE!A26)</f>
        <v>1130102-1</v>
      </c>
      <c r="B26" s="629" t="str">
        <f>+CONCATENATE("Vigencia ",INSTRUCCIONES!$F$3)</f>
        <v>Vigencia 2019</v>
      </c>
      <c r="C26" s="655">
        <f>+ENERO!C26</f>
        <v>32167564656</v>
      </c>
      <c r="D26" s="363">
        <f>OCTUBRE!D26+NOVIEMBRE!P26</f>
        <v>0</v>
      </c>
      <c r="E26" s="363">
        <f>OCTUBRE!E26+NOVIEMBRE!Q26</f>
        <v>0</v>
      </c>
      <c r="F26" s="363">
        <f>SUM(C26:E26)</f>
        <v>32167564656</v>
      </c>
      <c r="G26" s="363">
        <f>OCTUBRE!I26</f>
        <v>33830756263</v>
      </c>
      <c r="H26" s="364">
        <v>2607853710</v>
      </c>
      <c r="I26" s="454">
        <f>SUM(G26:H26)</f>
        <v>36438609973</v>
      </c>
      <c r="J26" s="363">
        <f>OCTUBRE!L26</f>
        <v>17145143456</v>
      </c>
      <c r="K26" s="364">
        <v>4084944</v>
      </c>
      <c r="L26" s="454">
        <f>SUM(J26:K26)</f>
        <v>17149228400</v>
      </c>
      <c r="M26" s="363">
        <f>F26-I26</f>
        <v>-4271045317</v>
      </c>
      <c r="N26" s="143">
        <f>F26-L26</f>
        <v>15018336256</v>
      </c>
      <c r="P26" s="362">
        <v>0</v>
      </c>
      <c r="Q26" s="365">
        <v>0</v>
      </c>
      <c r="S26" s="689" t="str">
        <f>+IF(OCTUBRE!S26=0,"",OCTUBRE!S26)</f>
        <v>1010104-6</v>
      </c>
      <c r="T26" s="665" t="str">
        <f>+IF(OCTUBRE!T26=0,"",OCTUBRE!T26)</f>
        <v>Auxilio de Transporte</v>
      </c>
      <c r="U26" s="27">
        <f>+ENERO!U26</f>
        <v>7017105</v>
      </c>
      <c r="V26" s="15">
        <f>OCTUBRE!V26+NOVIEMBRE!AL26</f>
        <v>0</v>
      </c>
      <c r="W26" s="15">
        <f>OCTUBRE!W26+NOVIEMBRE!AM26</f>
        <v>0</v>
      </c>
      <c r="X26" s="18">
        <f t="shared" si="17"/>
        <v>7017105</v>
      </c>
      <c r="Y26" s="19">
        <f>OCTUBRE!AA26</f>
        <v>889460</v>
      </c>
      <c r="Z26" s="364">
        <v>97032</v>
      </c>
      <c r="AA26" s="18">
        <f t="shared" si="18"/>
        <v>986492</v>
      </c>
      <c r="AB26" s="19">
        <f>OCTUBRE!AD26</f>
        <v>889460</v>
      </c>
      <c r="AC26" s="364">
        <v>97032</v>
      </c>
      <c r="AD26" s="18">
        <f t="shared" si="19"/>
        <v>986492</v>
      </c>
      <c r="AE26" s="19">
        <f>OCTUBRE!AG26</f>
        <v>889460</v>
      </c>
      <c r="AF26" s="364">
        <v>97032</v>
      </c>
      <c r="AG26" s="18">
        <f t="shared" si="20"/>
        <v>986492</v>
      </c>
      <c r="AH26" s="19">
        <f t="shared" si="21"/>
        <v>6030613</v>
      </c>
      <c r="AI26" s="15">
        <f t="shared" si="22"/>
        <v>6030613</v>
      </c>
      <c r="AJ26" s="16">
        <f t="shared" si="23"/>
        <v>6030613</v>
      </c>
      <c r="AL26" s="362">
        <v>0</v>
      </c>
      <c r="AM26" s="365">
        <v>0</v>
      </c>
      <c r="AO26" s="21"/>
      <c r="AP26" s="429" t="s">
        <v>120</v>
      </c>
      <c r="AQ26" s="317">
        <f>X110</f>
        <v>14887336161</v>
      </c>
      <c r="AR26" s="317">
        <f>AD110</f>
        <v>11411293654</v>
      </c>
      <c r="AS26" s="317">
        <f>AG110</f>
        <v>9495469015</v>
      </c>
      <c r="AT26" s="361">
        <f>AO2/12</f>
        <v>0.91666666666666663</v>
      </c>
      <c r="AU26" s="332">
        <f t="shared" si="25"/>
        <v>0.76651010836269651</v>
      </c>
      <c r="AV26" s="332">
        <f t="shared" si="26"/>
        <v>0.63782189857948224</v>
      </c>
      <c r="AW26" s="426">
        <f>(AR26-AD121-AD139-AD143-AD153-AD168)/$AO$2*12+AD121+AD139+AD143+AD153+AD168</f>
        <v>12249948569.454546</v>
      </c>
      <c r="AX26" s="426">
        <f>(AS26-AG121-AG139-AG143-AG153-AG168)/$AO$2*12+AG121+AG139+AG143+AG153+AG168</f>
        <v>10159958054.181818</v>
      </c>
      <c r="AY26" s="426">
        <f t="shared" si="27"/>
        <v>-2637387591.545454</v>
      </c>
      <c r="AZ26" s="46">
        <f t="shared" si="28"/>
        <v>4727378106.818182</v>
      </c>
      <c r="BA26" s="372"/>
      <c r="BB26" s="372"/>
      <c r="BC26" s="372"/>
      <c r="BD26" s="372"/>
      <c r="BE26" s="372"/>
      <c r="BF26" s="372"/>
      <c r="BG26" s="372"/>
      <c r="BH26" s="372"/>
      <c r="BI26" s="372"/>
      <c r="BJ26" s="372"/>
      <c r="BK26" s="372"/>
      <c r="BM26" s="109" t="s">
        <v>431</v>
      </c>
      <c r="BN26" s="86">
        <f>+X198+X212</f>
        <v>9248493614</v>
      </c>
      <c r="BO26" s="84">
        <f>+AA198+AA212</f>
        <v>8643301417</v>
      </c>
      <c r="BP26" s="84">
        <f>+AD198+AD212</f>
        <v>8003338072</v>
      </c>
      <c r="BQ26" s="85">
        <f>+AF198+AF212</f>
        <v>109724280</v>
      </c>
      <c r="BR26" s="372"/>
    </row>
    <row r="27" spans="1:70" s="412" customFormat="1" ht="24.95" customHeight="1">
      <c r="A27" s="593" t="str">
        <f>+IF(OCTUBRE!A27=0,"",OCTUBRE!A27)</f>
        <v>1130102-2</v>
      </c>
      <c r="B27" s="629" t="str">
        <f>+IF(OCTUBRE!B27=0,"",OCTUBRE!B27)</f>
        <v>Vigencia Anterior</v>
      </c>
      <c r="C27" s="655">
        <f>+ENERO!C27</f>
        <v>0</v>
      </c>
      <c r="D27" s="363">
        <f>OCTUBRE!D27+NOVIEMBRE!P27</f>
        <v>0</v>
      </c>
      <c r="E27" s="363">
        <f>OCTUBRE!E27+NOVIEMBRE!Q27</f>
        <v>9632514184</v>
      </c>
      <c r="F27" s="363">
        <f>SUM(C27:E27)</f>
        <v>9632514184</v>
      </c>
      <c r="G27" s="363">
        <f>OCTUBRE!I27</f>
        <v>9632514184</v>
      </c>
      <c r="H27" s="364">
        <v>2013156475</v>
      </c>
      <c r="I27" s="454">
        <f>SUM(G27:H27)</f>
        <v>11645670659</v>
      </c>
      <c r="J27" s="363">
        <f>OCTUBRE!L27</f>
        <v>9632514184</v>
      </c>
      <c r="K27" s="364">
        <v>2013156475</v>
      </c>
      <c r="L27" s="454">
        <f>SUM(J27:K27)</f>
        <v>11645670659</v>
      </c>
      <c r="M27" s="363">
        <f>F27-I27</f>
        <v>-2013156475</v>
      </c>
      <c r="N27" s="143">
        <f>F27-L27</f>
        <v>-2013156475</v>
      </c>
      <c r="O27" s="372"/>
      <c r="P27" s="362">
        <v>0</v>
      </c>
      <c r="Q27" s="365">
        <v>517948890</v>
      </c>
      <c r="R27" s="9"/>
      <c r="S27" s="689" t="str">
        <f>+IF(OCTUBRE!S27=0,"",OCTUBRE!S27)</f>
        <v>1010104-7</v>
      </c>
      <c r="T27" s="665" t="str">
        <f>+IF(OCTUBRE!T27=0,"",OCTUBRE!T27)</f>
        <v>Auxilio de Alimentación</v>
      </c>
      <c r="U27" s="27">
        <f>+ENERO!U27</f>
        <v>92622</v>
      </c>
      <c r="V27" s="15">
        <f>OCTUBRE!V27+NOVIEMBRE!AL27</f>
        <v>0</v>
      </c>
      <c r="W27" s="15">
        <f>OCTUBRE!W27+NOVIEMBRE!AM27</f>
        <v>0</v>
      </c>
      <c r="X27" s="18">
        <f t="shared" si="17"/>
        <v>92622</v>
      </c>
      <c r="Y27" s="19">
        <f>OCTUBRE!AA27</f>
        <v>0</v>
      </c>
      <c r="Z27" s="364">
        <v>0</v>
      </c>
      <c r="AA27" s="18">
        <f t="shared" si="18"/>
        <v>0</v>
      </c>
      <c r="AB27" s="19">
        <f>OCTUBRE!AD27</f>
        <v>0</v>
      </c>
      <c r="AC27" s="364">
        <v>0</v>
      </c>
      <c r="AD27" s="18">
        <f t="shared" si="19"/>
        <v>0</v>
      </c>
      <c r="AE27" s="19">
        <f>OCTUBRE!AG27</f>
        <v>0</v>
      </c>
      <c r="AF27" s="364">
        <v>0</v>
      </c>
      <c r="AG27" s="18">
        <f t="shared" si="20"/>
        <v>0</v>
      </c>
      <c r="AH27" s="19">
        <f t="shared" si="21"/>
        <v>92622</v>
      </c>
      <c r="AI27" s="15">
        <f t="shared" si="22"/>
        <v>92622</v>
      </c>
      <c r="AJ27" s="16">
        <f t="shared" si="23"/>
        <v>92622</v>
      </c>
      <c r="AK27" s="9"/>
      <c r="AL27" s="362">
        <v>0</v>
      </c>
      <c r="AM27" s="365">
        <v>0</v>
      </c>
      <c r="AN27" s="9"/>
      <c r="AO27" s="339"/>
      <c r="AP27" s="428" t="s">
        <v>123</v>
      </c>
      <c r="AQ27" s="363">
        <f>X170</f>
        <v>1292354144</v>
      </c>
      <c r="AR27" s="363">
        <f>AD170</f>
        <v>982765246</v>
      </c>
      <c r="AS27" s="363">
        <f>AG170</f>
        <v>972221416</v>
      </c>
      <c r="AT27" s="421"/>
      <c r="AU27" s="363">
        <f t="shared" si="25"/>
        <v>0.76044577298155824</v>
      </c>
      <c r="AV27" s="363">
        <f t="shared" si="26"/>
        <v>0.75228715016988412</v>
      </c>
      <c r="AW27" s="363">
        <f>(AR27-AD174-AD183-AD191)/$AO$2*12+AD174+AD183+AD191</f>
        <v>1072107541.0909091</v>
      </c>
      <c r="AX27" s="363">
        <f>(AS27-AG174-AG183-AG191)/$AO$2*12+AG174+AG183+AG191</f>
        <v>1060605181.0909091</v>
      </c>
      <c r="AY27" s="363">
        <f t="shared" si="27"/>
        <v>-220246602.90909088</v>
      </c>
      <c r="AZ27" s="143">
        <f t="shared" si="28"/>
        <v>231748962.90909088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+IF(OCTUBRE!A28=0,"",OCTUBRE!A28)</f>
        <v>1130103</v>
      </c>
      <c r="B28" s="605" t="str">
        <f>+IF(OCTUBRE!B28=0,"",OCTUBRE!B28)</f>
        <v>SUBSIDIO A LA OFERTA- ATENCION PERSONAS POBRES NO CUBIERTOS CON SUBSIDIO A LA DEMANDA</v>
      </c>
      <c r="C28" s="43">
        <f>C29+C32+C35+C38+C39+C40</f>
        <v>8952361140</v>
      </c>
      <c r="D28" s="44">
        <f>+D29+D32+D35+D38+D39+D40</f>
        <v>0</v>
      </c>
      <c r="E28" s="44">
        <f>+E29+E32+E35+E38+E39+E40</f>
        <v>4896525816</v>
      </c>
      <c r="F28" s="44">
        <f>+F29+F32+F35+F38+F39+F40</f>
        <v>13848886956</v>
      </c>
      <c r="G28" s="44">
        <f t="shared" ref="G28:N28" si="30">G29+G32+G35+G38+G39+G40</f>
        <v>15540963917</v>
      </c>
      <c r="H28" s="44">
        <f t="shared" si="30"/>
        <v>978913618</v>
      </c>
      <c r="I28" s="835">
        <f t="shared" si="30"/>
        <v>16519877535</v>
      </c>
      <c r="J28" s="44">
        <f t="shared" si="30"/>
        <v>6299793108</v>
      </c>
      <c r="K28" s="44">
        <f t="shared" si="30"/>
        <v>791334218</v>
      </c>
      <c r="L28" s="835">
        <f t="shared" si="30"/>
        <v>7091127326</v>
      </c>
      <c r="M28" s="44">
        <f t="shared" si="30"/>
        <v>-2670990579</v>
      </c>
      <c r="N28" s="45">
        <f t="shared" si="30"/>
        <v>6757759630</v>
      </c>
      <c r="O28" s="372"/>
      <c r="P28" s="43">
        <f>P29+P32+P35+P38+P39+P940</f>
        <v>0</v>
      </c>
      <c r="Q28" s="45">
        <f>Q29+Q32+Q35+Q38+Q39+Q40</f>
        <v>768618224</v>
      </c>
      <c r="R28" s="9"/>
      <c r="S28" s="689" t="str">
        <f>+IF(OCTUBRE!S28=0,"",OCTUBRE!S28)</f>
        <v>1010104-8</v>
      </c>
      <c r="T28" s="665" t="str">
        <f>+IF(OCTUBRE!T28=0,"",OCTUBRE!T28)</f>
        <v>Indemnizaciones por Vacaciones o Supresión de Cargos por Reestructuración</v>
      </c>
      <c r="U28" s="27">
        <f>+ENERO!U28</f>
        <v>0</v>
      </c>
      <c r="V28" s="15">
        <f>OCTUBRE!V28+NOVIEMBRE!AL28</f>
        <v>0</v>
      </c>
      <c r="W28" s="15">
        <f>OCTUBRE!W28+NOVIEMBRE!AM28</f>
        <v>0</v>
      </c>
      <c r="X28" s="18">
        <f t="shared" si="17"/>
        <v>0</v>
      </c>
      <c r="Y28" s="19">
        <f>OCTUBRE!AA28</f>
        <v>0</v>
      </c>
      <c r="Z28" s="364">
        <v>0</v>
      </c>
      <c r="AA28" s="18">
        <f t="shared" si="18"/>
        <v>0</v>
      </c>
      <c r="AB28" s="19">
        <f>OCTUBRE!AD28</f>
        <v>0</v>
      </c>
      <c r="AC28" s="364">
        <v>0</v>
      </c>
      <c r="AD28" s="18">
        <f t="shared" si="19"/>
        <v>0</v>
      </c>
      <c r="AE28" s="19">
        <f>OCTUBRE!AG28</f>
        <v>0</v>
      </c>
      <c r="AF28" s="364">
        <v>0</v>
      </c>
      <c r="AG28" s="18">
        <f t="shared" si="20"/>
        <v>0</v>
      </c>
      <c r="AH28" s="19">
        <f t="shared" si="21"/>
        <v>0</v>
      </c>
      <c r="AI28" s="15">
        <f t="shared" si="22"/>
        <v>0</v>
      </c>
      <c r="AJ28" s="16">
        <f t="shared" si="23"/>
        <v>0</v>
      </c>
      <c r="AK28" s="9"/>
      <c r="AL28" s="362">
        <v>0</v>
      </c>
      <c r="AM28" s="365">
        <v>0</v>
      </c>
      <c r="AN28" s="9"/>
      <c r="AO28" s="339"/>
      <c r="AP28" s="777" t="s">
        <v>566</v>
      </c>
      <c r="AQ28" s="363">
        <f>X195</f>
        <v>28572065334</v>
      </c>
      <c r="AR28" s="363">
        <f>AD195</f>
        <v>25698144240</v>
      </c>
      <c r="AS28" s="363">
        <f>AG195</f>
        <v>18953008223</v>
      </c>
      <c r="AT28" s="421"/>
      <c r="AU28" s="363">
        <f t="shared" si="25"/>
        <v>0.89941500341663749</v>
      </c>
      <c r="AV28" s="363">
        <f t="shared" si="26"/>
        <v>0.6633405041408198</v>
      </c>
      <c r="AW28" s="363">
        <f>(AR28-AD207)/$AO$2*12+AD207</f>
        <v>27368080959.18182</v>
      </c>
      <c r="AX28" s="363">
        <f>(AS28-AG207)/$AO$2*12+AG207</f>
        <v>20009750758.818184</v>
      </c>
      <c r="AY28" s="363">
        <f t="shared" si="27"/>
        <v>-1203984374.8181801</v>
      </c>
      <c r="AZ28" s="143">
        <f t="shared" si="28"/>
        <v>8562314575.1818161</v>
      </c>
      <c r="BA28" s="372"/>
      <c r="BB28" s="372"/>
      <c r="BC28" s="372"/>
      <c r="BD28" s="372"/>
      <c r="BE28" s="372"/>
      <c r="BF28" s="372"/>
      <c r="BG28" s="372"/>
      <c r="BH28" s="372"/>
      <c r="BI28" s="372"/>
      <c r="BJ28" s="372"/>
      <c r="BK28" s="372"/>
      <c r="BL28" s="372"/>
      <c r="BM28" s="71" t="s">
        <v>433</v>
      </c>
      <c r="BN28" s="83">
        <f>+X196-X198-X207</f>
        <v>11187444359</v>
      </c>
      <c r="BO28" s="81">
        <f>+AA196-AA198-AA207</f>
        <v>10616009097</v>
      </c>
      <c r="BP28" s="81">
        <f>+AD196-AD198-AD207</f>
        <v>10365965839</v>
      </c>
      <c r="BQ28" s="82">
        <f>+AF196-AF198-AF207</f>
        <v>218642148</v>
      </c>
      <c r="BR28" s="9"/>
    </row>
    <row r="29" spans="1:70" s="9" customFormat="1" ht="24.95" customHeight="1">
      <c r="A29" s="593" t="str">
        <f>+IF(OCTUBRE!A29=0,"",OCTUBRE!A29)</f>
        <v>1130103-1</v>
      </c>
      <c r="B29" s="630" t="str">
        <f>+IF(OCTUBRE!B29=0,"",OCTUBRE!B29)</f>
        <v>Prestación de Servicios de salud  1er Nivel</v>
      </c>
      <c r="C29" s="19">
        <f t="shared" ref="C29:N29" si="31">SUM(C30:C31)</f>
        <v>0</v>
      </c>
      <c r="D29" s="15">
        <f t="shared" si="31"/>
        <v>0</v>
      </c>
      <c r="E29" s="15">
        <f t="shared" si="31"/>
        <v>0</v>
      </c>
      <c r="F29" s="15">
        <f t="shared" si="31"/>
        <v>0</v>
      </c>
      <c r="G29" s="15">
        <f t="shared" si="31"/>
        <v>0</v>
      </c>
      <c r="H29" s="15">
        <f t="shared" si="31"/>
        <v>0</v>
      </c>
      <c r="I29" s="822">
        <f t="shared" si="31"/>
        <v>0</v>
      </c>
      <c r="J29" s="15">
        <f t="shared" si="31"/>
        <v>0</v>
      </c>
      <c r="K29" s="15">
        <f t="shared" si="31"/>
        <v>0</v>
      </c>
      <c r="L29" s="822">
        <f t="shared" si="31"/>
        <v>0</v>
      </c>
      <c r="M29" s="15">
        <f t="shared" si="31"/>
        <v>0</v>
      </c>
      <c r="N29" s="16">
        <f t="shared" si="31"/>
        <v>0</v>
      </c>
      <c r="O29" s="372"/>
      <c r="P29" s="144">
        <f>SUM(P30:P31)</f>
        <v>0</v>
      </c>
      <c r="Q29" s="145">
        <f>SUM(Q30:Q31)</f>
        <v>0</v>
      </c>
      <c r="S29" s="689" t="str">
        <f>+IF(OCTUBRE!S29=0,"",OCTUBRE!S29)</f>
        <v>1010104-9</v>
      </c>
      <c r="T29" s="665" t="str">
        <f>+IF(OCTUBRE!T29=0,"",OCTUBRE!T29)</f>
        <v>Bonificación Especial por Recreación</v>
      </c>
      <c r="U29" s="27">
        <f>+ENERO!U29</f>
        <v>8443869</v>
      </c>
      <c r="V29" s="15">
        <f>OCTUBRE!V29+NOVIEMBRE!AL29</f>
        <v>0</v>
      </c>
      <c r="W29" s="15">
        <f>OCTUBRE!W29+NOVIEMBRE!AM29</f>
        <v>0</v>
      </c>
      <c r="X29" s="18">
        <f t="shared" si="17"/>
        <v>8443869</v>
      </c>
      <c r="Y29" s="19">
        <f>OCTUBRE!AA29</f>
        <v>4106752</v>
      </c>
      <c r="Z29" s="364">
        <v>588232</v>
      </c>
      <c r="AA29" s="18">
        <f t="shared" si="18"/>
        <v>4694984</v>
      </c>
      <c r="AB29" s="19">
        <f>OCTUBRE!AD29</f>
        <v>4106752</v>
      </c>
      <c r="AC29" s="364">
        <v>588232</v>
      </c>
      <c r="AD29" s="18">
        <f t="shared" si="19"/>
        <v>4694984</v>
      </c>
      <c r="AE29" s="19">
        <f>OCTUBRE!AG29</f>
        <v>4106752</v>
      </c>
      <c r="AF29" s="364">
        <v>587212</v>
      </c>
      <c r="AG29" s="18">
        <f t="shared" si="20"/>
        <v>4693964</v>
      </c>
      <c r="AH29" s="19">
        <f t="shared" si="21"/>
        <v>3748885</v>
      </c>
      <c r="AI29" s="15">
        <f t="shared" si="22"/>
        <v>3748885</v>
      </c>
      <c r="AJ29" s="16">
        <f t="shared" si="23"/>
        <v>3749905</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30479618396</v>
      </c>
      <c r="BO29" s="107">
        <f>AA232-AA256-AA241</f>
        <v>23759027812</v>
      </c>
      <c r="BP29" s="107">
        <f>AD232-AD256-AD241</f>
        <v>14499547009</v>
      </c>
      <c r="BQ29" s="108">
        <f>AF232-AF256-AF241</f>
        <v>908333762</v>
      </c>
      <c r="BR29" s="372"/>
    </row>
    <row r="30" spans="1:70" s="412" customFormat="1" ht="24.95" customHeight="1">
      <c r="A30" s="593" t="str">
        <f>+IF(OCTUBRE!A30=0,"",OCTUBRE!A30)</f>
        <v>1130103-1-1</v>
      </c>
      <c r="B30" s="629" t="str">
        <f>+CONCATENATE("Vigencia ",INSTRUCCIONES!$F$3)</f>
        <v>Vigencia 2019</v>
      </c>
      <c r="C30" s="655">
        <f>+ENERO!C30</f>
        <v>0</v>
      </c>
      <c r="D30" s="363">
        <f>OCTUBRE!D30+NOVIEMBRE!P30</f>
        <v>0</v>
      </c>
      <c r="E30" s="363">
        <f>OCTUBRE!E30+NOVIEMBRE!Q30</f>
        <v>0</v>
      </c>
      <c r="F30" s="363">
        <f>SUM(C30:E30)</f>
        <v>0</v>
      </c>
      <c r="G30" s="363">
        <f>OCTUBRE!I30</f>
        <v>0</v>
      </c>
      <c r="H30" s="364">
        <v>0</v>
      </c>
      <c r="I30" s="454">
        <f>SUM(G30:H30)</f>
        <v>0</v>
      </c>
      <c r="J30" s="363">
        <f>OCTUBRE!L30</f>
        <v>0</v>
      </c>
      <c r="K30" s="364">
        <v>0</v>
      </c>
      <c r="L30" s="454">
        <f>SUM(J30:K30)</f>
        <v>0</v>
      </c>
      <c r="M30" s="363">
        <f>F30-I30</f>
        <v>0</v>
      </c>
      <c r="N30" s="143">
        <f>F30-L30</f>
        <v>0</v>
      </c>
      <c r="O30" s="9"/>
      <c r="P30" s="362">
        <v>0</v>
      </c>
      <c r="Q30" s="365">
        <v>0</v>
      </c>
      <c r="R30" s="9"/>
      <c r="S30" s="689" t="str">
        <f>+IF(OCTUBRE!S30=0,"",OCTUBRE!S30)</f>
        <v>1010104-10</v>
      </c>
      <c r="T30" s="665" t="str">
        <f>+IF(OCTUBRE!T30=0,"",OCTUBRE!T30)</f>
        <v>Gastos de Representación</v>
      </c>
      <c r="U30" s="27">
        <f>+ENERO!U30</f>
        <v>0</v>
      </c>
      <c r="V30" s="15">
        <f>OCTUBRE!V30+NOVIEMBRE!AL30</f>
        <v>0</v>
      </c>
      <c r="W30" s="15">
        <f>OCTUBRE!W30+NOVIEMBRE!AM30</f>
        <v>0</v>
      </c>
      <c r="X30" s="18">
        <f t="shared" si="17"/>
        <v>0</v>
      </c>
      <c r="Y30" s="19">
        <f>OCTUBRE!AA30</f>
        <v>0</v>
      </c>
      <c r="Z30" s="364">
        <v>0</v>
      </c>
      <c r="AA30" s="18">
        <f t="shared" si="18"/>
        <v>0</v>
      </c>
      <c r="AB30" s="19">
        <f>OCTUBRE!AD30</f>
        <v>0</v>
      </c>
      <c r="AC30" s="364">
        <v>0</v>
      </c>
      <c r="AD30" s="18">
        <f t="shared" si="19"/>
        <v>0</v>
      </c>
      <c r="AE30" s="19">
        <f>OCTUBRE!AG30</f>
        <v>0</v>
      </c>
      <c r="AF30" s="364">
        <v>0</v>
      </c>
      <c r="AG30" s="18">
        <f t="shared" si="20"/>
        <v>0</v>
      </c>
      <c r="AH30" s="19">
        <f t="shared" si="21"/>
        <v>0</v>
      </c>
      <c r="AI30" s="15">
        <f t="shared" si="22"/>
        <v>0</v>
      </c>
      <c r="AJ30" s="16">
        <f t="shared" si="23"/>
        <v>0</v>
      </c>
      <c r="AK30" s="9"/>
      <c r="AL30" s="362">
        <v>0</v>
      </c>
      <c r="AM30" s="365">
        <v>0</v>
      </c>
      <c r="AN30" s="9"/>
      <c r="AO30" s="360" t="s">
        <v>51</v>
      </c>
      <c r="AP30" s="428" t="s">
        <v>130</v>
      </c>
      <c r="AQ30" s="363">
        <f>X220+X232</f>
        <v>36262598343</v>
      </c>
      <c r="AR30" s="363">
        <f>AD220+AD232</f>
        <v>18165344407</v>
      </c>
      <c r="AS30" s="363">
        <f>AG220+AG232</f>
        <v>16480198282</v>
      </c>
      <c r="AT30" s="421"/>
      <c r="AU30" s="363">
        <f t="shared" si="25"/>
        <v>0.50093885262103877</v>
      </c>
      <c r="AV30" s="363">
        <f t="shared" si="26"/>
        <v>0.45446821339489801</v>
      </c>
      <c r="AW30" s="363">
        <f>(AR30-AD225-AD230-AD241-AD256)/$AO$2*12+AD225+AD230+AD241+AD256</f>
        <v>19504111638</v>
      </c>
      <c r="AX30" s="363">
        <f>(AS30-AG225-AG230-AG241-AG256)/$AO$2*12+AG225+AG230+AG241+AG256</f>
        <v>17666532804.727272</v>
      </c>
      <c r="AY30" s="363">
        <f t="shared" si="27"/>
        <v>-16758486705</v>
      </c>
      <c r="AZ30" s="143">
        <f t="shared" si="28"/>
        <v>18596065538.272728</v>
      </c>
      <c r="BA30" s="372"/>
      <c r="BG30" s="372"/>
      <c r="BH30" s="372"/>
      <c r="BI30" s="372"/>
      <c r="BJ30" s="372"/>
      <c r="BK30" s="372"/>
      <c r="BL30" s="372"/>
      <c r="BM30" s="110" t="s">
        <v>74</v>
      </c>
      <c r="BN30" s="106">
        <f>X220-X225-X230</f>
        <v>247344980</v>
      </c>
      <c r="BO30" s="107">
        <f>AA220-AA225-AA230</f>
        <v>226892532</v>
      </c>
      <c r="BP30" s="107">
        <f>AD220-AD225-AD230</f>
        <v>226892532</v>
      </c>
      <c r="BQ30" s="108">
        <f>AF220-AF225-AF230</f>
        <v>0</v>
      </c>
      <c r="BR30" s="372"/>
    </row>
    <row r="31" spans="1:70" s="412" customFormat="1" ht="24.95" customHeight="1">
      <c r="A31" s="593" t="str">
        <f>+IF(OCTUBRE!A31=0,"",OCTUBRE!A31)</f>
        <v>1130103-1-2</v>
      </c>
      <c r="B31" s="629" t="str">
        <f>+IF(OCTUBRE!B31=0,"",OCTUBRE!B31)</f>
        <v>Vigencia Anterior</v>
      </c>
      <c r="C31" s="655">
        <f>+ENERO!C31</f>
        <v>0</v>
      </c>
      <c r="D31" s="363">
        <f>OCTUBRE!D31+NOVIEMBRE!P31</f>
        <v>0</v>
      </c>
      <c r="E31" s="363">
        <f>OCTUBRE!E31+NOVIEMBRE!Q31</f>
        <v>0</v>
      </c>
      <c r="F31" s="363">
        <f>SUM(C31:E31)</f>
        <v>0</v>
      </c>
      <c r="G31" s="363">
        <f>OCTUBRE!I31</f>
        <v>0</v>
      </c>
      <c r="H31" s="364">
        <v>0</v>
      </c>
      <c r="I31" s="454">
        <f>SUM(G31:H31)</f>
        <v>0</v>
      </c>
      <c r="J31" s="363">
        <f>OCTUBRE!L31</f>
        <v>0</v>
      </c>
      <c r="K31" s="364">
        <v>0</v>
      </c>
      <c r="L31" s="454">
        <f>SUM(J31:K31)</f>
        <v>0</v>
      </c>
      <c r="M31" s="363">
        <f>F31-I31</f>
        <v>0</v>
      </c>
      <c r="N31" s="143">
        <f>F31-L31</f>
        <v>0</v>
      </c>
      <c r="O31" s="372"/>
      <c r="P31" s="362">
        <v>0</v>
      </c>
      <c r="Q31" s="365">
        <v>0</v>
      </c>
      <c r="R31" s="9"/>
      <c r="S31" s="689" t="str">
        <f>+IF(OCTUBRE!S31=0,"",OCTUBRE!S31)</f>
        <v>1010104-11</v>
      </c>
      <c r="T31" s="665" t="str">
        <f>+IF(OCTUBRE!T31=0,"",OCTUBRE!T31)</f>
        <v/>
      </c>
      <c r="U31" s="27">
        <f>+ENERO!U31</f>
        <v>0</v>
      </c>
      <c r="V31" s="15">
        <f>OCTUBRE!V31+NOVIEMBRE!AL31</f>
        <v>0</v>
      </c>
      <c r="W31" s="15">
        <f>OCTUBRE!W31+NOVIEMBRE!AM31</f>
        <v>0</v>
      </c>
      <c r="X31" s="18">
        <f t="shared" si="17"/>
        <v>0</v>
      </c>
      <c r="Y31" s="19">
        <f>OCTUBRE!AA31</f>
        <v>0</v>
      </c>
      <c r="Z31" s="364">
        <v>0</v>
      </c>
      <c r="AA31" s="18">
        <f t="shared" si="18"/>
        <v>0</v>
      </c>
      <c r="AB31" s="19">
        <f>OCTUBRE!AD31</f>
        <v>0</v>
      </c>
      <c r="AC31" s="364">
        <v>0</v>
      </c>
      <c r="AD31" s="18">
        <f t="shared" si="19"/>
        <v>0</v>
      </c>
      <c r="AE31" s="19">
        <f>OCTUBRE!AG31</f>
        <v>0</v>
      </c>
      <c r="AF31" s="364">
        <v>0</v>
      </c>
      <c r="AG31" s="18">
        <f t="shared" si="20"/>
        <v>0</v>
      </c>
      <c r="AH31" s="19">
        <f t="shared" si="21"/>
        <v>0</v>
      </c>
      <c r="AI31" s="15">
        <f t="shared" si="22"/>
        <v>0</v>
      </c>
      <c r="AJ31" s="16">
        <f t="shared" si="23"/>
        <v>0</v>
      </c>
      <c r="AK31" s="9"/>
      <c r="AL31" s="362">
        <v>0</v>
      </c>
      <c r="AM31" s="365">
        <v>0</v>
      </c>
      <c r="AN31" s="9"/>
      <c r="AO31" s="339"/>
      <c r="AP31" s="405" t="s">
        <v>133</v>
      </c>
      <c r="AQ31" s="421">
        <f>X258</f>
        <v>0</v>
      </c>
      <c r="AR31" s="421">
        <f>AD258</f>
        <v>-7678396417.2399902</v>
      </c>
      <c r="AS31" s="421">
        <f>AG258</f>
        <v>-69938406946</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21897947262</v>
      </c>
      <c r="BO31" s="107">
        <f>AA33+AA41+AA55+AA61+AA81+AA88+AA102+AA108+AA121+AA139+AA143+AA153+AA168+AA174+AA183+AA191+AA207+AA218+AA230+AA241+AA256+AA225</f>
        <v>20642721478</v>
      </c>
      <c r="BP31" s="107">
        <f>AD33+AD41+AD55+AD61+AD81+AD88+AD102+AD108+AD121+AD139+AD143+AD153+AD168+AD174+AD183+AD191+AD207+AD218+AD230+AD241+AD256+AD225</f>
        <v>18670594127</v>
      </c>
      <c r="BQ31" s="108">
        <f>AF33+AF41+AF55+AF61+AF81+AF88+AF102+AF108+AF121+AF139+AF143+AF153+AF168+AF174+AF183+AF191+AF207+AF218+AF230+AF241+AF256+AF225</f>
        <v>525288970</v>
      </c>
      <c r="BR31" s="9"/>
    </row>
    <row r="32" spans="1:70" s="9" customFormat="1" ht="24.95" customHeight="1" thickBot="1">
      <c r="A32" s="593" t="str">
        <f>+IF(OCTUBRE!A32=0,"",OCTUBRE!A32)</f>
        <v>1130103-2</v>
      </c>
      <c r="B32" s="630" t="str">
        <f>+IF(OCTUBRE!B32=0,"",OCTUBRE!B32)</f>
        <v>Prestación de Servicios de salud  2o. Nivel</v>
      </c>
      <c r="C32" s="19">
        <f t="shared" ref="C32:N32" si="32">SUM(C33:C34)</f>
        <v>0</v>
      </c>
      <c r="D32" s="15">
        <f t="shared" si="32"/>
        <v>0</v>
      </c>
      <c r="E32" s="15">
        <f t="shared" si="32"/>
        <v>0</v>
      </c>
      <c r="F32" s="15">
        <f t="shared" si="32"/>
        <v>0</v>
      </c>
      <c r="G32" s="15">
        <f t="shared" si="32"/>
        <v>0</v>
      </c>
      <c r="H32" s="15">
        <f t="shared" si="32"/>
        <v>0</v>
      </c>
      <c r="I32" s="822">
        <f t="shared" si="32"/>
        <v>0</v>
      </c>
      <c r="J32" s="15">
        <f t="shared" si="32"/>
        <v>0</v>
      </c>
      <c r="K32" s="15">
        <f t="shared" si="32"/>
        <v>0</v>
      </c>
      <c r="L32" s="822">
        <f t="shared" si="32"/>
        <v>0</v>
      </c>
      <c r="M32" s="15">
        <f t="shared" si="32"/>
        <v>0</v>
      </c>
      <c r="N32" s="16">
        <f t="shared" si="32"/>
        <v>0</v>
      </c>
      <c r="O32" s="372"/>
      <c r="P32" s="144">
        <f>SUM(P33:P34)</f>
        <v>0</v>
      </c>
      <c r="Q32" s="145">
        <f>SUM(Q33:Q34)</f>
        <v>0</v>
      </c>
      <c r="S32" s="689" t="str">
        <f>+IF(OCTUBRE!S32=0,"",OCTUBRE!S32)</f>
        <v>1010104-12</v>
      </c>
      <c r="T32" s="665" t="str">
        <f>+IF(OCTUBRE!T32=0,"",OCTUBRE!T32)</f>
        <v/>
      </c>
      <c r="U32" s="27">
        <f>+ENERO!U32</f>
        <v>0</v>
      </c>
      <c r="V32" s="15">
        <f>OCTUBRE!V32+NOVIEMBRE!AL32</f>
        <v>0</v>
      </c>
      <c r="W32" s="15">
        <f>OCTUBRE!W32+NOVIEMBRE!AM32</f>
        <v>0</v>
      </c>
      <c r="X32" s="18">
        <f t="shared" si="17"/>
        <v>0</v>
      </c>
      <c r="Y32" s="19">
        <f>OCTUBRE!AA32</f>
        <v>0</v>
      </c>
      <c r="Z32" s="364">
        <v>0</v>
      </c>
      <c r="AA32" s="18">
        <f t="shared" si="18"/>
        <v>0</v>
      </c>
      <c r="AB32" s="19">
        <f>OCTUBRE!AD32</f>
        <v>0</v>
      </c>
      <c r="AC32" s="364">
        <v>0</v>
      </c>
      <c r="AD32" s="18">
        <f t="shared" si="19"/>
        <v>0</v>
      </c>
      <c r="AE32" s="19">
        <f>OCTUBRE!AG32</f>
        <v>0</v>
      </c>
      <c r="AF32" s="364">
        <v>0</v>
      </c>
      <c r="AG32" s="18">
        <f t="shared" si="20"/>
        <v>0</v>
      </c>
      <c r="AH32" s="19">
        <f t="shared" si="21"/>
        <v>0</v>
      </c>
      <c r="AI32" s="15">
        <f t="shared" si="22"/>
        <v>0</v>
      </c>
      <c r="AJ32" s="16">
        <f t="shared" si="23"/>
        <v>0</v>
      </c>
      <c r="AL32" s="362">
        <v>0</v>
      </c>
      <c r="AM32" s="365">
        <v>0</v>
      </c>
      <c r="AO32" s="21"/>
      <c r="AP32" s="430" t="s">
        <v>138</v>
      </c>
      <c r="AQ32" s="385">
        <f>SUM(AQ22:AQ31)</f>
        <v>116625291116</v>
      </c>
      <c r="AR32" s="385">
        <f>SUM(AR22:AR31)</f>
        <v>79376745562.76001</v>
      </c>
      <c r="AS32" s="385">
        <f>SUM(AS22:AS31)</f>
        <v>0</v>
      </c>
      <c r="AT32" s="431"/>
      <c r="AU32" s="432">
        <f t="shared" si="25"/>
        <v>0.68061348274628397</v>
      </c>
      <c r="AV32" s="432">
        <f t="shared" si="26"/>
        <v>0</v>
      </c>
      <c r="AW32" s="341">
        <f>SUM(AW22:AW31)</f>
        <v>93396203335.090912</v>
      </c>
      <c r="AX32" s="341">
        <f>SUM(AX22:AX31)</f>
        <v>74724213210</v>
      </c>
      <c r="AY32" s="341">
        <f>SUM(AY22:AY31)</f>
        <v>-23229087780.909088</v>
      </c>
      <c r="AZ32" s="342">
        <f>SUM(AZ22:AZ31)</f>
        <v>41901077906</v>
      </c>
      <c r="BA32" s="372"/>
      <c r="BB32" s="412"/>
      <c r="BC32" s="412"/>
      <c r="BD32" s="412"/>
      <c r="BE32" s="412"/>
      <c r="BF32" s="412"/>
      <c r="BG32" s="372"/>
      <c r="BH32" s="372"/>
      <c r="BI32" s="372"/>
      <c r="BJ32" s="372"/>
      <c r="BK32" s="372"/>
      <c r="BM32" s="110" t="s">
        <v>134</v>
      </c>
      <c r="BN32" s="106">
        <f>+BN7+BN25+BN29+BN30+BN31</f>
        <v>116625291116</v>
      </c>
      <c r="BO32" s="107">
        <f>+BO7+BO25+BO29+BO30+BO31</f>
        <v>103513785136</v>
      </c>
      <c r="BP32" s="107">
        <f>+BP7+BP25+BP29+BP30+BP31</f>
        <v>87055141980</v>
      </c>
      <c r="BQ32" s="108">
        <f>+BQ7+BQ25+BQ29+BQ30+BQ31</f>
        <v>5097037552</v>
      </c>
      <c r="BR32" s="372"/>
    </row>
    <row r="33" spans="1:70" s="412" customFormat="1" ht="24.95" customHeight="1" thickBot="1">
      <c r="A33" s="593" t="str">
        <f>+IF(OCTUBRE!A33=0,"",OCTUBRE!A33)</f>
        <v>1130103-2-1</v>
      </c>
      <c r="B33" s="629" t="str">
        <f>+CONCATENATE("Vigencia ",INSTRUCCIONES!$F$3)</f>
        <v>Vigencia 2019</v>
      </c>
      <c r="C33" s="655">
        <f>+ENERO!C33</f>
        <v>0</v>
      </c>
      <c r="D33" s="363">
        <f>OCTUBRE!D33+NOVIEMBRE!P33</f>
        <v>0</v>
      </c>
      <c r="E33" s="363">
        <f>OCTUBRE!E33+NOVIEMBRE!Q33</f>
        <v>0</v>
      </c>
      <c r="F33" s="363">
        <f>SUM(C33:E33)</f>
        <v>0</v>
      </c>
      <c r="G33" s="363">
        <f>OCTUBRE!I33</f>
        <v>0</v>
      </c>
      <c r="H33" s="364">
        <v>0</v>
      </c>
      <c r="I33" s="454">
        <f>SUM(G33:H33)</f>
        <v>0</v>
      </c>
      <c r="J33" s="363">
        <f>OCTUBRE!L33</f>
        <v>0</v>
      </c>
      <c r="K33" s="364">
        <v>0</v>
      </c>
      <c r="L33" s="454">
        <f>SUM(J33:K33)</f>
        <v>0</v>
      </c>
      <c r="M33" s="363">
        <f>F33-I33</f>
        <v>0</v>
      </c>
      <c r="N33" s="143">
        <f>F33-L33</f>
        <v>0</v>
      </c>
      <c r="O33" s="9"/>
      <c r="P33" s="362">
        <v>0</v>
      </c>
      <c r="Q33" s="365">
        <v>0</v>
      </c>
      <c r="R33" s="9"/>
      <c r="S33" s="688">
        <f>+IF(OCTUBRE!S33=0,"",OCTUBRE!S33)</f>
        <v>1010199</v>
      </c>
      <c r="T33" s="664" t="str">
        <f>+IF(OCTUBRE!T33=0,"",OCTUBRE!T33)</f>
        <v>Vigencias Anteriores</v>
      </c>
      <c r="U33" s="27">
        <f>+ENERO!U33</f>
        <v>0</v>
      </c>
      <c r="V33" s="15">
        <f>OCTUBRE!V33+NOVIEMBRE!AL33</f>
        <v>-120000000</v>
      </c>
      <c r="W33" s="15">
        <f>OCTUBRE!W33+NOVIEMBRE!AM33</f>
        <v>120000000</v>
      </c>
      <c r="X33" s="18">
        <f t="shared" si="17"/>
        <v>0</v>
      </c>
      <c r="Y33" s="19">
        <f>OCTUBRE!AA33</f>
        <v>0</v>
      </c>
      <c r="Z33" s="364">
        <v>0</v>
      </c>
      <c r="AA33" s="18">
        <f t="shared" si="18"/>
        <v>0</v>
      </c>
      <c r="AB33" s="19">
        <f>OCTUBRE!AD33</f>
        <v>0</v>
      </c>
      <c r="AC33" s="364">
        <v>0</v>
      </c>
      <c r="AD33" s="18">
        <f t="shared" si="19"/>
        <v>0</v>
      </c>
      <c r="AE33" s="19">
        <f>OCTUBRE!AG33</f>
        <v>0</v>
      </c>
      <c r="AF33" s="364">
        <v>0</v>
      </c>
      <c r="AG33" s="1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12679137758</v>
      </c>
      <c r="BP33" s="113">
        <f>AD258</f>
        <v>-7678396417.2399902</v>
      </c>
      <c r="BQ33" s="114">
        <f>AF258</f>
        <v>32151508001.240005</v>
      </c>
      <c r="BR33" s="372"/>
    </row>
    <row r="34" spans="1:70" s="412" customFormat="1" ht="24.95" customHeight="1" thickBot="1">
      <c r="A34" s="593" t="str">
        <f>+IF(OCTUBRE!A34=0,"",OCTUBRE!A34)</f>
        <v>1130103-2-2</v>
      </c>
      <c r="B34" s="629" t="str">
        <f>+IF(OCTUBRE!B34=0,"",OCTUBRE!B34)</f>
        <v>Vigencia Anterior</v>
      </c>
      <c r="C34" s="655">
        <f>+ENERO!C34</f>
        <v>0</v>
      </c>
      <c r="D34" s="363">
        <f>OCTUBRE!D34+NOVIEMBRE!P34</f>
        <v>0</v>
      </c>
      <c r="E34" s="363">
        <f>OCTUBRE!E34+NOVIEMBRE!Q34</f>
        <v>0</v>
      </c>
      <c r="F34" s="363">
        <f>SUM(C34:E34)</f>
        <v>0</v>
      </c>
      <c r="G34" s="363">
        <f>OCTUBRE!I34</f>
        <v>0</v>
      </c>
      <c r="H34" s="364">
        <v>0</v>
      </c>
      <c r="I34" s="454">
        <f>SUM(G34:H34)</f>
        <v>0</v>
      </c>
      <c r="J34" s="363">
        <f>OCTUBRE!L34</f>
        <v>0</v>
      </c>
      <c r="K34" s="364">
        <v>0</v>
      </c>
      <c r="L34" s="454">
        <f>SUM(J34:K34)</f>
        <v>0</v>
      </c>
      <c r="M34" s="363">
        <f>F34-I34</f>
        <v>0</v>
      </c>
      <c r="N34" s="143">
        <f>F34-L34</f>
        <v>0</v>
      </c>
      <c r="O34" s="372"/>
      <c r="P34" s="362">
        <v>0</v>
      </c>
      <c r="Q34" s="365">
        <v>0</v>
      </c>
      <c r="R34" s="9"/>
      <c r="S34" s="356" t="str">
        <f>+IF(OCTUBRE!S34=0,"",OCTUBRE!S34)</f>
        <v/>
      </c>
      <c r="T34" s="678" t="str">
        <f>+IF(OCTUBRE!T34=0,"",OCTUBRE!T34)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+IF(OCTUBRE!A35=0,"",OCTUBRE!A35)</f>
        <v>1130103-3</v>
      </c>
      <c r="B35" s="630" t="str">
        <f>+IF(OCTUBRE!B35=0,"",OCTUBRE!B35)</f>
        <v>Prestación de Servicios de salud  3o. Nivel</v>
      </c>
      <c r="C35" s="19">
        <f t="shared" ref="C35:N35" si="33">SUM(C36:C37)</f>
        <v>7627600802</v>
      </c>
      <c r="D35" s="15">
        <f t="shared" si="33"/>
        <v>0</v>
      </c>
      <c r="E35" s="15">
        <f t="shared" si="33"/>
        <v>4896525816</v>
      </c>
      <c r="F35" s="15">
        <f t="shared" si="33"/>
        <v>12524126618</v>
      </c>
      <c r="G35" s="15">
        <f t="shared" si="33"/>
        <v>14547393662</v>
      </c>
      <c r="H35" s="15">
        <f t="shared" si="33"/>
        <v>868516923</v>
      </c>
      <c r="I35" s="822">
        <f t="shared" si="33"/>
        <v>15415910585</v>
      </c>
      <c r="J35" s="15">
        <f t="shared" si="33"/>
        <v>5306222853</v>
      </c>
      <c r="K35" s="15">
        <f t="shared" si="33"/>
        <v>680937523</v>
      </c>
      <c r="L35" s="822">
        <f t="shared" si="33"/>
        <v>5987160376</v>
      </c>
      <c r="M35" s="15">
        <f t="shared" si="33"/>
        <v>-2891783967</v>
      </c>
      <c r="N35" s="16">
        <f t="shared" si="33"/>
        <v>6536966242</v>
      </c>
      <c r="P35" s="144">
        <f>SUM(P36:P37)</f>
        <v>0</v>
      </c>
      <c r="Q35" s="145">
        <f>SUM(Q36:Q37)</f>
        <v>768618224</v>
      </c>
      <c r="R35" s="9"/>
      <c r="S35" s="687">
        <f>+IF(OCTUBRE!S35=0,"",OCTUBRE!S35)</f>
        <v>1010200</v>
      </c>
      <c r="T35" s="663" t="str">
        <f>+IF(OCTUBRE!T35=0,"",OCTUBRE!T35)</f>
        <v>Servicios Personales Indirectos</v>
      </c>
      <c r="U35" s="132">
        <f t="shared" ref="U35:AJ35" si="34">SUM(U36:U41)</f>
        <v>4253886796</v>
      </c>
      <c r="V35" s="122">
        <f t="shared" si="34"/>
        <v>200000000</v>
      </c>
      <c r="W35" s="122">
        <f t="shared" si="34"/>
        <v>430000000</v>
      </c>
      <c r="X35" s="129">
        <f t="shared" si="34"/>
        <v>4883886796</v>
      </c>
      <c r="Y35" s="128">
        <f t="shared" si="34"/>
        <v>4452511583</v>
      </c>
      <c r="Z35" s="122">
        <f t="shared" si="34"/>
        <v>339014058</v>
      </c>
      <c r="AA35" s="129">
        <f t="shared" si="34"/>
        <v>4791525641</v>
      </c>
      <c r="AB35" s="128">
        <f t="shared" si="34"/>
        <v>4013965873</v>
      </c>
      <c r="AC35" s="122">
        <f t="shared" si="34"/>
        <v>364396947</v>
      </c>
      <c r="AD35" s="129">
        <f t="shared" si="34"/>
        <v>4378362820</v>
      </c>
      <c r="AE35" s="128">
        <f t="shared" si="34"/>
        <v>3506372712</v>
      </c>
      <c r="AF35" s="122">
        <f t="shared" si="34"/>
        <v>353485934</v>
      </c>
      <c r="AG35" s="129">
        <f t="shared" si="34"/>
        <v>3859858646</v>
      </c>
      <c r="AH35" s="128">
        <f t="shared" si="34"/>
        <v>92361155</v>
      </c>
      <c r="AI35" s="122">
        <f t="shared" si="34"/>
        <v>505523976</v>
      </c>
      <c r="AJ35" s="130">
        <f t="shared" si="34"/>
        <v>1024028150</v>
      </c>
      <c r="AK35" s="9"/>
      <c r="AL35" s="128">
        <f>SUM(AL36:AL41)</f>
        <v>0</v>
      </c>
      <c r="AM35" s="130">
        <f>SUM(AM36:AM41)</f>
        <v>280000000</v>
      </c>
      <c r="AN35" s="9"/>
      <c r="AO35" s="339"/>
      <c r="AP35" s="440"/>
      <c r="AQ35" s="282"/>
      <c r="AR35" s="441"/>
      <c r="AS35" s="441"/>
      <c r="AT35" s="441"/>
      <c r="AU35" s="442">
        <f>AR17-AR32</f>
        <v>18408435759.23999</v>
      </c>
      <c r="AV35" s="443">
        <f>AS17-AR32</f>
        <v>-18348849834.000008</v>
      </c>
      <c r="AW35" s="443" t="s">
        <v>151</v>
      </c>
      <c r="AX35" s="444"/>
      <c r="AY35" s="443">
        <f>AY17+AY32</f>
        <v>6301797301.6363678</v>
      </c>
      <c r="AZ35" s="445">
        <f>AZ17+AY32</f>
        <v>-33861305241.506363</v>
      </c>
      <c r="BB35" s="412"/>
      <c r="BC35" s="412"/>
      <c r="BD35" s="412"/>
      <c r="BE35" s="412"/>
      <c r="BF35" s="412"/>
    </row>
    <row r="36" spans="1:70" s="372" customFormat="1" ht="24.95" customHeight="1" thickBot="1">
      <c r="A36" s="593" t="str">
        <f>+IF(OCTUBRE!A36=0,"",OCTUBRE!A36)</f>
        <v>1130103-3-1</v>
      </c>
      <c r="B36" s="629" t="str">
        <f>+CONCATENATE("Vigencia ",INSTRUCCIONES!$F$3)</f>
        <v>Vigencia 2019</v>
      </c>
      <c r="C36" s="655">
        <f>+ENERO!C36</f>
        <v>7627600802</v>
      </c>
      <c r="D36" s="363">
        <f>OCTUBRE!D36+NOVIEMBRE!P36</f>
        <v>0</v>
      </c>
      <c r="E36" s="363">
        <f>OCTUBRE!E36+NOVIEMBRE!Q36</f>
        <v>0</v>
      </c>
      <c r="F36" s="363">
        <f t="shared" ref="F36:F41" si="35">SUM(C36:E36)</f>
        <v>7627600802</v>
      </c>
      <c r="G36" s="363">
        <f>OCTUBRE!I36</f>
        <v>9650867846</v>
      </c>
      <c r="H36" s="364">
        <v>867108667</v>
      </c>
      <c r="I36" s="454">
        <f t="shared" ref="I36:I41" si="36">SUM(G36:H36)</f>
        <v>10517976513</v>
      </c>
      <c r="J36" s="363">
        <f>OCTUBRE!L36</f>
        <v>409697037</v>
      </c>
      <c r="K36" s="364">
        <f>34594382+644934885</f>
        <v>679529267</v>
      </c>
      <c r="L36" s="454">
        <f t="shared" ref="L36:L41" si="37">SUM(J36:K36)</f>
        <v>1089226304</v>
      </c>
      <c r="M36" s="363">
        <f t="shared" ref="M36:M41" si="38">F36-I36</f>
        <v>-2890375711</v>
      </c>
      <c r="N36" s="143">
        <f t="shared" ref="N36:N41" si="39">F36-L36</f>
        <v>6538374498</v>
      </c>
      <c r="O36" s="9"/>
      <c r="P36" s="362">
        <v>0</v>
      </c>
      <c r="Q36" s="365">
        <v>0</v>
      </c>
      <c r="R36" s="9"/>
      <c r="S36" s="688" t="str">
        <f>+IF(OCTUBRE!S36=0,"",OCTUBRE!S36)</f>
        <v>1010200-1</v>
      </c>
      <c r="T36" s="664" t="str">
        <f>+IF(OCTUBRE!T36=0,"",OCTUBRE!T36)</f>
        <v>Remuneración y Honorarios por Servicios Técnicos y Profesionales</v>
      </c>
      <c r="U36" s="27">
        <f>+ENERO!U36</f>
        <v>1270340000</v>
      </c>
      <c r="V36" s="15">
        <f>OCTUBRE!V36+NOVIEMBRE!AL36</f>
        <v>80000000</v>
      </c>
      <c r="W36" s="15">
        <f>OCTUBRE!W36+NOVIEMBRE!AM36</f>
        <v>100000000</v>
      </c>
      <c r="X36" s="18">
        <f t="shared" ref="X36:X41" si="40">SUM(U36:W36)</f>
        <v>1450340000</v>
      </c>
      <c r="Y36" s="19">
        <f>OCTUBRE!AA36</f>
        <v>1384562234</v>
      </c>
      <c r="Z36" s="364">
        <v>8600000</v>
      </c>
      <c r="AA36" s="18">
        <f t="shared" ref="AA36:AA41" si="41">SUM(Y36:Z36)</f>
        <v>1393162234</v>
      </c>
      <c r="AB36" s="19">
        <f>OCTUBRE!AD36</f>
        <v>1142190210</v>
      </c>
      <c r="AC36" s="364">
        <v>112475666</v>
      </c>
      <c r="AD36" s="18">
        <f t="shared" ref="AD36:AD41" si="42">SUM(AB36:AC36)</f>
        <v>1254665876</v>
      </c>
      <c r="AE36" s="19">
        <f>OCTUBRE!AG36</f>
        <v>1120695328</v>
      </c>
      <c r="AF36" s="364">
        <v>104394882</v>
      </c>
      <c r="AG36" s="18">
        <f t="shared" ref="AG36:AG41" si="43">SUM(AE36:AF36)</f>
        <v>1225090210</v>
      </c>
      <c r="AH36" s="19">
        <f t="shared" ref="AH36:AH41" si="44">X36-AA36</f>
        <v>57177766</v>
      </c>
      <c r="AI36" s="15">
        <f t="shared" ref="AI36:AI41" si="45">X36-AD36</f>
        <v>195674124</v>
      </c>
      <c r="AJ36" s="16">
        <f t="shared" ref="AJ36:AJ41" si="46">X36-AG36</f>
        <v>225249790</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+IF(OCTUBRE!A37=0,"",OCTUBRE!A37)</f>
        <v>1130103-3-2</v>
      </c>
      <c r="B37" s="629" t="str">
        <f>+IF(OCTUBRE!B37=0,"",OCTUBRE!B37)</f>
        <v>Vigencia Anterior</v>
      </c>
      <c r="C37" s="655">
        <f>+ENERO!C37</f>
        <v>0</v>
      </c>
      <c r="D37" s="363">
        <f>OCTUBRE!D37+NOVIEMBRE!P37</f>
        <v>0</v>
      </c>
      <c r="E37" s="363">
        <f>OCTUBRE!E37+NOVIEMBRE!Q37</f>
        <v>4896525816</v>
      </c>
      <c r="F37" s="363">
        <f t="shared" si="35"/>
        <v>4896525816</v>
      </c>
      <c r="G37" s="363">
        <f>OCTUBRE!I37</f>
        <v>4896525816</v>
      </c>
      <c r="H37" s="364">
        <v>1408256</v>
      </c>
      <c r="I37" s="454">
        <f t="shared" si="36"/>
        <v>4897934072</v>
      </c>
      <c r="J37" s="363">
        <f>OCTUBRE!L37</f>
        <v>4896525816</v>
      </c>
      <c r="K37" s="364">
        <v>1408256</v>
      </c>
      <c r="L37" s="454">
        <f t="shared" si="37"/>
        <v>4897934072</v>
      </c>
      <c r="M37" s="363">
        <f t="shared" si="38"/>
        <v>-1408256</v>
      </c>
      <c r="N37" s="143">
        <f t="shared" si="39"/>
        <v>-1408256</v>
      </c>
      <c r="P37" s="362">
        <v>0</v>
      </c>
      <c r="Q37" s="365">
        <v>768618224</v>
      </c>
      <c r="R37" s="9"/>
      <c r="S37" s="688" t="str">
        <f>+IF(OCTUBRE!S37=0,"",OCTUBRE!S37)</f>
        <v>1010200-2</v>
      </c>
      <c r="T37" s="664" t="str">
        <f>+IF(OCTUBRE!T37=0,"",OCTUBRE!T37)</f>
        <v>Personal Supernumerario</v>
      </c>
      <c r="U37" s="27">
        <f>+ENERO!U37</f>
        <v>0</v>
      </c>
      <c r="V37" s="15">
        <f>OCTUBRE!V37+NOVIEMBRE!AL37</f>
        <v>0</v>
      </c>
      <c r="W37" s="15">
        <f>OCTUBRE!W37+NOVIEMBRE!AM37</f>
        <v>0</v>
      </c>
      <c r="X37" s="18">
        <f t="shared" si="40"/>
        <v>0</v>
      </c>
      <c r="Y37" s="19">
        <f>OCTUBRE!AA37</f>
        <v>0</v>
      </c>
      <c r="Z37" s="364">
        <v>0</v>
      </c>
      <c r="AA37" s="18">
        <f t="shared" si="41"/>
        <v>0</v>
      </c>
      <c r="AB37" s="19">
        <f>OCTUBRE!AD37</f>
        <v>0</v>
      </c>
      <c r="AC37" s="364">
        <v>0</v>
      </c>
      <c r="AD37" s="18">
        <f t="shared" si="42"/>
        <v>0</v>
      </c>
      <c r="AE37" s="19">
        <f>OCTUBRE!AG37</f>
        <v>0</v>
      </c>
      <c r="AF37" s="364">
        <v>0</v>
      </c>
      <c r="AG37" s="18">
        <f t="shared" si="43"/>
        <v>0</v>
      </c>
      <c r="AH37" s="19">
        <f t="shared" si="44"/>
        <v>0</v>
      </c>
      <c r="AI37" s="15">
        <f t="shared" si="45"/>
        <v>0</v>
      </c>
      <c r="AJ37" s="16">
        <f t="shared" si="46"/>
        <v>0</v>
      </c>
      <c r="AK37" s="9"/>
      <c r="AL37" s="362">
        <v>0</v>
      </c>
      <c r="AM37" s="365">
        <v>0</v>
      </c>
      <c r="AN37" s="9"/>
      <c r="AO37" s="24" t="s">
        <v>153</v>
      </c>
    </row>
    <row r="38" spans="1:70" s="372" customFormat="1" ht="24.95" customHeight="1">
      <c r="A38" s="716" t="str">
        <f>+IF(OCTUBRE!A38=0,"",OCTUBRE!A38)</f>
        <v>1130103-4</v>
      </c>
      <c r="B38" s="631" t="str">
        <f>+IF(OCTUBRE!B38=0,"",OCTUBRE!B38)</f>
        <v xml:space="preserve"> Aportes Patronales  1o. Nivel</v>
      </c>
      <c r="C38" s="655">
        <f>+ENERO!C38</f>
        <v>0</v>
      </c>
      <c r="D38" s="363">
        <f>OCTUBRE!D38+NOVIEMBRE!P38</f>
        <v>0</v>
      </c>
      <c r="E38" s="363">
        <f>OCTUBRE!E38+NOVIEMBRE!Q38</f>
        <v>0</v>
      </c>
      <c r="F38" s="363">
        <f t="shared" si="35"/>
        <v>0</v>
      </c>
      <c r="G38" s="363">
        <f>OCTUBRE!I38</f>
        <v>0</v>
      </c>
      <c r="H38" s="364">
        <v>0</v>
      </c>
      <c r="I38" s="454">
        <f t="shared" si="36"/>
        <v>0</v>
      </c>
      <c r="J38" s="363">
        <f>OCTUBRE!L38</f>
        <v>0</v>
      </c>
      <c r="K38" s="364">
        <v>0</v>
      </c>
      <c r="L38" s="454">
        <f t="shared" si="37"/>
        <v>0</v>
      </c>
      <c r="M38" s="363">
        <f t="shared" si="38"/>
        <v>0</v>
      </c>
      <c r="N38" s="143">
        <f t="shared" si="39"/>
        <v>0</v>
      </c>
      <c r="O38" s="515"/>
      <c r="P38" s="362">
        <v>0</v>
      </c>
      <c r="Q38" s="365">
        <v>0</v>
      </c>
      <c r="R38" s="9"/>
      <c r="S38" s="688" t="str">
        <f>+IF(OCTUBRE!S38=0,"",OCTUBRE!S38)</f>
        <v>1010200-3</v>
      </c>
      <c r="T38" s="664" t="str">
        <f>+IF(OCTUBRE!T38=0,"",OCTUBRE!T38)</f>
        <v>Honorarios de la Junta Directiva</v>
      </c>
      <c r="U38" s="27">
        <f>+ENERO!U38</f>
        <v>5000000</v>
      </c>
      <c r="V38" s="15">
        <f>OCTUBRE!V38+NOVIEMBRE!AL38</f>
        <v>0</v>
      </c>
      <c r="W38" s="15">
        <f>OCTUBRE!W38+NOVIEMBRE!AM38</f>
        <v>0</v>
      </c>
      <c r="X38" s="18">
        <f t="shared" si="40"/>
        <v>5000000</v>
      </c>
      <c r="Y38" s="19">
        <f>OCTUBRE!AA38</f>
        <v>3726522</v>
      </c>
      <c r="Z38" s="364">
        <v>414058</v>
      </c>
      <c r="AA38" s="18">
        <f t="shared" si="41"/>
        <v>4140580</v>
      </c>
      <c r="AB38" s="19">
        <f>OCTUBRE!AD38</f>
        <v>3726522</v>
      </c>
      <c r="AC38" s="364">
        <v>0</v>
      </c>
      <c r="AD38" s="18">
        <f t="shared" si="42"/>
        <v>3726522</v>
      </c>
      <c r="AE38" s="19">
        <f>OCTUBRE!AG38</f>
        <v>3312464</v>
      </c>
      <c r="AF38" s="364">
        <v>414058</v>
      </c>
      <c r="AG38" s="18">
        <f t="shared" si="43"/>
        <v>3726522</v>
      </c>
      <c r="AH38" s="19">
        <f t="shared" si="44"/>
        <v>859420</v>
      </c>
      <c r="AI38" s="15">
        <f t="shared" si="45"/>
        <v>1273478</v>
      </c>
      <c r="AJ38" s="16">
        <f t="shared" si="46"/>
        <v>1273478</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+IF(OCTUBRE!A39=0,"",OCTUBRE!A39)</f>
        <v>1130103-5</v>
      </c>
      <c r="B39" s="631" t="str">
        <f>+IF(OCTUBRE!B39=0,"",OCTUBRE!B39)</f>
        <v xml:space="preserve"> Aportes Patronales  2o. Nivel</v>
      </c>
      <c r="C39" s="655">
        <f>+ENERO!C39</f>
        <v>0</v>
      </c>
      <c r="D39" s="363">
        <f>OCTUBRE!D39+NOVIEMBRE!P39</f>
        <v>0</v>
      </c>
      <c r="E39" s="363">
        <f>OCTUBRE!E39+NOVIEMBRE!Q39</f>
        <v>0</v>
      </c>
      <c r="F39" s="363">
        <f t="shared" si="35"/>
        <v>0</v>
      </c>
      <c r="G39" s="363">
        <f>OCTUBRE!I39</f>
        <v>0</v>
      </c>
      <c r="H39" s="364">
        <v>0</v>
      </c>
      <c r="I39" s="454">
        <f t="shared" si="36"/>
        <v>0</v>
      </c>
      <c r="J39" s="363">
        <f>OCTUBRE!L39</f>
        <v>0</v>
      </c>
      <c r="K39" s="364">
        <v>0</v>
      </c>
      <c r="L39" s="454">
        <f t="shared" si="37"/>
        <v>0</v>
      </c>
      <c r="M39" s="363">
        <f t="shared" si="38"/>
        <v>0</v>
      </c>
      <c r="N39" s="143">
        <f t="shared" si="39"/>
        <v>0</v>
      </c>
      <c r="O39" s="515"/>
      <c r="P39" s="362">
        <v>0</v>
      </c>
      <c r="Q39" s="365">
        <v>0</v>
      </c>
      <c r="R39" s="9"/>
      <c r="S39" s="688" t="str">
        <f>+IF(OCTUBRE!S39=0,"",OCTUBRE!S39)</f>
        <v>1010200-4</v>
      </c>
      <c r="T39" s="664" t="str">
        <f>+IF(OCTUBRE!T39=0,"",OCTUBRE!T39)</f>
        <v>Otros Honorarios</v>
      </c>
      <c r="U39" s="27">
        <f>+ENERO!U39</f>
        <v>2589745841</v>
      </c>
      <c r="V39" s="15">
        <f>OCTUBRE!V39+NOVIEMBRE!AL39</f>
        <v>0</v>
      </c>
      <c r="W39" s="15">
        <f>OCTUBRE!W39+NOVIEMBRE!AM39</f>
        <v>330000000</v>
      </c>
      <c r="X39" s="18">
        <f t="shared" si="40"/>
        <v>2919745841</v>
      </c>
      <c r="Y39" s="19">
        <f>OCTUBRE!AA39</f>
        <v>2589745626</v>
      </c>
      <c r="Z39" s="364">
        <v>330000000</v>
      </c>
      <c r="AA39" s="18">
        <f t="shared" si="41"/>
        <v>2919745626</v>
      </c>
      <c r="AB39" s="19">
        <f>OCTUBRE!AD39</f>
        <v>2393571940</v>
      </c>
      <c r="AC39" s="364">
        <v>251921281</v>
      </c>
      <c r="AD39" s="18">
        <f t="shared" si="42"/>
        <v>2645493221</v>
      </c>
      <c r="AE39" s="19">
        <f>OCTUBRE!AG39</f>
        <v>1907887719</v>
      </c>
      <c r="AF39" s="364">
        <v>248676994</v>
      </c>
      <c r="AG39" s="18">
        <f t="shared" si="43"/>
        <v>2156564713</v>
      </c>
      <c r="AH39" s="19">
        <f t="shared" si="44"/>
        <v>215</v>
      </c>
      <c r="AI39" s="15">
        <f t="shared" si="45"/>
        <v>274252620</v>
      </c>
      <c r="AJ39" s="16">
        <f t="shared" si="46"/>
        <v>763181128</v>
      </c>
      <c r="AK39" s="9"/>
      <c r="AL39" s="362">
        <v>0</v>
      </c>
      <c r="AM39" s="365">
        <v>280000000</v>
      </c>
      <c r="AN39" s="9"/>
      <c r="AO39" s="284"/>
      <c r="AP39" s="284"/>
      <c r="AQ39" s="284"/>
      <c r="AR39" s="284"/>
      <c r="AS39" s="284"/>
      <c r="AT39" s="284"/>
      <c r="AU39" s="284"/>
      <c r="AV39" s="284"/>
      <c r="AW39" s="284"/>
      <c r="AX39" s="284"/>
      <c r="AY39" s="284"/>
      <c r="AZ39" s="284"/>
    </row>
    <row r="40" spans="1:70" s="412" customFormat="1" ht="24.95" customHeight="1">
      <c r="A40" s="716" t="str">
        <f>+IF(OCTUBRE!A40=0,"",OCTUBRE!A40)</f>
        <v>1130103-6</v>
      </c>
      <c r="B40" s="631" t="str">
        <f>+IF(OCTUBRE!B40=0,"",OCTUBRE!B40)</f>
        <v xml:space="preserve"> Aportes Patronales  3er. Nivel</v>
      </c>
      <c r="C40" s="655">
        <f>+ENERO!C40</f>
        <v>1324760338</v>
      </c>
      <c r="D40" s="363">
        <f>OCTUBRE!D40+NOVIEMBRE!P40</f>
        <v>0</v>
      </c>
      <c r="E40" s="363">
        <f>OCTUBRE!E40+NOVIEMBRE!Q40</f>
        <v>0</v>
      </c>
      <c r="F40" s="363">
        <f t="shared" si="35"/>
        <v>1324760338</v>
      </c>
      <c r="G40" s="363">
        <f>OCTUBRE!I40</f>
        <v>993570255</v>
      </c>
      <c r="H40" s="364">
        <v>110396695</v>
      </c>
      <c r="I40" s="454">
        <f t="shared" si="36"/>
        <v>1103966950</v>
      </c>
      <c r="J40" s="363">
        <f>OCTUBRE!L40</f>
        <v>993570255</v>
      </c>
      <c r="K40" s="364">
        <v>110396695</v>
      </c>
      <c r="L40" s="454">
        <f t="shared" si="37"/>
        <v>1103966950</v>
      </c>
      <c r="M40" s="363">
        <f t="shared" si="38"/>
        <v>220793388</v>
      </c>
      <c r="N40" s="143">
        <f t="shared" si="39"/>
        <v>220793388</v>
      </c>
      <c r="O40" s="515"/>
      <c r="P40" s="362">
        <v>0</v>
      </c>
      <c r="Q40" s="365">
        <v>0</v>
      </c>
      <c r="R40" s="9"/>
      <c r="S40" s="688" t="str">
        <f>+IF(OCTUBRE!S40=0,"",OCTUBRE!S40)</f>
        <v>1010200-5</v>
      </c>
      <c r="T40" s="664" t="str">
        <f>+IF(OCTUBRE!T40=0,"",OCTUBRE!T40)</f>
        <v>Certificación, Habilitación y Acreditación</v>
      </c>
      <c r="U40" s="27">
        <f>+ENERO!U40</f>
        <v>0</v>
      </c>
      <c r="V40" s="15">
        <f>OCTUBRE!V40+NOVIEMBRE!AL40</f>
        <v>0</v>
      </c>
      <c r="W40" s="15">
        <f>OCTUBRE!W40+NOVIEMBRE!AM40</f>
        <v>0</v>
      </c>
      <c r="X40" s="18">
        <f t="shared" si="40"/>
        <v>0</v>
      </c>
      <c r="Y40" s="19">
        <f>OCTUBRE!AA40</f>
        <v>0</v>
      </c>
      <c r="Z40" s="364">
        <v>0</v>
      </c>
      <c r="AA40" s="18">
        <f t="shared" si="41"/>
        <v>0</v>
      </c>
      <c r="AB40" s="19">
        <f>OCTUBRE!AD40</f>
        <v>0</v>
      </c>
      <c r="AC40" s="364">
        <v>0</v>
      </c>
      <c r="AD40" s="18">
        <f t="shared" si="42"/>
        <v>0</v>
      </c>
      <c r="AE40" s="19">
        <f>OCTUBRE!AG40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+IF(OCTUBRE!A41=0,"",OCTUBRE!A41)</f>
        <v>1130104</v>
      </c>
      <c r="B41" s="628" t="str">
        <f>+IF(OCTUBRE!B41=0,"",OCTUBRE!B41)</f>
        <v>SUBSIDIO A LA OFERTA- ACTIVIDADES NO POS-S</v>
      </c>
      <c r="C41" s="655">
        <f>+ENERO!C41</f>
        <v>0</v>
      </c>
      <c r="D41" s="122">
        <f>OCTUBRE!D41+NOVIEMBRE!P41</f>
        <v>0</v>
      </c>
      <c r="E41" s="122">
        <f>OCTUBRE!E41+NOVIEMBRE!Q41</f>
        <v>0</v>
      </c>
      <c r="F41" s="122">
        <f t="shared" si="35"/>
        <v>0</v>
      </c>
      <c r="G41" s="122">
        <f>OCTUBRE!I41</f>
        <v>0</v>
      </c>
      <c r="H41" s="364">
        <v>0</v>
      </c>
      <c r="I41" s="131">
        <f t="shared" si="36"/>
        <v>0</v>
      </c>
      <c r="J41" s="122">
        <f>OCTUBRE!L41</f>
        <v>0</v>
      </c>
      <c r="K41" s="364">
        <v>0</v>
      </c>
      <c r="L41" s="131">
        <f t="shared" si="37"/>
        <v>0</v>
      </c>
      <c r="M41" s="122">
        <f t="shared" si="38"/>
        <v>0</v>
      </c>
      <c r="N41" s="130">
        <f t="shared" si="39"/>
        <v>0</v>
      </c>
      <c r="O41" s="372"/>
      <c r="P41" s="364">
        <v>0</v>
      </c>
      <c r="Q41" s="365">
        <v>0</v>
      </c>
      <c r="R41" s="9"/>
      <c r="S41" s="688">
        <f>+IF(OCTUBRE!S41=0,"",OCTUBRE!S41)</f>
        <v>1010299</v>
      </c>
      <c r="T41" s="664" t="str">
        <f>+IF(OCTUBRE!T41=0,"",OCTUBRE!T41)</f>
        <v>Vigencias Anteriores</v>
      </c>
      <c r="U41" s="27">
        <f>+ENERO!U41</f>
        <v>388800955</v>
      </c>
      <c r="V41" s="15">
        <f>OCTUBRE!V41+NOVIEMBRE!AL41</f>
        <v>120000000</v>
      </c>
      <c r="W41" s="15">
        <f>OCTUBRE!W41+NOVIEMBRE!AM41</f>
        <v>0</v>
      </c>
      <c r="X41" s="18">
        <f t="shared" si="40"/>
        <v>508800955</v>
      </c>
      <c r="Y41" s="19">
        <f>OCTUBRE!AA41</f>
        <v>474477201</v>
      </c>
      <c r="Z41" s="364">
        <v>0</v>
      </c>
      <c r="AA41" s="18">
        <f t="shared" si="41"/>
        <v>474477201</v>
      </c>
      <c r="AB41" s="19">
        <f>OCTUBRE!AD41</f>
        <v>474477201</v>
      </c>
      <c r="AC41" s="364">
        <v>0</v>
      </c>
      <c r="AD41" s="18">
        <f t="shared" si="42"/>
        <v>474477201</v>
      </c>
      <c r="AE41" s="19">
        <f>OCTUBRE!AG41</f>
        <v>474477201</v>
      </c>
      <c r="AF41" s="364">
        <v>0</v>
      </c>
      <c r="AG41" s="1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+IF(OCTUBRE!A42=0,"",OCTUBRE!A42)</f>
        <v>1130106</v>
      </c>
      <c r="B42" s="628" t="str">
        <f>+IF(OCTUBRE!B42=0,"",OCTUBRE!B42)</f>
        <v>SALUD PUBLICA - PLAN DE INTERVENCIONES COLECTIVAS</v>
      </c>
      <c r="C42" s="43">
        <f t="shared" ref="C42:N42" si="47">SUM(C43:C44)</f>
        <v>0</v>
      </c>
      <c r="D42" s="44">
        <f t="shared" si="47"/>
        <v>0</v>
      </c>
      <c r="E42" s="44">
        <f t="shared" si="47"/>
        <v>0</v>
      </c>
      <c r="F42" s="44">
        <f t="shared" si="47"/>
        <v>0</v>
      </c>
      <c r="G42" s="44">
        <f t="shared" si="47"/>
        <v>0</v>
      </c>
      <c r="H42" s="44">
        <f t="shared" si="47"/>
        <v>0</v>
      </c>
      <c r="I42" s="835">
        <f t="shared" si="47"/>
        <v>0</v>
      </c>
      <c r="J42" s="44">
        <f t="shared" si="47"/>
        <v>0</v>
      </c>
      <c r="K42" s="44">
        <f t="shared" si="47"/>
        <v>0</v>
      </c>
      <c r="L42" s="835">
        <f t="shared" si="47"/>
        <v>0</v>
      </c>
      <c r="M42" s="44">
        <f t="shared" si="47"/>
        <v>0</v>
      </c>
      <c r="N42" s="45">
        <f t="shared" si="47"/>
        <v>0</v>
      </c>
      <c r="P42" s="43">
        <f>SUM(P43:P44)</f>
        <v>0</v>
      </c>
      <c r="Q42" s="45">
        <f>SUM(Q43:Q44)</f>
        <v>0</v>
      </c>
      <c r="R42" s="9"/>
      <c r="S42" s="356" t="str">
        <f>+IF(OCTUBRE!S42=0,"",OCTUBRE!S42)</f>
        <v/>
      </c>
      <c r="T42" s="678" t="str">
        <f>+IF(OCTUBRE!T42=0,"",OCTUBRE!T42)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+IF(OCTUBRE!A43=0,"",OCTUBRE!A43)</f>
        <v>1130106-1</v>
      </c>
      <c r="B43" s="629" t="str">
        <f>+CONCATENATE("Vigencia ",INSTRUCCIONES!$F$3)</f>
        <v>Vigencia 2019</v>
      </c>
      <c r="C43" s="655">
        <f>+ENERO!C43</f>
        <v>0</v>
      </c>
      <c r="D43" s="363">
        <f>OCTUBRE!D43+NOVIEMBRE!P43</f>
        <v>0</v>
      </c>
      <c r="E43" s="363">
        <f>OCTUBRE!E43+NOVIEMBRE!Q43</f>
        <v>0</v>
      </c>
      <c r="F43" s="363">
        <f>SUM(C43:E43)</f>
        <v>0</v>
      </c>
      <c r="G43" s="363">
        <f>OCTUBRE!I43</f>
        <v>0</v>
      </c>
      <c r="H43" s="364">
        <v>0</v>
      </c>
      <c r="I43" s="454">
        <f>SUM(G43:H43)</f>
        <v>0</v>
      </c>
      <c r="J43" s="363">
        <f>OCTUBRE!L43</f>
        <v>0</v>
      </c>
      <c r="K43" s="364">
        <v>0</v>
      </c>
      <c r="L43" s="454">
        <f>SUM(J43:K43)</f>
        <v>0</v>
      </c>
      <c r="M43" s="363">
        <f>F43-I43</f>
        <v>0</v>
      </c>
      <c r="N43" s="143">
        <f>F43-L43</f>
        <v>0</v>
      </c>
      <c r="O43" s="372"/>
      <c r="P43" s="362">
        <v>0</v>
      </c>
      <c r="Q43" s="365">
        <v>0</v>
      </c>
      <c r="R43" s="9"/>
      <c r="S43" s="687">
        <f>+IF(OCTUBRE!S43=0,"",OCTUBRE!S43)</f>
        <v>1010300</v>
      </c>
      <c r="T43" s="663" t="str">
        <f>+IF(OCTUBRE!T43=0,"",OCTUBRE!T43)</f>
        <v>Contribuciones Inherentes nómina al Sector Privado</v>
      </c>
      <c r="U43" s="132">
        <f t="shared" ref="U43:AJ43" si="48">U44+U49+U55</f>
        <v>682314446</v>
      </c>
      <c r="V43" s="122">
        <f t="shared" si="48"/>
        <v>-353979942</v>
      </c>
      <c r="W43" s="122">
        <f t="shared" si="48"/>
        <v>42200000</v>
      </c>
      <c r="X43" s="129">
        <f t="shared" si="48"/>
        <v>370534504</v>
      </c>
      <c r="Y43" s="128">
        <f t="shared" si="48"/>
        <v>293506159</v>
      </c>
      <c r="Z43" s="122">
        <f t="shared" si="48"/>
        <v>20510747</v>
      </c>
      <c r="AA43" s="129">
        <f t="shared" si="48"/>
        <v>314016906</v>
      </c>
      <c r="AB43" s="128">
        <f t="shared" si="48"/>
        <v>293506159</v>
      </c>
      <c r="AC43" s="122">
        <f t="shared" si="48"/>
        <v>20510747</v>
      </c>
      <c r="AD43" s="129">
        <f t="shared" si="48"/>
        <v>314016906</v>
      </c>
      <c r="AE43" s="128">
        <f t="shared" si="48"/>
        <v>274751533</v>
      </c>
      <c r="AF43" s="122">
        <f t="shared" si="48"/>
        <v>18754626</v>
      </c>
      <c r="AG43" s="129">
        <f t="shared" si="48"/>
        <v>293506159</v>
      </c>
      <c r="AH43" s="128">
        <f t="shared" si="48"/>
        <v>56517598</v>
      </c>
      <c r="AI43" s="122">
        <f t="shared" si="48"/>
        <v>56517598</v>
      </c>
      <c r="AJ43" s="130">
        <f t="shared" si="48"/>
        <v>77028345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+IF(OCTUBRE!A44=0,"",OCTUBRE!A44)</f>
        <v>1130106-2</v>
      </c>
      <c r="B44" s="629" t="str">
        <f>+IF(OCTUBRE!B44=0,"",OCTUBRE!B44)</f>
        <v>Vigencia Anterior</v>
      </c>
      <c r="C44" s="655">
        <f>+ENERO!C44</f>
        <v>0</v>
      </c>
      <c r="D44" s="363">
        <f>OCTUBRE!D44+NOVIEMBRE!P44</f>
        <v>0</v>
      </c>
      <c r="E44" s="363">
        <f>OCTUBRE!E44+NOVIEMBRE!Q44</f>
        <v>0</v>
      </c>
      <c r="F44" s="363">
        <f>SUM(C44:E44)</f>
        <v>0</v>
      </c>
      <c r="G44" s="363">
        <f>OCTUBRE!I44</f>
        <v>0</v>
      </c>
      <c r="H44" s="364">
        <v>0</v>
      </c>
      <c r="I44" s="454">
        <f>SUM(G44:H44)</f>
        <v>0</v>
      </c>
      <c r="J44" s="363">
        <f>OCTUBRE!L44</f>
        <v>0</v>
      </c>
      <c r="K44" s="364">
        <v>0</v>
      </c>
      <c r="L44" s="454">
        <f>SUM(J44:K44)</f>
        <v>0</v>
      </c>
      <c r="M44" s="363">
        <f>F44-I44</f>
        <v>0</v>
      </c>
      <c r="N44" s="143">
        <f>F44-L44</f>
        <v>0</v>
      </c>
      <c r="O44" s="372"/>
      <c r="P44" s="362">
        <v>0</v>
      </c>
      <c r="Q44" s="365">
        <v>0</v>
      </c>
      <c r="R44" s="9"/>
      <c r="S44" s="688">
        <f>+IF(OCTUBRE!S44=0,"",OCTUBRE!S44)</f>
        <v>1010301</v>
      </c>
      <c r="T44" s="664" t="str">
        <f>+IF(OCTUBRE!T44=0,"",OCTUBRE!T44)</f>
        <v>Contribuciones - SGP - Aportes Patronales - Cuenta Maestra</v>
      </c>
      <c r="U44" s="27">
        <f t="shared" ref="U44:AJ44" si="49">SUM(U45:U48)</f>
        <v>224699564</v>
      </c>
      <c r="V44" s="15">
        <f t="shared" si="49"/>
        <v>-78698777</v>
      </c>
      <c r="W44" s="15">
        <f t="shared" si="49"/>
        <v>42200000</v>
      </c>
      <c r="X44" s="18">
        <f t="shared" si="49"/>
        <v>188200787</v>
      </c>
      <c r="Y44" s="19">
        <f t="shared" si="49"/>
        <v>145566347</v>
      </c>
      <c r="Z44" s="142">
        <f t="shared" si="49"/>
        <v>15550587</v>
      </c>
      <c r="AA44" s="18">
        <f t="shared" si="49"/>
        <v>161116934</v>
      </c>
      <c r="AB44" s="19">
        <f t="shared" si="49"/>
        <v>145566347</v>
      </c>
      <c r="AC44" s="142">
        <f t="shared" si="49"/>
        <v>15550587</v>
      </c>
      <c r="AD44" s="18">
        <f t="shared" si="49"/>
        <v>161116934</v>
      </c>
      <c r="AE44" s="19">
        <f t="shared" si="49"/>
        <v>131065761</v>
      </c>
      <c r="AF44" s="142">
        <f t="shared" si="49"/>
        <v>14500586</v>
      </c>
      <c r="AG44" s="18">
        <f t="shared" si="49"/>
        <v>145566347</v>
      </c>
      <c r="AH44" s="19">
        <f t="shared" si="49"/>
        <v>27083853</v>
      </c>
      <c r="AI44" s="15">
        <f t="shared" si="49"/>
        <v>27083853</v>
      </c>
      <c r="AJ44" s="16">
        <f t="shared" si="49"/>
        <v>42634440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+IF(OCTUBRE!A45=0,"",OCTUBRE!A45)</f>
        <v>1130107</v>
      </c>
      <c r="B45" s="628" t="str">
        <f>+IF(OCTUBRE!B45=0,"",OCTUBRE!B45)</f>
        <v>MINSALUD-FOSYGA-RECLAMACIONES ECAT</v>
      </c>
      <c r="C45" s="43">
        <f t="shared" ref="C45:N45" si="50">SUM(C46:C47)</f>
        <v>130489617</v>
      </c>
      <c r="D45" s="44">
        <f t="shared" si="50"/>
        <v>0</v>
      </c>
      <c r="E45" s="44">
        <f t="shared" si="50"/>
        <v>5564279</v>
      </c>
      <c r="F45" s="44">
        <f t="shared" si="50"/>
        <v>136053896</v>
      </c>
      <c r="G45" s="44">
        <f t="shared" si="50"/>
        <v>946722824</v>
      </c>
      <c r="H45" s="44">
        <f t="shared" si="50"/>
        <v>58883290</v>
      </c>
      <c r="I45" s="835">
        <f t="shared" si="50"/>
        <v>1005606114</v>
      </c>
      <c r="J45" s="44">
        <f t="shared" si="50"/>
        <v>5564279</v>
      </c>
      <c r="K45" s="44">
        <f t="shared" si="50"/>
        <v>230100</v>
      </c>
      <c r="L45" s="835">
        <f t="shared" si="50"/>
        <v>5794379</v>
      </c>
      <c r="M45" s="44">
        <f t="shared" si="50"/>
        <v>-869552218</v>
      </c>
      <c r="N45" s="45">
        <f t="shared" si="50"/>
        <v>130259517</v>
      </c>
      <c r="P45" s="43">
        <f>SUM(P46:P47)</f>
        <v>0</v>
      </c>
      <c r="Q45" s="45">
        <f>SUM(Q46:Q47)</f>
        <v>0</v>
      </c>
      <c r="R45" s="9"/>
      <c r="S45" s="689" t="str">
        <f>+IF(OCTUBRE!S45=0,"",OCTUBRE!S45)</f>
        <v>1010301-1</v>
      </c>
      <c r="T45" s="665" t="str">
        <f>+IF(OCTUBRE!T45=0,"",OCTUBRE!T45)</f>
        <v>E.P.S. - Aportes cuenta maestra</v>
      </c>
      <c r="U45" s="27">
        <f>+ENERO!U45</f>
        <v>56701284</v>
      </c>
      <c r="V45" s="15">
        <f>OCTUBRE!V45+NOVIEMBRE!AL45</f>
        <v>0</v>
      </c>
      <c r="W45" s="15">
        <f>OCTUBRE!W45+NOVIEMBRE!AM45</f>
        <v>22200000</v>
      </c>
      <c r="X45" s="18">
        <f>SUM(U45:W45)</f>
        <v>78901284</v>
      </c>
      <c r="Y45" s="19">
        <f>OCTUBRE!AA45</f>
        <v>61728767</v>
      </c>
      <c r="Z45" s="364">
        <v>6185210</v>
      </c>
      <c r="AA45" s="18">
        <f>SUM(Y45:Z45)</f>
        <v>67913977</v>
      </c>
      <c r="AB45" s="19">
        <f>OCTUBRE!AD45</f>
        <v>61728767</v>
      </c>
      <c r="AC45" s="364">
        <v>6185210</v>
      </c>
      <c r="AD45" s="18">
        <f>SUM(AB45:AC45)</f>
        <v>67913977</v>
      </c>
      <c r="AE45" s="19">
        <f>OCTUBRE!AG45</f>
        <v>55571237</v>
      </c>
      <c r="AF45" s="364">
        <v>6157530</v>
      </c>
      <c r="AG45" s="18">
        <f>SUM(AE45:AF45)</f>
        <v>61728767</v>
      </c>
      <c r="AH45" s="19">
        <f>X45-AA45</f>
        <v>10987307</v>
      </c>
      <c r="AI45" s="15">
        <f>X45-AD45</f>
        <v>10987307</v>
      </c>
      <c r="AJ45" s="16">
        <f>X45-AG45</f>
        <v>17172517</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+IF(OCTUBRE!A46=0,"",OCTUBRE!A46)</f>
        <v>1130107-1</v>
      </c>
      <c r="B46" s="629" t="str">
        <f>+CONCATENATE("Vigencia ",INSTRUCCIONES!$F$3)</f>
        <v>Vigencia 2019</v>
      </c>
      <c r="C46" s="655">
        <f>+ENERO!C46</f>
        <v>130489617</v>
      </c>
      <c r="D46" s="363">
        <f>OCTUBRE!D46+NOVIEMBRE!P46</f>
        <v>0</v>
      </c>
      <c r="E46" s="363">
        <f>OCTUBRE!E46+NOVIEMBRE!Q46</f>
        <v>0</v>
      </c>
      <c r="F46" s="363">
        <f>SUM(C46:E46)</f>
        <v>130489617</v>
      </c>
      <c r="G46" s="363">
        <f>OCTUBRE!I46</f>
        <v>941158545</v>
      </c>
      <c r="H46" s="364">
        <v>58883290</v>
      </c>
      <c r="I46" s="454">
        <f>SUM(G46:H46)</f>
        <v>1000041835</v>
      </c>
      <c r="J46" s="363">
        <f>OCTUBRE!L46</f>
        <v>0</v>
      </c>
      <c r="K46" s="364">
        <v>230100</v>
      </c>
      <c r="L46" s="454">
        <f>SUM(J46:K46)</f>
        <v>230100</v>
      </c>
      <c r="M46" s="363">
        <f>F46-I46</f>
        <v>-869552218</v>
      </c>
      <c r="N46" s="143">
        <f>F46-L46</f>
        <v>130259517</v>
      </c>
      <c r="O46" s="372"/>
      <c r="P46" s="362">
        <v>0</v>
      </c>
      <c r="Q46" s="365">
        <v>0</v>
      </c>
      <c r="R46" s="9"/>
      <c r="S46" s="689" t="str">
        <f>+IF(OCTUBRE!S46=0,"",OCTUBRE!S46)</f>
        <v>1010301-2</v>
      </c>
      <c r="T46" s="665" t="str">
        <f>+IF(OCTUBRE!T46=0,"",OCTUBRE!T46)</f>
        <v>Fondos pensionales - Aportes cuenta maestra</v>
      </c>
      <c r="U46" s="27">
        <f>+ENERO!U46</f>
        <v>77319919</v>
      </c>
      <c r="V46" s="15">
        <f>OCTUBRE!V46+NOVIEMBRE!AL46</f>
        <v>0</v>
      </c>
      <c r="W46" s="15">
        <f>OCTUBRE!W46+NOVIEMBRE!AM46</f>
        <v>20000000</v>
      </c>
      <c r="X46" s="18">
        <f>SUM(U46:W46)</f>
        <v>97319919</v>
      </c>
      <c r="Y46" s="19">
        <f>OCTUBRE!AA46</f>
        <v>74570920</v>
      </c>
      <c r="Z46" s="364">
        <v>8380057</v>
      </c>
      <c r="AA46" s="18">
        <f>SUM(Y46:Z46)</f>
        <v>82950977</v>
      </c>
      <c r="AB46" s="19">
        <f>OCTUBRE!AD46</f>
        <v>74570920</v>
      </c>
      <c r="AC46" s="364">
        <v>8380057</v>
      </c>
      <c r="AD46" s="18">
        <f>SUM(AB46:AC46)</f>
        <v>82950977</v>
      </c>
      <c r="AE46" s="19">
        <f>OCTUBRE!AG46</f>
        <v>67213184</v>
      </c>
      <c r="AF46" s="364">
        <v>7357736</v>
      </c>
      <c r="AG46" s="18">
        <f>SUM(AE46:AF46)</f>
        <v>74570920</v>
      </c>
      <c r="AH46" s="19">
        <f>X46-AA46</f>
        <v>14368942</v>
      </c>
      <c r="AI46" s="15">
        <f>X46-AD46</f>
        <v>14368942</v>
      </c>
      <c r="AJ46" s="16">
        <f>X46-AG46</f>
        <v>22748999</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+IF(OCTUBRE!A47=0,"",OCTUBRE!A47)</f>
        <v>1130107-2</v>
      </c>
      <c r="B47" s="629" t="str">
        <f>+IF(OCTUBRE!B47=0,"",OCTUBRE!B47)</f>
        <v>Vigencia Anterior</v>
      </c>
      <c r="C47" s="655">
        <f>+ENERO!C47</f>
        <v>0</v>
      </c>
      <c r="D47" s="363">
        <f>OCTUBRE!D47+NOVIEMBRE!P47</f>
        <v>0</v>
      </c>
      <c r="E47" s="363">
        <f>OCTUBRE!E47+NOVIEMBRE!Q47</f>
        <v>5564279</v>
      </c>
      <c r="F47" s="363">
        <f>SUM(C47:E47)</f>
        <v>5564279</v>
      </c>
      <c r="G47" s="363">
        <f>OCTUBRE!I47</f>
        <v>5564279</v>
      </c>
      <c r="H47" s="364">
        <v>0</v>
      </c>
      <c r="I47" s="454">
        <f>SUM(G47:H47)</f>
        <v>5564279</v>
      </c>
      <c r="J47" s="363">
        <f>OCTUBRE!L47</f>
        <v>5564279</v>
      </c>
      <c r="K47" s="364">
        <v>0</v>
      </c>
      <c r="L47" s="454">
        <f>SUM(J47:K47)</f>
        <v>5564279</v>
      </c>
      <c r="M47" s="363">
        <f>F47-I47</f>
        <v>0</v>
      </c>
      <c r="N47" s="143">
        <f>F47-L47</f>
        <v>0</v>
      </c>
      <c r="O47" s="372"/>
      <c r="P47" s="362">
        <v>0</v>
      </c>
      <c r="Q47" s="365">
        <v>0</v>
      </c>
      <c r="R47" s="9"/>
      <c r="S47" s="689" t="str">
        <f>+IF(OCTUBRE!S47=0,"",OCTUBRE!S47)</f>
        <v>1010301-3</v>
      </c>
      <c r="T47" s="665" t="str">
        <f>+IF(OCTUBRE!T47=0,"",OCTUBRE!T47)</f>
        <v>Fondos de cesantías - Aportes cuenta maestra</v>
      </c>
      <c r="U47" s="27">
        <f>+ENERO!U47</f>
        <v>87698777</v>
      </c>
      <c r="V47" s="15">
        <f>OCTUBRE!V47+NOVIEMBRE!AL47</f>
        <v>-87698777</v>
      </c>
      <c r="W47" s="15">
        <f>OCTUBRE!W47+NOVIEMBRE!AM47</f>
        <v>0</v>
      </c>
      <c r="X47" s="18">
        <f>SUM(U47:W47)</f>
        <v>0</v>
      </c>
      <c r="Y47" s="19">
        <f>OCTUBRE!AA47</f>
        <v>0</v>
      </c>
      <c r="Z47" s="364">
        <v>0</v>
      </c>
      <c r="AA47" s="18">
        <f>SUM(Y47:Z47)</f>
        <v>0</v>
      </c>
      <c r="AB47" s="19">
        <f>OCTUBRE!AD47</f>
        <v>0</v>
      </c>
      <c r="AC47" s="364">
        <v>0</v>
      </c>
      <c r="AD47" s="18">
        <f>SUM(AB47:AC47)</f>
        <v>0</v>
      </c>
      <c r="AE47" s="19">
        <f>OCTUBRE!AG47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+IF(OCTUBRE!A48=0,"",OCTUBRE!A48)</f>
        <v>1130108</v>
      </c>
      <c r="B48" s="628" t="str">
        <f>+IF(OCTUBRE!B48=0,"",OCTUBRE!B48)</f>
        <v>MINSALUD-FOSYGA -TRAUMA MAYOR Y DESPLAZADOS</v>
      </c>
      <c r="C48" s="43">
        <f t="shared" ref="C48:N48" si="51">SUM(C49:C50)</f>
        <v>0</v>
      </c>
      <c r="D48" s="44">
        <f t="shared" si="51"/>
        <v>0</v>
      </c>
      <c r="E48" s="44">
        <f t="shared" si="51"/>
        <v>0</v>
      </c>
      <c r="F48" s="44">
        <f t="shared" si="51"/>
        <v>0</v>
      </c>
      <c r="G48" s="44">
        <f t="shared" si="51"/>
        <v>0</v>
      </c>
      <c r="H48" s="44">
        <f t="shared" si="51"/>
        <v>0</v>
      </c>
      <c r="I48" s="835">
        <f t="shared" si="51"/>
        <v>0</v>
      </c>
      <c r="J48" s="44">
        <f t="shared" si="51"/>
        <v>0</v>
      </c>
      <c r="K48" s="44">
        <f t="shared" si="51"/>
        <v>0</v>
      </c>
      <c r="L48" s="835">
        <f t="shared" si="51"/>
        <v>0</v>
      </c>
      <c r="M48" s="44">
        <f t="shared" si="51"/>
        <v>0</v>
      </c>
      <c r="N48" s="45">
        <f t="shared" si="51"/>
        <v>0</v>
      </c>
      <c r="P48" s="43">
        <f>SUM(P49:P50)</f>
        <v>0</v>
      </c>
      <c r="Q48" s="45">
        <f>SUM(Q49:Q50)</f>
        <v>0</v>
      </c>
      <c r="R48" s="9"/>
      <c r="S48" s="689" t="str">
        <f>+IF(OCTUBRE!S48=0,"",OCTUBRE!S48)</f>
        <v>1010301-4</v>
      </c>
      <c r="T48" s="665" t="str">
        <f>+IF(OCTUBRE!T48=0,"",OCTUBRE!T48)</f>
        <v>Riesgos laborales - Aportes cuenta maestra</v>
      </c>
      <c r="U48" s="27">
        <f>+ENERO!U48</f>
        <v>2979584</v>
      </c>
      <c r="V48" s="15">
        <f>OCTUBRE!V48+NOVIEMBRE!AL48</f>
        <v>9000000</v>
      </c>
      <c r="W48" s="15">
        <f>OCTUBRE!W48+NOVIEMBRE!AM48</f>
        <v>0</v>
      </c>
      <c r="X48" s="18">
        <f>SUM(U48:W48)</f>
        <v>11979584</v>
      </c>
      <c r="Y48" s="19">
        <f>OCTUBRE!AA48</f>
        <v>9266660</v>
      </c>
      <c r="Z48" s="364">
        <v>985320</v>
      </c>
      <c r="AA48" s="18">
        <f>SUM(Y48:Z48)</f>
        <v>10251980</v>
      </c>
      <c r="AB48" s="19">
        <f>OCTUBRE!AD48</f>
        <v>9266660</v>
      </c>
      <c r="AC48" s="364">
        <v>985320</v>
      </c>
      <c r="AD48" s="18">
        <f>SUM(AB48:AC48)</f>
        <v>10251980</v>
      </c>
      <c r="AE48" s="19">
        <f>OCTUBRE!AG48</f>
        <v>8281340</v>
      </c>
      <c r="AF48" s="364">
        <v>985320</v>
      </c>
      <c r="AG48" s="18">
        <f>SUM(AE48:AF48)</f>
        <v>9266660</v>
      </c>
      <c r="AH48" s="19">
        <f>X48-AA48</f>
        <v>1727604</v>
      </c>
      <c r="AI48" s="15">
        <f>X48-AD48</f>
        <v>1727604</v>
      </c>
      <c r="AJ48" s="16">
        <f>X48-AG48</f>
        <v>2712924</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+IF(OCTUBRE!A49=0,"",OCTUBRE!A49)</f>
        <v>1130108-1</v>
      </c>
      <c r="B49" s="629" t="str">
        <f>+CONCATENATE("Vigencia ",INSTRUCCIONES!$F$3)</f>
        <v>Vigencia 2019</v>
      </c>
      <c r="C49" s="655">
        <f>+ENERO!C49</f>
        <v>0</v>
      </c>
      <c r="D49" s="363">
        <f>OCTUBRE!D49+NOVIEMBRE!P49</f>
        <v>0</v>
      </c>
      <c r="E49" s="363">
        <f>OCTUBRE!E49+NOVIEMBRE!Q49</f>
        <v>0</v>
      </c>
      <c r="F49" s="363">
        <f>SUM(C49:E49)</f>
        <v>0</v>
      </c>
      <c r="G49" s="363">
        <f>OCTUBRE!I49</f>
        <v>0</v>
      </c>
      <c r="H49" s="364">
        <v>0</v>
      </c>
      <c r="I49" s="454">
        <f>SUM(G49:H49)</f>
        <v>0</v>
      </c>
      <c r="J49" s="363">
        <f>OCTUBRE!L49</f>
        <v>0</v>
      </c>
      <c r="K49" s="364">
        <v>0</v>
      </c>
      <c r="L49" s="454">
        <f>SUM(J49:K49)</f>
        <v>0</v>
      </c>
      <c r="M49" s="363">
        <f>F49-I49</f>
        <v>0</v>
      </c>
      <c r="N49" s="143">
        <f>F49-L49</f>
        <v>0</v>
      </c>
      <c r="O49" s="372"/>
      <c r="P49" s="362">
        <v>0</v>
      </c>
      <c r="Q49" s="365">
        <v>0</v>
      </c>
      <c r="R49" s="9"/>
      <c r="S49" s="688">
        <f>+IF(OCTUBRE!S49=0,"",OCTUBRE!S49)</f>
        <v>1010302</v>
      </c>
      <c r="T49" s="664" t="str">
        <f>+IF(OCTUBRE!T49=0,"",OCTUBRE!T49)</f>
        <v>Contribuciones - Otros</v>
      </c>
      <c r="U49" s="27">
        <f t="shared" ref="U49:AJ49" si="52">SUM(U50:U54)</f>
        <v>349614882</v>
      </c>
      <c r="V49" s="15">
        <f t="shared" si="52"/>
        <v>-268780097</v>
      </c>
      <c r="W49" s="15">
        <f t="shared" si="52"/>
        <v>0</v>
      </c>
      <c r="X49" s="18">
        <f t="shared" si="52"/>
        <v>80834785</v>
      </c>
      <c r="Y49" s="19">
        <f t="shared" si="52"/>
        <v>46440880</v>
      </c>
      <c r="Z49" s="142">
        <f t="shared" si="52"/>
        <v>4960160</v>
      </c>
      <c r="AA49" s="18">
        <f t="shared" si="52"/>
        <v>51401040</v>
      </c>
      <c r="AB49" s="19">
        <f t="shared" si="52"/>
        <v>46440880</v>
      </c>
      <c r="AC49" s="142">
        <f t="shared" si="52"/>
        <v>4960160</v>
      </c>
      <c r="AD49" s="18">
        <f t="shared" si="52"/>
        <v>51401040</v>
      </c>
      <c r="AE49" s="19">
        <f t="shared" si="52"/>
        <v>42186840</v>
      </c>
      <c r="AF49" s="142">
        <f t="shared" si="52"/>
        <v>4254040</v>
      </c>
      <c r="AG49" s="18">
        <f t="shared" si="52"/>
        <v>46440880</v>
      </c>
      <c r="AH49" s="19">
        <f t="shared" si="52"/>
        <v>29433745</v>
      </c>
      <c r="AI49" s="15">
        <f t="shared" si="52"/>
        <v>29433745</v>
      </c>
      <c r="AJ49" s="16">
        <f t="shared" si="52"/>
        <v>34393905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+IF(OCTUBRE!A50=0,"",OCTUBRE!A50)</f>
        <v>1130108-2</v>
      </c>
      <c r="B50" s="629" t="str">
        <f>+IF(OCTUBRE!B50=0,"",OCTUBRE!B50)</f>
        <v>Vigencia Anterior</v>
      </c>
      <c r="C50" s="655">
        <f>+ENERO!C50</f>
        <v>0</v>
      </c>
      <c r="D50" s="363">
        <f>OCTUBRE!D50+NOVIEMBRE!P50</f>
        <v>0</v>
      </c>
      <c r="E50" s="363">
        <f>OCTUBRE!E50+NOVIEMBRE!Q50</f>
        <v>0</v>
      </c>
      <c r="F50" s="363">
        <f>SUM(C50:E50)</f>
        <v>0</v>
      </c>
      <c r="G50" s="363">
        <f>OCTUBRE!I50</f>
        <v>0</v>
      </c>
      <c r="H50" s="364">
        <v>0</v>
      </c>
      <c r="I50" s="454">
        <f>SUM(G50:H50)</f>
        <v>0</v>
      </c>
      <c r="J50" s="363">
        <f>OCTUBRE!L50</f>
        <v>0</v>
      </c>
      <c r="K50" s="364">
        <v>0</v>
      </c>
      <c r="L50" s="454">
        <f>SUM(J50:K50)</f>
        <v>0</v>
      </c>
      <c r="M50" s="363">
        <f>F50-I50</f>
        <v>0</v>
      </c>
      <c r="N50" s="143">
        <f>F50-L50</f>
        <v>0</v>
      </c>
      <c r="O50" s="372"/>
      <c r="P50" s="362">
        <v>0</v>
      </c>
      <c r="Q50" s="365">
        <v>0</v>
      </c>
      <c r="R50" s="9"/>
      <c r="S50" s="689" t="str">
        <f>+IF(OCTUBRE!S50=0,"",OCTUBRE!S50)</f>
        <v>1010302-1</v>
      </c>
      <c r="T50" s="665" t="str">
        <f>+IF(OCTUBRE!T50=0,"",OCTUBRE!T50)</f>
        <v>Aportes a E.P.S. - recursos propios</v>
      </c>
      <c r="U50" s="27">
        <f>+ENERO!U50</f>
        <v>79647420</v>
      </c>
      <c r="V50" s="15">
        <f>OCTUBRE!V50+NOVIEMBRE!AL50</f>
        <v>-79647420</v>
      </c>
      <c r="W50" s="15">
        <f>OCTUBRE!W50+NOVIEMBRE!AM50</f>
        <v>0</v>
      </c>
      <c r="X50" s="18">
        <f t="shared" ref="X50:X55" si="53">SUM(U50:W50)</f>
        <v>0</v>
      </c>
      <c r="Y50" s="19">
        <f>OCTUBRE!AA50</f>
        <v>0</v>
      </c>
      <c r="Z50" s="364">
        <v>0</v>
      </c>
      <c r="AA50" s="18">
        <f t="shared" ref="AA50:AA55" si="54">SUM(Y50:Z50)</f>
        <v>0</v>
      </c>
      <c r="AB50" s="19">
        <f>OCTUBRE!AD50</f>
        <v>0</v>
      </c>
      <c r="AC50" s="364">
        <v>0</v>
      </c>
      <c r="AD50" s="18">
        <f t="shared" ref="AD50:AD55" si="55">SUM(AB50:AC50)</f>
        <v>0</v>
      </c>
      <c r="AE50" s="19">
        <f>OCTUBRE!AG50</f>
        <v>0</v>
      </c>
      <c r="AF50" s="364">
        <v>0</v>
      </c>
      <c r="AG50" s="18">
        <f t="shared" ref="AG50:AG55" si="56">SUM(AE50:AF50)</f>
        <v>0</v>
      </c>
      <c r="AH50" s="19">
        <f t="shared" ref="AH50:AH55" si="57">X50-AA50</f>
        <v>0</v>
      </c>
      <c r="AI50" s="15">
        <f t="shared" ref="AI50:AI55" si="58">X50-AD50</f>
        <v>0</v>
      </c>
      <c r="AJ50" s="16">
        <f t="shared" ref="AJ50:AJ55" si="59">X50-AG50</f>
        <v>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+IF(OCTUBRE!A51=0,"",OCTUBRE!A51)</f>
        <v>1130109</v>
      </c>
      <c r="B51" s="628" t="str">
        <f>+IF(OCTUBRE!B51=0,"",OCTUBRE!B51)</f>
        <v>EPS - PLANES COMPLEMENTARIOS</v>
      </c>
      <c r="C51" s="43">
        <f t="shared" ref="C51:N51" si="60">SUM(C52:C53)</f>
        <v>0</v>
      </c>
      <c r="D51" s="44">
        <f t="shared" si="60"/>
        <v>0</v>
      </c>
      <c r="E51" s="44">
        <f t="shared" si="60"/>
        <v>0</v>
      </c>
      <c r="F51" s="44">
        <f t="shared" si="60"/>
        <v>0</v>
      </c>
      <c r="G51" s="44">
        <f t="shared" si="60"/>
        <v>0</v>
      </c>
      <c r="H51" s="44">
        <f t="shared" si="60"/>
        <v>0</v>
      </c>
      <c r="I51" s="835">
        <f t="shared" si="60"/>
        <v>0</v>
      </c>
      <c r="J51" s="44">
        <f t="shared" si="60"/>
        <v>0</v>
      </c>
      <c r="K51" s="44">
        <f t="shared" si="60"/>
        <v>0</v>
      </c>
      <c r="L51" s="835">
        <f t="shared" si="60"/>
        <v>0</v>
      </c>
      <c r="M51" s="44">
        <f t="shared" si="60"/>
        <v>0</v>
      </c>
      <c r="N51" s="45">
        <f t="shared" si="60"/>
        <v>0</v>
      </c>
      <c r="P51" s="43">
        <f>SUM(P52:P53)</f>
        <v>0</v>
      </c>
      <c r="Q51" s="45">
        <f>SUM(Q52:Q53)</f>
        <v>0</v>
      </c>
      <c r="R51" s="9"/>
      <c r="S51" s="689" t="str">
        <f>+IF(OCTUBRE!S51=0,"",OCTUBRE!S51)</f>
        <v>1010302-2</v>
      </c>
      <c r="T51" s="665" t="str">
        <f>+IF(OCTUBRE!T51=0,"",OCTUBRE!T51)</f>
        <v>Aportes Fondos Pensionales - recursos propios</v>
      </c>
      <c r="U51" s="27">
        <f>+ENERO!U51</f>
        <v>115172321</v>
      </c>
      <c r="V51" s="15">
        <f>OCTUBRE!V51+NOVIEMBRE!AL51</f>
        <v>-115172321</v>
      </c>
      <c r="W51" s="15">
        <f>OCTUBRE!W51+NOVIEMBRE!AM51</f>
        <v>0</v>
      </c>
      <c r="X51" s="18">
        <f t="shared" si="53"/>
        <v>0</v>
      </c>
      <c r="Y51" s="19">
        <f>OCTUBRE!AA51</f>
        <v>0</v>
      </c>
      <c r="Z51" s="364">
        <v>0</v>
      </c>
      <c r="AA51" s="18">
        <f t="shared" si="54"/>
        <v>0</v>
      </c>
      <c r="AB51" s="19">
        <f>OCTUBRE!AD51</f>
        <v>0</v>
      </c>
      <c r="AC51" s="364">
        <v>0</v>
      </c>
      <c r="AD51" s="18">
        <f t="shared" si="55"/>
        <v>0</v>
      </c>
      <c r="AE51" s="19">
        <f>OCTUBRE!AG51</f>
        <v>0</v>
      </c>
      <c r="AF51" s="364">
        <v>0</v>
      </c>
      <c r="AG51" s="18">
        <f t="shared" si="56"/>
        <v>0</v>
      </c>
      <c r="AH51" s="19">
        <f t="shared" si="57"/>
        <v>0</v>
      </c>
      <c r="AI51" s="15">
        <f t="shared" si="58"/>
        <v>0</v>
      </c>
      <c r="AJ51" s="16">
        <f t="shared" si="59"/>
        <v>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+IF(OCTUBRE!A52=0,"",OCTUBRE!A52)</f>
        <v>1130109-1</v>
      </c>
      <c r="B52" s="629" t="str">
        <f>+CONCATENATE("Vigencia ",INSTRUCCIONES!$F$3)</f>
        <v>Vigencia 2019</v>
      </c>
      <c r="C52" s="655">
        <f>+ENERO!C52</f>
        <v>0</v>
      </c>
      <c r="D52" s="363">
        <f>OCTUBRE!D52+NOVIEMBRE!P52</f>
        <v>0</v>
      </c>
      <c r="E52" s="363">
        <f>OCTUBRE!E52+NOVIEMBRE!Q52</f>
        <v>0</v>
      </c>
      <c r="F52" s="363">
        <f>SUM(C52:E52)</f>
        <v>0</v>
      </c>
      <c r="G52" s="363">
        <f>OCTUBRE!I52</f>
        <v>0</v>
      </c>
      <c r="H52" s="364">
        <v>0</v>
      </c>
      <c r="I52" s="454">
        <f>SUM(G52:H52)</f>
        <v>0</v>
      </c>
      <c r="J52" s="363">
        <f>OCTUBRE!L52</f>
        <v>0</v>
      </c>
      <c r="K52" s="364">
        <v>0</v>
      </c>
      <c r="L52" s="454">
        <f>SUM(J52:K52)</f>
        <v>0</v>
      </c>
      <c r="M52" s="363">
        <f>F52-I52</f>
        <v>0</v>
      </c>
      <c r="N52" s="143">
        <f>F52-L52</f>
        <v>0</v>
      </c>
      <c r="O52" s="372"/>
      <c r="P52" s="362">
        <v>0</v>
      </c>
      <c r="Q52" s="365">
        <v>0</v>
      </c>
      <c r="R52" s="9"/>
      <c r="S52" s="689" t="str">
        <f>+IF(OCTUBRE!S52=0,"",OCTUBRE!S52)</f>
        <v>1010302-3</v>
      </c>
      <c r="T52" s="665" t="str">
        <f>+IF(OCTUBRE!T52=0,"",OCTUBRE!T52)</f>
        <v>Aportes a Fondos de Cesantia - recursos propios</v>
      </c>
      <c r="U52" s="27">
        <f>+ENERO!U52</f>
        <v>73960356</v>
      </c>
      <c r="V52" s="15">
        <f>OCTUBRE!V52+NOVIEMBRE!AL52</f>
        <v>-73960356</v>
      </c>
      <c r="W52" s="15">
        <f>OCTUBRE!W52+NOVIEMBRE!AM52</f>
        <v>0</v>
      </c>
      <c r="X52" s="18">
        <f t="shared" si="53"/>
        <v>0</v>
      </c>
      <c r="Y52" s="19">
        <f>OCTUBRE!AA52</f>
        <v>0</v>
      </c>
      <c r="Z52" s="364">
        <v>0</v>
      </c>
      <c r="AA52" s="18">
        <f t="shared" si="54"/>
        <v>0</v>
      </c>
      <c r="AB52" s="19">
        <f>OCTUBRE!AD52</f>
        <v>0</v>
      </c>
      <c r="AC52" s="364">
        <v>0</v>
      </c>
      <c r="AD52" s="18">
        <f t="shared" si="55"/>
        <v>0</v>
      </c>
      <c r="AE52" s="19">
        <f>OCTUBRE!AG52</f>
        <v>0</v>
      </c>
      <c r="AF52" s="364">
        <v>0</v>
      </c>
      <c r="AG52" s="18">
        <f t="shared" si="56"/>
        <v>0</v>
      </c>
      <c r="AH52" s="19">
        <f t="shared" si="57"/>
        <v>0</v>
      </c>
      <c r="AI52" s="15">
        <f t="shared" si="58"/>
        <v>0</v>
      </c>
      <c r="AJ52" s="16">
        <f t="shared" si="59"/>
        <v>0</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+IF(OCTUBRE!A53=0,"",OCTUBRE!A53)</f>
        <v>1130109-2</v>
      </c>
      <c r="B53" s="629" t="str">
        <f>+IF(OCTUBRE!B53=0,"",OCTUBRE!B53)</f>
        <v>Vigencia Anterior</v>
      </c>
      <c r="C53" s="655">
        <f>+ENERO!C53</f>
        <v>0</v>
      </c>
      <c r="D53" s="363">
        <f>OCTUBRE!D53+NOVIEMBRE!P53</f>
        <v>0</v>
      </c>
      <c r="E53" s="363">
        <f>OCTUBRE!E53+NOVIEMBRE!Q53</f>
        <v>0</v>
      </c>
      <c r="F53" s="363">
        <f>SUM(C53:E53)</f>
        <v>0</v>
      </c>
      <c r="G53" s="363">
        <f>OCTUBRE!I53</f>
        <v>0</v>
      </c>
      <c r="H53" s="364">
        <v>0</v>
      </c>
      <c r="I53" s="454">
        <f>SUM(G53:H53)</f>
        <v>0</v>
      </c>
      <c r="J53" s="363">
        <f>OCTUBRE!L53</f>
        <v>0</v>
      </c>
      <c r="K53" s="364">
        <v>0</v>
      </c>
      <c r="L53" s="454">
        <f>SUM(J53:K53)</f>
        <v>0</v>
      </c>
      <c r="M53" s="363">
        <f>F53-I53</f>
        <v>0</v>
      </c>
      <c r="N53" s="143">
        <f>F53-L53</f>
        <v>0</v>
      </c>
      <c r="O53" s="372"/>
      <c r="P53" s="362">
        <v>0</v>
      </c>
      <c r="Q53" s="365">
        <v>0</v>
      </c>
      <c r="R53" s="9"/>
      <c r="S53" s="689" t="str">
        <f>+IF(OCTUBRE!S53=0,"",OCTUBRE!S53)</f>
        <v>1010302-4</v>
      </c>
      <c r="T53" s="665" t="str">
        <f>+IF(OCTUBRE!T53=0,"",OCTUBRE!T53)</f>
        <v>Aporte a ARL. - recursos propios</v>
      </c>
      <c r="U53" s="27">
        <f>+ENERO!U53</f>
        <v>5393830</v>
      </c>
      <c r="V53" s="15">
        <f>OCTUBRE!V53+NOVIEMBRE!AL53</f>
        <v>0</v>
      </c>
      <c r="W53" s="15">
        <f>OCTUBRE!W53+NOVIEMBRE!AM53</f>
        <v>0</v>
      </c>
      <c r="X53" s="18">
        <f t="shared" si="53"/>
        <v>5393830</v>
      </c>
      <c r="Y53" s="19">
        <f>OCTUBRE!AA53</f>
        <v>0</v>
      </c>
      <c r="Z53" s="364">
        <v>0</v>
      </c>
      <c r="AA53" s="18">
        <f t="shared" si="54"/>
        <v>0</v>
      </c>
      <c r="AB53" s="19">
        <f>OCTUBRE!AD53</f>
        <v>0</v>
      </c>
      <c r="AC53" s="364">
        <v>0</v>
      </c>
      <c r="AD53" s="18">
        <f t="shared" si="55"/>
        <v>0</v>
      </c>
      <c r="AE53" s="19">
        <f>OCTUBRE!AG53</f>
        <v>0</v>
      </c>
      <c r="AF53" s="364">
        <v>0</v>
      </c>
      <c r="AG53" s="1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+IF(OCTUBRE!A54=0,"",OCTUBRE!A54)</f>
        <v>1130110</v>
      </c>
      <c r="B54" s="628" t="str">
        <f>+IF(OCTUBRE!B54=0,"",OCTUBRE!B54)</f>
        <v>EMPRESAS MEDICINA PREPAGADA</v>
      </c>
      <c r="C54" s="43">
        <f t="shared" ref="C54:N54" si="61">SUM(C55:C56)</f>
        <v>0</v>
      </c>
      <c r="D54" s="44">
        <f t="shared" si="61"/>
        <v>0</v>
      </c>
      <c r="E54" s="44">
        <f t="shared" si="61"/>
        <v>0</v>
      </c>
      <c r="F54" s="44">
        <f t="shared" si="61"/>
        <v>0</v>
      </c>
      <c r="G54" s="44">
        <f t="shared" si="61"/>
        <v>0</v>
      </c>
      <c r="H54" s="44">
        <f t="shared" si="61"/>
        <v>0</v>
      </c>
      <c r="I54" s="835">
        <f t="shared" si="61"/>
        <v>0</v>
      </c>
      <c r="J54" s="44">
        <f t="shared" si="61"/>
        <v>0</v>
      </c>
      <c r="K54" s="44">
        <f t="shared" si="61"/>
        <v>0</v>
      </c>
      <c r="L54" s="835">
        <f t="shared" si="61"/>
        <v>0</v>
      </c>
      <c r="M54" s="44">
        <f t="shared" si="61"/>
        <v>0</v>
      </c>
      <c r="N54" s="45">
        <f t="shared" si="61"/>
        <v>0</v>
      </c>
      <c r="P54" s="43">
        <f>SUM(P55:P56)</f>
        <v>0</v>
      </c>
      <c r="Q54" s="45">
        <f>SUM(Q55:Q56)</f>
        <v>0</v>
      </c>
      <c r="R54" s="9"/>
      <c r="S54" s="689" t="str">
        <f>+IF(OCTUBRE!S54=0,"",OCTUBRE!S54)</f>
        <v>1010302-5</v>
      </c>
      <c r="T54" s="665" t="str">
        <f>+IF(OCTUBRE!T54=0,"",OCTUBRE!T54)</f>
        <v>Aporte a Caja Compensación Familiar</v>
      </c>
      <c r="U54" s="27">
        <f>+ENERO!U54</f>
        <v>75440955</v>
      </c>
      <c r="V54" s="15">
        <f>OCTUBRE!V54+NOVIEMBRE!AL54</f>
        <v>0</v>
      </c>
      <c r="W54" s="15">
        <f>OCTUBRE!W54+NOVIEMBRE!AM54</f>
        <v>0</v>
      </c>
      <c r="X54" s="18">
        <f t="shared" si="53"/>
        <v>75440955</v>
      </c>
      <c r="Y54" s="19">
        <f>OCTUBRE!AA54</f>
        <v>46440880</v>
      </c>
      <c r="Z54" s="364">
        <v>4960160</v>
      </c>
      <c r="AA54" s="18">
        <f t="shared" si="54"/>
        <v>51401040</v>
      </c>
      <c r="AB54" s="19">
        <f>OCTUBRE!AD54</f>
        <v>46440880</v>
      </c>
      <c r="AC54" s="364">
        <v>4960160</v>
      </c>
      <c r="AD54" s="18">
        <f t="shared" si="55"/>
        <v>51401040</v>
      </c>
      <c r="AE54" s="19">
        <f>OCTUBRE!AG54</f>
        <v>42186840</v>
      </c>
      <c r="AF54" s="364">
        <v>4254040</v>
      </c>
      <c r="AG54" s="18">
        <f t="shared" si="56"/>
        <v>46440880</v>
      </c>
      <c r="AH54" s="19">
        <f t="shared" si="57"/>
        <v>24039915</v>
      </c>
      <c r="AI54" s="15">
        <f t="shared" si="58"/>
        <v>24039915</v>
      </c>
      <c r="AJ54" s="16">
        <f t="shared" si="59"/>
        <v>29000075</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+IF(OCTUBRE!A55=0,"",OCTUBRE!A55)</f>
        <v>1130110-1</v>
      </c>
      <c r="B55" s="629" t="str">
        <f>+CONCATENATE("Vigencia ",INSTRUCCIONES!$F$3)</f>
        <v>Vigencia 2019</v>
      </c>
      <c r="C55" s="655">
        <f>+ENERO!C55</f>
        <v>0</v>
      </c>
      <c r="D55" s="363">
        <f>OCTUBRE!D55+NOVIEMBRE!P55</f>
        <v>0</v>
      </c>
      <c r="E55" s="363">
        <f>OCTUBRE!E55+NOVIEMBRE!Q55</f>
        <v>0</v>
      </c>
      <c r="F55" s="363">
        <f>SUM(C55:E55)</f>
        <v>0</v>
      </c>
      <c r="G55" s="363">
        <f>OCTUBRE!I55</f>
        <v>0</v>
      </c>
      <c r="H55" s="364">
        <v>0</v>
      </c>
      <c r="I55" s="454">
        <f>SUM(G55:H55)</f>
        <v>0</v>
      </c>
      <c r="J55" s="363">
        <f>OCTUBRE!L55</f>
        <v>0</v>
      </c>
      <c r="K55" s="364">
        <v>0</v>
      </c>
      <c r="L55" s="454">
        <f>SUM(J55:K55)</f>
        <v>0</v>
      </c>
      <c r="M55" s="363">
        <f>F55-I55</f>
        <v>0</v>
      </c>
      <c r="N55" s="143">
        <f>F55-L55</f>
        <v>0</v>
      </c>
      <c r="O55" s="372"/>
      <c r="P55" s="362">
        <v>0</v>
      </c>
      <c r="Q55" s="365">
        <v>0</v>
      </c>
      <c r="R55" s="9"/>
      <c r="S55" s="688">
        <f>+IF(OCTUBRE!S55=0,"",OCTUBRE!S55)</f>
        <v>1010399</v>
      </c>
      <c r="T55" s="664" t="str">
        <f>+IF(OCTUBRE!T55=0,"",OCTUBRE!T55)</f>
        <v>Vigencias Anteriores</v>
      </c>
      <c r="U55" s="27">
        <f>+ENERO!U55</f>
        <v>108000000</v>
      </c>
      <c r="V55" s="15">
        <f>OCTUBRE!V55+NOVIEMBRE!AL55</f>
        <v>-6501068</v>
      </c>
      <c r="W55" s="15">
        <f>OCTUBRE!W55+NOVIEMBRE!AM55</f>
        <v>0</v>
      </c>
      <c r="X55" s="18">
        <f t="shared" si="53"/>
        <v>101498932</v>
      </c>
      <c r="Y55" s="19">
        <f>OCTUBRE!AA55</f>
        <v>101498932</v>
      </c>
      <c r="Z55" s="364">
        <v>0</v>
      </c>
      <c r="AA55" s="18">
        <f t="shared" si="54"/>
        <v>101498932</v>
      </c>
      <c r="AB55" s="19">
        <f>OCTUBRE!AD55</f>
        <v>101498932</v>
      </c>
      <c r="AC55" s="364">
        <v>0</v>
      </c>
      <c r="AD55" s="18">
        <f t="shared" si="55"/>
        <v>101498932</v>
      </c>
      <c r="AE55" s="19">
        <f>OCTUBRE!AG55</f>
        <v>101498932</v>
      </c>
      <c r="AF55" s="364">
        <v>0</v>
      </c>
      <c r="AG55" s="1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+IF(OCTUBRE!A56=0,"",OCTUBRE!A56)</f>
        <v>1130110-2</v>
      </c>
      <c r="B56" s="629" t="str">
        <f>+IF(OCTUBRE!B56=0,"",OCTUBRE!B56)</f>
        <v>Vigencia Anterior</v>
      </c>
      <c r="C56" s="655">
        <f>+ENERO!C56</f>
        <v>0</v>
      </c>
      <c r="D56" s="363">
        <f>OCTUBRE!D56+NOVIEMBRE!P56</f>
        <v>0</v>
      </c>
      <c r="E56" s="363">
        <f>OCTUBRE!E56+NOVIEMBRE!Q56</f>
        <v>0</v>
      </c>
      <c r="F56" s="363">
        <f>SUM(C56:E56)</f>
        <v>0</v>
      </c>
      <c r="G56" s="363">
        <f>OCTUBRE!I56</f>
        <v>0</v>
      </c>
      <c r="H56" s="364">
        <v>0</v>
      </c>
      <c r="I56" s="454">
        <f>SUM(G56:H56)</f>
        <v>0</v>
      </c>
      <c r="J56" s="363">
        <f>OCTUBRE!L56</f>
        <v>0</v>
      </c>
      <c r="K56" s="364">
        <v>0</v>
      </c>
      <c r="L56" s="454">
        <f>SUM(J56:K56)</f>
        <v>0</v>
      </c>
      <c r="M56" s="363">
        <f>F56-I56</f>
        <v>0</v>
      </c>
      <c r="N56" s="143">
        <f>F56-L56</f>
        <v>0</v>
      </c>
      <c r="O56" s="372"/>
      <c r="P56" s="362">
        <v>0</v>
      </c>
      <c r="Q56" s="365">
        <v>0</v>
      </c>
      <c r="R56" s="9"/>
      <c r="S56" s="356" t="str">
        <f>+IF(OCTUBRE!S56=0,"",OCTUBRE!S56)</f>
        <v/>
      </c>
      <c r="T56" s="678" t="str">
        <f>+IF(OCTUBRE!T56=0,"",OCTUBRE!T56)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+IF(OCTUBRE!A57=0,"",OCTUBRE!A57)</f>
        <v>1130111</v>
      </c>
      <c r="B57" s="628" t="str">
        <f>+IF(OCTUBRE!B57=0,"",OCTUBRE!B57)</f>
        <v>IPS PRIVADAS</v>
      </c>
      <c r="C57" s="43">
        <f t="shared" ref="C57:N57" si="62">SUM(C58:C59)</f>
        <v>205713</v>
      </c>
      <c r="D57" s="44">
        <f t="shared" si="62"/>
        <v>0</v>
      </c>
      <c r="E57" s="44">
        <f t="shared" si="62"/>
        <v>0</v>
      </c>
      <c r="F57" s="44">
        <f t="shared" si="62"/>
        <v>205713</v>
      </c>
      <c r="G57" s="44">
        <f t="shared" si="62"/>
        <v>2440114</v>
      </c>
      <c r="H57" s="44">
        <f t="shared" si="62"/>
        <v>1162454</v>
      </c>
      <c r="I57" s="835">
        <f t="shared" si="62"/>
        <v>3602568</v>
      </c>
      <c r="J57" s="44">
        <f t="shared" si="62"/>
        <v>0</v>
      </c>
      <c r="K57" s="44">
        <f t="shared" si="62"/>
        <v>0</v>
      </c>
      <c r="L57" s="835">
        <f t="shared" si="62"/>
        <v>0</v>
      </c>
      <c r="M57" s="44">
        <f t="shared" si="62"/>
        <v>-3396855</v>
      </c>
      <c r="N57" s="45">
        <f t="shared" si="62"/>
        <v>205713</v>
      </c>
      <c r="P57" s="43">
        <f>SUM(P58:P59)</f>
        <v>0</v>
      </c>
      <c r="Q57" s="45">
        <f>SUM(Q58:Q59)</f>
        <v>0</v>
      </c>
      <c r="R57" s="9"/>
      <c r="S57" s="687">
        <f>+IF(OCTUBRE!S57=0,"",OCTUBRE!S57)</f>
        <v>1010400</v>
      </c>
      <c r="T57" s="663" t="str">
        <f>+IF(OCTUBRE!T57=0,"",OCTUBRE!T57)</f>
        <v>Contribuciones Inherentes nómina del Sector Publico</v>
      </c>
      <c r="U57" s="132">
        <f t="shared" ref="U57:AJ57" si="63">U58+U61</f>
        <v>94301194</v>
      </c>
      <c r="V57" s="122">
        <f t="shared" si="63"/>
        <v>0</v>
      </c>
      <c r="W57" s="122">
        <f t="shared" si="63"/>
        <v>0</v>
      </c>
      <c r="X57" s="129">
        <f t="shared" si="63"/>
        <v>94301194</v>
      </c>
      <c r="Y57" s="128">
        <f t="shared" si="63"/>
        <v>58051100</v>
      </c>
      <c r="Z57" s="122">
        <f t="shared" si="63"/>
        <v>6200200</v>
      </c>
      <c r="AA57" s="129">
        <f t="shared" si="63"/>
        <v>64251300</v>
      </c>
      <c r="AB57" s="128">
        <f t="shared" si="63"/>
        <v>58051100</v>
      </c>
      <c r="AC57" s="122">
        <f t="shared" si="63"/>
        <v>6200200</v>
      </c>
      <c r="AD57" s="129">
        <f t="shared" si="63"/>
        <v>64251300</v>
      </c>
      <c r="AE57" s="128">
        <f t="shared" si="63"/>
        <v>52733550</v>
      </c>
      <c r="AF57" s="122">
        <f t="shared" si="63"/>
        <v>5317550</v>
      </c>
      <c r="AG57" s="129">
        <f t="shared" si="63"/>
        <v>58051100</v>
      </c>
      <c r="AH57" s="128">
        <f t="shared" si="63"/>
        <v>30049894</v>
      </c>
      <c r="AI57" s="122">
        <f t="shared" si="63"/>
        <v>30049894</v>
      </c>
      <c r="AJ57" s="130">
        <f t="shared" si="63"/>
        <v>36250094</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+IF(OCTUBRE!A58=0,"",OCTUBRE!A58)</f>
        <v>1130111-1</v>
      </c>
      <c r="B58" s="629" t="str">
        <f>+CONCATENATE("Vigencia ",INSTRUCCIONES!$F$3)</f>
        <v>Vigencia 2019</v>
      </c>
      <c r="C58" s="655">
        <f>+ENERO!C58</f>
        <v>205713</v>
      </c>
      <c r="D58" s="363">
        <f>OCTUBRE!D58+NOVIEMBRE!P58</f>
        <v>0</v>
      </c>
      <c r="E58" s="363">
        <f>OCTUBRE!E58+NOVIEMBRE!Q58</f>
        <v>0</v>
      </c>
      <c r="F58" s="363">
        <f>SUM(C58:E58)</f>
        <v>205713</v>
      </c>
      <c r="G58" s="363">
        <f>OCTUBRE!I58</f>
        <v>2440114</v>
      </c>
      <c r="H58" s="364">
        <v>1162454</v>
      </c>
      <c r="I58" s="454">
        <f>SUM(G58:H58)</f>
        <v>3602568</v>
      </c>
      <c r="J58" s="363">
        <f>OCTUBRE!L58</f>
        <v>0</v>
      </c>
      <c r="K58" s="364">
        <v>0</v>
      </c>
      <c r="L58" s="454">
        <f>SUM(J58:K58)</f>
        <v>0</v>
      </c>
      <c r="M58" s="363">
        <f>F58-I58</f>
        <v>-3396855</v>
      </c>
      <c r="N58" s="143">
        <f>F58-L58</f>
        <v>205713</v>
      </c>
      <c r="O58" s="372"/>
      <c r="P58" s="362">
        <v>0</v>
      </c>
      <c r="Q58" s="365">
        <v>0</v>
      </c>
      <c r="R58" s="9"/>
      <c r="S58" s="688">
        <f>+IF(OCTUBRE!S58=0,"",OCTUBRE!S58)</f>
        <v>1010402</v>
      </c>
      <c r="T58" s="664" t="str">
        <f>+IF(OCTUBRE!T58=0,"",OCTUBRE!T58)</f>
        <v>Contribuciones - Otros</v>
      </c>
      <c r="U58" s="27">
        <f t="shared" ref="U58:AJ58" si="64">SUM(U59:U60)</f>
        <v>94301194</v>
      </c>
      <c r="V58" s="15">
        <f t="shared" si="64"/>
        <v>0</v>
      </c>
      <c r="W58" s="15">
        <f t="shared" si="64"/>
        <v>0</v>
      </c>
      <c r="X58" s="18">
        <f t="shared" si="64"/>
        <v>94301194</v>
      </c>
      <c r="Y58" s="19">
        <f t="shared" si="64"/>
        <v>58051100</v>
      </c>
      <c r="Z58" s="142">
        <f t="shared" si="64"/>
        <v>6200200</v>
      </c>
      <c r="AA58" s="18">
        <f t="shared" si="64"/>
        <v>64251300</v>
      </c>
      <c r="AB58" s="19">
        <f t="shared" si="64"/>
        <v>58051100</v>
      </c>
      <c r="AC58" s="142">
        <f t="shared" si="64"/>
        <v>6200200</v>
      </c>
      <c r="AD58" s="18">
        <f t="shared" si="64"/>
        <v>64251300</v>
      </c>
      <c r="AE58" s="19">
        <f t="shared" si="64"/>
        <v>52733550</v>
      </c>
      <c r="AF58" s="142">
        <f t="shared" si="64"/>
        <v>5317550</v>
      </c>
      <c r="AG58" s="18">
        <f t="shared" si="64"/>
        <v>58051100</v>
      </c>
      <c r="AH58" s="19">
        <f t="shared" si="64"/>
        <v>30049894</v>
      </c>
      <c r="AI58" s="15">
        <f t="shared" si="64"/>
        <v>30049894</v>
      </c>
      <c r="AJ58" s="16">
        <f t="shared" si="64"/>
        <v>36250094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+IF(OCTUBRE!A59=0,"",OCTUBRE!A59)</f>
        <v>1130111-2</v>
      </c>
      <c r="B59" s="629" t="str">
        <f>+IF(OCTUBRE!B59=0,"",OCTUBRE!B59)</f>
        <v>Vigencia Anterior</v>
      </c>
      <c r="C59" s="655">
        <f>+ENERO!C59</f>
        <v>0</v>
      </c>
      <c r="D59" s="363">
        <f>OCTUBRE!D59+NOVIEMBRE!P59</f>
        <v>0</v>
      </c>
      <c r="E59" s="363">
        <f>OCTUBRE!E59+NOVIEMBRE!Q59</f>
        <v>0</v>
      </c>
      <c r="F59" s="363">
        <f>SUM(C59:E59)</f>
        <v>0</v>
      </c>
      <c r="G59" s="363">
        <f>OCTUBRE!I59</f>
        <v>0</v>
      </c>
      <c r="H59" s="364">
        <v>0</v>
      </c>
      <c r="I59" s="454">
        <f>SUM(G59:H59)</f>
        <v>0</v>
      </c>
      <c r="J59" s="363">
        <f>OCTUBRE!L59</f>
        <v>0</v>
      </c>
      <c r="K59" s="364">
        <v>0</v>
      </c>
      <c r="L59" s="454">
        <f>SUM(J59:K59)</f>
        <v>0</v>
      </c>
      <c r="M59" s="363">
        <f>F59-I59</f>
        <v>0</v>
      </c>
      <c r="N59" s="143">
        <f>F59-L59</f>
        <v>0</v>
      </c>
      <c r="O59" s="372"/>
      <c r="P59" s="362">
        <v>0</v>
      </c>
      <c r="Q59" s="365">
        <v>0</v>
      </c>
      <c r="R59" s="9"/>
      <c r="S59" s="689" t="str">
        <f>+IF(OCTUBRE!S59=0,"",OCTUBRE!S59)</f>
        <v>1010402-1</v>
      </c>
      <c r="T59" s="665" t="str">
        <f>+IF(OCTUBRE!T59=0,"",OCTUBRE!T59)</f>
        <v>S.E.N.A.</v>
      </c>
      <c r="U59" s="27">
        <f>+ENERO!U59</f>
        <v>37720478</v>
      </c>
      <c r="V59" s="15">
        <f>OCTUBRE!V59+NOVIEMBRE!AL59</f>
        <v>0</v>
      </c>
      <c r="W59" s="15">
        <f>OCTUBRE!W59+NOVIEMBRE!AM59</f>
        <v>0</v>
      </c>
      <c r="X59" s="18">
        <f>SUM(U59:W59)</f>
        <v>37720478</v>
      </c>
      <c r="Y59" s="19">
        <f>OCTUBRE!AA59</f>
        <v>23220440</v>
      </c>
      <c r="Z59" s="364">
        <v>2480080</v>
      </c>
      <c r="AA59" s="18">
        <f>SUM(Y59:Z59)</f>
        <v>25700520</v>
      </c>
      <c r="AB59" s="19">
        <f>OCTUBRE!AD59</f>
        <v>23220440</v>
      </c>
      <c r="AC59" s="364">
        <v>2480080</v>
      </c>
      <c r="AD59" s="18">
        <f>SUM(AB59:AC59)</f>
        <v>25700520</v>
      </c>
      <c r="AE59" s="19">
        <f>OCTUBRE!AG59</f>
        <v>21093420</v>
      </c>
      <c r="AF59" s="364">
        <v>2127020</v>
      </c>
      <c r="AG59" s="18">
        <f>SUM(AE59:AF59)</f>
        <v>23220440</v>
      </c>
      <c r="AH59" s="19">
        <f>X59-AA59</f>
        <v>12019958</v>
      </c>
      <c r="AI59" s="15">
        <f>X59-AD59</f>
        <v>12019958</v>
      </c>
      <c r="AJ59" s="16">
        <f>X59-AG59</f>
        <v>14500038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+IF(OCTUBRE!A60=0,"",OCTUBRE!A60)</f>
        <v>1130112</v>
      </c>
      <c r="B60" s="628" t="str">
        <f>+IF(OCTUBRE!B60=0,"",OCTUBRE!B60)</f>
        <v>IPS PUBLICAS</v>
      </c>
      <c r="C60" s="43">
        <f t="shared" ref="C60:N60" si="65">SUM(C61:C62)</f>
        <v>0</v>
      </c>
      <c r="D60" s="44">
        <f t="shared" si="65"/>
        <v>0</v>
      </c>
      <c r="E60" s="44">
        <f t="shared" si="65"/>
        <v>19213396</v>
      </c>
      <c r="F60" s="44">
        <f t="shared" si="65"/>
        <v>19213396</v>
      </c>
      <c r="G60" s="44">
        <f t="shared" si="65"/>
        <v>20339654</v>
      </c>
      <c r="H60" s="44">
        <f t="shared" si="65"/>
        <v>110111</v>
      </c>
      <c r="I60" s="835">
        <f t="shared" si="65"/>
        <v>20449765</v>
      </c>
      <c r="J60" s="44">
        <f t="shared" si="65"/>
        <v>19213396</v>
      </c>
      <c r="K60" s="44">
        <f t="shared" si="65"/>
        <v>0</v>
      </c>
      <c r="L60" s="835">
        <f t="shared" si="65"/>
        <v>19213396</v>
      </c>
      <c r="M60" s="44">
        <f t="shared" si="65"/>
        <v>-1236369</v>
      </c>
      <c r="N60" s="45">
        <f t="shared" si="65"/>
        <v>0</v>
      </c>
      <c r="P60" s="43">
        <f>SUM(P61:P62)</f>
        <v>0</v>
      </c>
      <c r="Q60" s="45">
        <f>SUM(Q61:Q62)</f>
        <v>0</v>
      </c>
      <c r="R60" s="9"/>
      <c r="S60" s="689" t="str">
        <f>+IF(OCTUBRE!S60=0,"",OCTUBRE!S60)</f>
        <v>1010402-2</v>
      </c>
      <c r="T60" s="665" t="str">
        <f>+IF(OCTUBRE!T60=0,"",OCTUBRE!T60)</f>
        <v>I.C.B.F.</v>
      </c>
      <c r="U60" s="27">
        <f>+ENERO!U60</f>
        <v>56580716</v>
      </c>
      <c r="V60" s="15">
        <f>OCTUBRE!V60+NOVIEMBRE!AL60</f>
        <v>0</v>
      </c>
      <c r="W60" s="15">
        <f>OCTUBRE!W60+NOVIEMBRE!AM60</f>
        <v>0</v>
      </c>
      <c r="X60" s="18">
        <f>SUM(U60:W60)</f>
        <v>56580716</v>
      </c>
      <c r="Y60" s="19">
        <f>OCTUBRE!AA60</f>
        <v>34830660</v>
      </c>
      <c r="Z60" s="364">
        <v>3720120</v>
      </c>
      <c r="AA60" s="18">
        <f>SUM(Y60:Z60)</f>
        <v>38550780</v>
      </c>
      <c r="AB60" s="19">
        <f>OCTUBRE!AD60</f>
        <v>34830660</v>
      </c>
      <c r="AC60" s="364">
        <v>3720120</v>
      </c>
      <c r="AD60" s="18">
        <f>SUM(AB60:AC60)</f>
        <v>38550780</v>
      </c>
      <c r="AE60" s="19">
        <f>OCTUBRE!AG60</f>
        <v>31640130</v>
      </c>
      <c r="AF60" s="364">
        <v>3190530</v>
      </c>
      <c r="AG60" s="18">
        <f>SUM(AE60:AF60)</f>
        <v>34830660</v>
      </c>
      <c r="AH60" s="19">
        <f>X60-AA60</f>
        <v>18029936</v>
      </c>
      <c r="AI60" s="15">
        <f>X60-AD60</f>
        <v>18029936</v>
      </c>
      <c r="AJ60" s="16">
        <f>X60-AG60</f>
        <v>21750056</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+IF(OCTUBRE!A61=0,"",OCTUBRE!A61)</f>
        <v>1130112-1</v>
      </c>
      <c r="B61" s="629" t="str">
        <f>+CONCATENATE("Vigencia ",INSTRUCCIONES!$F$3)</f>
        <v>Vigencia 2019</v>
      </c>
      <c r="C61" s="655">
        <f>+ENERO!C61</f>
        <v>0</v>
      </c>
      <c r="D61" s="363">
        <f>OCTUBRE!D61+NOVIEMBRE!P61</f>
        <v>0</v>
      </c>
      <c r="E61" s="363">
        <f>OCTUBRE!E61+NOVIEMBRE!Q61</f>
        <v>655301</v>
      </c>
      <c r="F61" s="363">
        <f>SUM(C61:E61)</f>
        <v>655301</v>
      </c>
      <c r="G61" s="363">
        <f>OCTUBRE!I61</f>
        <v>1781559</v>
      </c>
      <c r="H61" s="364">
        <v>110111</v>
      </c>
      <c r="I61" s="454">
        <f>SUM(G61:H61)</f>
        <v>1891670</v>
      </c>
      <c r="J61" s="363">
        <f>OCTUBRE!L61</f>
        <v>655301</v>
      </c>
      <c r="K61" s="364">
        <v>0</v>
      </c>
      <c r="L61" s="454">
        <f>SUM(J61:K61)</f>
        <v>655301</v>
      </c>
      <c r="M61" s="363">
        <f>F61-I61</f>
        <v>-1236369</v>
      </c>
      <c r="N61" s="143">
        <f>F61-L61</f>
        <v>0</v>
      </c>
      <c r="O61" s="372"/>
      <c r="P61" s="362">
        <v>0</v>
      </c>
      <c r="Q61" s="365">
        <v>0</v>
      </c>
      <c r="R61" s="9"/>
      <c r="S61" s="688">
        <f>+IF(OCTUBRE!S61=0,"",OCTUBRE!S61)</f>
        <v>1010499</v>
      </c>
      <c r="T61" s="664" t="str">
        <f>+IF(OCTUBRE!T61=0,"",OCTUBRE!T61)</f>
        <v>Vigencias Anteriores</v>
      </c>
      <c r="U61" s="27">
        <f>+ENERO!U61</f>
        <v>0</v>
      </c>
      <c r="V61" s="15">
        <f>OCTUBRE!V61+NOVIEMBRE!AL61</f>
        <v>0</v>
      </c>
      <c r="W61" s="15">
        <f>OCTUBRE!W61+NOVIEMBRE!AM61</f>
        <v>0</v>
      </c>
      <c r="X61" s="18">
        <f>SUM(U61:W61)</f>
        <v>0</v>
      </c>
      <c r="Y61" s="19">
        <f>OCTUBRE!AA61</f>
        <v>0</v>
      </c>
      <c r="Z61" s="364">
        <v>0</v>
      </c>
      <c r="AA61" s="18">
        <f>SUM(Y61:Z61)</f>
        <v>0</v>
      </c>
      <c r="AB61" s="19">
        <f>OCTUBRE!AD61</f>
        <v>0</v>
      </c>
      <c r="AC61" s="364">
        <v>0</v>
      </c>
      <c r="AD61" s="18">
        <f>SUM(AB61:AC61)</f>
        <v>0</v>
      </c>
      <c r="AE61" s="19">
        <f>OCTUBRE!AG61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+IF(OCTUBRE!A62=0,"",OCTUBRE!A62)</f>
        <v>1130112-2</v>
      </c>
      <c r="B62" s="629" t="str">
        <f>+IF(OCTUBRE!B62=0,"",OCTUBRE!B62)</f>
        <v>Vigencia Anterior</v>
      </c>
      <c r="C62" s="655">
        <f>+ENERO!C62</f>
        <v>0</v>
      </c>
      <c r="D62" s="363">
        <f>OCTUBRE!D62+NOVIEMBRE!P62</f>
        <v>0</v>
      </c>
      <c r="E62" s="363">
        <f>OCTUBRE!E62+NOVIEMBRE!Q62</f>
        <v>18558095</v>
      </c>
      <c r="F62" s="363">
        <f>SUM(C62:E62)</f>
        <v>18558095</v>
      </c>
      <c r="G62" s="363">
        <f>OCTUBRE!I62</f>
        <v>18558095</v>
      </c>
      <c r="H62" s="364">
        <v>0</v>
      </c>
      <c r="I62" s="454">
        <f>SUM(G62:H62)</f>
        <v>18558095</v>
      </c>
      <c r="J62" s="363">
        <f>OCTUBRE!L62</f>
        <v>18558095</v>
      </c>
      <c r="K62" s="364">
        <v>0</v>
      </c>
      <c r="L62" s="454">
        <f>SUM(J62:K62)</f>
        <v>18558095</v>
      </c>
      <c r="M62" s="363">
        <f>F62-I62</f>
        <v>0</v>
      </c>
      <c r="N62" s="143">
        <f>F62-L62</f>
        <v>0</v>
      </c>
      <c r="O62" s="372"/>
      <c r="P62" s="362">
        <v>0</v>
      </c>
      <c r="Q62" s="365">
        <v>0</v>
      </c>
      <c r="R62" s="9"/>
      <c r="S62" s="356" t="str">
        <f>+IF(OCTUBRE!S62=0,"",OCTUBRE!S62)</f>
        <v/>
      </c>
      <c r="T62" s="678" t="str">
        <f>+IF(OCTUBRE!T62=0,"",OCTUBRE!T62)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+IF(OCTUBRE!A63=0,"",OCTUBRE!A63)</f>
        <v>1130113</v>
      </c>
      <c r="B63" s="628" t="str">
        <f>+IF(OCTUBRE!B63=0,"",OCTUBRE!B63)</f>
        <v>COMPAÑIAS DE SEGUROS  - ACCIDENTES DE TRANSITO (SOAT)</v>
      </c>
      <c r="C63" s="43">
        <f t="shared" ref="C63:N63" si="66">SUM(C64:C65)</f>
        <v>8371510292</v>
      </c>
      <c r="D63" s="44">
        <f t="shared" si="66"/>
        <v>0</v>
      </c>
      <c r="E63" s="44">
        <f t="shared" si="66"/>
        <v>1890152623</v>
      </c>
      <c r="F63" s="44">
        <f t="shared" si="66"/>
        <v>10261662915</v>
      </c>
      <c r="G63" s="44">
        <f t="shared" si="66"/>
        <v>6431096018</v>
      </c>
      <c r="H63" s="44">
        <f t="shared" si="66"/>
        <v>476130955</v>
      </c>
      <c r="I63" s="835">
        <f t="shared" si="66"/>
        <v>6907226973</v>
      </c>
      <c r="J63" s="44">
        <f t="shared" si="66"/>
        <v>4405201675.0699997</v>
      </c>
      <c r="K63" s="44">
        <f t="shared" si="66"/>
        <v>311897291</v>
      </c>
      <c r="L63" s="835">
        <f t="shared" si="66"/>
        <v>4717098966.0699997</v>
      </c>
      <c r="M63" s="44">
        <f t="shared" si="66"/>
        <v>3354435942</v>
      </c>
      <c r="N63" s="45">
        <f t="shared" si="66"/>
        <v>5544563948.9300003</v>
      </c>
      <c r="P63" s="43">
        <f>SUM(P64:P65)</f>
        <v>0</v>
      </c>
      <c r="Q63" s="45">
        <f>SUM(Q64:Q65)</f>
        <v>9842269</v>
      </c>
      <c r="R63" s="9"/>
      <c r="S63" s="686">
        <f>+IF(OCTUBRE!S63=0,"",OCTUBRE!S63)</f>
        <v>1020010</v>
      </c>
      <c r="T63" s="662" t="str">
        <f>+IF(OCTUBRE!T63=0,"",OCTUBRE!T63)</f>
        <v>Gastos de Operación</v>
      </c>
      <c r="U63" s="132">
        <f t="shared" ref="U63:AJ63" si="67">U65+U83+U90+U104</f>
        <v>29994047768</v>
      </c>
      <c r="V63" s="122">
        <f t="shared" si="67"/>
        <v>-3985337847</v>
      </c>
      <c r="W63" s="122">
        <f t="shared" si="67"/>
        <v>2579785077</v>
      </c>
      <c r="X63" s="129">
        <f t="shared" si="67"/>
        <v>28588494998</v>
      </c>
      <c r="Y63" s="128">
        <f t="shared" si="67"/>
        <v>26043109516</v>
      </c>
      <c r="Z63" s="122">
        <f t="shared" si="67"/>
        <v>948448304</v>
      </c>
      <c r="AA63" s="129">
        <f t="shared" si="67"/>
        <v>26991557820</v>
      </c>
      <c r="AB63" s="128">
        <f t="shared" si="67"/>
        <v>22647302090</v>
      </c>
      <c r="AC63" s="122">
        <f t="shared" si="67"/>
        <v>1951552060</v>
      </c>
      <c r="AD63" s="129">
        <f t="shared" si="67"/>
        <v>24598854150</v>
      </c>
      <c r="AE63" s="128">
        <f t="shared" si="67"/>
        <v>16424648472</v>
      </c>
      <c r="AF63" s="122">
        <f t="shared" si="67"/>
        <v>1959399425</v>
      </c>
      <c r="AG63" s="129">
        <f t="shared" si="67"/>
        <v>18384047897</v>
      </c>
      <c r="AH63" s="128">
        <f t="shared" si="67"/>
        <v>1596937178</v>
      </c>
      <c r="AI63" s="122">
        <f t="shared" si="67"/>
        <v>3989640848</v>
      </c>
      <c r="AJ63" s="130">
        <f t="shared" si="67"/>
        <v>10204447101</v>
      </c>
      <c r="AK63" s="9"/>
      <c r="AL63" s="128">
        <f>AL65+AL83+AL90+AL104</f>
        <v>0</v>
      </c>
      <c r="AM63" s="130">
        <f>AM65+AM83+AM90+AM104</f>
        <v>450000000</v>
      </c>
      <c r="AN63" s="9"/>
      <c r="AO63" s="284"/>
      <c r="AP63" s="284"/>
      <c r="AQ63" s="284"/>
      <c r="AR63" s="284"/>
      <c r="AS63" s="284"/>
      <c r="AT63" s="284"/>
      <c r="AU63" s="284"/>
      <c r="AV63" s="284"/>
      <c r="AW63" s="284"/>
      <c r="AX63" s="284"/>
      <c r="AY63" s="284"/>
      <c r="AZ63" s="284"/>
    </row>
    <row r="64" spans="1:70" s="412" customFormat="1" ht="24.95" customHeight="1">
      <c r="A64" s="593" t="str">
        <f>+IF(OCTUBRE!A64=0,"",OCTUBRE!A64)</f>
        <v>1130113-1</v>
      </c>
      <c r="B64" s="629" t="str">
        <f>+CONCATENATE("Vigencia ",INSTRUCCIONES!$F$3)</f>
        <v>Vigencia 2019</v>
      </c>
      <c r="C64" s="655">
        <f>+ENERO!C64</f>
        <v>8371510292</v>
      </c>
      <c r="D64" s="363">
        <f>OCTUBRE!D64+NOVIEMBRE!P64</f>
        <v>0</v>
      </c>
      <c r="E64" s="363">
        <f>OCTUBRE!E64+NOVIEMBRE!Q64</f>
        <v>0</v>
      </c>
      <c r="F64" s="363">
        <f>SUM(C64:E64)</f>
        <v>8371510292</v>
      </c>
      <c r="G64" s="363">
        <f>OCTUBRE!I64</f>
        <v>4540943395</v>
      </c>
      <c r="H64" s="364">
        <v>476130955</v>
      </c>
      <c r="I64" s="454">
        <f>SUM(G64:H64)</f>
        <v>5017074350</v>
      </c>
      <c r="J64" s="363">
        <f>OCTUBRE!L64</f>
        <v>2515049052.0699997</v>
      </c>
      <c r="K64" s="364">
        <v>311897291</v>
      </c>
      <c r="L64" s="454">
        <f>SUM(J64:K64)</f>
        <v>2826946343.0699997</v>
      </c>
      <c r="M64" s="363">
        <f>F64-I64</f>
        <v>3354435942</v>
      </c>
      <c r="N64" s="143">
        <f>F64-L64</f>
        <v>5544563948.9300003</v>
      </c>
      <c r="O64" s="372"/>
      <c r="P64" s="362">
        <v>0</v>
      </c>
      <c r="Q64" s="365">
        <v>0</v>
      </c>
      <c r="R64" s="9"/>
      <c r="S64" s="356" t="str">
        <f>+IF(OCTUBRE!S64=0,"",OCTUBRE!S64)</f>
        <v/>
      </c>
      <c r="T64" s="678" t="str">
        <f>+IF(OCTUBRE!T64=0,"",OCTUBRE!T64)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+IF(OCTUBRE!A65=0,"",OCTUBRE!A65)</f>
        <v>1130113-2</v>
      </c>
      <c r="B65" s="629" t="str">
        <f>+IF(OCTUBRE!B65=0,"",OCTUBRE!B65)</f>
        <v>Vigencia Anterior</v>
      </c>
      <c r="C65" s="655">
        <f>+ENERO!C65</f>
        <v>0</v>
      </c>
      <c r="D65" s="363">
        <f>OCTUBRE!D65+NOVIEMBRE!P65</f>
        <v>0</v>
      </c>
      <c r="E65" s="363">
        <f>OCTUBRE!E65+NOVIEMBRE!Q65</f>
        <v>1890152623</v>
      </c>
      <c r="F65" s="363">
        <f>SUM(C65:E65)</f>
        <v>1890152623</v>
      </c>
      <c r="G65" s="363">
        <f>OCTUBRE!I65</f>
        <v>1890152623</v>
      </c>
      <c r="H65" s="364">
        <v>0</v>
      </c>
      <c r="I65" s="454">
        <f>SUM(G65:H65)</f>
        <v>1890152623</v>
      </c>
      <c r="J65" s="363">
        <f>OCTUBRE!L65</f>
        <v>1890152623</v>
      </c>
      <c r="K65" s="364">
        <v>0</v>
      </c>
      <c r="L65" s="454">
        <f>SUM(J65:K65)</f>
        <v>1890152623</v>
      </c>
      <c r="M65" s="363">
        <f>F65-I65</f>
        <v>0</v>
      </c>
      <c r="N65" s="143">
        <f>F65-L65</f>
        <v>0</v>
      </c>
      <c r="O65" s="372"/>
      <c r="P65" s="362">
        <v>0</v>
      </c>
      <c r="Q65" s="365">
        <v>9842269</v>
      </c>
      <c r="R65" s="9"/>
      <c r="S65" s="687">
        <f>+IF(OCTUBRE!S65=0,"",OCTUBRE!S65)</f>
        <v>1020100</v>
      </c>
      <c r="T65" s="663" t="str">
        <f>+IF(OCTUBRE!T65=0,"",OCTUBRE!T65)</f>
        <v>Servicios Personales Asociados a Nómina</v>
      </c>
      <c r="U65" s="132">
        <f t="shared" ref="U65:AJ65" si="68">SUM(U66:U69)+U81</f>
        <v>5283965861</v>
      </c>
      <c r="V65" s="122">
        <f t="shared" si="68"/>
        <v>-2409000000</v>
      </c>
      <c r="W65" s="122">
        <f t="shared" si="68"/>
        <v>360000000</v>
      </c>
      <c r="X65" s="129">
        <f t="shared" si="68"/>
        <v>3234965861</v>
      </c>
      <c r="Y65" s="128">
        <f t="shared" si="68"/>
        <v>2078509384</v>
      </c>
      <c r="Z65" s="122">
        <f t="shared" si="68"/>
        <v>395141485</v>
      </c>
      <c r="AA65" s="129">
        <f t="shared" si="68"/>
        <v>2473650869</v>
      </c>
      <c r="AB65" s="128">
        <f t="shared" si="68"/>
        <v>2078509384</v>
      </c>
      <c r="AC65" s="122">
        <f t="shared" si="68"/>
        <v>395141485</v>
      </c>
      <c r="AD65" s="129">
        <f t="shared" si="68"/>
        <v>2473650869</v>
      </c>
      <c r="AE65" s="128">
        <f t="shared" si="68"/>
        <v>2078282961</v>
      </c>
      <c r="AF65" s="122">
        <f t="shared" si="68"/>
        <v>395141485</v>
      </c>
      <c r="AG65" s="129">
        <f t="shared" si="68"/>
        <v>2473424446</v>
      </c>
      <c r="AH65" s="128">
        <f t="shared" si="68"/>
        <v>761314992</v>
      </c>
      <c r="AI65" s="122">
        <f t="shared" si="68"/>
        <v>761314992</v>
      </c>
      <c r="AJ65" s="130">
        <f t="shared" si="68"/>
        <v>761541415</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+IF(OCTUBRE!A66=0,"",OCTUBRE!A66)</f>
        <v>1130114</v>
      </c>
      <c r="B66" s="628" t="str">
        <f>+IF(OCTUBRE!B66=0,"",OCTUBRE!B66)</f>
        <v xml:space="preserve">COMPAÑIAS DE SEGUROS  - PLANES DE SALUD  </v>
      </c>
      <c r="C66" s="43">
        <f t="shared" ref="C66:N66" si="69">SUM(C67:C68)</f>
        <v>11965775</v>
      </c>
      <c r="D66" s="44">
        <f t="shared" si="69"/>
        <v>0</v>
      </c>
      <c r="E66" s="44">
        <f t="shared" si="69"/>
        <v>0</v>
      </c>
      <c r="F66" s="44">
        <f t="shared" si="69"/>
        <v>11965775</v>
      </c>
      <c r="G66" s="44">
        <f t="shared" si="69"/>
        <v>52003741</v>
      </c>
      <c r="H66" s="44">
        <f t="shared" si="69"/>
        <v>54378</v>
      </c>
      <c r="I66" s="835">
        <f t="shared" si="69"/>
        <v>52058119</v>
      </c>
      <c r="J66" s="44">
        <f t="shared" si="69"/>
        <v>0</v>
      </c>
      <c r="K66" s="44">
        <f t="shared" si="69"/>
        <v>0</v>
      </c>
      <c r="L66" s="835">
        <f t="shared" si="69"/>
        <v>0</v>
      </c>
      <c r="M66" s="44">
        <f t="shared" si="69"/>
        <v>-40092344</v>
      </c>
      <c r="N66" s="45">
        <f t="shared" si="69"/>
        <v>11965775</v>
      </c>
      <c r="P66" s="43">
        <f>SUM(P67:P68)</f>
        <v>0</v>
      </c>
      <c r="Q66" s="45">
        <f>SUM(Q67:Q68)</f>
        <v>0</v>
      </c>
      <c r="R66" s="9"/>
      <c r="S66" s="688">
        <f>+IF(OCTUBRE!S66=0,"",OCTUBRE!S66)</f>
        <v>1020101</v>
      </c>
      <c r="T66" s="664" t="str">
        <f>+IF(OCTUBRE!T66=0,"",OCTUBRE!T66)</f>
        <v>Sueldos del Personal de nómina</v>
      </c>
      <c r="U66" s="27">
        <f>+ENERO!U66</f>
        <v>3773107838</v>
      </c>
      <c r="V66" s="15">
        <f>OCTUBRE!V66+NOVIEMBRE!AL66</f>
        <v>-2044000000</v>
      </c>
      <c r="W66" s="15">
        <f>OCTUBRE!W66+NOVIEMBRE!AM66</f>
        <v>360000000</v>
      </c>
      <c r="X66" s="18">
        <f>SUM(U66:W66)</f>
        <v>2089107838</v>
      </c>
      <c r="Y66" s="19">
        <f>OCTUBRE!AA66</f>
        <v>1734187941</v>
      </c>
      <c r="Z66" s="364">
        <v>179589332</v>
      </c>
      <c r="AA66" s="18">
        <f>SUM(Y66:Z66)</f>
        <v>1913777273</v>
      </c>
      <c r="AB66" s="19">
        <f>OCTUBRE!AD66</f>
        <v>1734187941</v>
      </c>
      <c r="AC66" s="364">
        <v>179589332</v>
      </c>
      <c r="AD66" s="18">
        <f>SUM(AB66:AC66)</f>
        <v>1913777273</v>
      </c>
      <c r="AE66" s="19">
        <f>OCTUBRE!AG66</f>
        <v>1734017850</v>
      </c>
      <c r="AF66" s="364">
        <v>179589332</v>
      </c>
      <c r="AG66" s="18">
        <f>SUM(AE66:AF66)</f>
        <v>1913607182</v>
      </c>
      <c r="AH66" s="19">
        <f>X66-AA66</f>
        <v>175330565</v>
      </c>
      <c r="AI66" s="15">
        <f>X66-AD66</f>
        <v>175330565</v>
      </c>
      <c r="AJ66" s="16">
        <f>X66-AG66</f>
        <v>175500656</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+IF(OCTUBRE!A67=0,"",OCTUBRE!A67)</f>
        <v>1130114-1</v>
      </c>
      <c r="B67" s="629" t="str">
        <f>+CONCATENATE("Vigencia ",INSTRUCCIONES!$F$3)</f>
        <v>Vigencia 2019</v>
      </c>
      <c r="C67" s="655">
        <f>+ENERO!C67</f>
        <v>11965775</v>
      </c>
      <c r="D67" s="363">
        <f>OCTUBRE!D67+NOVIEMBRE!P67</f>
        <v>0</v>
      </c>
      <c r="E67" s="363">
        <f>OCTUBRE!E67+NOVIEMBRE!Q67</f>
        <v>0</v>
      </c>
      <c r="F67" s="363">
        <f>SUM(C67:E67)</f>
        <v>11965775</v>
      </c>
      <c r="G67" s="363">
        <f>OCTUBRE!I67</f>
        <v>52003741</v>
      </c>
      <c r="H67" s="364">
        <v>54378</v>
      </c>
      <c r="I67" s="454">
        <f>SUM(G67:H67)</f>
        <v>52058119</v>
      </c>
      <c r="J67" s="363">
        <f>OCTUBRE!L67</f>
        <v>0</v>
      </c>
      <c r="K67" s="364">
        <v>0</v>
      </c>
      <c r="L67" s="454">
        <f>SUM(J67:K67)</f>
        <v>0</v>
      </c>
      <c r="M67" s="363">
        <f>F67-I67</f>
        <v>-40092344</v>
      </c>
      <c r="N67" s="143">
        <f>F67-L67</f>
        <v>11965775</v>
      </c>
      <c r="O67" s="372"/>
      <c r="P67" s="362">
        <v>0</v>
      </c>
      <c r="Q67" s="365">
        <v>0</v>
      </c>
      <c r="R67" s="9"/>
      <c r="S67" s="688">
        <f>+IF(OCTUBRE!S67=0,"",OCTUBRE!S67)</f>
        <v>1020102</v>
      </c>
      <c r="T67" s="664" t="str">
        <f>+IF(OCTUBRE!T67=0,"",OCTUBRE!T67)</f>
        <v>Horas Extras,Dominic.,Festivos y Rec. Nocturnos</v>
      </c>
      <c r="U67" s="27">
        <f>+ENERO!U67</f>
        <v>329885360</v>
      </c>
      <c r="V67" s="15">
        <f>OCTUBRE!V67+NOVIEMBRE!AL67</f>
        <v>-65000000</v>
      </c>
      <c r="W67" s="15">
        <f>OCTUBRE!W67+NOVIEMBRE!AM67</f>
        <v>0</v>
      </c>
      <c r="X67" s="18">
        <f>SUM(U67:W67)</f>
        <v>264885360</v>
      </c>
      <c r="Y67" s="19">
        <f>OCTUBRE!AA67</f>
        <v>106167089</v>
      </c>
      <c r="Z67" s="364">
        <v>12545886</v>
      </c>
      <c r="AA67" s="18">
        <f>SUM(Y67:Z67)</f>
        <v>118712975</v>
      </c>
      <c r="AB67" s="19">
        <f>OCTUBRE!AD67</f>
        <v>106167089</v>
      </c>
      <c r="AC67" s="364">
        <v>12545886</v>
      </c>
      <c r="AD67" s="18">
        <f>SUM(AB67:AC67)</f>
        <v>118712975</v>
      </c>
      <c r="AE67" s="19">
        <f>OCTUBRE!AG67</f>
        <v>106167089</v>
      </c>
      <c r="AF67" s="364">
        <v>12545886</v>
      </c>
      <c r="AG67" s="18">
        <f>SUM(AE67:AF67)</f>
        <v>118712975</v>
      </c>
      <c r="AH67" s="19">
        <f>X67-AA67</f>
        <v>146172385</v>
      </c>
      <c r="AI67" s="15">
        <f>X67-AD67</f>
        <v>146172385</v>
      </c>
      <c r="AJ67" s="16">
        <f>X67-AG67</f>
        <v>146172385</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+IF(OCTUBRE!A68=0,"",OCTUBRE!A68)</f>
        <v>1130114-2</v>
      </c>
      <c r="B68" s="629" t="str">
        <f>+IF(OCTUBRE!B68=0,"",OCTUBRE!B68)</f>
        <v>Vigencia Anterior</v>
      </c>
      <c r="C68" s="655">
        <f>+ENERO!C68</f>
        <v>0</v>
      </c>
      <c r="D68" s="363">
        <f>OCTUBRE!D68+NOVIEMBRE!P68</f>
        <v>0</v>
      </c>
      <c r="E68" s="363">
        <f>OCTUBRE!E68+NOVIEMBRE!Q68</f>
        <v>0</v>
      </c>
      <c r="F68" s="363">
        <f>SUM(C68:E68)</f>
        <v>0</v>
      </c>
      <c r="G68" s="363">
        <f>OCTUBRE!I68</f>
        <v>0</v>
      </c>
      <c r="H68" s="364">
        <v>0</v>
      </c>
      <c r="I68" s="454">
        <f>SUM(G68:H68)</f>
        <v>0</v>
      </c>
      <c r="J68" s="363">
        <f>OCTUBRE!L68</f>
        <v>0</v>
      </c>
      <c r="K68" s="364">
        <v>0</v>
      </c>
      <c r="L68" s="454">
        <f>SUM(J68:K68)</f>
        <v>0</v>
      </c>
      <c r="M68" s="363">
        <f>F68-I68</f>
        <v>0</v>
      </c>
      <c r="N68" s="143">
        <f>F68-L68</f>
        <v>0</v>
      </c>
      <c r="O68" s="372"/>
      <c r="P68" s="362">
        <v>0</v>
      </c>
      <c r="Q68" s="365">
        <v>0</v>
      </c>
      <c r="R68" s="9"/>
      <c r="S68" s="688">
        <f>+IF(OCTUBRE!S68=0,"",OCTUBRE!S68)</f>
        <v>1020103</v>
      </c>
      <c r="T68" s="664" t="str">
        <f>+IF(OCTUBRE!T68=0,"",OCTUBRE!T68)</f>
        <v>Prima Técnica</v>
      </c>
      <c r="U68" s="27">
        <f>+ENERO!U68</f>
        <v>0</v>
      </c>
      <c r="V68" s="15">
        <f>OCTUBRE!V68+NOVIEMBRE!AL68</f>
        <v>0</v>
      </c>
      <c r="W68" s="15">
        <f>OCTUBRE!W68+NOVIEMBRE!AM68</f>
        <v>0</v>
      </c>
      <c r="X68" s="18">
        <f>SUM(U68:W68)</f>
        <v>0</v>
      </c>
      <c r="Y68" s="19">
        <f>OCTUBRE!AA68</f>
        <v>0</v>
      </c>
      <c r="Z68" s="364">
        <v>0</v>
      </c>
      <c r="AA68" s="18">
        <f>SUM(Y68:Z68)</f>
        <v>0</v>
      </c>
      <c r="AB68" s="19">
        <f>OCTUBRE!AD68</f>
        <v>0</v>
      </c>
      <c r="AC68" s="364">
        <v>0</v>
      </c>
      <c r="AD68" s="18">
        <f>SUM(AB68:AC68)</f>
        <v>0</v>
      </c>
      <c r="AE68" s="19">
        <f>OCTUBRE!AG68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+IF(OCTUBRE!A69=0,"",OCTUBRE!A69)</f>
        <v>1130115</v>
      </c>
      <c r="B69" s="628" t="str">
        <f>+IF(OCTUBRE!B69=0,"",OCTUBRE!B69)</f>
        <v>ENTIDADES DE REGIMEN ESPECIAL (Magisterio, Fuerza Pca.)</v>
      </c>
      <c r="C69" s="43">
        <f t="shared" ref="C69:N69" si="70">SUM(C70:C71)</f>
        <v>8401952</v>
      </c>
      <c r="D69" s="44">
        <f t="shared" si="70"/>
        <v>0</v>
      </c>
      <c r="E69" s="44">
        <f t="shared" si="70"/>
        <v>203521298</v>
      </c>
      <c r="F69" s="44">
        <f t="shared" si="70"/>
        <v>211923250</v>
      </c>
      <c r="G69" s="44">
        <f t="shared" si="70"/>
        <v>213096104</v>
      </c>
      <c r="H69" s="44">
        <f t="shared" si="70"/>
        <v>17777413</v>
      </c>
      <c r="I69" s="835">
        <f t="shared" si="70"/>
        <v>230873517</v>
      </c>
      <c r="J69" s="44">
        <f t="shared" si="70"/>
        <v>211923250</v>
      </c>
      <c r="K69" s="44">
        <f t="shared" si="70"/>
        <v>17641430</v>
      </c>
      <c r="L69" s="835">
        <f t="shared" si="70"/>
        <v>229564680</v>
      </c>
      <c r="M69" s="44">
        <f t="shared" si="70"/>
        <v>-18950267</v>
      </c>
      <c r="N69" s="45">
        <f t="shared" si="70"/>
        <v>-17641430</v>
      </c>
      <c r="P69" s="43">
        <f>SUM(P70:P71)</f>
        <v>0</v>
      </c>
      <c r="Q69" s="45">
        <f>SUM(Q70:Q71)</f>
        <v>31640525</v>
      </c>
      <c r="R69" s="9"/>
      <c r="S69" s="688">
        <f>+IF(OCTUBRE!S69=0,"",OCTUBRE!S69)</f>
        <v>1020104</v>
      </c>
      <c r="T69" s="664" t="str">
        <f>+IF(OCTUBRE!T69=0,"",OCTUBRE!T69)</f>
        <v>Otros</v>
      </c>
      <c r="U69" s="27">
        <f t="shared" ref="U69:AJ69" si="71">SUM(U70:U80)</f>
        <v>1180972663</v>
      </c>
      <c r="V69" s="15">
        <f t="shared" si="71"/>
        <v>-300000000</v>
      </c>
      <c r="W69" s="15">
        <f t="shared" si="71"/>
        <v>0</v>
      </c>
      <c r="X69" s="18">
        <f t="shared" si="71"/>
        <v>880972663</v>
      </c>
      <c r="Y69" s="19">
        <f t="shared" si="71"/>
        <v>238154354</v>
      </c>
      <c r="Z69" s="142">
        <f t="shared" si="71"/>
        <v>203006267</v>
      </c>
      <c r="AA69" s="18">
        <f t="shared" si="71"/>
        <v>441160621</v>
      </c>
      <c r="AB69" s="19">
        <f t="shared" si="71"/>
        <v>238154354</v>
      </c>
      <c r="AC69" s="142">
        <f t="shared" si="71"/>
        <v>203006267</v>
      </c>
      <c r="AD69" s="18">
        <f t="shared" si="71"/>
        <v>441160621</v>
      </c>
      <c r="AE69" s="19">
        <f t="shared" si="71"/>
        <v>238098022</v>
      </c>
      <c r="AF69" s="142">
        <f t="shared" si="71"/>
        <v>203006267</v>
      </c>
      <c r="AG69" s="18">
        <f t="shared" si="71"/>
        <v>441104289</v>
      </c>
      <c r="AH69" s="19">
        <f t="shared" si="71"/>
        <v>439812042</v>
      </c>
      <c r="AI69" s="15">
        <f t="shared" si="71"/>
        <v>439812042</v>
      </c>
      <c r="AJ69" s="16">
        <f t="shared" si="71"/>
        <v>439868374</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+IF(OCTUBRE!A70=0,"",OCTUBRE!A70)</f>
        <v>1130115-1</v>
      </c>
      <c r="B70" s="629" t="str">
        <f>+CONCATENATE("Vigencia ",INSTRUCCIONES!$F$3)</f>
        <v>Vigencia 2019</v>
      </c>
      <c r="C70" s="655">
        <f>+ENERO!C70</f>
        <v>8401952</v>
      </c>
      <c r="D70" s="363">
        <f>OCTUBRE!D70+NOVIEMBRE!P70</f>
        <v>0</v>
      </c>
      <c r="E70" s="363">
        <f>OCTUBRE!E70+NOVIEMBRE!Q70</f>
        <v>47225268</v>
      </c>
      <c r="F70" s="363">
        <f>SUM(C70:E70)</f>
        <v>55627220</v>
      </c>
      <c r="G70" s="363">
        <f>OCTUBRE!I70</f>
        <v>56800074</v>
      </c>
      <c r="H70" s="364">
        <v>135983</v>
      </c>
      <c r="I70" s="454">
        <f>SUM(G70:H70)</f>
        <v>56936057</v>
      </c>
      <c r="J70" s="363">
        <f>OCTUBRE!L70</f>
        <v>55627220</v>
      </c>
      <c r="K70" s="364">
        <v>0</v>
      </c>
      <c r="L70" s="454">
        <f>SUM(J70:K70)</f>
        <v>55627220</v>
      </c>
      <c r="M70" s="363">
        <f>F70-I70</f>
        <v>-1308837</v>
      </c>
      <c r="N70" s="143">
        <f>F70-L70</f>
        <v>0</v>
      </c>
      <c r="O70" s="372"/>
      <c r="P70" s="362">
        <v>0</v>
      </c>
      <c r="Q70" s="365">
        <v>0</v>
      </c>
      <c r="R70" s="9"/>
      <c r="S70" s="689" t="str">
        <f>+IF(OCTUBRE!S70=0,"",OCTUBRE!S70)</f>
        <v>1020104-1</v>
      </c>
      <c r="T70" s="665" t="str">
        <f>+IF(OCTUBRE!T70=0,"",OCTUBRE!T70)</f>
        <v xml:space="preserve">Prima de Navidad </v>
      </c>
      <c r="U70" s="27">
        <f>+ENERO!U70</f>
        <v>352482456</v>
      </c>
      <c r="V70" s="15">
        <f>OCTUBRE!V70+NOVIEMBRE!AL70</f>
        <v>0</v>
      </c>
      <c r="W70" s="15">
        <f>OCTUBRE!W70+NOVIEMBRE!AM70</f>
        <v>0</v>
      </c>
      <c r="X70" s="18">
        <f t="shared" ref="X70:X81" si="72">SUM(U70:W70)</f>
        <v>352482456</v>
      </c>
      <c r="Y70" s="19">
        <f>OCTUBRE!AA70</f>
        <v>6875717</v>
      </c>
      <c r="Z70" s="364">
        <v>188354827</v>
      </c>
      <c r="AA70" s="18">
        <f t="shared" ref="AA70:AA81" si="73">SUM(Y70:Z70)</f>
        <v>195230544</v>
      </c>
      <c r="AB70" s="19">
        <f>OCTUBRE!AD70</f>
        <v>6875717</v>
      </c>
      <c r="AC70" s="364">
        <v>188354827</v>
      </c>
      <c r="AD70" s="18">
        <f t="shared" ref="AD70:AD81" si="74">SUM(AB70:AC70)</f>
        <v>195230544</v>
      </c>
      <c r="AE70" s="19">
        <f>OCTUBRE!AG70</f>
        <v>6857636</v>
      </c>
      <c r="AF70" s="364">
        <v>188354827</v>
      </c>
      <c r="AG70" s="18">
        <f t="shared" ref="AG70:AG81" si="75">SUM(AE70:AF70)</f>
        <v>195212463</v>
      </c>
      <c r="AH70" s="19">
        <f t="shared" ref="AH70:AH81" si="76">X70-AA70</f>
        <v>157251912</v>
      </c>
      <c r="AI70" s="15">
        <f t="shared" ref="AI70:AI81" si="77">X70-AD70</f>
        <v>157251912</v>
      </c>
      <c r="AJ70" s="16">
        <f t="shared" ref="AJ70:AJ81" si="78">X70-AG70</f>
        <v>157269993</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+IF(OCTUBRE!A71=0,"",OCTUBRE!A71)</f>
        <v>1130115-2</v>
      </c>
      <c r="B71" s="629" t="str">
        <f>+IF(OCTUBRE!B71=0,"",OCTUBRE!B71)</f>
        <v>Vigencia Anterior</v>
      </c>
      <c r="C71" s="655">
        <f>+ENERO!C71</f>
        <v>0</v>
      </c>
      <c r="D71" s="363">
        <f>OCTUBRE!D71+NOVIEMBRE!P71</f>
        <v>0</v>
      </c>
      <c r="E71" s="363">
        <f>OCTUBRE!E71+NOVIEMBRE!Q71</f>
        <v>156296030</v>
      </c>
      <c r="F71" s="363">
        <f>SUM(C71:E71)</f>
        <v>156296030</v>
      </c>
      <c r="G71" s="363">
        <f>OCTUBRE!I71</f>
        <v>156296030</v>
      </c>
      <c r="H71" s="364">
        <v>17641430</v>
      </c>
      <c r="I71" s="454">
        <f>SUM(G71:H71)</f>
        <v>173937460</v>
      </c>
      <c r="J71" s="363">
        <f>OCTUBRE!L71</f>
        <v>156296030</v>
      </c>
      <c r="K71" s="364">
        <v>17641430</v>
      </c>
      <c r="L71" s="454">
        <f>SUM(J71:K71)</f>
        <v>173937460</v>
      </c>
      <c r="M71" s="363">
        <f>F71-I71</f>
        <v>-17641430</v>
      </c>
      <c r="N71" s="143">
        <f>F71-L71</f>
        <v>-17641430</v>
      </c>
      <c r="O71" s="372"/>
      <c r="P71" s="362">
        <v>0</v>
      </c>
      <c r="Q71" s="365">
        <v>31640525</v>
      </c>
      <c r="R71" s="9"/>
      <c r="S71" s="689" t="str">
        <f>+IF(OCTUBRE!S71=0,"",OCTUBRE!S71)</f>
        <v>1020104-2</v>
      </c>
      <c r="T71" s="665" t="str">
        <f>+IF(OCTUBRE!T71=0,"",OCTUBRE!T71)</f>
        <v>Prima de Vacaciones</v>
      </c>
      <c r="U71" s="27">
        <f>+ENERO!U71</f>
        <v>180248873</v>
      </c>
      <c r="V71" s="15">
        <f>OCTUBRE!V71+NOVIEMBRE!AL71</f>
        <v>0</v>
      </c>
      <c r="W71" s="15">
        <f>OCTUBRE!W71+NOVIEMBRE!AM71</f>
        <v>0</v>
      </c>
      <c r="X71" s="18">
        <f t="shared" si="72"/>
        <v>180248873</v>
      </c>
      <c r="Y71" s="19">
        <f>OCTUBRE!AA71</f>
        <v>75154054</v>
      </c>
      <c r="Z71" s="364">
        <v>12232244</v>
      </c>
      <c r="AA71" s="18">
        <f t="shared" si="73"/>
        <v>87386298</v>
      </c>
      <c r="AB71" s="19">
        <f>OCTUBRE!AD71</f>
        <v>75154054</v>
      </c>
      <c r="AC71" s="364">
        <v>12232244</v>
      </c>
      <c r="AD71" s="18">
        <f t="shared" si="74"/>
        <v>87386298</v>
      </c>
      <c r="AE71" s="19">
        <f>OCTUBRE!AG71</f>
        <v>75150077</v>
      </c>
      <c r="AF71" s="364">
        <v>12232244</v>
      </c>
      <c r="AG71" s="18">
        <f t="shared" si="75"/>
        <v>87382321</v>
      </c>
      <c r="AH71" s="19">
        <f t="shared" si="76"/>
        <v>92862575</v>
      </c>
      <c r="AI71" s="15">
        <f t="shared" si="77"/>
        <v>92862575</v>
      </c>
      <c r="AJ71" s="16">
        <f t="shared" si="78"/>
        <v>92866552</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+IF(OCTUBRE!A72=0,"",OCTUBRE!A72)</f>
        <v>1130116</v>
      </c>
      <c r="B72" s="628" t="str">
        <f>+IF(OCTUBRE!B72=0,"",OCTUBRE!B72)</f>
        <v>ADMINISTRADORAS DE RIESGOS LABORALES</v>
      </c>
      <c r="C72" s="43">
        <f t="shared" ref="C72:N72" si="79">SUM(C73:C74)</f>
        <v>2163183</v>
      </c>
      <c r="D72" s="44">
        <f t="shared" si="79"/>
        <v>0</v>
      </c>
      <c r="E72" s="44">
        <f t="shared" si="79"/>
        <v>48264549</v>
      </c>
      <c r="F72" s="44">
        <f t="shared" si="79"/>
        <v>50427732</v>
      </c>
      <c r="G72" s="44">
        <f t="shared" si="79"/>
        <v>60805704</v>
      </c>
      <c r="H72" s="44">
        <f t="shared" si="79"/>
        <v>1041930</v>
      </c>
      <c r="I72" s="835">
        <f t="shared" si="79"/>
        <v>61847634</v>
      </c>
      <c r="J72" s="44">
        <f t="shared" si="79"/>
        <v>50427731.689999998</v>
      </c>
      <c r="K72" s="44">
        <f t="shared" si="79"/>
        <v>288227</v>
      </c>
      <c r="L72" s="835">
        <f t="shared" si="79"/>
        <v>50715958.689999998</v>
      </c>
      <c r="M72" s="44">
        <f t="shared" si="79"/>
        <v>-11419902</v>
      </c>
      <c r="N72" s="45">
        <f t="shared" si="79"/>
        <v>-288226.69000000134</v>
      </c>
      <c r="P72" s="43">
        <f>SUM(P73:P74)</f>
        <v>0</v>
      </c>
      <c r="Q72" s="45">
        <f>SUM(Q73:Q74)</f>
        <v>2291431</v>
      </c>
      <c r="R72" s="9"/>
      <c r="S72" s="689" t="str">
        <f>+IF(OCTUBRE!S72=0,"",OCTUBRE!S72)</f>
        <v>1020104-3</v>
      </c>
      <c r="T72" s="665" t="str">
        <f>+IF(OCTUBRE!T72=0,"",OCTUBRE!T72)</f>
        <v>Bonificación  por servicios prestados</v>
      </c>
      <c r="U72" s="27">
        <f>+ENERO!U72</f>
        <v>110048955</v>
      </c>
      <c r="V72" s="15">
        <f>OCTUBRE!V72+NOVIEMBRE!AL72</f>
        <v>0</v>
      </c>
      <c r="W72" s="15">
        <f>OCTUBRE!W72+NOVIEMBRE!AM72</f>
        <v>0</v>
      </c>
      <c r="X72" s="18">
        <f t="shared" si="72"/>
        <v>110048955</v>
      </c>
      <c r="Y72" s="19">
        <f>OCTUBRE!AA72</f>
        <v>58239818</v>
      </c>
      <c r="Z72" s="364">
        <v>887801</v>
      </c>
      <c r="AA72" s="18">
        <f t="shared" si="73"/>
        <v>59127619</v>
      </c>
      <c r="AB72" s="19">
        <f>OCTUBRE!AD72</f>
        <v>58239818</v>
      </c>
      <c r="AC72" s="364">
        <v>887801</v>
      </c>
      <c r="AD72" s="18">
        <f t="shared" si="74"/>
        <v>59127619</v>
      </c>
      <c r="AE72" s="19">
        <f>OCTUBRE!AG72</f>
        <v>58232415</v>
      </c>
      <c r="AF72" s="364">
        <v>887801</v>
      </c>
      <c r="AG72" s="18">
        <f t="shared" si="75"/>
        <v>59120216</v>
      </c>
      <c r="AH72" s="19">
        <f t="shared" si="76"/>
        <v>50921336</v>
      </c>
      <c r="AI72" s="15">
        <f t="shared" si="77"/>
        <v>50921336</v>
      </c>
      <c r="AJ72" s="16">
        <f t="shared" si="78"/>
        <v>50928739</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+IF(OCTUBRE!A73=0,"",OCTUBRE!A73)</f>
        <v>1130116-1</v>
      </c>
      <c r="B73" s="629" t="str">
        <f>+CONCATENATE("Vigencia ",INSTRUCCIONES!$F$3)</f>
        <v>Vigencia 2019</v>
      </c>
      <c r="C73" s="655">
        <f>+ENERO!C73</f>
        <v>2163183</v>
      </c>
      <c r="D73" s="363">
        <f>OCTUBRE!D73+NOVIEMBRE!P73</f>
        <v>0</v>
      </c>
      <c r="E73" s="363">
        <f>OCTUBRE!E73+NOVIEMBRE!Q73</f>
        <v>18417588</v>
      </c>
      <c r="F73" s="363">
        <f>SUM(C73:E73)</f>
        <v>20580771</v>
      </c>
      <c r="G73" s="363">
        <f>OCTUBRE!I73</f>
        <v>30958743</v>
      </c>
      <c r="H73" s="364">
        <v>1041930</v>
      </c>
      <c r="I73" s="454">
        <f>SUM(G73:H73)</f>
        <v>32000673</v>
      </c>
      <c r="J73" s="363">
        <f>OCTUBRE!L73</f>
        <v>20580771</v>
      </c>
      <c r="K73" s="364">
        <v>288227</v>
      </c>
      <c r="L73" s="454">
        <f>SUM(J73:K73)</f>
        <v>20868998</v>
      </c>
      <c r="M73" s="363">
        <f>F73-I73</f>
        <v>-11419902</v>
      </c>
      <c r="N73" s="143">
        <f>F73-L73</f>
        <v>-288227</v>
      </c>
      <c r="O73" s="372"/>
      <c r="P73" s="362">
        <v>0</v>
      </c>
      <c r="Q73" s="365">
        <v>785194</v>
      </c>
      <c r="R73" s="9"/>
      <c r="S73" s="689" t="str">
        <f>+IF(OCTUBRE!S73=0,"",OCTUBRE!S73)</f>
        <v>1020104-4</v>
      </c>
      <c r="T73" s="665" t="str">
        <f>+IF(OCTUBRE!T73=0,"",OCTUBRE!T73)</f>
        <v>Prima de Servicios</v>
      </c>
      <c r="U73" s="27">
        <f>+ENERO!U73</f>
        <v>166383593</v>
      </c>
      <c r="V73" s="15">
        <f>OCTUBRE!V73+NOVIEMBRE!AL73</f>
        <v>0</v>
      </c>
      <c r="W73" s="15">
        <f>OCTUBRE!W73+NOVIEMBRE!AM73</f>
        <v>0</v>
      </c>
      <c r="X73" s="18">
        <f t="shared" si="72"/>
        <v>166383593</v>
      </c>
      <c r="Y73" s="19">
        <f>OCTUBRE!AA73</f>
        <v>84713874</v>
      </c>
      <c r="Z73" s="364">
        <v>0</v>
      </c>
      <c r="AA73" s="18">
        <f t="shared" si="73"/>
        <v>84713874</v>
      </c>
      <c r="AB73" s="19">
        <f>OCTUBRE!AD73</f>
        <v>84713874</v>
      </c>
      <c r="AC73" s="364">
        <v>0</v>
      </c>
      <c r="AD73" s="18">
        <f t="shared" si="74"/>
        <v>84713874</v>
      </c>
      <c r="AE73" s="19">
        <f>OCTUBRE!AG73</f>
        <v>84687529</v>
      </c>
      <c r="AF73" s="364">
        <v>0</v>
      </c>
      <c r="AG73" s="18">
        <f t="shared" si="75"/>
        <v>84687529</v>
      </c>
      <c r="AH73" s="19">
        <f t="shared" si="76"/>
        <v>81669719</v>
      </c>
      <c r="AI73" s="15">
        <f t="shared" si="77"/>
        <v>81669719</v>
      </c>
      <c r="AJ73" s="16">
        <f t="shared" si="78"/>
        <v>81696064</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+IF(OCTUBRE!A74=0,"",OCTUBRE!A74)</f>
        <v>1130116-2</v>
      </c>
      <c r="B74" s="629" t="str">
        <f>+IF(OCTUBRE!B74=0,"",OCTUBRE!B74)</f>
        <v>Vigencia Anterior</v>
      </c>
      <c r="C74" s="655">
        <f>+ENERO!C74</f>
        <v>0</v>
      </c>
      <c r="D74" s="363">
        <f>OCTUBRE!D74+NOVIEMBRE!P74</f>
        <v>0</v>
      </c>
      <c r="E74" s="363">
        <f>OCTUBRE!E74+NOVIEMBRE!Q74</f>
        <v>29846961</v>
      </c>
      <c r="F74" s="363">
        <f>SUM(C74:E74)</f>
        <v>29846961</v>
      </c>
      <c r="G74" s="363">
        <f>OCTUBRE!I74</f>
        <v>29846961</v>
      </c>
      <c r="H74" s="364">
        <v>0</v>
      </c>
      <c r="I74" s="454">
        <f>SUM(G74:H74)</f>
        <v>29846961</v>
      </c>
      <c r="J74" s="363">
        <f>OCTUBRE!L74</f>
        <v>29846960.690000001</v>
      </c>
      <c r="K74" s="364">
        <v>0</v>
      </c>
      <c r="L74" s="454">
        <f>SUM(J74:K74)</f>
        <v>29846960.690000001</v>
      </c>
      <c r="M74" s="363">
        <f>F74-I74</f>
        <v>0</v>
      </c>
      <c r="N74" s="143">
        <f>F74-L74</f>
        <v>0.30999999865889549</v>
      </c>
      <c r="O74" s="372"/>
      <c r="P74" s="362">
        <v>0</v>
      </c>
      <c r="Q74" s="365">
        <v>1506237</v>
      </c>
      <c r="R74" s="9"/>
      <c r="S74" s="689" t="str">
        <f>+IF(OCTUBRE!S74=0,"",OCTUBRE!S74)</f>
        <v>1020104-5</v>
      </c>
      <c r="T74" s="665" t="str">
        <f>+IF(OCTUBRE!T74=0,"",OCTUBRE!T74)</f>
        <v>Bonificación Convencional</v>
      </c>
      <c r="U74" s="27">
        <f>+ENERO!U74</f>
        <v>20961713</v>
      </c>
      <c r="V74" s="15">
        <f>OCTUBRE!V74+NOVIEMBRE!AL74</f>
        <v>0</v>
      </c>
      <c r="W74" s="15">
        <f>OCTUBRE!W74+NOVIEMBRE!AM74</f>
        <v>0</v>
      </c>
      <c r="X74" s="18">
        <f t="shared" si="72"/>
        <v>20961713</v>
      </c>
      <c r="Y74" s="19">
        <f>OCTUBRE!AA74</f>
        <v>0</v>
      </c>
      <c r="Z74" s="364">
        <v>0</v>
      </c>
      <c r="AA74" s="18">
        <f t="shared" si="73"/>
        <v>0</v>
      </c>
      <c r="AB74" s="19">
        <f>OCTUBRE!AD74</f>
        <v>0</v>
      </c>
      <c r="AC74" s="364">
        <v>0</v>
      </c>
      <c r="AD74" s="18">
        <f t="shared" si="74"/>
        <v>0</v>
      </c>
      <c r="AE74" s="19">
        <f>OCTUBRE!AG74</f>
        <v>0</v>
      </c>
      <c r="AF74" s="364">
        <v>0</v>
      </c>
      <c r="AG74" s="1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+IF(OCTUBRE!A75=0,"",OCTUBRE!A75)</f>
        <v>1130117</v>
      </c>
      <c r="B75" s="628" t="str">
        <f>+IF(OCTUBRE!B75=0,"",OCTUBRE!B75)</f>
        <v>CUOTAS DE RECUPERACION</v>
      </c>
      <c r="C75" s="43">
        <f t="shared" ref="C75:N75" si="80">SUM(C76:C77)</f>
        <v>351388967</v>
      </c>
      <c r="D75" s="44">
        <f t="shared" si="80"/>
        <v>0</v>
      </c>
      <c r="E75" s="44">
        <f t="shared" si="80"/>
        <v>1175691</v>
      </c>
      <c r="F75" s="44">
        <f t="shared" si="80"/>
        <v>352564658</v>
      </c>
      <c r="G75" s="44">
        <f t="shared" si="80"/>
        <v>300233205</v>
      </c>
      <c r="H75" s="44">
        <f t="shared" si="80"/>
        <v>7400314</v>
      </c>
      <c r="I75" s="835">
        <f t="shared" si="80"/>
        <v>307633519</v>
      </c>
      <c r="J75" s="44">
        <f t="shared" si="80"/>
        <v>191591902</v>
      </c>
      <c r="K75" s="44">
        <f t="shared" si="80"/>
        <v>14325866</v>
      </c>
      <c r="L75" s="835">
        <f t="shared" si="80"/>
        <v>205917768</v>
      </c>
      <c r="M75" s="44">
        <f t="shared" si="80"/>
        <v>44931139</v>
      </c>
      <c r="N75" s="45">
        <f t="shared" si="80"/>
        <v>146646890</v>
      </c>
      <c r="P75" s="43">
        <f>SUM(P76:P77)</f>
        <v>0</v>
      </c>
      <c r="Q75" s="45">
        <f>SUM(Q76:Q77)</f>
        <v>20000</v>
      </c>
      <c r="R75" s="9"/>
      <c r="S75" s="689" t="str">
        <f>+IF(OCTUBRE!S75=0,"",OCTUBRE!S75)</f>
        <v>1020104-6</v>
      </c>
      <c r="T75" s="665" t="str">
        <f>+IF(OCTUBRE!T75=0,"",OCTUBRE!T75)</f>
        <v>Auxilio de Transporte</v>
      </c>
      <c r="U75" s="27">
        <f>+ENERO!U75</f>
        <v>329885360</v>
      </c>
      <c r="V75" s="15">
        <f>OCTUBRE!V75+NOVIEMBRE!AL75</f>
        <v>-300000000</v>
      </c>
      <c r="W75" s="15">
        <f>OCTUBRE!W75+NOVIEMBRE!AM75</f>
        <v>0</v>
      </c>
      <c r="X75" s="18">
        <f t="shared" si="72"/>
        <v>29885360</v>
      </c>
      <c r="Y75" s="19">
        <f>OCTUBRE!AA75</f>
        <v>3687216</v>
      </c>
      <c r="Z75" s="364">
        <v>0</v>
      </c>
      <c r="AA75" s="18">
        <f t="shared" si="73"/>
        <v>3687216</v>
      </c>
      <c r="AB75" s="19">
        <f>OCTUBRE!AD75</f>
        <v>3687216</v>
      </c>
      <c r="AC75" s="364">
        <v>0</v>
      </c>
      <c r="AD75" s="18">
        <f t="shared" si="74"/>
        <v>3687216</v>
      </c>
      <c r="AE75" s="19">
        <f>OCTUBRE!AG75</f>
        <v>3687216</v>
      </c>
      <c r="AF75" s="364">
        <v>0</v>
      </c>
      <c r="AG75" s="18">
        <f t="shared" si="75"/>
        <v>3687216</v>
      </c>
      <c r="AH75" s="19">
        <f t="shared" si="76"/>
        <v>26198144</v>
      </c>
      <c r="AI75" s="15">
        <f t="shared" si="77"/>
        <v>26198144</v>
      </c>
      <c r="AJ75" s="16">
        <f t="shared" si="78"/>
        <v>26198144</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+IF(OCTUBRE!A76=0,"",OCTUBRE!A76)</f>
        <v>1130117-1</v>
      </c>
      <c r="B76" s="629" t="str">
        <f>+CONCATENATE("Vigencia ",INSTRUCCIONES!$F$3)</f>
        <v>Vigencia 2019</v>
      </c>
      <c r="C76" s="655">
        <f>+ENERO!C76</f>
        <v>351388967</v>
      </c>
      <c r="D76" s="363">
        <f>OCTUBRE!D76+NOVIEMBRE!P76</f>
        <v>0</v>
      </c>
      <c r="E76" s="363">
        <f>OCTUBRE!E76+NOVIEMBRE!Q76</f>
        <v>0</v>
      </c>
      <c r="F76" s="363">
        <f t="shared" ref="F76:F83" si="81">SUM(C76:E76)</f>
        <v>351388967</v>
      </c>
      <c r="G76" s="363">
        <f>OCTUBRE!I76</f>
        <v>299057514</v>
      </c>
      <c r="H76" s="364">
        <v>5823445</v>
      </c>
      <c r="I76" s="454">
        <f t="shared" ref="I76:I83" si="82">SUM(G76:H76)</f>
        <v>304880959</v>
      </c>
      <c r="J76" s="363">
        <f>OCTUBRE!L76</f>
        <v>190416211</v>
      </c>
      <c r="K76" s="364">
        <f>1107683882-450000000-644934885</f>
        <v>12748997</v>
      </c>
      <c r="L76" s="454">
        <f t="shared" ref="L76:L83" si="83">SUM(J76:K76)</f>
        <v>203165208</v>
      </c>
      <c r="M76" s="363">
        <f t="shared" ref="M76:M83" si="84">F76-I76</f>
        <v>46508008</v>
      </c>
      <c r="N76" s="143">
        <f t="shared" ref="N76:N83" si="85">F76-L76</f>
        <v>148223759</v>
      </c>
      <c r="O76" s="372"/>
      <c r="P76" s="362">
        <v>0</v>
      </c>
      <c r="Q76" s="365">
        <v>0</v>
      </c>
      <c r="R76" s="9"/>
      <c r="S76" s="689" t="str">
        <f>+IF(OCTUBRE!S76=0,"",OCTUBRE!S76)</f>
        <v>1020104-7</v>
      </c>
      <c r="T76" s="665" t="str">
        <f>+IF(OCTUBRE!T76=0,"",OCTUBRE!T76)</f>
        <v>Auxilio de Alimentación</v>
      </c>
      <c r="U76" s="27">
        <f>+ENERO!U76</f>
        <v>0</v>
      </c>
      <c r="V76" s="15">
        <f>OCTUBRE!V76+NOVIEMBRE!AL76</f>
        <v>0</v>
      </c>
      <c r="W76" s="15">
        <f>OCTUBRE!W76+NOVIEMBRE!AM76</f>
        <v>0</v>
      </c>
      <c r="X76" s="18">
        <f t="shared" si="72"/>
        <v>0</v>
      </c>
      <c r="Y76" s="19">
        <f>OCTUBRE!AA76</f>
        <v>0</v>
      </c>
      <c r="Z76" s="364">
        <v>0</v>
      </c>
      <c r="AA76" s="18">
        <f t="shared" si="73"/>
        <v>0</v>
      </c>
      <c r="AB76" s="19">
        <f>OCTUBRE!AD76</f>
        <v>0</v>
      </c>
      <c r="AC76" s="364">
        <v>0</v>
      </c>
      <c r="AD76" s="18">
        <f t="shared" si="74"/>
        <v>0</v>
      </c>
      <c r="AE76" s="19">
        <f>OCTUBRE!AG76</f>
        <v>0</v>
      </c>
      <c r="AF76" s="364">
        <v>0</v>
      </c>
      <c r="AG76" s="1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+IF(OCTUBRE!A77=0,"",OCTUBRE!A77)</f>
        <v>1130117-2</v>
      </c>
      <c r="B77" s="629" t="str">
        <f>+IF(OCTUBRE!B77=0,"",OCTUBRE!B77)</f>
        <v>Vigencia Anterior</v>
      </c>
      <c r="C77" s="655">
        <f>+ENERO!C77</f>
        <v>0</v>
      </c>
      <c r="D77" s="363">
        <f>OCTUBRE!D77+NOVIEMBRE!P77</f>
        <v>0</v>
      </c>
      <c r="E77" s="363">
        <f>OCTUBRE!E77+NOVIEMBRE!Q77</f>
        <v>1175691</v>
      </c>
      <c r="F77" s="363">
        <f t="shared" si="81"/>
        <v>1175691</v>
      </c>
      <c r="G77" s="363">
        <f>OCTUBRE!I77</f>
        <v>1175691</v>
      </c>
      <c r="H77" s="364">
        <v>1576869</v>
      </c>
      <c r="I77" s="454">
        <f t="shared" si="82"/>
        <v>2752560</v>
      </c>
      <c r="J77" s="363">
        <f>OCTUBRE!L77</f>
        <v>1175691</v>
      </c>
      <c r="K77" s="364">
        <v>1576869</v>
      </c>
      <c r="L77" s="454">
        <f t="shared" si="83"/>
        <v>2752560</v>
      </c>
      <c r="M77" s="363">
        <f t="shared" si="84"/>
        <v>-1576869</v>
      </c>
      <c r="N77" s="143">
        <f t="shared" si="85"/>
        <v>-1576869</v>
      </c>
      <c r="O77" s="372"/>
      <c r="P77" s="362">
        <v>0</v>
      </c>
      <c r="Q77" s="365">
        <v>20000</v>
      </c>
      <c r="R77" s="9"/>
      <c r="S77" s="689" t="str">
        <f>+IF(OCTUBRE!S77=0,"",OCTUBRE!S77)</f>
        <v>1020104-8</v>
      </c>
      <c r="T77" s="665" t="str">
        <f>+IF(OCTUBRE!T77=0,"",OCTUBRE!T77)</f>
        <v>Indemnizaciones por Vacaciones o Supresión de Cargos por Reestructuración</v>
      </c>
      <c r="U77" s="27">
        <f>+ENERO!U77</f>
        <v>0</v>
      </c>
      <c r="V77" s="15">
        <f>OCTUBRE!V77+NOVIEMBRE!AL77</f>
        <v>0</v>
      </c>
      <c r="W77" s="15">
        <f>OCTUBRE!W77+NOVIEMBRE!AM77</f>
        <v>0</v>
      </c>
      <c r="X77" s="18">
        <f t="shared" si="72"/>
        <v>0</v>
      </c>
      <c r="Y77" s="19">
        <f>OCTUBRE!AA77</f>
        <v>0</v>
      </c>
      <c r="Z77" s="364">
        <v>0</v>
      </c>
      <c r="AA77" s="18">
        <f t="shared" si="73"/>
        <v>0</v>
      </c>
      <c r="AB77" s="19">
        <f>OCTUBRE!AD77</f>
        <v>0</v>
      </c>
      <c r="AC77" s="364">
        <v>0</v>
      </c>
      <c r="AD77" s="18">
        <f t="shared" si="74"/>
        <v>0</v>
      </c>
      <c r="AE77" s="19">
        <f>OCTUBRE!AG77</f>
        <v>0</v>
      </c>
      <c r="AF77" s="364">
        <v>0</v>
      </c>
      <c r="AG77" s="1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+IF(OCTUBRE!A78=0,"",OCTUBRE!A78)</f>
        <v>1130118</v>
      </c>
      <c r="B78" s="628" t="str">
        <f>+IF(OCTUBRE!B78=0,"",OCTUBRE!B78)</f>
        <v>PARTICULARES   (Venta de Contado)</v>
      </c>
      <c r="C78" s="43">
        <f>SUM(C79:C80)</f>
        <v>209613681</v>
      </c>
      <c r="D78" s="44">
        <f>SUM(D79:D80)</f>
        <v>0</v>
      </c>
      <c r="E78" s="44">
        <f>SUM(E79:E80)</f>
        <v>169463745</v>
      </c>
      <c r="F78" s="44">
        <f t="shared" si="81"/>
        <v>379077426</v>
      </c>
      <c r="G78" s="44">
        <f>SUM(G79:G80)</f>
        <v>394363104</v>
      </c>
      <c r="H78" s="44">
        <f>SUM(H79:H80)</f>
        <v>20532037</v>
      </c>
      <c r="I78" s="835">
        <f t="shared" si="82"/>
        <v>414895141</v>
      </c>
      <c r="J78" s="44">
        <f>SUM(J79:J80)</f>
        <v>379077426</v>
      </c>
      <c r="K78" s="44">
        <f>SUM(K79:K80)</f>
        <v>35817715</v>
      </c>
      <c r="L78" s="835">
        <f t="shared" si="83"/>
        <v>414895141</v>
      </c>
      <c r="M78" s="44">
        <f t="shared" si="84"/>
        <v>-35817715</v>
      </c>
      <c r="N78" s="45">
        <f t="shared" si="85"/>
        <v>-35817715</v>
      </c>
      <c r="O78" s="372"/>
      <c r="P78" s="43">
        <f>SUM(P79:P80)</f>
        <v>0</v>
      </c>
      <c r="Q78" s="45">
        <f>SUM(Q79:Q80)</f>
        <v>36359920</v>
      </c>
      <c r="R78" s="9"/>
      <c r="S78" s="689" t="str">
        <f>+IF(OCTUBRE!S78=0,"",OCTUBRE!S78)</f>
        <v>1020104-9</v>
      </c>
      <c r="T78" s="665" t="str">
        <f>+IF(OCTUBRE!T78=0,"",OCTUBRE!T78)</f>
        <v>Bonificación Especial por Recreación</v>
      </c>
      <c r="U78" s="27">
        <f>+ENERO!U78</f>
        <v>20961713</v>
      </c>
      <c r="V78" s="15">
        <f>OCTUBRE!V78+NOVIEMBRE!AL78</f>
        <v>0</v>
      </c>
      <c r="W78" s="15">
        <f>OCTUBRE!W78+NOVIEMBRE!AM78</f>
        <v>0</v>
      </c>
      <c r="X78" s="18">
        <f t="shared" si="72"/>
        <v>20961713</v>
      </c>
      <c r="Y78" s="19">
        <f>OCTUBRE!AA78</f>
        <v>9483675</v>
      </c>
      <c r="Z78" s="364">
        <v>1531395</v>
      </c>
      <c r="AA78" s="18">
        <f t="shared" si="73"/>
        <v>11015070</v>
      </c>
      <c r="AB78" s="19">
        <f>OCTUBRE!AD78</f>
        <v>9483675</v>
      </c>
      <c r="AC78" s="364">
        <v>1531395</v>
      </c>
      <c r="AD78" s="18">
        <f t="shared" si="74"/>
        <v>11015070</v>
      </c>
      <c r="AE78" s="19">
        <f>OCTUBRE!AG78</f>
        <v>9483149</v>
      </c>
      <c r="AF78" s="364">
        <v>1531395</v>
      </c>
      <c r="AG78" s="18">
        <f t="shared" si="75"/>
        <v>11014544</v>
      </c>
      <c r="AH78" s="19">
        <f t="shared" si="76"/>
        <v>9946643</v>
      </c>
      <c r="AI78" s="15">
        <f t="shared" si="77"/>
        <v>9946643</v>
      </c>
      <c r="AJ78" s="16">
        <f t="shared" si="78"/>
        <v>9947169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+IF(OCTUBRE!A79=0,"",OCTUBRE!A79)</f>
        <v>1130118-1</v>
      </c>
      <c r="B79" s="629" t="str">
        <f>+CONCATENATE("Vigencia ",INSTRUCCIONES!$F$3)</f>
        <v>Vigencia 2019</v>
      </c>
      <c r="C79" s="655">
        <f>+ENERO!C79</f>
        <v>209613681</v>
      </c>
      <c r="D79" s="363">
        <f>OCTUBRE!D79+NOVIEMBRE!P79</f>
        <v>0</v>
      </c>
      <c r="E79" s="363">
        <f>OCTUBRE!E79+NOVIEMBRE!Q79</f>
        <v>149407247</v>
      </c>
      <c r="F79" s="363">
        <f t="shared" si="81"/>
        <v>359020928</v>
      </c>
      <c r="G79" s="363">
        <f>OCTUBRE!I79</f>
        <v>374306606</v>
      </c>
      <c r="H79" s="364">
        <v>20206087</v>
      </c>
      <c r="I79" s="454">
        <f t="shared" si="82"/>
        <v>394512693</v>
      </c>
      <c r="J79" s="363">
        <f>OCTUBRE!L79</f>
        <v>359020928</v>
      </c>
      <c r="K79" s="364">
        <v>35491765</v>
      </c>
      <c r="L79" s="454">
        <f t="shared" si="83"/>
        <v>394512693</v>
      </c>
      <c r="M79" s="363">
        <f t="shared" si="84"/>
        <v>-35491765</v>
      </c>
      <c r="N79" s="143">
        <f t="shared" si="85"/>
        <v>-35491765</v>
      </c>
      <c r="P79" s="362">
        <v>0</v>
      </c>
      <c r="Q79" s="365">
        <v>35859919</v>
      </c>
      <c r="R79" s="9"/>
      <c r="S79" s="689" t="str">
        <f>+IF(OCTUBRE!S79=0,"",OCTUBRE!S79)</f>
        <v>1020104-10</v>
      </c>
      <c r="T79" s="665" t="str">
        <f>+IF(OCTUBRE!T79=0,"",OCTUBRE!T79)</f>
        <v/>
      </c>
      <c r="U79" s="27">
        <f>+ENERO!U79</f>
        <v>0</v>
      </c>
      <c r="V79" s="15">
        <f>OCTUBRE!V79+NOVIEMBRE!AL79</f>
        <v>0</v>
      </c>
      <c r="W79" s="15">
        <f>OCTUBRE!W79+NOVIEMBRE!AM79</f>
        <v>0</v>
      </c>
      <c r="X79" s="18">
        <f t="shared" si="72"/>
        <v>0</v>
      </c>
      <c r="Y79" s="19">
        <f>OCTUBRE!AA79</f>
        <v>0</v>
      </c>
      <c r="Z79" s="364">
        <v>0</v>
      </c>
      <c r="AA79" s="18">
        <f t="shared" si="73"/>
        <v>0</v>
      </c>
      <c r="AB79" s="19">
        <f>OCTUBRE!AD79</f>
        <v>0</v>
      </c>
      <c r="AC79" s="364">
        <v>0</v>
      </c>
      <c r="AD79" s="18">
        <f t="shared" si="74"/>
        <v>0</v>
      </c>
      <c r="AE79" s="19">
        <f>OCTUBRE!AG79</f>
        <v>0</v>
      </c>
      <c r="AF79" s="364">
        <v>0</v>
      </c>
      <c r="AG79" s="1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+IF(OCTUBRE!A80=0,"",OCTUBRE!A80)</f>
        <v>1130118-2</v>
      </c>
      <c r="B80" s="629" t="str">
        <f>+IF(OCTUBRE!B80=0,"",OCTUBRE!B80)</f>
        <v>Vigencia Anterior</v>
      </c>
      <c r="C80" s="655">
        <f>+ENERO!C80</f>
        <v>0</v>
      </c>
      <c r="D80" s="363">
        <f>OCTUBRE!D80+NOVIEMBRE!P80</f>
        <v>0</v>
      </c>
      <c r="E80" s="363">
        <f>OCTUBRE!E80+NOVIEMBRE!Q80</f>
        <v>20056498</v>
      </c>
      <c r="F80" s="363">
        <f t="shared" si="81"/>
        <v>20056498</v>
      </c>
      <c r="G80" s="363">
        <f>OCTUBRE!I80</f>
        <v>20056498</v>
      </c>
      <c r="H80" s="364">
        <v>325950</v>
      </c>
      <c r="I80" s="454">
        <f t="shared" si="82"/>
        <v>20382448</v>
      </c>
      <c r="J80" s="363">
        <f>OCTUBRE!L80</f>
        <v>20056498</v>
      </c>
      <c r="K80" s="364">
        <v>325950</v>
      </c>
      <c r="L80" s="454">
        <f t="shared" si="83"/>
        <v>20382448</v>
      </c>
      <c r="M80" s="363">
        <f t="shared" si="84"/>
        <v>-325950</v>
      </c>
      <c r="N80" s="143">
        <f t="shared" si="85"/>
        <v>-325950</v>
      </c>
      <c r="O80" s="372"/>
      <c r="P80" s="362">
        <v>0</v>
      </c>
      <c r="Q80" s="365">
        <v>500001</v>
      </c>
      <c r="S80" s="689" t="str">
        <f>+IF(OCTUBRE!S80=0,"",OCTUBRE!S80)</f>
        <v>1020104-11</v>
      </c>
      <c r="T80" s="665" t="str">
        <f>+IF(OCTUBRE!T80=0,"",OCTUBRE!T80)</f>
        <v/>
      </c>
      <c r="U80" s="27">
        <f>+ENERO!U80</f>
        <v>0</v>
      </c>
      <c r="V80" s="15">
        <f>OCTUBRE!V80+NOVIEMBRE!AL80</f>
        <v>0</v>
      </c>
      <c r="W80" s="15">
        <f>OCTUBRE!W80+NOVIEMBRE!AM80</f>
        <v>0</v>
      </c>
      <c r="X80" s="18">
        <f t="shared" si="72"/>
        <v>0</v>
      </c>
      <c r="Y80" s="19">
        <f>OCTUBRE!AA80</f>
        <v>0</v>
      </c>
      <c r="Z80" s="364">
        <v>0</v>
      </c>
      <c r="AA80" s="18">
        <f t="shared" si="73"/>
        <v>0</v>
      </c>
      <c r="AB80" s="19">
        <f>OCTUBRE!AD80</f>
        <v>0</v>
      </c>
      <c r="AC80" s="364">
        <v>0</v>
      </c>
      <c r="AD80" s="18">
        <f t="shared" si="74"/>
        <v>0</v>
      </c>
      <c r="AE80" s="19">
        <f>OCTUBRE!AG80</f>
        <v>0</v>
      </c>
      <c r="AF80" s="364">
        <v>0</v>
      </c>
      <c r="AG80" s="1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+IF(OCTUBRE!A81=0,"",OCTUBRE!A81)</f>
        <v>1130119</v>
      </c>
      <c r="B81" s="632" t="str">
        <f>+IF(OCTUBRE!B81=0,"",OCTUBRE!B81)</f>
        <v>Digitar nombre de Nuevo Rubro. Si lo Requiere</v>
      </c>
      <c r="C81" s="43">
        <f>ENERO!C81</f>
        <v>0</v>
      </c>
      <c r="D81" s="44">
        <f t="shared" ref="D81:Q81" si="86">SUM(D82:D83)</f>
        <v>0</v>
      </c>
      <c r="E81" s="44">
        <f t="shared" si="86"/>
        <v>0</v>
      </c>
      <c r="F81" s="44">
        <f t="shared" si="86"/>
        <v>0</v>
      </c>
      <c r="G81" s="44">
        <f t="shared" si="86"/>
        <v>0</v>
      </c>
      <c r="H81" s="44">
        <f t="shared" si="86"/>
        <v>0</v>
      </c>
      <c r="I81" s="835">
        <f t="shared" si="86"/>
        <v>0</v>
      </c>
      <c r="J81" s="44">
        <f t="shared" si="86"/>
        <v>0</v>
      </c>
      <c r="K81" s="44">
        <f t="shared" si="86"/>
        <v>0</v>
      </c>
      <c r="L81" s="835">
        <f t="shared" si="86"/>
        <v>0</v>
      </c>
      <c r="M81" s="44">
        <f t="shared" si="86"/>
        <v>0</v>
      </c>
      <c r="N81" s="45">
        <f t="shared" si="86"/>
        <v>0</v>
      </c>
      <c r="P81" s="43">
        <f t="shared" si="86"/>
        <v>0</v>
      </c>
      <c r="Q81" s="45">
        <f t="shared" si="86"/>
        <v>0</v>
      </c>
      <c r="R81" s="9"/>
      <c r="S81" s="688">
        <f>+IF(OCTUBRE!S81=0,"",OCTUBRE!S81)</f>
        <v>1020199</v>
      </c>
      <c r="T81" s="664" t="str">
        <f>+IF(OCTUBRE!T81=0,"",OCTUBRE!T81)</f>
        <v>Vigencias Anteriores</v>
      </c>
      <c r="U81" s="27">
        <f>+ENERO!U81</f>
        <v>0</v>
      </c>
      <c r="V81" s="15">
        <f>OCTUBRE!V81+NOVIEMBRE!AL81</f>
        <v>0</v>
      </c>
      <c r="W81" s="15">
        <f>OCTUBRE!W81+NOVIEMBRE!AM81</f>
        <v>0</v>
      </c>
      <c r="X81" s="18">
        <f t="shared" si="72"/>
        <v>0</v>
      </c>
      <c r="Y81" s="19">
        <f>OCTUBRE!AA81</f>
        <v>0</v>
      </c>
      <c r="Z81" s="364">
        <v>0</v>
      </c>
      <c r="AA81" s="18">
        <f t="shared" si="73"/>
        <v>0</v>
      </c>
      <c r="AB81" s="19">
        <f>OCTUBRE!AD81</f>
        <v>0</v>
      </c>
      <c r="AC81" s="364">
        <v>0</v>
      </c>
      <c r="AD81" s="18">
        <f t="shared" si="74"/>
        <v>0</v>
      </c>
      <c r="AE81" s="19">
        <f>OCTUBRE!AG81</f>
        <v>0</v>
      </c>
      <c r="AF81" s="364">
        <v>0</v>
      </c>
      <c r="AG81" s="1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+IF(OCTUBRE!A82=0,"",OCTUBRE!A82)</f>
        <v>1130119-1</v>
      </c>
      <c r="B82" s="629" t="str">
        <f>+CONCATENATE("Vigencia ",INSTRUCCIONES!$F$3)</f>
        <v>Vigencia 2019</v>
      </c>
      <c r="C82" s="655">
        <f>+ENERO!C82</f>
        <v>0</v>
      </c>
      <c r="D82" s="363">
        <f>OCTUBRE!D82+NOVIEMBRE!P82</f>
        <v>0</v>
      </c>
      <c r="E82" s="363">
        <f>OCTUBRE!E82+NOVIEMBRE!Q82</f>
        <v>0</v>
      </c>
      <c r="F82" s="363">
        <f t="shared" si="81"/>
        <v>0</v>
      </c>
      <c r="G82" s="363">
        <f>OCTUBRE!I82</f>
        <v>0</v>
      </c>
      <c r="H82" s="364">
        <v>0</v>
      </c>
      <c r="I82" s="454">
        <f t="shared" si="82"/>
        <v>0</v>
      </c>
      <c r="J82" s="363">
        <f>OCTUBRE!L82</f>
        <v>0</v>
      </c>
      <c r="K82" s="364">
        <v>0</v>
      </c>
      <c r="L82" s="454">
        <f t="shared" si="83"/>
        <v>0</v>
      </c>
      <c r="M82" s="363">
        <f t="shared" si="84"/>
        <v>0</v>
      </c>
      <c r="N82" s="143">
        <f t="shared" si="85"/>
        <v>0</v>
      </c>
      <c r="P82" s="362">
        <v>0</v>
      </c>
      <c r="Q82" s="365">
        <v>0</v>
      </c>
      <c r="R82" s="9"/>
      <c r="S82" s="356" t="str">
        <f>+IF(OCTUBRE!S82=0,"",OCTUBRE!S82)</f>
        <v/>
      </c>
      <c r="T82" s="678" t="str">
        <f>+IF(OCTUBRE!T82=0,"",OCTUBRE!T82)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+IF(OCTUBRE!A83=0,"",OCTUBRE!A83)</f>
        <v>1130119-2</v>
      </c>
      <c r="B83" s="633" t="str">
        <f>+IF(OCTUBRE!B83=0,"",OCTUBRE!B83)</f>
        <v>Vigencia Anterior</v>
      </c>
      <c r="C83" s="759">
        <f>+ENERO!C83</f>
        <v>0</v>
      </c>
      <c r="D83" s="375">
        <f>OCTUBRE!D83+NOVIEMBRE!P83</f>
        <v>0</v>
      </c>
      <c r="E83" s="375">
        <f>OCTUBRE!E83+NOVIEMBRE!Q83</f>
        <v>0</v>
      </c>
      <c r="F83" s="375">
        <f t="shared" si="81"/>
        <v>0</v>
      </c>
      <c r="G83" s="375">
        <f>OCTUBRE!I83</f>
        <v>0</v>
      </c>
      <c r="H83" s="378">
        <v>0</v>
      </c>
      <c r="I83" s="452">
        <f t="shared" si="82"/>
        <v>0</v>
      </c>
      <c r="J83" s="375">
        <f>OCTUBRE!L83</f>
        <v>0</v>
      </c>
      <c r="K83" s="378">
        <v>0</v>
      </c>
      <c r="L83" s="452">
        <f t="shared" si="83"/>
        <v>0</v>
      </c>
      <c r="M83" s="375">
        <f t="shared" si="84"/>
        <v>0</v>
      </c>
      <c r="N83" s="376">
        <f t="shared" si="85"/>
        <v>0</v>
      </c>
      <c r="P83" s="362">
        <v>0</v>
      </c>
      <c r="Q83" s="365">
        <v>0</v>
      </c>
      <c r="R83" s="9"/>
      <c r="S83" s="687">
        <f>+IF(OCTUBRE!S83=0,"",OCTUBRE!S83)</f>
        <v>1020200</v>
      </c>
      <c r="T83" s="663" t="str">
        <f>+IF(OCTUBRE!T83=0,"",OCTUBRE!T83)</f>
        <v>Servicios Personales Indirectos</v>
      </c>
      <c r="U83" s="132">
        <f t="shared" ref="U83:AJ83" si="87">SUM(U84:U88)</f>
        <v>21292467542</v>
      </c>
      <c r="V83" s="122">
        <f t="shared" si="87"/>
        <v>330000000</v>
      </c>
      <c r="W83" s="122">
        <f t="shared" si="87"/>
        <v>2146603003</v>
      </c>
      <c r="X83" s="129">
        <f t="shared" si="87"/>
        <v>23769070545</v>
      </c>
      <c r="Y83" s="128">
        <f t="shared" si="87"/>
        <v>23018442031</v>
      </c>
      <c r="Z83" s="122">
        <f t="shared" si="87"/>
        <v>473782171</v>
      </c>
      <c r="AA83" s="129">
        <f t="shared" si="87"/>
        <v>23492224202</v>
      </c>
      <c r="AB83" s="128">
        <f t="shared" si="87"/>
        <v>19622634605</v>
      </c>
      <c r="AC83" s="122">
        <f t="shared" si="87"/>
        <v>1476885927</v>
      </c>
      <c r="AD83" s="129">
        <f t="shared" si="87"/>
        <v>21099520532</v>
      </c>
      <c r="AE83" s="128">
        <f t="shared" si="87"/>
        <v>13475061985</v>
      </c>
      <c r="AF83" s="122">
        <f t="shared" si="87"/>
        <v>1489403365</v>
      </c>
      <c r="AG83" s="129">
        <f t="shared" si="87"/>
        <v>14964465350</v>
      </c>
      <c r="AH83" s="128">
        <f t="shared" si="87"/>
        <v>276846343</v>
      </c>
      <c r="AI83" s="122">
        <f t="shared" si="87"/>
        <v>2669550013</v>
      </c>
      <c r="AJ83" s="130">
        <f t="shared" si="87"/>
        <v>8804605195</v>
      </c>
      <c r="AK83" s="9"/>
      <c r="AL83" s="128">
        <f>SUM(AL84:AL88)</f>
        <v>0</v>
      </c>
      <c r="AM83" s="130">
        <f>SUM(AM84:AM88)</f>
        <v>450000000</v>
      </c>
      <c r="AN83" s="9"/>
      <c r="AO83" s="284"/>
      <c r="AP83" s="284"/>
      <c r="AQ83" s="284"/>
      <c r="AR83" s="284"/>
      <c r="AS83" s="284"/>
      <c r="AT83" s="284"/>
      <c r="AU83" s="284"/>
      <c r="AV83" s="284"/>
      <c r="AW83" s="284"/>
      <c r="AX83" s="284"/>
      <c r="AY83" s="284"/>
      <c r="AZ83" s="284"/>
      <c r="BM83" s="9"/>
    </row>
    <row r="84" spans="1:70" s="372" customFormat="1" ht="24.95" customHeight="1" thickBot="1">
      <c r="A84" s="717" t="str">
        <f>+IF(OCTUBRE!A84=0,"",OCTUBRE!A84)</f>
        <v/>
      </c>
      <c r="B84" s="634" t="str">
        <f>+IF(OCTUBRE!B84=0,"",OCTUBRE!B84)</f>
        <v/>
      </c>
      <c r="C84" s="284"/>
      <c r="D84" s="284"/>
      <c r="E84" s="284"/>
      <c r="F84" s="284"/>
      <c r="G84" s="284"/>
      <c r="H84" s="284"/>
      <c r="I84" s="450"/>
      <c r="J84" s="284"/>
      <c r="K84" s="284"/>
      <c r="L84" s="450"/>
      <c r="M84" s="284"/>
      <c r="N84" s="453"/>
      <c r="O84" s="451"/>
      <c r="P84" s="457"/>
      <c r="Q84" s="381"/>
      <c r="R84" s="9"/>
      <c r="S84" s="688" t="str">
        <f>+IF(OCTUBRE!S84=0,"",OCTUBRE!S84)</f>
        <v>1020200-1</v>
      </c>
      <c r="T84" s="664" t="str">
        <f>+IF(OCTUBRE!T84=0,"",OCTUBRE!T84)</f>
        <v>Remuneración y Honorarios por Servicios Técnicos y Profesionales</v>
      </c>
      <c r="U84" s="27">
        <f>+ENERO!U84</f>
        <v>304448100</v>
      </c>
      <c r="V84" s="15">
        <f>OCTUBRE!V84+NOVIEMBRE!AL84</f>
        <v>240000000</v>
      </c>
      <c r="W84" s="15">
        <f>OCTUBRE!W84+NOVIEMBRE!AM84</f>
        <v>146603003</v>
      </c>
      <c r="X84" s="18">
        <f>SUM(U84:W84)</f>
        <v>691051103</v>
      </c>
      <c r="Y84" s="19">
        <f>OCTUBRE!AA84</f>
        <v>663922340</v>
      </c>
      <c r="Z84" s="364">
        <v>0</v>
      </c>
      <c r="AA84" s="18">
        <f>SUM(Y84:Z84)</f>
        <v>663922340</v>
      </c>
      <c r="AB84" s="19">
        <f>OCTUBRE!AD84</f>
        <v>401620328</v>
      </c>
      <c r="AC84" s="364">
        <v>111252629</v>
      </c>
      <c r="AD84" s="18">
        <f>SUM(AB84:AC84)</f>
        <v>512872957</v>
      </c>
      <c r="AE84" s="19">
        <f>OCTUBRE!AG84</f>
        <v>306765896</v>
      </c>
      <c r="AF84" s="364">
        <v>77990147</v>
      </c>
      <c r="AG84" s="18">
        <f>SUM(AE84:AF84)</f>
        <v>384756043</v>
      </c>
      <c r="AH84" s="19">
        <f>X84-AA84</f>
        <v>27128763</v>
      </c>
      <c r="AI84" s="15">
        <f>X84-AD84</f>
        <v>178178146</v>
      </c>
      <c r="AJ84" s="16">
        <f>X84-AG84</f>
        <v>306295060</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+IF(OCTUBRE!A85=0,"",OCTUBRE!A85)</f>
        <v>11302</v>
      </c>
      <c r="B85" s="635" t="str">
        <f>+IF(OCTUBRE!B85=0,"",OCTUBRE!B85)</f>
        <v>Otras Ventas de Servicios de Salud</v>
      </c>
      <c r="C85" s="600">
        <f t="shared" ref="C85:N85" si="88">SUM(C86:C92)</f>
        <v>0</v>
      </c>
      <c r="D85" s="598">
        <f t="shared" si="88"/>
        <v>0</v>
      </c>
      <c r="E85" s="598">
        <f t="shared" si="88"/>
        <v>13050562275</v>
      </c>
      <c r="F85" s="598">
        <f t="shared" si="88"/>
        <v>13050562275</v>
      </c>
      <c r="G85" s="598">
        <f t="shared" si="88"/>
        <v>8017546276</v>
      </c>
      <c r="H85" s="598">
        <f t="shared" si="88"/>
        <v>1197622008</v>
      </c>
      <c r="I85" s="836">
        <f t="shared" si="88"/>
        <v>9215168284</v>
      </c>
      <c r="J85" s="598">
        <f t="shared" si="88"/>
        <v>5556186069</v>
      </c>
      <c r="K85" s="598">
        <f t="shared" si="88"/>
        <v>947880910</v>
      </c>
      <c r="L85" s="836">
        <f t="shared" si="88"/>
        <v>6504066979</v>
      </c>
      <c r="M85" s="598">
        <f t="shared" si="88"/>
        <v>3835393991</v>
      </c>
      <c r="N85" s="599">
        <f t="shared" si="88"/>
        <v>6546495296</v>
      </c>
      <c r="P85" s="43">
        <f>SUM(P86:P92)</f>
        <v>0</v>
      </c>
      <c r="Q85" s="45">
        <f>SUM(Q86:Q92)</f>
        <v>400000000</v>
      </c>
      <c r="R85" s="9"/>
      <c r="S85" s="688" t="str">
        <f>+IF(OCTUBRE!S85=0,"",OCTUBRE!S85)</f>
        <v>1020200-2</v>
      </c>
      <c r="T85" s="664" t="str">
        <f>+IF(OCTUBRE!T85=0,"",OCTUBRE!T85)</f>
        <v>Personal Supernumerario</v>
      </c>
      <c r="U85" s="27">
        <f>+ENERO!U85</f>
        <v>0</v>
      </c>
      <c r="V85" s="15">
        <f>OCTUBRE!V85+NOVIEMBRE!AL85</f>
        <v>0</v>
      </c>
      <c r="W85" s="15">
        <f>OCTUBRE!W85+NOVIEMBRE!AM85</f>
        <v>0</v>
      </c>
      <c r="X85" s="18">
        <f>SUM(U85:W85)</f>
        <v>0</v>
      </c>
      <c r="Y85" s="19">
        <f>OCTUBRE!AA85</f>
        <v>0</v>
      </c>
      <c r="Z85" s="364">
        <v>0</v>
      </c>
      <c r="AA85" s="18">
        <f>SUM(Y85:Z85)</f>
        <v>0</v>
      </c>
      <c r="AB85" s="19">
        <f>OCTUBRE!AD85</f>
        <v>0</v>
      </c>
      <c r="AC85" s="364">
        <v>0</v>
      </c>
      <c r="AD85" s="18">
        <f>SUM(AB85:AC85)</f>
        <v>0</v>
      </c>
      <c r="AE85" s="19">
        <f>OCTUBRE!AG85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+IF(OCTUBRE!A86=0,"",OCTUBRE!A86)</f>
        <v>1130201</v>
      </c>
      <c r="B86" s="609" t="str">
        <f>+IF(OCTUBRE!B86=0,"",OCTUBRE!B86)</f>
        <v/>
      </c>
      <c r="C86" s="654">
        <f>+ENERO!C86</f>
        <v>0</v>
      </c>
      <c r="D86" s="363">
        <f>OCTUBRE!D86+NOVIEMBRE!P86</f>
        <v>0</v>
      </c>
      <c r="E86" s="363">
        <f>OCTUBRE!E86+NOVIEMBRE!Q86</f>
        <v>0</v>
      </c>
      <c r="F86" s="363">
        <f t="shared" ref="F86:F92" si="89">SUM(C86:E86)</f>
        <v>0</v>
      </c>
      <c r="G86" s="363">
        <f>OCTUBRE!I86</f>
        <v>0</v>
      </c>
      <c r="H86" s="364">
        <v>0</v>
      </c>
      <c r="I86" s="454">
        <f t="shared" ref="I86:I92" si="90">SUM(G86:H86)</f>
        <v>0</v>
      </c>
      <c r="J86" s="363">
        <f>OCTUBRE!L86</f>
        <v>0</v>
      </c>
      <c r="K86" s="364">
        <v>0</v>
      </c>
      <c r="L86" s="454">
        <f t="shared" ref="L86:L92" si="91">SUM(J86:K86)</f>
        <v>0</v>
      </c>
      <c r="M86" s="363">
        <f t="shared" ref="M86:M92" si="92">F86-I86</f>
        <v>0</v>
      </c>
      <c r="N86" s="143">
        <f t="shared" ref="N86:N92" si="93">F86-L86</f>
        <v>0</v>
      </c>
      <c r="O86" s="372"/>
      <c r="P86" s="362">
        <v>0</v>
      </c>
      <c r="Q86" s="365">
        <v>0</v>
      </c>
      <c r="S86" s="688" t="str">
        <f>+IF(OCTUBRE!S86=0,"",OCTUBRE!S86)</f>
        <v>1020200-3</v>
      </c>
      <c r="T86" s="664" t="str">
        <f>+IF(OCTUBRE!T86=0,"",OCTUBRE!T86)</f>
        <v>Otros Honorarios</v>
      </c>
      <c r="U86" s="27">
        <f>+ENERO!U86</f>
        <v>18988019442</v>
      </c>
      <c r="V86" s="15">
        <f>OCTUBRE!V86+NOVIEMBRE!AL86</f>
        <v>-1410000000</v>
      </c>
      <c r="W86" s="15">
        <f>OCTUBRE!W86+NOVIEMBRE!AM86</f>
        <v>500000000</v>
      </c>
      <c r="X86" s="18">
        <f>SUM(U86:W86)</f>
        <v>18078019442</v>
      </c>
      <c r="Y86" s="19">
        <f>OCTUBRE!AA86</f>
        <v>17405419618</v>
      </c>
      <c r="Z86" s="364">
        <v>473782171</v>
      </c>
      <c r="AA86" s="18">
        <f>SUM(Y86:Z86)</f>
        <v>17879201789</v>
      </c>
      <c r="AB86" s="19">
        <f>OCTUBRE!AD86</f>
        <v>14271914204</v>
      </c>
      <c r="AC86" s="364">
        <v>1365633298</v>
      </c>
      <c r="AD86" s="18">
        <f>SUM(AB86:AC86)</f>
        <v>15637547502</v>
      </c>
      <c r="AE86" s="19">
        <f>OCTUBRE!AG86</f>
        <v>8219196016</v>
      </c>
      <c r="AF86" s="364">
        <v>1411413218</v>
      </c>
      <c r="AG86" s="18">
        <f>SUM(AE86:AF86)</f>
        <v>9630609234</v>
      </c>
      <c r="AH86" s="19">
        <f>X86-AA86</f>
        <v>198817653</v>
      </c>
      <c r="AI86" s="15">
        <f>X86-AD86</f>
        <v>2440471940</v>
      </c>
      <c r="AJ86" s="16">
        <f>X86-AG86</f>
        <v>8447410208</v>
      </c>
      <c r="AL86" s="362">
        <v>0</v>
      </c>
      <c r="AM86" s="365">
        <v>450000000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+IF(OCTUBRE!A87=0,"",OCTUBRE!A87)</f>
        <v>1130202</v>
      </c>
      <c r="B87" s="609" t="str">
        <f>+IF(OCTUBRE!B87=0,"",OCTUBRE!B87)</f>
        <v/>
      </c>
      <c r="C87" s="654">
        <f>+ENERO!C87</f>
        <v>0</v>
      </c>
      <c r="D87" s="363">
        <f>OCTUBRE!D87+NOVIEMBRE!P87</f>
        <v>0</v>
      </c>
      <c r="E87" s="363">
        <f>OCTUBRE!E87+NOVIEMBRE!Q87</f>
        <v>0</v>
      </c>
      <c r="F87" s="363">
        <f t="shared" si="89"/>
        <v>0</v>
      </c>
      <c r="G87" s="363">
        <f>OCTUBRE!I87</f>
        <v>0</v>
      </c>
      <c r="H87" s="364">
        <v>0</v>
      </c>
      <c r="I87" s="454">
        <f t="shared" si="90"/>
        <v>0</v>
      </c>
      <c r="J87" s="363">
        <f>OCTUBRE!L87</f>
        <v>0</v>
      </c>
      <c r="K87" s="364">
        <v>0</v>
      </c>
      <c r="L87" s="454">
        <f t="shared" si="91"/>
        <v>0</v>
      </c>
      <c r="M87" s="363">
        <f t="shared" si="92"/>
        <v>0</v>
      </c>
      <c r="N87" s="143">
        <f t="shared" si="93"/>
        <v>0</v>
      </c>
      <c r="P87" s="362">
        <v>0</v>
      </c>
      <c r="Q87" s="365">
        <v>0</v>
      </c>
      <c r="R87" s="9"/>
      <c r="S87" s="688" t="str">
        <f>+IF(OCTUBRE!S87=0,"",OCTUBRE!S87)</f>
        <v>1020200-4</v>
      </c>
      <c r="T87" s="664" t="str">
        <f>+IF(OCTUBRE!T87=0,"",OCTUBRE!T87)</f>
        <v/>
      </c>
      <c r="U87" s="27">
        <f>+ENERO!U87</f>
        <v>0</v>
      </c>
      <c r="V87" s="15">
        <f>OCTUBRE!V87+NOVIEMBRE!AL87</f>
        <v>0</v>
      </c>
      <c r="W87" s="15">
        <f>OCTUBRE!W87+NOVIEMBRE!AM87</f>
        <v>0</v>
      </c>
      <c r="X87" s="18">
        <f>SUM(U87:W87)</f>
        <v>0</v>
      </c>
      <c r="Y87" s="19">
        <f>OCTUBRE!AA87</f>
        <v>0</v>
      </c>
      <c r="Z87" s="364">
        <v>0</v>
      </c>
      <c r="AA87" s="18">
        <f>SUM(Y87:Z87)</f>
        <v>0</v>
      </c>
      <c r="AB87" s="19">
        <f>OCTUBRE!AD87</f>
        <v>0</v>
      </c>
      <c r="AC87" s="364">
        <v>0</v>
      </c>
      <c r="AD87" s="18">
        <f>SUM(AB87:AC87)</f>
        <v>0</v>
      </c>
      <c r="AE87" s="19">
        <f>OCTUBRE!AG87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+IF(OCTUBRE!A88=0,"",OCTUBRE!A88)</f>
        <v>1130203</v>
      </c>
      <c r="B88" s="610" t="str">
        <f>+IF(OCTUBRE!B88=0,"",OCTUBRE!B88)</f>
        <v>CONVENIOS CON LA NACION LIGADOS A LA VENTA DE SERVICIOS</v>
      </c>
      <c r="C88" s="654">
        <f>+ENERO!C88</f>
        <v>0</v>
      </c>
      <c r="D88" s="363">
        <f>OCTUBRE!D88+NOVIEMBRE!P88</f>
        <v>0</v>
      </c>
      <c r="E88" s="363">
        <f>OCTUBRE!E88+NOVIEMBRE!Q88</f>
        <v>222386275</v>
      </c>
      <c r="F88" s="363">
        <f t="shared" si="89"/>
        <v>222386275</v>
      </c>
      <c r="G88" s="363">
        <f>OCTUBRE!I88</f>
        <v>222380129</v>
      </c>
      <c r="H88" s="364">
        <v>0</v>
      </c>
      <c r="I88" s="454">
        <f t="shared" si="90"/>
        <v>222380129</v>
      </c>
      <c r="J88" s="363">
        <f>OCTUBRE!L88</f>
        <v>222380129</v>
      </c>
      <c r="K88" s="364">
        <v>0</v>
      </c>
      <c r="L88" s="454">
        <f t="shared" si="91"/>
        <v>222380129</v>
      </c>
      <c r="M88" s="363">
        <f t="shared" si="92"/>
        <v>6146</v>
      </c>
      <c r="N88" s="143">
        <f t="shared" si="93"/>
        <v>6146</v>
      </c>
      <c r="P88" s="362">
        <v>0</v>
      </c>
      <c r="Q88" s="365">
        <v>0</v>
      </c>
      <c r="R88" s="9"/>
      <c r="S88" s="688">
        <f>+IF(OCTUBRE!S88=0,"",OCTUBRE!S88)</f>
        <v>1020299</v>
      </c>
      <c r="T88" s="664" t="str">
        <f>+IF(OCTUBRE!T88=0,"",OCTUBRE!T88)</f>
        <v>Vigencias Anteriores</v>
      </c>
      <c r="U88" s="27">
        <f>+ENERO!U88</f>
        <v>2000000000</v>
      </c>
      <c r="V88" s="15">
        <f>OCTUBRE!V88+NOVIEMBRE!AL88</f>
        <v>1500000000</v>
      </c>
      <c r="W88" s="15">
        <f>OCTUBRE!W88+NOVIEMBRE!AM88</f>
        <v>1500000000</v>
      </c>
      <c r="X88" s="18">
        <f>SUM(U88:W88)</f>
        <v>5000000000</v>
      </c>
      <c r="Y88" s="19">
        <f>OCTUBRE!AA88</f>
        <v>4949100073</v>
      </c>
      <c r="Z88" s="364">
        <v>0</v>
      </c>
      <c r="AA88" s="18">
        <f>SUM(Y88:Z88)</f>
        <v>4949100073</v>
      </c>
      <c r="AB88" s="19">
        <f>OCTUBRE!AD88</f>
        <v>4949100073</v>
      </c>
      <c r="AC88" s="364">
        <v>0</v>
      </c>
      <c r="AD88" s="18">
        <f>SUM(AB88:AC88)</f>
        <v>4949100073</v>
      </c>
      <c r="AE88" s="19">
        <f>OCTUBRE!AG88</f>
        <v>4949100073</v>
      </c>
      <c r="AF88" s="364">
        <v>0</v>
      </c>
      <c r="AG88" s="18">
        <f>SUM(AE88:AF88)</f>
        <v>4949100073</v>
      </c>
      <c r="AH88" s="19">
        <f>X88-AA88</f>
        <v>50899927</v>
      </c>
      <c r="AI88" s="15">
        <f>X88-AD88</f>
        <v>50899927</v>
      </c>
      <c r="AJ88" s="16">
        <f>X88-AG88</f>
        <v>50899927</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+IF(OCTUBRE!A89=0,"",OCTUBRE!A89)</f>
        <v>1130204</v>
      </c>
      <c r="B89" s="610" t="str">
        <f>+IF(OCTUBRE!B89=0,"",OCTUBRE!B89)</f>
        <v>CONVENIOS CON EL DEPARTAMENTO LIGADOS A LA VENTA SERVICIOS</v>
      </c>
      <c r="C89" s="654">
        <f>+ENERO!C89</f>
        <v>0</v>
      </c>
      <c r="D89" s="363">
        <f>OCTUBRE!D89+NOVIEMBRE!P89</f>
        <v>0</v>
      </c>
      <c r="E89" s="363">
        <f>OCTUBRE!E89+NOVIEMBRE!Q89</f>
        <v>450000000</v>
      </c>
      <c r="F89" s="363">
        <f t="shared" si="89"/>
        <v>450000000</v>
      </c>
      <c r="G89" s="363">
        <f>OCTUBRE!I89</f>
        <v>0</v>
      </c>
      <c r="H89" s="364">
        <v>450000000</v>
      </c>
      <c r="I89" s="454">
        <f t="shared" si="90"/>
        <v>450000000</v>
      </c>
      <c r="J89" s="363">
        <f>OCTUBRE!L89</f>
        <v>0</v>
      </c>
      <c r="K89" s="364">
        <v>450000000</v>
      </c>
      <c r="L89" s="454">
        <f t="shared" si="91"/>
        <v>450000000</v>
      </c>
      <c r="M89" s="363">
        <f t="shared" si="92"/>
        <v>0</v>
      </c>
      <c r="N89" s="143">
        <f t="shared" si="93"/>
        <v>0</v>
      </c>
      <c r="P89" s="362">
        <v>0</v>
      </c>
      <c r="Q89" s="365">
        <v>0</v>
      </c>
      <c r="R89" s="9"/>
      <c r="S89" s="356" t="str">
        <f>+IF(OCTUBRE!S89=0,"",OCTUBRE!S89)</f>
        <v/>
      </c>
      <c r="T89" s="678" t="str">
        <f>+IF(OCTUBRE!T89=0,"",OCTUBRE!T89)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+IF(OCTUBRE!A90=0,"",OCTUBRE!A90)</f>
        <v>1130205</v>
      </c>
      <c r="B90" s="610" t="str">
        <f>+IF(OCTUBRE!B90=0,"",OCTUBRE!B90)</f>
        <v>CONVENIOS CON EL MUNICIPIO LIGADOS A LA VENTA DE SERVICIOS</v>
      </c>
      <c r="C90" s="654">
        <f>+ENERO!C90</f>
        <v>0</v>
      </c>
      <c r="D90" s="363">
        <f>OCTUBRE!D90+NOVIEMBRE!P90</f>
        <v>0</v>
      </c>
      <c r="E90" s="363">
        <f>OCTUBRE!E90+NOVIEMBRE!Q90</f>
        <v>0</v>
      </c>
      <c r="F90" s="363">
        <f t="shared" si="89"/>
        <v>0</v>
      </c>
      <c r="G90" s="363">
        <f>OCTUBRE!I90</f>
        <v>0</v>
      </c>
      <c r="H90" s="364">
        <v>0</v>
      </c>
      <c r="I90" s="454">
        <f t="shared" si="90"/>
        <v>0</v>
      </c>
      <c r="J90" s="363">
        <f>OCTUBRE!L90</f>
        <v>0</v>
      </c>
      <c r="K90" s="364">
        <v>0</v>
      </c>
      <c r="L90" s="454">
        <f t="shared" si="91"/>
        <v>0</v>
      </c>
      <c r="M90" s="363">
        <f t="shared" si="92"/>
        <v>0</v>
      </c>
      <c r="N90" s="143">
        <f t="shared" si="93"/>
        <v>0</v>
      </c>
      <c r="O90" s="372"/>
      <c r="P90" s="362">
        <v>0</v>
      </c>
      <c r="Q90" s="365">
        <v>0</v>
      </c>
      <c r="R90" s="30"/>
      <c r="S90" s="687">
        <f>+IF(OCTUBRE!S90=0,"",OCTUBRE!S90)</f>
        <v>1020300</v>
      </c>
      <c r="T90" s="663" t="str">
        <f>+IF(OCTUBRE!T90=0,"",OCTUBRE!T90)</f>
        <v>Contribuciones Inherentes nómina al Sector Privado</v>
      </c>
      <c r="U90" s="132">
        <f t="shared" ref="U90:AJ90" si="94">U91+U96+U102</f>
        <v>2996072011</v>
      </c>
      <c r="V90" s="122">
        <f t="shared" si="94"/>
        <v>-1776337847</v>
      </c>
      <c r="W90" s="122">
        <f t="shared" si="94"/>
        <v>73182074</v>
      </c>
      <c r="X90" s="129">
        <f t="shared" si="94"/>
        <v>1292916238</v>
      </c>
      <c r="Y90" s="128">
        <f t="shared" si="94"/>
        <v>848819451</v>
      </c>
      <c r="Z90" s="122">
        <f t="shared" si="94"/>
        <v>69901148</v>
      </c>
      <c r="AA90" s="129">
        <f t="shared" si="94"/>
        <v>918720599</v>
      </c>
      <c r="AB90" s="128">
        <f t="shared" si="94"/>
        <v>848819451</v>
      </c>
      <c r="AC90" s="122">
        <f t="shared" si="94"/>
        <v>69901148</v>
      </c>
      <c r="AD90" s="129">
        <f t="shared" si="94"/>
        <v>918720599</v>
      </c>
      <c r="AE90" s="128">
        <f t="shared" si="94"/>
        <v>783327226</v>
      </c>
      <c r="AF90" s="122">
        <f t="shared" si="94"/>
        <v>65492225</v>
      </c>
      <c r="AG90" s="129">
        <f t="shared" si="94"/>
        <v>848819451</v>
      </c>
      <c r="AH90" s="128">
        <f t="shared" si="94"/>
        <v>374195639</v>
      </c>
      <c r="AI90" s="122">
        <f t="shared" si="94"/>
        <v>374195639</v>
      </c>
      <c r="AJ90" s="130">
        <f t="shared" si="94"/>
        <v>444096787</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+IF(OCTUBRE!A91=0,"",OCTUBRE!A91)</f>
        <v>1130206</v>
      </c>
      <c r="B91" s="610" t="str">
        <f>+IF(OCTUBRE!B91=0,"",OCTUBRE!B91)</f>
        <v>OTROS CONVENIOS LIGADOS A LA VENTA DE SERVICIOS</v>
      </c>
      <c r="C91" s="654">
        <f>+ENERO!C91</f>
        <v>0</v>
      </c>
      <c r="D91" s="363">
        <f>OCTUBRE!D91+NOVIEMBRE!P91</f>
        <v>0</v>
      </c>
      <c r="E91" s="363">
        <f>OCTUBRE!E91+NOVIEMBRE!Q91</f>
        <v>11978176000</v>
      </c>
      <c r="F91" s="363">
        <f t="shared" si="89"/>
        <v>11978176000</v>
      </c>
      <c r="G91" s="363">
        <f>OCTUBRE!I91</f>
        <v>7395166147</v>
      </c>
      <c r="H91" s="364">
        <v>249741098</v>
      </c>
      <c r="I91" s="454">
        <f t="shared" si="90"/>
        <v>7644907245</v>
      </c>
      <c r="J91" s="363">
        <f>OCTUBRE!L91</f>
        <v>4933805940</v>
      </c>
      <c r="K91" s="364">
        <v>0</v>
      </c>
      <c r="L91" s="454">
        <f t="shared" si="91"/>
        <v>4933805940</v>
      </c>
      <c r="M91" s="363">
        <f t="shared" si="92"/>
        <v>4333268755</v>
      </c>
      <c r="N91" s="143">
        <f t="shared" si="93"/>
        <v>7044370060</v>
      </c>
      <c r="O91" s="372"/>
      <c r="P91" s="362">
        <v>0</v>
      </c>
      <c r="Q91" s="365">
        <v>0</v>
      </c>
      <c r="R91" s="30"/>
      <c r="S91" s="688">
        <f>+IF(OCTUBRE!S91=0,"",OCTUBRE!S91)</f>
        <v>1020301</v>
      </c>
      <c r="T91" s="664" t="str">
        <f>+IF(OCTUBRE!T91=0,"",OCTUBRE!T91)</f>
        <v>Contribuciones - SGP - Aportes Patronales - Cuenta Maestra</v>
      </c>
      <c r="U91" s="27">
        <f t="shared" ref="U91:AJ91" si="95">SUM(U92:U95)</f>
        <v>1100060774</v>
      </c>
      <c r="V91" s="15">
        <f t="shared" si="95"/>
        <v>-396061561</v>
      </c>
      <c r="W91" s="15">
        <f t="shared" si="95"/>
        <v>60000000</v>
      </c>
      <c r="X91" s="18">
        <f t="shared" si="95"/>
        <v>763999213</v>
      </c>
      <c r="Y91" s="19">
        <f t="shared" si="95"/>
        <v>579265389</v>
      </c>
      <c r="Z91" s="142">
        <f t="shared" si="95"/>
        <v>62202348</v>
      </c>
      <c r="AA91" s="18">
        <f t="shared" si="95"/>
        <v>641467737</v>
      </c>
      <c r="AB91" s="19">
        <f t="shared" si="95"/>
        <v>579265389</v>
      </c>
      <c r="AC91" s="142">
        <f t="shared" si="95"/>
        <v>62202348</v>
      </c>
      <c r="AD91" s="18">
        <f t="shared" si="95"/>
        <v>641467737</v>
      </c>
      <c r="AE91" s="19">
        <f t="shared" si="95"/>
        <v>521263044</v>
      </c>
      <c r="AF91" s="142">
        <f t="shared" si="95"/>
        <v>58002345</v>
      </c>
      <c r="AG91" s="18">
        <f t="shared" si="95"/>
        <v>579265389</v>
      </c>
      <c r="AH91" s="19">
        <f t="shared" si="95"/>
        <v>122531476</v>
      </c>
      <c r="AI91" s="15">
        <f t="shared" si="95"/>
        <v>122531476</v>
      </c>
      <c r="AJ91" s="16">
        <f t="shared" si="95"/>
        <v>184733824</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+IF(OCTUBRE!A92=0,"",OCTUBRE!A92)</f>
        <v>1130207</v>
      </c>
      <c r="B92" s="611" t="str">
        <f>+IF(OCTUBRE!B92=0,"",OCTUBRE!B92)</f>
        <v>Vigencia Anterior</v>
      </c>
      <c r="C92" s="760">
        <f>+ENERO!C92</f>
        <v>0</v>
      </c>
      <c r="D92" s="375">
        <f>OCTUBRE!D92+NOVIEMBRE!P92</f>
        <v>0</v>
      </c>
      <c r="E92" s="375">
        <f>OCTUBRE!E92+NOVIEMBRE!Q92</f>
        <v>400000000</v>
      </c>
      <c r="F92" s="375">
        <f t="shared" si="89"/>
        <v>400000000</v>
      </c>
      <c r="G92" s="375">
        <f>OCTUBRE!I92</f>
        <v>400000000</v>
      </c>
      <c r="H92" s="378">
        <v>497880910</v>
      </c>
      <c r="I92" s="452">
        <f t="shared" si="90"/>
        <v>897880910</v>
      </c>
      <c r="J92" s="375">
        <f>OCTUBRE!L92</f>
        <v>400000000</v>
      </c>
      <c r="K92" s="378">
        <v>497880910</v>
      </c>
      <c r="L92" s="452">
        <f t="shared" si="91"/>
        <v>897880910</v>
      </c>
      <c r="M92" s="375">
        <f t="shared" si="92"/>
        <v>-497880910</v>
      </c>
      <c r="N92" s="376">
        <f t="shared" si="93"/>
        <v>-497880910</v>
      </c>
      <c r="O92" s="372"/>
      <c r="P92" s="362">
        <v>0</v>
      </c>
      <c r="Q92" s="365">
        <v>400000000</v>
      </c>
      <c r="R92" s="30"/>
      <c r="S92" s="689" t="str">
        <f>+IF(OCTUBRE!S92=0,"",OCTUBRE!S92)</f>
        <v>1020301-1</v>
      </c>
      <c r="T92" s="665" t="str">
        <f>+IF(OCTUBRE!T92=0,"",OCTUBRE!T92)</f>
        <v>E.P.S. - Aportes cuenta maestra</v>
      </c>
      <c r="U92" s="27">
        <f>+ENERO!U92</f>
        <v>273298716</v>
      </c>
      <c r="V92" s="15">
        <f>OCTUBRE!V92+NOVIEMBRE!AL92</f>
        <v>0</v>
      </c>
      <c r="W92" s="15">
        <f>OCTUBRE!W92+NOVIEMBRE!AM92</f>
        <v>50000000</v>
      </c>
      <c r="X92" s="18">
        <f>SUM(U92:W92)</f>
        <v>323298716</v>
      </c>
      <c r="Y92" s="19">
        <f>OCTUBRE!AA92</f>
        <v>246915068</v>
      </c>
      <c r="Z92" s="364">
        <v>24740841</v>
      </c>
      <c r="AA92" s="18">
        <f>SUM(Y92:Z92)</f>
        <v>271655909</v>
      </c>
      <c r="AB92" s="19">
        <f>OCTUBRE!AD92</f>
        <v>246915068</v>
      </c>
      <c r="AC92" s="364">
        <v>24740841</v>
      </c>
      <c r="AD92" s="18">
        <f>SUM(AB92:AC92)</f>
        <v>271655909</v>
      </c>
      <c r="AE92" s="19">
        <f>OCTUBRE!AG92</f>
        <v>222284947</v>
      </c>
      <c r="AF92" s="364">
        <v>24630121</v>
      </c>
      <c r="AG92" s="18">
        <f>SUM(AE92:AF92)</f>
        <v>246915068</v>
      </c>
      <c r="AH92" s="19">
        <f>X92-AA92</f>
        <v>51642807</v>
      </c>
      <c r="AI92" s="15">
        <f>X92-AD92</f>
        <v>51642807</v>
      </c>
      <c r="AJ92" s="16">
        <f>X92-AG92</f>
        <v>76383648</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+IF(OCTUBRE!A93=0,"",OCTUBRE!A93)</f>
        <v/>
      </c>
      <c r="B93" s="634" t="str">
        <f>+IF(OCTUBRE!B93=0,"",OCTUBRE!B93)</f>
        <v/>
      </c>
      <c r="C93" s="284"/>
      <c r="D93" s="284"/>
      <c r="E93" s="284"/>
      <c r="F93" s="284"/>
      <c r="G93" s="284"/>
      <c r="H93" s="284"/>
      <c r="I93" s="450"/>
      <c r="J93" s="284"/>
      <c r="K93" s="284"/>
      <c r="L93" s="450"/>
      <c r="M93" s="284"/>
      <c r="N93" s="453"/>
      <c r="P93" s="457"/>
      <c r="Q93" s="381"/>
      <c r="R93" s="30"/>
      <c r="S93" s="689" t="str">
        <f>+IF(OCTUBRE!S93=0,"",OCTUBRE!S93)</f>
        <v>1020301-2</v>
      </c>
      <c r="T93" s="665" t="str">
        <f>+IF(OCTUBRE!T93=0,"",OCTUBRE!T93)</f>
        <v>Fondos pensionales - Aportes cuenta maestra</v>
      </c>
      <c r="U93" s="27">
        <f>+ENERO!U93</f>
        <v>372680081</v>
      </c>
      <c r="V93" s="15">
        <f>OCTUBRE!V93+NOVIEMBRE!AL93</f>
        <v>0</v>
      </c>
      <c r="W93" s="15">
        <f>OCTUBRE!W93+NOVIEMBRE!AM93</f>
        <v>10000000</v>
      </c>
      <c r="X93" s="18">
        <f>SUM(U93:W93)</f>
        <v>382680081</v>
      </c>
      <c r="Y93" s="19">
        <f>OCTUBRE!AA93</f>
        <v>298283681</v>
      </c>
      <c r="Z93" s="364">
        <v>33520227</v>
      </c>
      <c r="AA93" s="18">
        <f>SUM(Y93:Z93)</f>
        <v>331803908</v>
      </c>
      <c r="AB93" s="19">
        <f>OCTUBRE!AD93</f>
        <v>298283681</v>
      </c>
      <c r="AC93" s="364">
        <v>33520227</v>
      </c>
      <c r="AD93" s="18">
        <f>SUM(AB93:AC93)</f>
        <v>331803908</v>
      </c>
      <c r="AE93" s="19">
        <f>OCTUBRE!AG93</f>
        <v>268852737</v>
      </c>
      <c r="AF93" s="364">
        <v>29430944</v>
      </c>
      <c r="AG93" s="18">
        <f>SUM(AE93:AF93)</f>
        <v>298283681</v>
      </c>
      <c r="AH93" s="19">
        <f>X93-AA93</f>
        <v>50876173</v>
      </c>
      <c r="AI93" s="15">
        <f>X93-AD93</f>
        <v>50876173</v>
      </c>
      <c r="AJ93" s="16">
        <f>X93-AG93</f>
        <v>84396400</v>
      </c>
      <c r="AK93" s="9"/>
      <c r="AL93" s="362">
        <v>0</v>
      </c>
      <c r="AM93" s="365">
        <v>0</v>
      </c>
      <c r="AN93" s="30"/>
      <c r="AO93" s="450"/>
      <c r="AP93" s="450"/>
      <c r="AQ93" s="450"/>
      <c r="AR93" s="450"/>
      <c r="AS93" s="450"/>
      <c r="AT93" s="450"/>
      <c r="AU93" s="450"/>
      <c r="AV93" s="450"/>
      <c r="AW93" s="450"/>
      <c r="AX93" s="450"/>
      <c r="AY93" s="450"/>
      <c r="AZ93" s="450"/>
      <c r="BL93" s="30"/>
    </row>
    <row r="94" spans="1:70" s="451" customFormat="1" ht="31.5" customHeight="1">
      <c r="A94" s="720">
        <f>+IF(OCTUBRE!A94=0,"",OCTUBRE!A94)</f>
        <v>11303</v>
      </c>
      <c r="B94" s="601" t="str">
        <f>+IF(OCTUBRE!B94=0,"",OCTUBRE!B94)</f>
        <v>Aportes (No ligados a la venta de servicios de salud)</v>
      </c>
      <c r="C94" s="600">
        <f>SUM(C95:C102)</f>
        <v>7982899073</v>
      </c>
      <c r="D94" s="598">
        <f t="shared" ref="D94:N94" si="96">SUM(D95:D102)</f>
        <v>0</v>
      </c>
      <c r="E94" s="598">
        <f t="shared" si="96"/>
        <v>13515301905</v>
      </c>
      <c r="F94" s="598">
        <f t="shared" si="96"/>
        <v>21498200978</v>
      </c>
      <c r="G94" s="598">
        <f t="shared" si="96"/>
        <v>18282262756</v>
      </c>
      <c r="H94" s="598">
        <f t="shared" si="96"/>
        <v>0</v>
      </c>
      <c r="I94" s="836">
        <f t="shared" si="96"/>
        <v>18282262756</v>
      </c>
      <c r="J94" s="598">
        <f t="shared" si="96"/>
        <v>18282262756</v>
      </c>
      <c r="K94" s="598">
        <f t="shared" si="96"/>
        <v>0</v>
      </c>
      <c r="L94" s="836">
        <f t="shared" si="96"/>
        <v>18282262756</v>
      </c>
      <c r="M94" s="598">
        <f t="shared" si="96"/>
        <v>3215938222</v>
      </c>
      <c r="N94" s="599">
        <f t="shared" si="96"/>
        <v>3215938222</v>
      </c>
      <c r="O94" s="372"/>
      <c r="P94" s="43">
        <f>SUM(P95:P102)</f>
        <v>0</v>
      </c>
      <c r="Q94" s="45">
        <f>SUM(Q95:Q102)</f>
        <v>3200000000</v>
      </c>
      <c r="R94" s="30"/>
      <c r="S94" s="689" t="str">
        <f>+IF(OCTUBRE!S94=0,"",OCTUBRE!S94)</f>
        <v>1020301-3</v>
      </c>
      <c r="T94" s="665" t="str">
        <f>+IF(OCTUBRE!T94=0,"",OCTUBRE!T94)</f>
        <v>Fondos de cesantías - Aportes cuenta maestra</v>
      </c>
      <c r="U94" s="27">
        <f>+ENERO!U94</f>
        <v>387061561</v>
      </c>
      <c r="V94" s="15">
        <f>OCTUBRE!V94+NOVIEMBRE!AL94</f>
        <v>-387061561</v>
      </c>
      <c r="W94" s="15">
        <f>OCTUBRE!W94+NOVIEMBRE!AM94</f>
        <v>0</v>
      </c>
      <c r="X94" s="18">
        <f>SUM(U94:W94)</f>
        <v>0</v>
      </c>
      <c r="Y94" s="19">
        <f>OCTUBRE!AA94</f>
        <v>0</v>
      </c>
      <c r="Z94" s="364">
        <v>0</v>
      </c>
      <c r="AA94" s="18">
        <f>SUM(Y94:Z94)</f>
        <v>0</v>
      </c>
      <c r="AB94" s="19">
        <f>OCTUBRE!AD94</f>
        <v>0</v>
      </c>
      <c r="AC94" s="364">
        <v>0</v>
      </c>
      <c r="AD94" s="18">
        <f>SUM(AB94:AC94)</f>
        <v>0</v>
      </c>
      <c r="AE94" s="19">
        <f>OCTUBRE!AG94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+IF(OCTUBRE!A95=0,"",OCTUBRE!A95)</f>
        <v>11303-1</v>
      </c>
      <c r="B95" s="602" t="str">
        <f>+IF(OCTUBRE!B95=0,"",OCTUBRE!B95)</f>
        <v>CONVENIOS CON LA NACION NO LIGADOS A LA VENTA DE SERVICIOS</v>
      </c>
      <c r="C95" s="654">
        <f>+ENERO!C95</f>
        <v>0</v>
      </c>
      <c r="D95" s="363">
        <f>OCTUBRE!D95+NOVIEMBRE!P95</f>
        <v>0</v>
      </c>
      <c r="E95" s="363">
        <f>OCTUBRE!E95+NOVIEMBRE!Q95</f>
        <v>0</v>
      </c>
      <c r="F95" s="363">
        <f t="shared" ref="F95:F102" si="97">SUM(C95:E95)</f>
        <v>0</v>
      </c>
      <c r="G95" s="363">
        <f>OCTUBRE!I95</f>
        <v>0</v>
      </c>
      <c r="H95" s="364">
        <v>0</v>
      </c>
      <c r="I95" s="454">
        <f t="shared" ref="I95:I102" si="98">SUM(G95:H95)</f>
        <v>0</v>
      </c>
      <c r="J95" s="363">
        <f>OCTUBRE!L95</f>
        <v>0</v>
      </c>
      <c r="K95" s="364">
        <v>0</v>
      </c>
      <c r="L95" s="454">
        <f t="shared" ref="L95:L102" si="99">SUM(J95:K95)</f>
        <v>0</v>
      </c>
      <c r="M95" s="363">
        <f t="shared" ref="M95:M102" si="100">F95-I95</f>
        <v>0</v>
      </c>
      <c r="N95" s="143">
        <f t="shared" ref="N95:N102" si="101">F95-L95</f>
        <v>0</v>
      </c>
      <c r="O95" s="372"/>
      <c r="P95" s="362">
        <v>0</v>
      </c>
      <c r="Q95" s="365">
        <v>0</v>
      </c>
      <c r="R95" s="30"/>
      <c r="S95" s="689" t="str">
        <f>+IF(OCTUBRE!S95=0,"",OCTUBRE!S95)</f>
        <v>1020301-4</v>
      </c>
      <c r="T95" s="665" t="str">
        <f>+IF(OCTUBRE!T95=0,"",OCTUBRE!T95)</f>
        <v>Riesgos laborales - Aportes cuenta maestra</v>
      </c>
      <c r="U95" s="27">
        <f>+ENERO!U95</f>
        <v>67020416</v>
      </c>
      <c r="V95" s="15">
        <f>OCTUBRE!V95+NOVIEMBRE!AL95</f>
        <v>-9000000</v>
      </c>
      <c r="W95" s="15">
        <f>OCTUBRE!W95+NOVIEMBRE!AM95</f>
        <v>0</v>
      </c>
      <c r="X95" s="18">
        <f>SUM(U95:W95)</f>
        <v>58020416</v>
      </c>
      <c r="Y95" s="19">
        <f>OCTUBRE!AA95</f>
        <v>34066640</v>
      </c>
      <c r="Z95" s="364">
        <v>3941280</v>
      </c>
      <c r="AA95" s="18">
        <f>SUM(Y95:Z95)</f>
        <v>38007920</v>
      </c>
      <c r="AB95" s="19">
        <f>OCTUBRE!AD95</f>
        <v>34066640</v>
      </c>
      <c r="AC95" s="364">
        <v>3941280</v>
      </c>
      <c r="AD95" s="18">
        <f>SUM(AB95:AC95)</f>
        <v>38007920</v>
      </c>
      <c r="AE95" s="19">
        <f>OCTUBRE!AG95</f>
        <v>30125360</v>
      </c>
      <c r="AF95" s="364">
        <v>3941280</v>
      </c>
      <c r="AG95" s="18">
        <f>SUM(AE95:AF95)</f>
        <v>34066640</v>
      </c>
      <c r="AH95" s="19">
        <f>X95-AA95</f>
        <v>20012496</v>
      </c>
      <c r="AI95" s="15">
        <f>X95-AD95</f>
        <v>20012496</v>
      </c>
      <c r="AJ95" s="16">
        <f>X95-AG95</f>
        <v>23953776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+IF(OCTUBRE!A96=0,"",OCTUBRE!A96)</f>
        <v>11303-2</v>
      </c>
      <c r="B96" s="602" t="str">
        <f>+IF(OCTUBRE!B96=0,"",OCTUBRE!B96)</f>
        <v>CONVENIOS CON EL DEPARTAMENTO NO LIGADOS A LA VENTA SERVICIOS</v>
      </c>
      <c r="C96" s="654">
        <f>+ENERO!C96</f>
        <v>7982899073</v>
      </c>
      <c r="D96" s="363">
        <f>OCTUBRE!D96+NOVIEMBRE!P96</f>
        <v>0</v>
      </c>
      <c r="E96" s="363">
        <f>OCTUBRE!E96+NOVIEMBRE!Q96</f>
        <v>13515301905</v>
      </c>
      <c r="F96" s="363">
        <f t="shared" si="97"/>
        <v>21498200978</v>
      </c>
      <c r="G96" s="363">
        <f>OCTUBRE!I96</f>
        <v>18282262756</v>
      </c>
      <c r="H96" s="364">
        <v>0</v>
      </c>
      <c r="I96" s="454">
        <f t="shared" si="98"/>
        <v>18282262756</v>
      </c>
      <c r="J96" s="363">
        <f>OCTUBRE!L96</f>
        <v>18282262756</v>
      </c>
      <c r="K96" s="364">
        <v>0</v>
      </c>
      <c r="L96" s="454">
        <f t="shared" si="99"/>
        <v>18282262756</v>
      </c>
      <c r="M96" s="363">
        <f t="shared" si="100"/>
        <v>3215938222</v>
      </c>
      <c r="N96" s="143">
        <f t="shared" si="101"/>
        <v>3215938222</v>
      </c>
      <c r="O96" s="372"/>
      <c r="P96" s="362">
        <v>0</v>
      </c>
      <c r="Q96" s="365">
        <v>3200000000</v>
      </c>
      <c r="S96" s="688">
        <f>+IF(OCTUBRE!S96=0,"",OCTUBRE!S96)</f>
        <v>1020302</v>
      </c>
      <c r="T96" s="664" t="str">
        <f>+IF(OCTUBRE!T96=0,"",OCTUBRE!T96)</f>
        <v>Contribuciones - Otros</v>
      </c>
      <c r="U96" s="27">
        <f t="shared" ref="U96:AJ96" si="102">SUM(U97:U101)</f>
        <v>1724011237</v>
      </c>
      <c r="V96" s="15">
        <f t="shared" si="102"/>
        <v>-1386777354</v>
      </c>
      <c r="W96" s="15">
        <f t="shared" si="102"/>
        <v>0</v>
      </c>
      <c r="X96" s="18">
        <f t="shared" si="102"/>
        <v>337233883</v>
      </c>
      <c r="Y96" s="19">
        <f t="shared" si="102"/>
        <v>77870920</v>
      </c>
      <c r="Z96" s="142">
        <f t="shared" si="102"/>
        <v>7698800</v>
      </c>
      <c r="AA96" s="18">
        <f t="shared" si="102"/>
        <v>85569720</v>
      </c>
      <c r="AB96" s="19">
        <f t="shared" si="102"/>
        <v>77870920</v>
      </c>
      <c r="AC96" s="142">
        <f t="shared" si="102"/>
        <v>7698800</v>
      </c>
      <c r="AD96" s="18">
        <f t="shared" si="102"/>
        <v>85569720</v>
      </c>
      <c r="AE96" s="19">
        <f t="shared" si="102"/>
        <v>70381040</v>
      </c>
      <c r="AF96" s="142">
        <f t="shared" si="102"/>
        <v>7489880</v>
      </c>
      <c r="AG96" s="18">
        <f t="shared" si="102"/>
        <v>77870920</v>
      </c>
      <c r="AH96" s="19">
        <f t="shared" si="102"/>
        <v>251664163</v>
      </c>
      <c r="AI96" s="15">
        <f t="shared" si="102"/>
        <v>251664163</v>
      </c>
      <c r="AJ96" s="16">
        <f t="shared" si="102"/>
        <v>259362963</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+IF(OCTUBRE!A97=0,"",OCTUBRE!A97)</f>
        <v>11303-3</v>
      </c>
      <c r="B97" s="602" t="str">
        <f>+IF(OCTUBRE!B97=0,"",OCTUBRE!B97)</f>
        <v>CONVENIOS CON EL MUNICIPIO NO LIGADOS A LA VENTA DE SERVICIOS</v>
      </c>
      <c r="C97" s="654">
        <f>+ENERO!C97</f>
        <v>0</v>
      </c>
      <c r="D97" s="363">
        <f>OCTUBRE!D97+NOVIEMBRE!P97</f>
        <v>0</v>
      </c>
      <c r="E97" s="363">
        <f>OCTUBRE!E97+NOVIEMBRE!Q97</f>
        <v>0</v>
      </c>
      <c r="F97" s="363">
        <f t="shared" si="97"/>
        <v>0</v>
      </c>
      <c r="G97" s="363">
        <f>OCTUBRE!I97</f>
        <v>0</v>
      </c>
      <c r="H97" s="364">
        <v>0</v>
      </c>
      <c r="I97" s="454">
        <f t="shared" si="98"/>
        <v>0</v>
      </c>
      <c r="J97" s="363">
        <f>OCTUBRE!L97</f>
        <v>0</v>
      </c>
      <c r="K97" s="364">
        <v>0</v>
      </c>
      <c r="L97" s="454">
        <f t="shared" si="99"/>
        <v>0</v>
      </c>
      <c r="M97" s="363">
        <f t="shared" si="100"/>
        <v>0</v>
      </c>
      <c r="N97" s="143">
        <f t="shared" si="101"/>
        <v>0</v>
      </c>
      <c r="O97" s="372"/>
      <c r="P97" s="362">
        <v>0</v>
      </c>
      <c r="Q97" s="365">
        <v>0</v>
      </c>
      <c r="R97" s="30"/>
      <c r="S97" s="689" t="str">
        <f>+IF(OCTUBRE!S97=0,"",OCTUBRE!S97)</f>
        <v>1020302-1</v>
      </c>
      <c r="T97" s="665" t="str">
        <f>+IF(OCTUBRE!T97=0,"",OCTUBRE!T97)</f>
        <v>Aportes a E.P.S. - recursos propios</v>
      </c>
      <c r="U97" s="27">
        <f>+ENERO!U97</f>
        <v>383898492</v>
      </c>
      <c r="V97" s="15">
        <f>OCTUBRE!V97+NOVIEMBRE!AL97</f>
        <v>-383898492</v>
      </c>
      <c r="W97" s="15">
        <f>OCTUBRE!W97+NOVIEMBRE!AM97</f>
        <v>0</v>
      </c>
      <c r="X97" s="18">
        <f t="shared" ref="X97:X102" si="103">SUM(U97:W97)</f>
        <v>0</v>
      </c>
      <c r="Y97" s="19">
        <f>OCTUBRE!AA97</f>
        <v>0</v>
      </c>
      <c r="Z97" s="364">
        <v>0</v>
      </c>
      <c r="AA97" s="18">
        <f t="shared" ref="AA97:AA102" si="104">SUM(Y97:Z97)</f>
        <v>0</v>
      </c>
      <c r="AB97" s="19">
        <f>OCTUBRE!AD97</f>
        <v>0</v>
      </c>
      <c r="AC97" s="364">
        <v>0</v>
      </c>
      <c r="AD97" s="18">
        <f t="shared" ref="AD97:AD102" si="105">SUM(AB97:AC97)</f>
        <v>0</v>
      </c>
      <c r="AE97" s="19">
        <f>OCTUBRE!AG97</f>
        <v>0</v>
      </c>
      <c r="AF97" s="364">
        <v>0</v>
      </c>
      <c r="AG97" s="18">
        <f t="shared" ref="AG97:AG102" si="106">SUM(AE97:AF97)</f>
        <v>0</v>
      </c>
      <c r="AH97" s="19">
        <f t="shared" ref="AH97:AH102" si="107">X97-AA97</f>
        <v>0</v>
      </c>
      <c r="AI97" s="15">
        <f t="shared" ref="AI97:AI102" si="108">X97-AD97</f>
        <v>0</v>
      </c>
      <c r="AJ97" s="16">
        <f t="shared" ref="AJ97:AJ102" si="109">X97-AG97</f>
        <v>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+IF(OCTUBRE!A98=0,"",OCTUBRE!A98)</f>
        <v>11303-4</v>
      </c>
      <c r="B98" s="602" t="str">
        <f>+IF(OCTUBRE!B98=0,"",OCTUBRE!B98)</f>
        <v>OTROS CONVENIOS NO LIGADOS A LA VENTA DE SERVICIOS</v>
      </c>
      <c r="C98" s="654">
        <f>+ENERO!C98</f>
        <v>0</v>
      </c>
      <c r="D98" s="363">
        <f>OCTUBRE!D98+NOVIEMBRE!P98</f>
        <v>0</v>
      </c>
      <c r="E98" s="363">
        <f>OCTUBRE!E98+NOVIEMBRE!Q98</f>
        <v>0</v>
      </c>
      <c r="F98" s="363">
        <f t="shared" si="97"/>
        <v>0</v>
      </c>
      <c r="G98" s="363">
        <f>OCTUBRE!I98</f>
        <v>0</v>
      </c>
      <c r="H98" s="364">
        <v>0</v>
      </c>
      <c r="I98" s="454">
        <f t="shared" si="98"/>
        <v>0</v>
      </c>
      <c r="J98" s="363">
        <f>OCTUBRE!L98</f>
        <v>0</v>
      </c>
      <c r="K98" s="364">
        <v>0</v>
      </c>
      <c r="L98" s="454">
        <f t="shared" si="99"/>
        <v>0</v>
      </c>
      <c r="M98" s="363">
        <f t="shared" si="100"/>
        <v>0</v>
      </c>
      <c r="N98" s="143">
        <f t="shared" si="101"/>
        <v>0</v>
      </c>
      <c r="O98" s="372"/>
      <c r="P98" s="362">
        <v>0</v>
      </c>
      <c r="Q98" s="365">
        <v>0</v>
      </c>
      <c r="R98" s="30"/>
      <c r="S98" s="689" t="str">
        <f>+IF(OCTUBRE!S98=0,"",OCTUBRE!S98)</f>
        <v>1020302-2</v>
      </c>
      <c r="T98" s="665" t="str">
        <f>+IF(OCTUBRE!T98=0,"",OCTUBRE!T98)</f>
        <v>Aportes Fondos Pensionales - recursos propios</v>
      </c>
      <c r="U98" s="27">
        <f>+ENERO!U98</f>
        <v>555127711</v>
      </c>
      <c r="V98" s="15">
        <f>OCTUBRE!V98+NOVIEMBRE!AL98</f>
        <v>-555127711</v>
      </c>
      <c r="W98" s="15">
        <f>OCTUBRE!W98+NOVIEMBRE!AM98</f>
        <v>0</v>
      </c>
      <c r="X98" s="18">
        <f t="shared" si="103"/>
        <v>0</v>
      </c>
      <c r="Y98" s="19">
        <f>OCTUBRE!AA98</f>
        <v>0</v>
      </c>
      <c r="Z98" s="364">
        <v>0</v>
      </c>
      <c r="AA98" s="18">
        <f t="shared" si="104"/>
        <v>0</v>
      </c>
      <c r="AB98" s="19">
        <f>OCTUBRE!AD98</f>
        <v>0</v>
      </c>
      <c r="AC98" s="364">
        <v>0</v>
      </c>
      <c r="AD98" s="18">
        <f t="shared" si="105"/>
        <v>0</v>
      </c>
      <c r="AE98" s="19">
        <f>OCTUBRE!AG98</f>
        <v>0</v>
      </c>
      <c r="AF98" s="364">
        <v>0</v>
      </c>
      <c r="AG98" s="18">
        <f t="shared" si="106"/>
        <v>0</v>
      </c>
      <c r="AH98" s="19">
        <f t="shared" si="107"/>
        <v>0</v>
      </c>
      <c r="AI98" s="15">
        <f t="shared" si="108"/>
        <v>0</v>
      </c>
      <c r="AJ98" s="16">
        <f t="shared" si="109"/>
        <v>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+IF(OCTUBRE!A99=0,"",OCTUBRE!A99)</f>
        <v>11303-5</v>
      </c>
      <c r="B99" s="602" t="str">
        <f>+IF(OCTUBRE!B99=0,"",OCTUBRE!B99)</f>
        <v>RECURSOS PARA PROGRAMA DE SANEAMIENTO FINANCIERO</v>
      </c>
      <c r="C99" s="654">
        <f>+ENERO!C99</f>
        <v>0</v>
      </c>
      <c r="D99" s="363">
        <f>OCTUBRE!D99+NOVIEMBRE!P99</f>
        <v>0</v>
      </c>
      <c r="E99" s="363">
        <f>OCTUBRE!E99+NOVIEMBRE!Q99</f>
        <v>0</v>
      </c>
      <c r="F99" s="363">
        <f t="shared" si="97"/>
        <v>0</v>
      </c>
      <c r="G99" s="363">
        <f>OCTUBRE!I99</f>
        <v>0</v>
      </c>
      <c r="H99" s="364">
        <v>0</v>
      </c>
      <c r="I99" s="454">
        <f t="shared" si="98"/>
        <v>0</v>
      </c>
      <c r="J99" s="363">
        <f>OCTUBRE!L99</f>
        <v>0</v>
      </c>
      <c r="K99" s="364">
        <v>0</v>
      </c>
      <c r="L99" s="454">
        <f t="shared" si="99"/>
        <v>0</v>
      </c>
      <c r="M99" s="363">
        <f t="shared" si="100"/>
        <v>0</v>
      </c>
      <c r="N99" s="143">
        <f t="shared" si="101"/>
        <v>0</v>
      </c>
      <c r="O99" s="372"/>
      <c r="P99" s="362">
        <v>0</v>
      </c>
      <c r="Q99" s="365">
        <v>0</v>
      </c>
      <c r="R99" s="30"/>
      <c r="S99" s="689" t="str">
        <f>+IF(OCTUBRE!S99=0,"",OCTUBRE!S99)</f>
        <v>1020302-3</v>
      </c>
      <c r="T99" s="665" t="str">
        <f>+IF(OCTUBRE!T99=0,"",OCTUBRE!T99)</f>
        <v>Aportes a Fondos de Cesantia - recursos propios</v>
      </c>
      <c r="U99" s="27">
        <f>+ENERO!U99</f>
        <v>326426572</v>
      </c>
      <c r="V99" s="15">
        <f>OCTUBRE!V99+NOVIEMBRE!AL99</f>
        <v>-326426572</v>
      </c>
      <c r="W99" s="15">
        <f>OCTUBRE!W99+NOVIEMBRE!AM99</f>
        <v>0</v>
      </c>
      <c r="X99" s="18">
        <f t="shared" si="103"/>
        <v>0</v>
      </c>
      <c r="Y99" s="19">
        <f>OCTUBRE!AA99</f>
        <v>0</v>
      </c>
      <c r="Z99" s="364">
        <v>0</v>
      </c>
      <c r="AA99" s="18">
        <f t="shared" si="104"/>
        <v>0</v>
      </c>
      <c r="AB99" s="19">
        <f>OCTUBRE!AD99</f>
        <v>0</v>
      </c>
      <c r="AC99" s="364">
        <v>0</v>
      </c>
      <c r="AD99" s="18">
        <f t="shared" si="105"/>
        <v>0</v>
      </c>
      <c r="AE99" s="19">
        <f>OCTUBRE!AG99</f>
        <v>0</v>
      </c>
      <c r="AF99" s="364">
        <v>0</v>
      </c>
      <c r="AG99" s="18">
        <f t="shared" si="106"/>
        <v>0</v>
      </c>
      <c r="AH99" s="19">
        <f t="shared" si="107"/>
        <v>0</v>
      </c>
      <c r="AI99" s="15">
        <f t="shared" si="108"/>
        <v>0</v>
      </c>
      <c r="AJ99" s="16">
        <f t="shared" si="109"/>
        <v>0</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+IF(OCTUBRE!A100=0,"",OCTUBRE!A100)</f>
        <v>11303-6</v>
      </c>
      <c r="B100" s="602" t="str">
        <f>+IF(OCTUBRE!B100=0,"",OCTUBRE!B100)</f>
        <v/>
      </c>
      <c r="C100" s="654">
        <f>+ENERO!C100</f>
        <v>0</v>
      </c>
      <c r="D100" s="363">
        <f>OCTUBRE!D100+NOVIEMBRE!P100</f>
        <v>0</v>
      </c>
      <c r="E100" s="363">
        <f>OCTUBRE!E100+NOVIEMBRE!Q100</f>
        <v>0</v>
      </c>
      <c r="F100" s="363">
        <f t="shared" si="97"/>
        <v>0</v>
      </c>
      <c r="G100" s="363">
        <f>OCTUBRE!I100</f>
        <v>0</v>
      </c>
      <c r="H100" s="364">
        <v>0</v>
      </c>
      <c r="I100" s="454">
        <f t="shared" si="98"/>
        <v>0</v>
      </c>
      <c r="J100" s="363">
        <f>OCTUBRE!L100</f>
        <v>0</v>
      </c>
      <c r="K100" s="364">
        <v>0</v>
      </c>
      <c r="L100" s="454">
        <f t="shared" si="99"/>
        <v>0</v>
      </c>
      <c r="M100" s="363">
        <f t="shared" si="100"/>
        <v>0</v>
      </c>
      <c r="N100" s="143">
        <f t="shared" si="101"/>
        <v>0</v>
      </c>
      <c r="P100" s="362">
        <v>0</v>
      </c>
      <c r="Q100" s="365">
        <v>0</v>
      </c>
      <c r="R100" s="9"/>
      <c r="S100" s="689" t="str">
        <f>+IF(OCTUBRE!S100=0,"",OCTUBRE!S100)</f>
        <v>1020302-4</v>
      </c>
      <c r="T100" s="665" t="str">
        <f>+IF(OCTUBRE!T100=0,"",OCTUBRE!T100)</f>
        <v>Aporte a ARL. - recursos propios</v>
      </c>
      <c r="U100" s="27">
        <f>+ENERO!U100</f>
        <v>121324579</v>
      </c>
      <c r="V100" s="15">
        <f>OCTUBRE!V100+NOVIEMBRE!AL100</f>
        <v>-121324579</v>
      </c>
      <c r="W100" s="15">
        <f>OCTUBRE!W100+NOVIEMBRE!AM100</f>
        <v>0</v>
      </c>
      <c r="X100" s="18">
        <f t="shared" si="103"/>
        <v>0</v>
      </c>
      <c r="Y100" s="19">
        <f>OCTUBRE!AA100</f>
        <v>0</v>
      </c>
      <c r="Z100" s="364">
        <v>0</v>
      </c>
      <c r="AA100" s="18">
        <f t="shared" si="104"/>
        <v>0</v>
      </c>
      <c r="AB100" s="19">
        <f>OCTUBRE!AD100</f>
        <v>0</v>
      </c>
      <c r="AC100" s="364">
        <v>0</v>
      </c>
      <c r="AD100" s="18">
        <f t="shared" si="105"/>
        <v>0</v>
      </c>
      <c r="AE100" s="19">
        <f>OCTUBRE!AG100</f>
        <v>0</v>
      </c>
      <c r="AF100" s="364">
        <v>0</v>
      </c>
      <c r="AG100" s="18">
        <f t="shared" si="106"/>
        <v>0</v>
      </c>
      <c r="AH100" s="19">
        <f t="shared" si="107"/>
        <v>0</v>
      </c>
      <c r="AI100" s="15">
        <f t="shared" si="108"/>
        <v>0</v>
      </c>
      <c r="AJ100" s="16">
        <f t="shared" si="109"/>
        <v>0</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+IF(OCTUBRE!A101=0,"",OCTUBRE!A101)</f>
        <v>11303-7</v>
      </c>
      <c r="B101" s="602" t="str">
        <f>+IF(OCTUBRE!B101=0,"",OCTUBRE!B101)</f>
        <v/>
      </c>
      <c r="C101" s="654">
        <f>+ENERO!C101</f>
        <v>0</v>
      </c>
      <c r="D101" s="363">
        <f>OCTUBRE!D101+NOVIEMBRE!P101</f>
        <v>0</v>
      </c>
      <c r="E101" s="363">
        <f>OCTUBRE!E101+NOVIEMBRE!Q101</f>
        <v>0</v>
      </c>
      <c r="F101" s="363">
        <f t="shared" si="97"/>
        <v>0</v>
      </c>
      <c r="G101" s="363">
        <f>OCTUBRE!I101</f>
        <v>0</v>
      </c>
      <c r="H101" s="364">
        <v>0</v>
      </c>
      <c r="I101" s="454">
        <f t="shared" si="98"/>
        <v>0</v>
      </c>
      <c r="J101" s="363">
        <f>OCTUBRE!L101</f>
        <v>0</v>
      </c>
      <c r="K101" s="364">
        <v>0</v>
      </c>
      <c r="L101" s="454">
        <f t="shared" si="99"/>
        <v>0</v>
      </c>
      <c r="M101" s="363">
        <f t="shared" si="100"/>
        <v>0</v>
      </c>
      <c r="N101" s="143">
        <f t="shared" si="101"/>
        <v>0</v>
      </c>
      <c r="P101" s="362">
        <v>0</v>
      </c>
      <c r="Q101" s="365">
        <v>0</v>
      </c>
      <c r="R101" s="9"/>
      <c r="S101" s="689" t="str">
        <f>+IF(OCTUBRE!S101=0,"",OCTUBRE!S101)</f>
        <v>1020302-5</v>
      </c>
      <c r="T101" s="665" t="str">
        <f>+IF(OCTUBRE!T101=0,"",OCTUBRE!T101)</f>
        <v>Aporte a Caja Compensación Familiar</v>
      </c>
      <c r="U101" s="27">
        <f>+ENERO!U101</f>
        <v>337233883</v>
      </c>
      <c r="V101" s="15">
        <f>OCTUBRE!V101+NOVIEMBRE!AL101</f>
        <v>0</v>
      </c>
      <c r="W101" s="15">
        <f>OCTUBRE!W101+NOVIEMBRE!AM101</f>
        <v>0</v>
      </c>
      <c r="X101" s="18">
        <f t="shared" si="103"/>
        <v>337233883</v>
      </c>
      <c r="Y101" s="19">
        <f>OCTUBRE!AA101</f>
        <v>77870920</v>
      </c>
      <c r="Z101" s="364">
        <v>7698800</v>
      </c>
      <c r="AA101" s="18">
        <f t="shared" si="104"/>
        <v>85569720</v>
      </c>
      <c r="AB101" s="19">
        <f>OCTUBRE!AD101</f>
        <v>77870920</v>
      </c>
      <c r="AC101" s="364">
        <v>7698800</v>
      </c>
      <c r="AD101" s="18">
        <f t="shared" si="105"/>
        <v>85569720</v>
      </c>
      <c r="AE101" s="19">
        <f>OCTUBRE!AG101</f>
        <v>70381040</v>
      </c>
      <c r="AF101" s="364">
        <v>7489880</v>
      </c>
      <c r="AG101" s="18">
        <f t="shared" si="106"/>
        <v>77870920</v>
      </c>
      <c r="AH101" s="19">
        <f t="shared" si="107"/>
        <v>251664163</v>
      </c>
      <c r="AI101" s="15">
        <f t="shared" si="108"/>
        <v>251664163</v>
      </c>
      <c r="AJ101" s="16">
        <f t="shared" si="109"/>
        <v>259362963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+IF(OCTUBRE!A102=0,"",OCTUBRE!A102)</f>
        <v>11303-8</v>
      </c>
      <c r="B102" s="611" t="str">
        <f>+IF(OCTUBRE!B102=0,"",OCTUBRE!B102)</f>
        <v>Vigencia Anterior</v>
      </c>
      <c r="C102" s="760">
        <f>+ENERO!C102</f>
        <v>0</v>
      </c>
      <c r="D102" s="375">
        <f>OCTUBRE!D102+NOVIEMBRE!P102</f>
        <v>0</v>
      </c>
      <c r="E102" s="375">
        <f>OCTUBRE!E102+NOVIEMBRE!Q102</f>
        <v>0</v>
      </c>
      <c r="F102" s="375">
        <f t="shared" si="97"/>
        <v>0</v>
      </c>
      <c r="G102" s="375">
        <f>OCTUBRE!I102</f>
        <v>0</v>
      </c>
      <c r="H102" s="378">
        <v>0</v>
      </c>
      <c r="I102" s="452">
        <f t="shared" si="98"/>
        <v>0</v>
      </c>
      <c r="J102" s="375">
        <f>OCTUBRE!L102</f>
        <v>0</v>
      </c>
      <c r="K102" s="378">
        <v>0</v>
      </c>
      <c r="L102" s="452">
        <f t="shared" si="99"/>
        <v>0</v>
      </c>
      <c r="M102" s="375">
        <f t="shared" si="100"/>
        <v>0</v>
      </c>
      <c r="N102" s="376">
        <f t="shared" si="101"/>
        <v>0</v>
      </c>
      <c r="P102" s="362">
        <v>0</v>
      </c>
      <c r="Q102" s="365">
        <v>0</v>
      </c>
      <c r="R102" s="9"/>
      <c r="S102" s="688">
        <f>+IF(OCTUBRE!S102=0,"",OCTUBRE!S102)</f>
        <v>1020399</v>
      </c>
      <c r="T102" s="664" t="str">
        <f>+IF(OCTUBRE!T102=0,"",OCTUBRE!T102)</f>
        <v>Vigencias Anteriores</v>
      </c>
      <c r="U102" s="27">
        <f>+ENERO!U102</f>
        <v>172000000</v>
      </c>
      <c r="V102" s="15">
        <f>OCTUBRE!V102+NOVIEMBRE!AL102</f>
        <v>6501068</v>
      </c>
      <c r="W102" s="15">
        <f>OCTUBRE!W102+NOVIEMBRE!AM102</f>
        <v>13182074</v>
      </c>
      <c r="X102" s="18">
        <f t="shared" si="103"/>
        <v>191683142</v>
      </c>
      <c r="Y102" s="19">
        <f>OCTUBRE!AA102</f>
        <v>191683142</v>
      </c>
      <c r="Z102" s="364">
        <v>0</v>
      </c>
      <c r="AA102" s="18">
        <f t="shared" si="104"/>
        <v>191683142</v>
      </c>
      <c r="AB102" s="19">
        <f>OCTUBRE!AD102</f>
        <v>191683142</v>
      </c>
      <c r="AC102" s="364">
        <v>0</v>
      </c>
      <c r="AD102" s="18">
        <f t="shared" si="105"/>
        <v>191683142</v>
      </c>
      <c r="AE102" s="19">
        <f>OCTUBRE!AG102</f>
        <v>191683142</v>
      </c>
      <c r="AF102" s="364">
        <v>0</v>
      </c>
      <c r="AG102" s="1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+IF(OCTUBRE!A103=0,"",OCTUBRE!A103)</f>
        <v/>
      </c>
      <c r="B103" s="636" t="str">
        <f>+IF(OCTUBRE!B103=0,"",OCTUBRE!B103)</f>
        <v/>
      </c>
      <c r="C103" s="470"/>
      <c r="D103" s="470"/>
      <c r="E103" s="470"/>
      <c r="F103" s="470"/>
      <c r="G103" s="470"/>
      <c r="H103" s="470"/>
      <c r="I103" s="837"/>
      <c r="J103" s="470"/>
      <c r="K103" s="470"/>
      <c r="L103" s="837"/>
      <c r="M103" s="470"/>
      <c r="N103" s="471"/>
      <c r="P103" s="472"/>
      <c r="Q103" s="471"/>
      <c r="R103" s="9"/>
      <c r="S103" s="356" t="str">
        <f>+IF(OCTUBRE!S103=0,"",OCTUBRE!S103)</f>
        <v/>
      </c>
      <c r="T103" s="678" t="str">
        <f>+IF(OCTUBRE!T103=0,"",OCTUBRE!T103)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+IF(OCTUBRE!A104=0,"",OCTUBRE!A104)</f>
        <v>11304</v>
      </c>
      <c r="B104" s="601" t="str">
        <f>+IF(OCTUBRE!B104=0,"",OCTUBRE!B104)</f>
        <v>Otros ingresos corrientes</v>
      </c>
      <c r="C104" s="600">
        <f>SUM(C105:C111)</f>
        <v>98172123</v>
      </c>
      <c r="D104" s="598">
        <f t="shared" ref="D104:N104" si="110">SUM(D105:D111)</f>
        <v>0</v>
      </c>
      <c r="E104" s="598">
        <f t="shared" si="110"/>
        <v>2205940</v>
      </c>
      <c r="F104" s="598">
        <f t="shared" si="110"/>
        <v>100378063</v>
      </c>
      <c r="G104" s="598">
        <f t="shared" si="110"/>
        <v>121172400</v>
      </c>
      <c r="H104" s="598">
        <f t="shared" si="110"/>
        <v>4306416</v>
      </c>
      <c r="I104" s="836">
        <f t="shared" si="110"/>
        <v>125478816</v>
      </c>
      <c r="J104" s="598">
        <f t="shared" si="110"/>
        <v>65102979</v>
      </c>
      <c r="K104" s="598">
        <f t="shared" si="110"/>
        <v>1484099</v>
      </c>
      <c r="L104" s="836">
        <f t="shared" si="110"/>
        <v>66587078</v>
      </c>
      <c r="M104" s="598">
        <f t="shared" si="110"/>
        <v>-25100753</v>
      </c>
      <c r="N104" s="599">
        <f t="shared" si="110"/>
        <v>33790985</v>
      </c>
      <c r="P104" s="43">
        <f>SUM(P105:P111)</f>
        <v>0</v>
      </c>
      <c r="Q104" s="45">
        <f>SUM(Q105:Q111)</f>
        <v>0</v>
      </c>
      <c r="R104" s="9"/>
      <c r="S104" s="687">
        <f>+IF(OCTUBRE!S104=0,"",OCTUBRE!S104)</f>
        <v>1020400</v>
      </c>
      <c r="T104" s="663" t="str">
        <f>+IF(OCTUBRE!T104=0,"",OCTUBRE!T104)</f>
        <v>Contribuciones Inherentes nómina del Sector Publico</v>
      </c>
      <c r="U104" s="132">
        <f t="shared" ref="U104:AJ104" si="111">U105+U108</f>
        <v>421542354</v>
      </c>
      <c r="V104" s="122">
        <f t="shared" si="111"/>
        <v>-130000000</v>
      </c>
      <c r="W104" s="122">
        <f t="shared" si="111"/>
        <v>0</v>
      </c>
      <c r="X104" s="129">
        <f t="shared" si="111"/>
        <v>291542354</v>
      </c>
      <c r="Y104" s="128">
        <f t="shared" si="111"/>
        <v>97338650</v>
      </c>
      <c r="Z104" s="122">
        <f t="shared" si="111"/>
        <v>9623500</v>
      </c>
      <c r="AA104" s="129">
        <f t="shared" si="111"/>
        <v>106962150</v>
      </c>
      <c r="AB104" s="128">
        <f t="shared" si="111"/>
        <v>97338650</v>
      </c>
      <c r="AC104" s="122">
        <f t="shared" si="111"/>
        <v>9623500</v>
      </c>
      <c r="AD104" s="129">
        <f t="shared" si="111"/>
        <v>106962150</v>
      </c>
      <c r="AE104" s="128">
        <f t="shared" si="111"/>
        <v>87976300</v>
      </c>
      <c r="AF104" s="122">
        <f t="shared" si="111"/>
        <v>9362350</v>
      </c>
      <c r="AG104" s="129">
        <f t="shared" si="111"/>
        <v>97338650</v>
      </c>
      <c r="AH104" s="128">
        <f t="shared" si="111"/>
        <v>184580204</v>
      </c>
      <c r="AI104" s="122">
        <f t="shared" si="111"/>
        <v>184580204</v>
      </c>
      <c r="AJ104" s="130">
        <f t="shared" si="111"/>
        <v>194203704</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+IF(OCTUBRE!A105=0,"",OCTUBRE!A105)</f>
        <v>11304-1</v>
      </c>
      <c r="B105" s="602" t="str">
        <f>+IF(OCTUBRE!B105=0,"",OCTUBRE!B105)</f>
        <v>ARRENDAMIENTO Y ALQUILER DE BIENES MUEBLES E INMUEBLES</v>
      </c>
      <c r="C105" s="654">
        <f>+ENERO!C105</f>
        <v>35952047</v>
      </c>
      <c r="D105" s="363">
        <f>OCTUBRE!D105+NOVIEMBRE!P105</f>
        <v>0</v>
      </c>
      <c r="E105" s="363">
        <f>OCTUBRE!E105+NOVIEMBRE!Q105</f>
        <v>0</v>
      </c>
      <c r="F105" s="363">
        <f t="shared" ref="F105:F111" si="112">SUM(C105:E105)</f>
        <v>35952047</v>
      </c>
      <c r="G105" s="363">
        <f>OCTUBRE!I105</f>
        <v>77780362</v>
      </c>
      <c r="H105" s="364">
        <v>4048917</v>
      </c>
      <c r="I105" s="454">
        <f t="shared" ref="I105:I111" si="113">SUM(G105:H105)</f>
        <v>81829279</v>
      </c>
      <c r="J105" s="363">
        <f>OCTUBRE!L105</f>
        <v>21710941</v>
      </c>
      <c r="K105" s="364">
        <v>1226600</v>
      </c>
      <c r="L105" s="454">
        <f t="shared" ref="L105:L111" si="114">SUM(J105:K105)</f>
        <v>22937541</v>
      </c>
      <c r="M105" s="363">
        <f t="shared" ref="M105:M111" si="115">F105-I105</f>
        <v>-45877232</v>
      </c>
      <c r="N105" s="143">
        <f t="shared" ref="N105:N111" si="116">F105-L105</f>
        <v>13014506</v>
      </c>
      <c r="P105" s="362">
        <v>0</v>
      </c>
      <c r="Q105" s="365">
        <v>0</v>
      </c>
      <c r="R105" s="9"/>
      <c r="S105" s="688">
        <f>+IF(OCTUBRE!S105=0,"",OCTUBRE!S105)</f>
        <v>1020402</v>
      </c>
      <c r="T105" s="664" t="str">
        <f>+IF(OCTUBRE!T105=0,"",OCTUBRE!T105)</f>
        <v>Contribuciones - Otros</v>
      </c>
      <c r="U105" s="27">
        <f t="shared" ref="U105:AJ105" si="117">SUM(U106:U107)</f>
        <v>421542354</v>
      </c>
      <c r="V105" s="15">
        <f t="shared" si="117"/>
        <v>-130000000</v>
      </c>
      <c r="W105" s="15">
        <f t="shared" si="117"/>
        <v>0</v>
      </c>
      <c r="X105" s="18">
        <f t="shared" si="117"/>
        <v>291542354</v>
      </c>
      <c r="Y105" s="19">
        <f t="shared" si="117"/>
        <v>97338650</v>
      </c>
      <c r="Z105" s="142">
        <f t="shared" si="117"/>
        <v>9623500</v>
      </c>
      <c r="AA105" s="18">
        <f t="shared" si="117"/>
        <v>106962150</v>
      </c>
      <c r="AB105" s="19">
        <f t="shared" si="117"/>
        <v>97338650</v>
      </c>
      <c r="AC105" s="142">
        <f t="shared" si="117"/>
        <v>9623500</v>
      </c>
      <c r="AD105" s="18">
        <f t="shared" si="117"/>
        <v>106962150</v>
      </c>
      <c r="AE105" s="19">
        <f t="shared" si="117"/>
        <v>87976300</v>
      </c>
      <c r="AF105" s="142">
        <f t="shared" si="117"/>
        <v>9362350</v>
      </c>
      <c r="AG105" s="18">
        <f t="shared" si="117"/>
        <v>97338650</v>
      </c>
      <c r="AH105" s="19">
        <f t="shared" si="117"/>
        <v>184580204</v>
      </c>
      <c r="AI105" s="15">
        <f t="shared" si="117"/>
        <v>184580204</v>
      </c>
      <c r="AJ105" s="16">
        <f t="shared" si="117"/>
        <v>194203704</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+IF(OCTUBRE!A106=0,"",OCTUBRE!A106)</f>
        <v>11304-2</v>
      </c>
      <c r="B106" s="603" t="str">
        <f>+IF(OCTUBRE!B106=0,"",OCTUBRE!B106)</f>
        <v>COMERCIALIZACIÓN DE MERCANCÍAS</v>
      </c>
      <c r="C106" s="654">
        <f>+ENERO!C106</f>
        <v>0</v>
      </c>
      <c r="D106" s="363">
        <f>OCTUBRE!D106+NOVIEMBRE!P106</f>
        <v>0</v>
      </c>
      <c r="E106" s="363">
        <f>OCTUBRE!E106+NOVIEMBRE!Q106</f>
        <v>0</v>
      </c>
      <c r="F106" s="363">
        <f t="shared" si="112"/>
        <v>0</v>
      </c>
      <c r="G106" s="363">
        <f>OCTUBRE!I106</f>
        <v>0</v>
      </c>
      <c r="H106" s="364">
        <v>0</v>
      </c>
      <c r="I106" s="454">
        <f t="shared" si="113"/>
        <v>0</v>
      </c>
      <c r="J106" s="363">
        <f>OCTUBRE!L106</f>
        <v>0</v>
      </c>
      <c r="K106" s="364">
        <v>0</v>
      </c>
      <c r="L106" s="454">
        <f t="shared" si="114"/>
        <v>0</v>
      </c>
      <c r="M106" s="363">
        <f t="shared" si="115"/>
        <v>0</v>
      </c>
      <c r="N106" s="143">
        <f t="shared" si="116"/>
        <v>0</v>
      </c>
      <c r="P106" s="362">
        <v>0</v>
      </c>
      <c r="Q106" s="365">
        <v>0</v>
      </c>
      <c r="R106" s="9"/>
      <c r="S106" s="689" t="str">
        <f>+IF(OCTUBRE!S106=0,"",OCTUBRE!S106)</f>
        <v>1020402-1</v>
      </c>
      <c r="T106" s="665" t="str">
        <f>+IF(OCTUBRE!T106=0,"",OCTUBRE!T106)</f>
        <v>S.E.N.A.</v>
      </c>
      <c r="U106" s="27">
        <f>+ENERO!U106</f>
        <v>168616942</v>
      </c>
      <c r="V106" s="15">
        <f>OCTUBRE!V106+NOVIEMBRE!AL106</f>
        <v>-60000000</v>
      </c>
      <c r="W106" s="15">
        <f>OCTUBRE!W106+NOVIEMBRE!AM106</f>
        <v>0</v>
      </c>
      <c r="X106" s="18">
        <f>SUM(U106:W106)</f>
        <v>108616942</v>
      </c>
      <c r="Y106" s="19">
        <f>OCTUBRE!AA106</f>
        <v>38935460</v>
      </c>
      <c r="Z106" s="364">
        <v>3849400</v>
      </c>
      <c r="AA106" s="18">
        <f>SUM(Y106:Z106)</f>
        <v>42784860</v>
      </c>
      <c r="AB106" s="19">
        <f>OCTUBRE!AD106</f>
        <v>38935460</v>
      </c>
      <c r="AC106" s="364">
        <v>3849400</v>
      </c>
      <c r="AD106" s="18">
        <f>SUM(AB106:AC106)</f>
        <v>42784860</v>
      </c>
      <c r="AE106" s="19">
        <f>OCTUBRE!AG106</f>
        <v>35190520</v>
      </c>
      <c r="AF106" s="364">
        <v>3744940</v>
      </c>
      <c r="AG106" s="18">
        <f>SUM(AE106:AF106)</f>
        <v>38935460</v>
      </c>
      <c r="AH106" s="19">
        <f>X106-AA106</f>
        <v>65832082</v>
      </c>
      <c r="AI106" s="15">
        <f>X106-AD106</f>
        <v>65832082</v>
      </c>
      <c r="AJ106" s="16">
        <f>X106-AG106</f>
        <v>69681482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+IF(OCTUBRE!A107=0,"",OCTUBRE!A107)</f>
        <v>11304-3</v>
      </c>
      <c r="B107" s="602" t="str">
        <f>+IF(OCTUBRE!B107=0,"",OCTUBRE!B107)</f>
        <v>Bienestar Social</v>
      </c>
      <c r="C107" s="654">
        <f>+ENERO!C107</f>
        <v>0</v>
      </c>
      <c r="D107" s="363">
        <f>OCTUBRE!D107+NOVIEMBRE!P107</f>
        <v>0</v>
      </c>
      <c r="E107" s="363">
        <f>OCTUBRE!E107+NOVIEMBRE!Q107</f>
        <v>0</v>
      </c>
      <c r="F107" s="363">
        <f t="shared" si="112"/>
        <v>0</v>
      </c>
      <c r="G107" s="363">
        <f>OCTUBRE!I107</f>
        <v>0</v>
      </c>
      <c r="H107" s="364">
        <v>0</v>
      </c>
      <c r="I107" s="454">
        <f t="shared" si="113"/>
        <v>0</v>
      </c>
      <c r="J107" s="363">
        <f>OCTUBRE!L107</f>
        <v>0</v>
      </c>
      <c r="K107" s="364">
        <v>0</v>
      </c>
      <c r="L107" s="454">
        <f t="shared" si="114"/>
        <v>0</v>
      </c>
      <c r="M107" s="363">
        <f t="shared" si="115"/>
        <v>0</v>
      </c>
      <c r="N107" s="143">
        <f t="shared" si="116"/>
        <v>0</v>
      </c>
      <c r="P107" s="362">
        <v>0</v>
      </c>
      <c r="Q107" s="365">
        <v>0</v>
      </c>
      <c r="R107" s="9"/>
      <c r="S107" s="689" t="str">
        <f>+IF(OCTUBRE!S107=0,"",OCTUBRE!S107)</f>
        <v>1020402-2</v>
      </c>
      <c r="T107" s="665" t="str">
        <f>+IF(OCTUBRE!T107=0,"",OCTUBRE!T107)</f>
        <v>I.C.B.F.</v>
      </c>
      <c r="U107" s="27">
        <f>+ENERO!U107</f>
        <v>252925412</v>
      </c>
      <c r="V107" s="15">
        <f>OCTUBRE!V107+NOVIEMBRE!AL107</f>
        <v>-70000000</v>
      </c>
      <c r="W107" s="15">
        <f>OCTUBRE!W107+NOVIEMBRE!AM107</f>
        <v>0</v>
      </c>
      <c r="X107" s="18">
        <f>SUM(U107:W107)</f>
        <v>182925412</v>
      </c>
      <c r="Y107" s="19">
        <f>OCTUBRE!AA107</f>
        <v>58403190</v>
      </c>
      <c r="Z107" s="364">
        <v>5774100</v>
      </c>
      <c r="AA107" s="18">
        <f>SUM(Y107:Z107)</f>
        <v>64177290</v>
      </c>
      <c r="AB107" s="19">
        <f>OCTUBRE!AD107</f>
        <v>58403190</v>
      </c>
      <c r="AC107" s="364">
        <v>5774100</v>
      </c>
      <c r="AD107" s="18">
        <f>SUM(AB107:AC107)</f>
        <v>64177290</v>
      </c>
      <c r="AE107" s="19">
        <f>OCTUBRE!AG107</f>
        <v>52785780</v>
      </c>
      <c r="AF107" s="364">
        <v>5617410</v>
      </c>
      <c r="AG107" s="18">
        <f>SUM(AE107:AF107)</f>
        <v>58403190</v>
      </c>
      <c r="AH107" s="19">
        <f>X107-AA107</f>
        <v>118748122</v>
      </c>
      <c r="AI107" s="15">
        <f>X107-AD107</f>
        <v>118748122</v>
      </c>
      <c r="AJ107" s="16">
        <f>X107-AG107</f>
        <v>124522222</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+IF(OCTUBRE!A108=0,"",OCTUBRE!A108)</f>
        <v>11304-4</v>
      </c>
      <c r="B108" s="602" t="str">
        <f>+IF(OCTUBRE!B108=0,"",OCTUBRE!B108)</f>
        <v>Fondo de la Vivienda</v>
      </c>
      <c r="C108" s="654">
        <f>+ENERO!C108</f>
        <v>0</v>
      </c>
      <c r="D108" s="363">
        <f>OCTUBRE!D108+NOVIEMBRE!P108</f>
        <v>0</v>
      </c>
      <c r="E108" s="363">
        <f>OCTUBRE!E108+NOVIEMBRE!Q108</f>
        <v>0</v>
      </c>
      <c r="F108" s="363">
        <f t="shared" si="112"/>
        <v>0</v>
      </c>
      <c r="G108" s="363">
        <f>OCTUBRE!I108</f>
        <v>0</v>
      </c>
      <c r="H108" s="364">
        <v>0</v>
      </c>
      <c r="I108" s="454">
        <f t="shared" si="113"/>
        <v>0</v>
      </c>
      <c r="J108" s="363">
        <f>OCTUBRE!L108</f>
        <v>0</v>
      </c>
      <c r="K108" s="364">
        <v>0</v>
      </c>
      <c r="L108" s="454">
        <f t="shared" si="114"/>
        <v>0</v>
      </c>
      <c r="M108" s="363">
        <f t="shared" si="115"/>
        <v>0</v>
      </c>
      <c r="N108" s="143">
        <f t="shared" si="116"/>
        <v>0</v>
      </c>
      <c r="P108" s="362">
        <v>0</v>
      </c>
      <c r="Q108" s="365">
        <v>0</v>
      </c>
      <c r="R108" s="9"/>
      <c r="S108" s="688">
        <f>+IF(OCTUBRE!S108=0,"",OCTUBRE!S108)</f>
        <v>1020499</v>
      </c>
      <c r="T108" s="664" t="str">
        <f>+IF(OCTUBRE!T108=0,"",OCTUBRE!T108)</f>
        <v>Vigencias Anteriores</v>
      </c>
      <c r="U108" s="27">
        <f>+ENERO!U108</f>
        <v>0</v>
      </c>
      <c r="V108" s="15">
        <f>OCTUBRE!V108+NOVIEMBRE!AL108</f>
        <v>0</v>
      </c>
      <c r="W108" s="15">
        <f>OCTUBRE!W108+NOVIEMBRE!AM108</f>
        <v>0</v>
      </c>
      <c r="X108" s="18">
        <f>SUM(U108:W108)</f>
        <v>0</v>
      </c>
      <c r="Y108" s="19">
        <f>OCTUBRE!AA108</f>
        <v>0</v>
      </c>
      <c r="Z108" s="364">
        <v>0</v>
      </c>
      <c r="AA108" s="18">
        <f>SUM(Y108:Z108)</f>
        <v>0</v>
      </c>
      <c r="AB108" s="19">
        <f>OCTUBRE!AD108</f>
        <v>0</v>
      </c>
      <c r="AC108" s="364">
        <v>0</v>
      </c>
      <c r="AD108" s="18">
        <f>SUM(AB108:AC108)</f>
        <v>0</v>
      </c>
      <c r="AE108" s="19">
        <f>OCTUBRE!AG108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+IF(OCTUBRE!A109=0,"",OCTUBRE!A109)</f>
        <v>11304-5</v>
      </c>
      <c r="B109" s="602" t="str">
        <f>+IF(OCTUBRE!B109=0,"",OCTUBRE!B109)</f>
        <v xml:space="preserve">Aprovechamientos </v>
      </c>
      <c r="C109" s="654">
        <f>+ENERO!C109</f>
        <v>62220076</v>
      </c>
      <c r="D109" s="363">
        <f>OCTUBRE!D109+NOVIEMBRE!P109</f>
        <v>0</v>
      </c>
      <c r="E109" s="363">
        <f>OCTUBRE!E109+NOVIEMBRE!Q109</f>
        <v>0</v>
      </c>
      <c r="F109" s="363">
        <f t="shared" si="112"/>
        <v>62220076</v>
      </c>
      <c r="G109" s="363">
        <f>OCTUBRE!I109</f>
        <v>41186098</v>
      </c>
      <c r="H109" s="364">
        <v>257499</v>
      </c>
      <c r="I109" s="454">
        <f t="shared" si="113"/>
        <v>41443597</v>
      </c>
      <c r="J109" s="363">
        <f>OCTUBRE!L109</f>
        <v>41186098</v>
      </c>
      <c r="K109" s="364">
        <v>257499</v>
      </c>
      <c r="L109" s="454">
        <f t="shared" si="114"/>
        <v>41443597</v>
      </c>
      <c r="M109" s="363">
        <f t="shared" si="115"/>
        <v>20776479</v>
      </c>
      <c r="N109" s="143">
        <f t="shared" si="116"/>
        <v>20776479</v>
      </c>
      <c r="P109" s="362">
        <v>0</v>
      </c>
      <c r="Q109" s="365">
        <v>0</v>
      </c>
      <c r="R109" s="9"/>
      <c r="S109" s="356" t="str">
        <f>+IF(OCTUBRE!S109=0,"",OCTUBRE!S109)</f>
        <v/>
      </c>
      <c r="T109" s="678" t="str">
        <f>+IF(OCTUBRE!T109=0,"",OCTUBRE!T109)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+IF(OCTUBRE!A110=0,"",OCTUBRE!A110)</f>
        <v>11304-6</v>
      </c>
      <c r="B110" s="602" t="str">
        <f>+IF(OCTUBRE!B110=0,"",OCTUBRE!B110)</f>
        <v>Otros</v>
      </c>
      <c r="C110" s="654">
        <f>+ENERO!C110</f>
        <v>0</v>
      </c>
      <c r="D110" s="363">
        <f>OCTUBRE!D110+NOVIEMBRE!P110</f>
        <v>0</v>
      </c>
      <c r="E110" s="363">
        <f>OCTUBRE!E110+NOVIEMBRE!Q110</f>
        <v>2205940</v>
      </c>
      <c r="F110" s="363">
        <f t="shared" si="112"/>
        <v>2205940</v>
      </c>
      <c r="G110" s="363">
        <f>OCTUBRE!I110</f>
        <v>2205940</v>
      </c>
      <c r="H110" s="364">
        <v>0</v>
      </c>
      <c r="I110" s="454">
        <f t="shared" si="113"/>
        <v>2205940</v>
      </c>
      <c r="J110" s="363">
        <f>OCTUBRE!L110</f>
        <v>2205940</v>
      </c>
      <c r="K110" s="364">
        <v>0</v>
      </c>
      <c r="L110" s="454">
        <f t="shared" si="114"/>
        <v>2205940</v>
      </c>
      <c r="M110" s="363">
        <f t="shared" si="115"/>
        <v>0</v>
      </c>
      <c r="N110" s="143">
        <f t="shared" si="116"/>
        <v>0</v>
      </c>
      <c r="P110" s="362">
        <v>0</v>
      </c>
      <c r="Q110" s="365">
        <v>0</v>
      </c>
      <c r="R110" s="9"/>
      <c r="S110" s="686">
        <f>+IF(OCTUBRE!S110=0,"",OCTUBRE!S110)</f>
        <v>2000000</v>
      </c>
      <c r="T110" s="668" t="str">
        <f>+IF(OCTUBRE!T110=0,"",OCTUBRE!T110)</f>
        <v>GASTOS GENERALES</v>
      </c>
      <c r="U110" s="460">
        <f t="shared" ref="U110:AJ110" si="118">U112+U145</f>
        <v>11975719527</v>
      </c>
      <c r="V110" s="461">
        <f t="shared" si="118"/>
        <v>-1068000000</v>
      </c>
      <c r="W110" s="461">
        <f t="shared" si="118"/>
        <v>3979616634</v>
      </c>
      <c r="X110" s="462">
        <f t="shared" si="118"/>
        <v>14887336161</v>
      </c>
      <c r="Y110" s="369">
        <f t="shared" si="118"/>
        <v>11895625844</v>
      </c>
      <c r="Z110" s="461">
        <f t="shared" si="118"/>
        <v>1046829718</v>
      </c>
      <c r="AA110" s="462">
        <f t="shared" si="118"/>
        <v>12942455562</v>
      </c>
      <c r="AB110" s="369">
        <f t="shared" si="118"/>
        <v>10693606828</v>
      </c>
      <c r="AC110" s="461">
        <f t="shared" si="118"/>
        <v>717686826</v>
      </c>
      <c r="AD110" s="462">
        <f t="shared" si="118"/>
        <v>11411293654</v>
      </c>
      <c r="AE110" s="369">
        <f t="shared" si="118"/>
        <v>8869590977</v>
      </c>
      <c r="AF110" s="461">
        <f t="shared" si="118"/>
        <v>625878038</v>
      </c>
      <c r="AG110" s="462">
        <f t="shared" si="118"/>
        <v>9495469015</v>
      </c>
      <c r="AH110" s="369">
        <f t="shared" si="118"/>
        <v>1944880599</v>
      </c>
      <c r="AI110" s="461">
        <f t="shared" si="118"/>
        <v>3476042507</v>
      </c>
      <c r="AJ110" s="370">
        <f t="shared" si="118"/>
        <v>5391867146</v>
      </c>
      <c r="AK110" s="10"/>
      <c r="AL110" s="128">
        <f>AL112+AL145</f>
        <v>-100000000</v>
      </c>
      <c r="AM110" s="130">
        <f>AM112+AM145</f>
        <v>380000000</v>
      </c>
      <c r="AN110" s="9"/>
      <c r="AO110" s="284"/>
      <c r="AP110" s="284"/>
      <c r="AQ110" s="284"/>
      <c r="AR110" s="284"/>
      <c r="AS110" s="284"/>
      <c r="AT110" s="284"/>
      <c r="AU110" s="284"/>
      <c r="AV110" s="284"/>
      <c r="AW110" s="284"/>
      <c r="AX110" s="284"/>
      <c r="AY110" s="284"/>
      <c r="AZ110" s="284"/>
    </row>
    <row r="111" spans="1:70" s="372" customFormat="1" ht="24.95" customHeight="1" thickBot="1">
      <c r="A111" s="721" t="str">
        <f>+IF(OCTUBRE!A111=0,"",OCTUBRE!A111)</f>
        <v>11304-7</v>
      </c>
      <c r="B111" s="637" t="str">
        <f>+IF(OCTUBRE!B111=0,"",OCTUBRE!B111)</f>
        <v>Vigencia Anterior</v>
      </c>
      <c r="C111" s="760">
        <f>+ENERO!C111</f>
        <v>0</v>
      </c>
      <c r="D111" s="375">
        <f>OCTUBRE!D111+NOVIEMBRE!P111</f>
        <v>0</v>
      </c>
      <c r="E111" s="375">
        <f>OCTUBRE!E111+NOVIEMBRE!Q111</f>
        <v>0</v>
      </c>
      <c r="F111" s="375">
        <f t="shared" si="112"/>
        <v>0</v>
      </c>
      <c r="G111" s="375">
        <f>OCTUBRE!I111</f>
        <v>0</v>
      </c>
      <c r="H111" s="378">
        <v>0</v>
      </c>
      <c r="I111" s="452">
        <f t="shared" si="113"/>
        <v>0</v>
      </c>
      <c r="J111" s="375">
        <f>OCTUBRE!L111</f>
        <v>0</v>
      </c>
      <c r="K111" s="378">
        <v>0</v>
      </c>
      <c r="L111" s="452">
        <f t="shared" si="114"/>
        <v>0</v>
      </c>
      <c r="M111" s="375">
        <f t="shared" si="115"/>
        <v>0</v>
      </c>
      <c r="N111" s="376">
        <f t="shared" si="116"/>
        <v>0</v>
      </c>
      <c r="P111" s="362">
        <v>0</v>
      </c>
      <c r="Q111" s="365">
        <v>0</v>
      </c>
      <c r="R111" s="9"/>
      <c r="S111" s="356" t="str">
        <f>+IF(OCTUBRE!S111=0,"",OCTUBRE!S111)</f>
        <v/>
      </c>
      <c r="T111" s="678" t="str">
        <f>+IF(OCTUBRE!T111=0,"",OCTUBRE!T111)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+IF(OCTUBRE!A112=0,"",OCTUBRE!A112)</f>
        <v/>
      </c>
      <c r="B112" s="636" t="str">
        <f>+IF(OCTUBRE!B112=0,"",OCTUBRE!B112)</f>
        <v/>
      </c>
      <c r="C112" s="470"/>
      <c r="D112" s="470"/>
      <c r="E112" s="470"/>
      <c r="F112" s="470"/>
      <c r="G112" s="470"/>
      <c r="H112" s="470"/>
      <c r="I112" s="837"/>
      <c r="J112" s="470"/>
      <c r="K112" s="470"/>
      <c r="L112" s="837"/>
      <c r="M112" s="470"/>
      <c r="N112" s="471"/>
      <c r="P112" s="472"/>
      <c r="Q112" s="471"/>
      <c r="R112" s="9"/>
      <c r="S112" s="686">
        <f>+IF(OCTUBRE!S112=0,"",OCTUBRE!S112)</f>
        <v>2010000</v>
      </c>
      <c r="T112" s="662" t="str">
        <f>+IF(OCTUBRE!T112=0,"",OCTUBRE!T112)</f>
        <v>Gastos de Administración</v>
      </c>
      <c r="U112" s="132">
        <f t="shared" ref="U112:AJ112" si="119">U114+U123+U141</f>
        <v>6052082264</v>
      </c>
      <c r="V112" s="122">
        <f t="shared" si="119"/>
        <v>-1470000000</v>
      </c>
      <c r="W112" s="122">
        <f t="shared" si="119"/>
        <v>1214314729</v>
      </c>
      <c r="X112" s="129">
        <f t="shared" si="119"/>
        <v>5796396993</v>
      </c>
      <c r="Y112" s="128">
        <f t="shared" si="119"/>
        <v>4729971616</v>
      </c>
      <c r="Z112" s="122">
        <f t="shared" si="119"/>
        <v>362714916</v>
      </c>
      <c r="AA112" s="129">
        <f t="shared" si="119"/>
        <v>5092686532</v>
      </c>
      <c r="AB112" s="128">
        <f t="shared" si="119"/>
        <v>4344557681</v>
      </c>
      <c r="AC112" s="122">
        <f t="shared" si="119"/>
        <v>293647481</v>
      </c>
      <c r="AD112" s="129">
        <f t="shared" si="119"/>
        <v>4638205162</v>
      </c>
      <c r="AE112" s="128">
        <f t="shared" si="119"/>
        <v>3663360493</v>
      </c>
      <c r="AF112" s="122">
        <f t="shared" si="119"/>
        <v>388292530</v>
      </c>
      <c r="AG112" s="129">
        <f t="shared" si="119"/>
        <v>4051653023</v>
      </c>
      <c r="AH112" s="128">
        <f t="shared" si="119"/>
        <v>703710461</v>
      </c>
      <c r="AI112" s="122">
        <f t="shared" si="119"/>
        <v>1158191831</v>
      </c>
      <c r="AJ112" s="130">
        <f t="shared" si="119"/>
        <v>1744743970</v>
      </c>
      <c r="AK112" s="9"/>
      <c r="AL112" s="128">
        <f>AL114+AL123+AL141</f>
        <v>20000000</v>
      </c>
      <c r="AM112" s="130">
        <f>AM114+AM123+AM141</f>
        <v>160000000</v>
      </c>
      <c r="AN112" s="9"/>
      <c r="AO112" s="284"/>
      <c r="AP112" s="284"/>
      <c r="AQ112" s="284"/>
      <c r="AR112" s="284"/>
      <c r="AS112" s="284"/>
      <c r="AT112" s="284"/>
      <c r="AU112" s="284"/>
      <c r="AV112" s="284"/>
      <c r="AW112" s="284"/>
      <c r="AX112" s="284"/>
      <c r="AY112" s="284"/>
      <c r="AZ112" s="284"/>
    </row>
    <row r="113" spans="1:52" s="372" customFormat="1" ht="24.95" customHeight="1" thickBot="1">
      <c r="A113" s="711">
        <f>+IF(OCTUBRE!A113=0,"",OCTUBRE!A113)</f>
        <v>2000</v>
      </c>
      <c r="B113" s="623" t="str">
        <f>+IF(OCTUBRE!B113=0,"",OCTUBRE!B113)</f>
        <v>INGRESOS DE CAPITAL</v>
      </c>
      <c r="C113" s="606">
        <f>SUM(C115:C124)</f>
        <v>200295319</v>
      </c>
      <c r="D113" s="607">
        <f>SUM(D115:D124)</f>
        <v>0</v>
      </c>
      <c r="E113" s="607">
        <f t="shared" ref="E113:N113" si="120">SUM(E115:E124)</f>
        <v>604494607</v>
      </c>
      <c r="F113" s="607">
        <f t="shared" si="120"/>
        <v>804789926</v>
      </c>
      <c r="G113" s="607">
        <f t="shared" si="120"/>
        <v>757329975</v>
      </c>
      <c r="H113" s="607">
        <f t="shared" si="120"/>
        <v>21175100</v>
      </c>
      <c r="I113" s="607">
        <f t="shared" si="120"/>
        <v>778505075</v>
      </c>
      <c r="J113" s="607">
        <f t="shared" si="120"/>
        <v>757329975</v>
      </c>
      <c r="K113" s="607">
        <f t="shared" si="120"/>
        <v>21175100</v>
      </c>
      <c r="L113" s="607">
        <f t="shared" si="120"/>
        <v>778505075</v>
      </c>
      <c r="M113" s="607">
        <f t="shared" si="120"/>
        <v>26284851</v>
      </c>
      <c r="N113" s="608">
        <f t="shared" si="120"/>
        <v>26284851</v>
      </c>
      <c r="O113" s="451"/>
      <c r="P113" s="174">
        <f>SUM(P115:P124)</f>
        <v>0</v>
      </c>
      <c r="Q113" s="175">
        <f>SUM(Q115:Q124)</f>
        <v>1465830</v>
      </c>
      <c r="R113" s="9"/>
      <c r="S113" s="356" t="str">
        <f>+IF(OCTUBRE!S113=0,"",OCTUBRE!S113)</f>
        <v/>
      </c>
      <c r="T113" s="678" t="str">
        <f>+IF(OCTUBRE!T113=0,"",OCTUBRE!T113)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+IF(OCTUBRE!A114=0,"",OCTUBRE!A114)</f>
        <v/>
      </c>
      <c r="B114" s="636" t="str">
        <f>+IF(OCTUBRE!B114=0,"",OCTUBRE!B114)</f>
        <v/>
      </c>
      <c r="C114" s="470"/>
      <c r="D114" s="470"/>
      <c r="E114" s="470"/>
      <c r="F114" s="470"/>
      <c r="G114" s="470"/>
      <c r="H114" s="470"/>
      <c r="I114" s="837"/>
      <c r="J114" s="470"/>
      <c r="K114" s="470"/>
      <c r="L114" s="837"/>
      <c r="M114" s="470"/>
      <c r="N114" s="471"/>
      <c r="P114" s="472"/>
      <c r="Q114" s="471"/>
      <c r="R114" s="9"/>
      <c r="S114" s="687">
        <f>+IF(OCTUBRE!S114=0,"",OCTUBRE!S114)</f>
        <v>2010100</v>
      </c>
      <c r="T114" s="663" t="str">
        <f>+IF(OCTUBRE!T114=0,"",OCTUBRE!T114)</f>
        <v>Adquisición de bienes</v>
      </c>
      <c r="U114" s="132">
        <f t="shared" ref="U114:AJ114" si="121">SUM(U115:U121)</f>
        <v>2750000000</v>
      </c>
      <c r="V114" s="122">
        <f t="shared" si="121"/>
        <v>-1565000000</v>
      </c>
      <c r="W114" s="122">
        <f t="shared" si="121"/>
        <v>694314729</v>
      </c>
      <c r="X114" s="129">
        <f t="shared" si="121"/>
        <v>1879314729</v>
      </c>
      <c r="Y114" s="128">
        <f t="shared" si="121"/>
        <v>1578658160</v>
      </c>
      <c r="Z114" s="122">
        <f t="shared" si="121"/>
        <v>178606458</v>
      </c>
      <c r="AA114" s="129">
        <f t="shared" si="121"/>
        <v>1757264618</v>
      </c>
      <c r="AB114" s="128">
        <f t="shared" si="121"/>
        <v>1534879870</v>
      </c>
      <c r="AC114" s="122">
        <f t="shared" si="121"/>
        <v>69428650</v>
      </c>
      <c r="AD114" s="129">
        <f t="shared" si="121"/>
        <v>1604308520</v>
      </c>
      <c r="AE114" s="128">
        <f t="shared" si="121"/>
        <v>1186567715</v>
      </c>
      <c r="AF114" s="122">
        <f t="shared" si="121"/>
        <v>256247001</v>
      </c>
      <c r="AG114" s="129">
        <f t="shared" si="121"/>
        <v>1442814716</v>
      </c>
      <c r="AH114" s="128">
        <f t="shared" si="121"/>
        <v>122050111</v>
      </c>
      <c r="AI114" s="122">
        <f t="shared" si="121"/>
        <v>275006209</v>
      </c>
      <c r="AJ114" s="130">
        <f t="shared" si="121"/>
        <v>436500013</v>
      </c>
      <c r="AK114" s="9"/>
      <c r="AL114" s="128">
        <f>SUM(AL115:AL121)</f>
        <v>35000000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+IF(OCTUBRE!A115=0,"",OCTUBRE!A115)</f>
        <v>2100</v>
      </c>
      <c r="B115" s="609" t="str">
        <f>+IF(OCTUBRE!B115=0,"",OCTUBRE!B115)</f>
        <v>CREDITO INTERNO</v>
      </c>
      <c r="C115" s="655">
        <f>+ENERO!C115</f>
        <v>0</v>
      </c>
      <c r="D115" s="454">
        <f>OCTUBRE!D115+NOVIEMBRE!P115</f>
        <v>0</v>
      </c>
      <c r="E115" s="454">
        <f>OCTUBRE!E115+NOVIEMBRE!Q115</f>
        <v>0</v>
      </c>
      <c r="F115" s="458">
        <f t="shared" ref="F115:F124" si="122">SUM(C115:E115)</f>
        <v>0</v>
      </c>
      <c r="G115" s="456">
        <f>OCTUBRE!I115</f>
        <v>0</v>
      </c>
      <c r="H115" s="364">
        <v>0</v>
      </c>
      <c r="I115" s="458">
        <f t="shared" ref="I115:I124" si="123">SUM(G115:H115)</f>
        <v>0</v>
      </c>
      <c r="J115" s="456">
        <f>OCTUBRE!L115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+IF(OCTUBRE!S115=0,"",OCTUBRE!S115)</f>
        <v>2010100-1</v>
      </c>
      <c r="T115" s="664" t="str">
        <f>+IF(OCTUBRE!T115=0,"",OCTUBRE!T115)</f>
        <v>Compra de Equipos</v>
      </c>
      <c r="U115" s="27">
        <f>+ENERO!U115</f>
        <v>2350000000</v>
      </c>
      <c r="V115" s="15">
        <f>OCTUBRE!V115+NOVIEMBRE!AL115</f>
        <v>-1730000000</v>
      </c>
      <c r="W115" s="15">
        <f>OCTUBRE!W115+NOVIEMBRE!AM115</f>
        <v>0</v>
      </c>
      <c r="X115" s="18">
        <f t="shared" ref="X115:X121" si="127">SUM(U115:W115)</f>
        <v>620000000</v>
      </c>
      <c r="Y115" s="19">
        <f>OCTUBRE!AA115</f>
        <v>553494882</v>
      </c>
      <c r="Z115" s="364">
        <v>44807644</v>
      </c>
      <c r="AA115" s="18">
        <f t="shared" ref="AA115:AA121" si="128">SUM(Y115:Z115)</f>
        <v>598302526</v>
      </c>
      <c r="AB115" s="19">
        <f>OCTUBRE!AD115</f>
        <v>553494882</v>
      </c>
      <c r="AC115" s="364">
        <v>899500</v>
      </c>
      <c r="AD115" s="18">
        <f t="shared" ref="AD115:AD121" si="129">SUM(AB115:AC115)</f>
        <v>554394382</v>
      </c>
      <c r="AE115" s="19">
        <f>OCTUBRE!AG115</f>
        <v>305548788</v>
      </c>
      <c r="AF115" s="364">
        <v>212132309</v>
      </c>
      <c r="AG115" s="18">
        <f t="shared" ref="AG115:AG121" si="130">SUM(AE115:AF115)</f>
        <v>517681097</v>
      </c>
      <c r="AH115" s="19">
        <f t="shared" ref="AH115:AH121" si="131">X115-AA115</f>
        <v>21697474</v>
      </c>
      <c r="AI115" s="15">
        <f t="shared" ref="AI115:AI121" si="132">X115-AD115</f>
        <v>65605618</v>
      </c>
      <c r="AJ115" s="16">
        <f t="shared" ref="AJ115:AJ121" si="133">X115-AG115</f>
        <v>102318903</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+IF(OCTUBRE!A116=0,"",OCTUBRE!A116)</f>
        <v>2100-1</v>
      </c>
      <c r="B116" s="610" t="str">
        <f>+IF(OCTUBRE!B116=0,"",OCTUBRE!B116)</f>
        <v>Vigencia Anterior</v>
      </c>
      <c r="C116" s="655">
        <f>+ENERO!C116</f>
        <v>0</v>
      </c>
      <c r="D116" s="454">
        <f>OCTUBRE!D116+NOVIEMBRE!P116</f>
        <v>0</v>
      </c>
      <c r="E116" s="454">
        <f>OCTUBRE!E116+NOVIEMBRE!Q116</f>
        <v>0</v>
      </c>
      <c r="F116" s="458">
        <f t="shared" si="122"/>
        <v>0</v>
      </c>
      <c r="G116" s="456">
        <f>OCTUBRE!I116</f>
        <v>0</v>
      </c>
      <c r="H116" s="364">
        <v>0</v>
      </c>
      <c r="I116" s="458">
        <f t="shared" si="123"/>
        <v>0</v>
      </c>
      <c r="J116" s="456">
        <f>OCTUBRE!L116</f>
        <v>0</v>
      </c>
      <c r="K116" s="364">
        <v>0</v>
      </c>
      <c r="L116" s="455">
        <f t="shared" si="124"/>
        <v>0</v>
      </c>
      <c r="M116" s="459">
        <f t="shared" si="125"/>
        <v>0</v>
      </c>
      <c r="N116" s="455">
        <f t="shared" si="126"/>
        <v>0</v>
      </c>
      <c r="O116" s="451"/>
      <c r="P116" s="362">
        <v>0</v>
      </c>
      <c r="Q116" s="365">
        <v>0</v>
      </c>
      <c r="R116" s="9"/>
      <c r="S116" s="688" t="str">
        <f>+IF(OCTUBRE!S116=0,"",OCTUBRE!S116)</f>
        <v>2010100-2</v>
      </c>
      <c r="T116" s="664" t="str">
        <f>+IF(OCTUBRE!T116=0,"",OCTUBRE!T116)</f>
        <v>Materiales</v>
      </c>
      <c r="U116" s="27">
        <f>+ENERO!U116</f>
        <v>300000000</v>
      </c>
      <c r="V116" s="15">
        <f>OCTUBRE!V116+NOVIEMBRE!AL116</f>
        <v>0</v>
      </c>
      <c r="W116" s="15">
        <f>OCTUBRE!W116+NOVIEMBRE!AM116</f>
        <v>294314729</v>
      </c>
      <c r="X116" s="18">
        <f t="shared" si="127"/>
        <v>594314729</v>
      </c>
      <c r="Y116" s="19">
        <f>OCTUBRE!AA116</f>
        <v>404021061</v>
      </c>
      <c r="Z116" s="364">
        <v>95591545</v>
      </c>
      <c r="AA116" s="18">
        <f t="shared" si="128"/>
        <v>499612606</v>
      </c>
      <c r="AB116" s="19">
        <f>OCTUBRE!AD116</f>
        <v>400242771</v>
      </c>
      <c r="AC116" s="364">
        <v>68529150</v>
      </c>
      <c r="AD116" s="18">
        <f t="shared" si="129"/>
        <v>468771921</v>
      </c>
      <c r="AE116" s="19">
        <f>OCTUBRE!AG116</f>
        <v>299876710</v>
      </c>
      <c r="AF116" s="364">
        <v>44114692</v>
      </c>
      <c r="AG116" s="18">
        <f t="shared" si="130"/>
        <v>343991402</v>
      </c>
      <c r="AH116" s="19">
        <f t="shared" si="131"/>
        <v>94702123</v>
      </c>
      <c r="AI116" s="15">
        <f t="shared" si="132"/>
        <v>125542808</v>
      </c>
      <c r="AJ116" s="16">
        <f t="shared" si="133"/>
        <v>250323327</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+IF(OCTUBRE!A117=0,"",OCTUBRE!A117)</f>
        <v>2200</v>
      </c>
      <c r="B117" s="609" t="str">
        <f>+IF(OCTUBRE!B117=0,"",OCTUBRE!B117)</f>
        <v>CREDITO EXTERNO</v>
      </c>
      <c r="C117" s="655">
        <f>+ENERO!C117</f>
        <v>0</v>
      </c>
      <c r="D117" s="454">
        <f>OCTUBRE!D117+NOVIEMBRE!P117</f>
        <v>0</v>
      </c>
      <c r="E117" s="454">
        <f>OCTUBRE!E117+NOVIEMBRE!Q117</f>
        <v>0</v>
      </c>
      <c r="F117" s="458">
        <f t="shared" si="122"/>
        <v>0</v>
      </c>
      <c r="G117" s="456">
        <f>OCTUBRE!I117</f>
        <v>0</v>
      </c>
      <c r="H117" s="364">
        <v>0</v>
      </c>
      <c r="I117" s="458">
        <f t="shared" si="123"/>
        <v>0</v>
      </c>
      <c r="J117" s="456">
        <f>OCTUBRE!L117</f>
        <v>0</v>
      </c>
      <c r="K117" s="364">
        <v>0</v>
      </c>
      <c r="L117" s="455">
        <f t="shared" si="124"/>
        <v>0</v>
      </c>
      <c r="M117" s="459">
        <f t="shared" si="125"/>
        <v>0</v>
      </c>
      <c r="N117" s="455">
        <f t="shared" si="126"/>
        <v>0</v>
      </c>
      <c r="O117" s="451"/>
      <c r="P117" s="362">
        <v>0</v>
      </c>
      <c r="Q117" s="365">
        <v>0</v>
      </c>
      <c r="R117" s="9"/>
      <c r="S117" s="688" t="str">
        <f>+IF(OCTUBRE!S117=0,"",OCTUBRE!S117)</f>
        <v>2010100-3</v>
      </c>
      <c r="T117" s="664" t="str">
        <f>+IF(OCTUBRE!T117=0,"",OCTUBRE!T117)</f>
        <v>Salud Ocupacional</v>
      </c>
      <c r="U117" s="27">
        <f>+ENERO!U117</f>
        <v>0</v>
      </c>
      <c r="V117" s="15">
        <f>OCTUBRE!V117+NOVIEMBRE!AL117</f>
        <v>40000000</v>
      </c>
      <c r="W117" s="15">
        <f>OCTUBRE!W117+NOVIEMBRE!AM117</f>
        <v>0</v>
      </c>
      <c r="X117" s="18">
        <f t="shared" si="127"/>
        <v>40000000</v>
      </c>
      <c r="Y117" s="19">
        <f>OCTUBRE!AA117</f>
        <v>40000000</v>
      </c>
      <c r="Z117" s="364">
        <v>0</v>
      </c>
      <c r="AA117" s="18">
        <f t="shared" si="128"/>
        <v>40000000</v>
      </c>
      <c r="AB117" s="19">
        <f>OCTUBRE!AD117</f>
        <v>0</v>
      </c>
      <c r="AC117" s="364">
        <v>0</v>
      </c>
      <c r="AD117" s="18">
        <f t="shared" si="129"/>
        <v>0</v>
      </c>
      <c r="AE117" s="19">
        <f>OCTUBRE!AG117</f>
        <v>0</v>
      </c>
      <c r="AF117" s="364">
        <v>0</v>
      </c>
      <c r="AG117" s="18">
        <f t="shared" si="130"/>
        <v>0</v>
      </c>
      <c r="AH117" s="19">
        <f t="shared" si="131"/>
        <v>0</v>
      </c>
      <c r="AI117" s="15">
        <f t="shared" si="132"/>
        <v>40000000</v>
      </c>
      <c r="AJ117" s="16">
        <f t="shared" si="133"/>
        <v>40000000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+IF(OCTUBRE!A118=0,"",OCTUBRE!A118)</f>
        <v>2200-1</v>
      </c>
      <c r="B118" s="610" t="str">
        <f>+IF(OCTUBRE!B118=0,"",OCTUBRE!B118)</f>
        <v>Vigencia Anterior</v>
      </c>
      <c r="C118" s="655">
        <f>+ENERO!C118</f>
        <v>0</v>
      </c>
      <c r="D118" s="454">
        <f>OCTUBRE!D118+NOVIEMBRE!P118</f>
        <v>0</v>
      </c>
      <c r="E118" s="454">
        <f>OCTUBRE!E118+NOVIEMBRE!Q118</f>
        <v>0</v>
      </c>
      <c r="F118" s="458">
        <f t="shared" si="122"/>
        <v>0</v>
      </c>
      <c r="G118" s="456">
        <f>OCTUBRE!I118</f>
        <v>0</v>
      </c>
      <c r="H118" s="364">
        <v>0</v>
      </c>
      <c r="I118" s="458">
        <f t="shared" si="123"/>
        <v>0</v>
      </c>
      <c r="J118" s="456">
        <f>OCTUBRE!L118</f>
        <v>0</v>
      </c>
      <c r="K118" s="364">
        <v>0</v>
      </c>
      <c r="L118" s="455">
        <f t="shared" si="124"/>
        <v>0</v>
      </c>
      <c r="M118" s="459">
        <f t="shared" si="125"/>
        <v>0</v>
      </c>
      <c r="N118" s="455">
        <f t="shared" si="126"/>
        <v>0</v>
      </c>
      <c r="O118" s="451"/>
      <c r="P118" s="362">
        <v>0</v>
      </c>
      <c r="Q118" s="365">
        <v>0</v>
      </c>
      <c r="R118" s="9"/>
      <c r="S118" s="688" t="str">
        <f>+IF(OCTUBRE!S118=0,"",OCTUBRE!S118)</f>
        <v>2010100-4</v>
      </c>
      <c r="T118" s="664" t="str">
        <f>+IF(OCTUBRE!T118=0,"",OCTUBRE!T118)</f>
        <v/>
      </c>
      <c r="U118" s="27">
        <f>+ENERO!U118</f>
        <v>0</v>
      </c>
      <c r="V118" s="15">
        <f>OCTUBRE!V118+NOVIEMBRE!AL118</f>
        <v>105000000</v>
      </c>
      <c r="W118" s="15">
        <f>OCTUBRE!W118+NOVIEMBRE!AM118</f>
        <v>0</v>
      </c>
      <c r="X118" s="18">
        <f t="shared" si="127"/>
        <v>105000000</v>
      </c>
      <c r="Y118" s="19">
        <f>OCTUBRE!AA118</f>
        <v>65000000</v>
      </c>
      <c r="Z118" s="364">
        <v>38207269</v>
      </c>
      <c r="AA118" s="18">
        <f t="shared" si="128"/>
        <v>103207269</v>
      </c>
      <c r="AB118" s="19">
        <f>OCTUBRE!AD118</f>
        <v>65000000</v>
      </c>
      <c r="AC118" s="364">
        <v>0</v>
      </c>
      <c r="AD118" s="18">
        <f t="shared" si="129"/>
        <v>65000000</v>
      </c>
      <c r="AE118" s="19">
        <f>OCTUBRE!AG118</f>
        <v>65000000</v>
      </c>
      <c r="AF118" s="364">
        <v>0</v>
      </c>
      <c r="AG118" s="18">
        <f t="shared" si="130"/>
        <v>65000000</v>
      </c>
      <c r="AH118" s="19">
        <f t="shared" si="131"/>
        <v>1792731</v>
      </c>
      <c r="AI118" s="15">
        <f t="shared" si="132"/>
        <v>40000000</v>
      </c>
      <c r="AJ118" s="16">
        <f t="shared" si="133"/>
        <v>40000000</v>
      </c>
      <c r="AK118" s="9"/>
      <c r="AL118" s="362">
        <v>35000000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+IF(OCTUBRE!A119=0,"",OCTUBRE!A119)</f>
        <v>2300</v>
      </c>
      <c r="B119" s="609" t="str">
        <f>+IF(OCTUBRE!B119=0,"",OCTUBRE!B119)</f>
        <v>RENDIMIENTOS FINANCIEROS</v>
      </c>
      <c r="C119" s="655">
        <f>+ENERO!C119</f>
        <v>200295319</v>
      </c>
      <c r="D119" s="454">
        <f>OCTUBRE!D119+NOVIEMBRE!P119</f>
        <v>0</v>
      </c>
      <c r="E119" s="454">
        <f>OCTUBRE!E119+NOVIEMBRE!Q119</f>
        <v>0</v>
      </c>
      <c r="F119" s="458">
        <f t="shared" si="122"/>
        <v>200295319</v>
      </c>
      <c r="G119" s="216">
        <f>OCTUBRE!I119</f>
        <v>152835368</v>
      </c>
      <c r="H119" s="364">
        <v>13514733</v>
      </c>
      <c r="I119" s="458">
        <f t="shared" si="123"/>
        <v>166350101</v>
      </c>
      <c r="J119" s="216">
        <f>OCTUBRE!L119</f>
        <v>152835368</v>
      </c>
      <c r="K119" s="364">
        <v>13514733</v>
      </c>
      <c r="L119" s="455">
        <f t="shared" si="124"/>
        <v>166350101</v>
      </c>
      <c r="M119" s="428">
        <f t="shared" si="125"/>
        <v>33945218</v>
      </c>
      <c r="N119" s="143">
        <f t="shared" si="126"/>
        <v>33945218</v>
      </c>
      <c r="O119" s="451"/>
      <c r="P119" s="362">
        <v>0</v>
      </c>
      <c r="Q119" s="365">
        <v>0</v>
      </c>
      <c r="R119" s="9"/>
      <c r="S119" s="688" t="str">
        <f>+IF(OCTUBRE!S119=0,"",OCTUBRE!S119)</f>
        <v>2010100-5</v>
      </c>
      <c r="T119" s="664" t="str">
        <f>+IF(OCTUBRE!T119=0,"",OCTUBRE!T119)</f>
        <v/>
      </c>
      <c r="U119" s="27">
        <f>+ENERO!U119</f>
        <v>0</v>
      </c>
      <c r="V119" s="15">
        <f>OCTUBRE!V119+NOVIEMBRE!AL119</f>
        <v>0</v>
      </c>
      <c r="W119" s="15">
        <f>OCTUBRE!W119+NOVIEMBRE!AM119</f>
        <v>0</v>
      </c>
      <c r="X119" s="18">
        <f t="shared" si="127"/>
        <v>0</v>
      </c>
      <c r="Y119" s="19">
        <f>OCTUBRE!AA119</f>
        <v>0</v>
      </c>
      <c r="Z119" s="364">
        <v>0</v>
      </c>
      <c r="AA119" s="18">
        <f t="shared" si="128"/>
        <v>0</v>
      </c>
      <c r="AB119" s="19">
        <f>OCTUBRE!AD119</f>
        <v>0</v>
      </c>
      <c r="AC119" s="364">
        <v>0</v>
      </c>
      <c r="AD119" s="18">
        <f t="shared" si="129"/>
        <v>0</v>
      </c>
      <c r="AE119" s="19">
        <f>OCTUBRE!AG119</f>
        <v>0</v>
      </c>
      <c r="AF119" s="364">
        <v>0</v>
      </c>
      <c r="AG119" s="1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+IF(OCTUBRE!A120=0,"",OCTUBRE!A120)</f>
        <v>2400</v>
      </c>
      <c r="B120" s="610" t="str">
        <f>+IF(OCTUBRE!B120=0,"",OCTUBRE!B120)</f>
        <v>VENTA DE ACTIVOS</v>
      </c>
      <c r="C120" s="655">
        <f>+ENERO!C120</f>
        <v>0</v>
      </c>
      <c r="D120" s="454">
        <f>OCTUBRE!D120+NOVIEMBRE!P120</f>
        <v>0</v>
      </c>
      <c r="E120" s="454">
        <f>OCTUBRE!E120+NOVIEMBRE!Q120</f>
        <v>0</v>
      </c>
      <c r="F120" s="458">
        <f t="shared" si="122"/>
        <v>0</v>
      </c>
      <c r="G120" s="216">
        <f>OCTUBRE!I120</f>
        <v>0</v>
      </c>
      <c r="H120" s="364">
        <v>0</v>
      </c>
      <c r="I120" s="458">
        <f t="shared" si="123"/>
        <v>0</v>
      </c>
      <c r="J120" s="216">
        <f>OCTUBRE!L120</f>
        <v>0</v>
      </c>
      <c r="K120" s="364">
        <v>0</v>
      </c>
      <c r="L120" s="455">
        <f t="shared" si="124"/>
        <v>0</v>
      </c>
      <c r="M120" s="428">
        <f t="shared" si="125"/>
        <v>0</v>
      </c>
      <c r="N120" s="143">
        <f t="shared" si="126"/>
        <v>0</v>
      </c>
      <c r="P120" s="362">
        <v>0</v>
      </c>
      <c r="Q120" s="365">
        <v>0</v>
      </c>
      <c r="R120" s="9"/>
      <c r="S120" s="688" t="str">
        <f>+IF(OCTUBRE!S120=0,"",OCTUBRE!S120)</f>
        <v>2010100-6</v>
      </c>
      <c r="T120" s="664" t="str">
        <f>+IF(OCTUBRE!T120=0,"",OCTUBRE!T120)</f>
        <v/>
      </c>
      <c r="U120" s="27">
        <f>+ENERO!U120</f>
        <v>0</v>
      </c>
      <c r="V120" s="15">
        <f>OCTUBRE!V120+NOVIEMBRE!AL120</f>
        <v>0</v>
      </c>
      <c r="W120" s="15">
        <f>OCTUBRE!W120+NOVIEMBRE!AM120</f>
        <v>0</v>
      </c>
      <c r="X120" s="18">
        <f t="shared" si="127"/>
        <v>0</v>
      </c>
      <c r="Y120" s="19">
        <f>OCTUBRE!AA120</f>
        <v>0</v>
      </c>
      <c r="Z120" s="364">
        <v>0</v>
      </c>
      <c r="AA120" s="18">
        <f t="shared" si="128"/>
        <v>0</v>
      </c>
      <c r="AB120" s="19">
        <f>OCTUBRE!AD120</f>
        <v>0</v>
      </c>
      <c r="AC120" s="364">
        <v>0</v>
      </c>
      <c r="AD120" s="18">
        <f t="shared" si="129"/>
        <v>0</v>
      </c>
      <c r="AE120" s="19">
        <f>OCTUBRE!AG120</f>
        <v>0</v>
      </c>
      <c r="AF120" s="364">
        <v>0</v>
      </c>
      <c r="AG120" s="1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+IF(OCTUBRE!A121=0,"",OCTUBRE!A121)</f>
        <v>2500</v>
      </c>
      <c r="B121" s="610" t="str">
        <f>+IF(OCTUBRE!B121=0,"",OCTUBRE!B121)</f>
        <v>DONACIONES</v>
      </c>
      <c r="C121" s="655">
        <f>+ENERO!C121</f>
        <v>0</v>
      </c>
      <c r="D121" s="454">
        <f>OCTUBRE!D121+NOVIEMBRE!P121</f>
        <v>0</v>
      </c>
      <c r="E121" s="454">
        <f>OCTUBRE!E121+NOVIEMBRE!Q121</f>
        <v>1500000</v>
      </c>
      <c r="F121" s="458">
        <f t="shared" si="122"/>
        <v>1500000</v>
      </c>
      <c r="G121" s="216">
        <f>OCTUBRE!I121</f>
        <v>1500000</v>
      </c>
      <c r="H121" s="364">
        <v>0</v>
      </c>
      <c r="I121" s="458">
        <f t="shared" si="123"/>
        <v>1500000</v>
      </c>
      <c r="J121" s="216">
        <f>OCTUBRE!L121</f>
        <v>1500000</v>
      </c>
      <c r="K121" s="364">
        <v>0</v>
      </c>
      <c r="L121" s="455">
        <f t="shared" si="124"/>
        <v>1500000</v>
      </c>
      <c r="M121" s="428">
        <f t="shared" si="125"/>
        <v>0</v>
      </c>
      <c r="N121" s="143">
        <f t="shared" si="126"/>
        <v>0</v>
      </c>
      <c r="P121" s="362">
        <v>0</v>
      </c>
      <c r="Q121" s="365">
        <v>0</v>
      </c>
      <c r="R121" s="9"/>
      <c r="S121" s="688">
        <f>+IF(OCTUBRE!S121=0,"",OCTUBRE!S121)</f>
        <v>2010199</v>
      </c>
      <c r="T121" s="664" t="str">
        <f>+IF(OCTUBRE!T121=0,"",OCTUBRE!T121)</f>
        <v>Vigencias Anteriores</v>
      </c>
      <c r="U121" s="27">
        <f>+ENERO!U121</f>
        <v>100000000</v>
      </c>
      <c r="V121" s="15">
        <f>OCTUBRE!V121+NOVIEMBRE!AL121</f>
        <v>20000000</v>
      </c>
      <c r="W121" s="15">
        <f>OCTUBRE!W121+NOVIEMBRE!AM121</f>
        <v>400000000</v>
      </c>
      <c r="X121" s="18">
        <f t="shared" si="127"/>
        <v>520000000</v>
      </c>
      <c r="Y121" s="19">
        <f>OCTUBRE!AA121</f>
        <v>516142217</v>
      </c>
      <c r="Z121" s="364">
        <v>0</v>
      </c>
      <c r="AA121" s="18">
        <f t="shared" si="128"/>
        <v>516142217</v>
      </c>
      <c r="AB121" s="19">
        <f>OCTUBRE!AD121</f>
        <v>516142217</v>
      </c>
      <c r="AC121" s="364">
        <v>0</v>
      </c>
      <c r="AD121" s="18">
        <f t="shared" si="129"/>
        <v>516142217</v>
      </c>
      <c r="AE121" s="19">
        <f>OCTUBRE!AG121</f>
        <v>516142217</v>
      </c>
      <c r="AF121" s="364">
        <v>0</v>
      </c>
      <c r="AG121" s="18">
        <f t="shared" si="130"/>
        <v>516142217</v>
      </c>
      <c r="AH121" s="19">
        <f t="shared" si="131"/>
        <v>3857783</v>
      </c>
      <c r="AI121" s="15">
        <f t="shared" si="132"/>
        <v>3857783</v>
      </c>
      <c r="AJ121" s="16">
        <f t="shared" si="133"/>
        <v>3857783</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+IF(OCTUBRE!A122=0,"",OCTUBRE!A122)</f>
        <v>2600</v>
      </c>
      <c r="B122" s="610" t="str">
        <f>+IF(OCTUBRE!B122=0,"",OCTUBRE!B122)</f>
        <v>RECUPERACIÓN DE CARTERA (AÑO 2017 Y ANTERIORES)</v>
      </c>
      <c r="C122" s="655">
        <f>+ENERO!C122</f>
        <v>0</v>
      </c>
      <c r="D122" s="454">
        <f>OCTUBRE!D122+NOVIEMBRE!P122</f>
        <v>0</v>
      </c>
      <c r="E122" s="454">
        <f>OCTUBRE!E122+NOVIEMBRE!Q122</f>
        <v>0</v>
      </c>
      <c r="F122" s="458">
        <f t="shared" si="122"/>
        <v>0</v>
      </c>
      <c r="G122" s="216">
        <f>OCTUBRE!I122</f>
        <v>0</v>
      </c>
      <c r="H122" s="364">
        <v>0</v>
      </c>
      <c r="I122" s="458">
        <f t="shared" si="123"/>
        <v>0</v>
      </c>
      <c r="J122" s="216">
        <f>OCTUBRE!L122</f>
        <v>0</v>
      </c>
      <c r="K122" s="364">
        <v>0</v>
      </c>
      <c r="L122" s="455">
        <f t="shared" si="124"/>
        <v>0</v>
      </c>
      <c r="M122" s="428">
        <f t="shared" si="125"/>
        <v>0</v>
      </c>
      <c r="N122" s="143">
        <f t="shared" si="126"/>
        <v>0</v>
      </c>
      <c r="P122" s="362">
        <v>0</v>
      </c>
      <c r="Q122" s="365">
        <v>0</v>
      </c>
      <c r="R122" s="9"/>
      <c r="S122" s="356" t="str">
        <f>+IF(OCTUBRE!S122=0,"",OCTUBRE!S122)</f>
        <v/>
      </c>
      <c r="T122" s="678" t="str">
        <f>+IF(OCTUBRE!T122=0,"",OCTUBRE!T122)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+IF(OCTUBRE!A123=0,"",OCTUBRE!A123)</f>
        <v>2700</v>
      </c>
      <c r="B123" s="610" t="str">
        <f>+IF(OCTUBRE!B123=0,"",OCTUBRE!B123)</f>
        <v>OTROS INGRESOS DE CAPITAL</v>
      </c>
      <c r="C123" s="655">
        <f>+ENERO!C123</f>
        <v>0</v>
      </c>
      <c r="D123" s="454">
        <f>OCTUBRE!D123+NOVIEMBRE!P123</f>
        <v>0</v>
      </c>
      <c r="E123" s="454">
        <f>OCTUBRE!E123+NOVIEMBRE!Q123</f>
        <v>172362608</v>
      </c>
      <c r="F123" s="458">
        <f t="shared" si="122"/>
        <v>172362608</v>
      </c>
      <c r="G123" s="216">
        <f>OCTUBRE!I123</f>
        <v>172362608</v>
      </c>
      <c r="H123" s="364">
        <v>7660367</v>
      </c>
      <c r="I123" s="458">
        <f t="shared" si="123"/>
        <v>180022975</v>
      </c>
      <c r="J123" s="216">
        <f>OCTUBRE!L123</f>
        <v>172362608</v>
      </c>
      <c r="K123" s="364">
        <v>7660367</v>
      </c>
      <c r="L123" s="455">
        <f t="shared" si="124"/>
        <v>180022975</v>
      </c>
      <c r="M123" s="428">
        <f t="shared" si="125"/>
        <v>-7660367</v>
      </c>
      <c r="N123" s="143">
        <f t="shared" si="126"/>
        <v>-7660367</v>
      </c>
      <c r="P123" s="362">
        <v>0</v>
      </c>
      <c r="Q123" s="365">
        <v>1465830</v>
      </c>
      <c r="R123" s="9"/>
      <c r="S123" s="687">
        <f>+IF(OCTUBRE!S123=0,"",OCTUBRE!S123)</f>
        <v>2010200</v>
      </c>
      <c r="T123" s="663" t="str">
        <f>+IF(OCTUBRE!T123=0,"",OCTUBRE!T123)</f>
        <v>Adquisición de Servicios</v>
      </c>
      <c r="U123" s="132">
        <f t="shared" ref="U123:AJ123" si="134">SUM(U124:U139)</f>
        <v>2775000000</v>
      </c>
      <c r="V123" s="122">
        <f t="shared" si="134"/>
        <v>95000000</v>
      </c>
      <c r="W123" s="122">
        <f t="shared" si="134"/>
        <v>520000000</v>
      </c>
      <c r="X123" s="129">
        <f t="shared" si="134"/>
        <v>3390000000</v>
      </c>
      <c r="Y123" s="128">
        <f t="shared" si="134"/>
        <v>2919853854</v>
      </c>
      <c r="Z123" s="122">
        <f t="shared" si="134"/>
        <v>152681200</v>
      </c>
      <c r="AA123" s="129">
        <f t="shared" si="134"/>
        <v>3072535054</v>
      </c>
      <c r="AB123" s="128">
        <f t="shared" si="134"/>
        <v>2578218209</v>
      </c>
      <c r="AC123" s="122">
        <f t="shared" si="134"/>
        <v>192791573</v>
      </c>
      <c r="AD123" s="129">
        <f t="shared" si="134"/>
        <v>2771009782</v>
      </c>
      <c r="AE123" s="128">
        <f t="shared" si="134"/>
        <v>2245333176</v>
      </c>
      <c r="AF123" s="122">
        <f t="shared" si="134"/>
        <v>116191552</v>
      </c>
      <c r="AG123" s="129">
        <f t="shared" si="134"/>
        <v>2361524728</v>
      </c>
      <c r="AH123" s="128">
        <f t="shared" si="134"/>
        <v>317464946</v>
      </c>
      <c r="AI123" s="122">
        <f t="shared" si="134"/>
        <v>618990218</v>
      </c>
      <c r="AJ123" s="130">
        <f t="shared" si="134"/>
        <v>1028475272</v>
      </c>
      <c r="AK123" s="9"/>
      <c r="AL123" s="128">
        <f>SUM(AL124:AL139)</f>
        <v>-15000000</v>
      </c>
      <c r="AM123" s="130">
        <f>SUM(AM124:AM139)</f>
        <v>160000000</v>
      </c>
      <c r="AN123" s="9"/>
      <c r="AO123" s="284"/>
      <c r="AP123" s="284"/>
      <c r="AQ123" s="284"/>
      <c r="AR123" s="284"/>
      <c r="AS123" s="284"/>
      <c r="AT123" s="284"/>
      <c r="AU123" s="284"/>
      <c r="AV123" s="284"/>
      <c r="AW123" s="284"/>
      <c r="AX123" s="284"/>
      <c r="AY123" s="284"/>
      <c r="AZ123" s="284"/>
    </row>
    <row r="124" spans="1:52" s="372" customFormat="1" ht="24.95" customHeight="1" thickBot="1">
      <c r="A124" s="727">
        <f>+IF(OCTUBRE!A124=0,"",OCTUBRE!A124)</f>
        <v>2800</v>
      </c>
      <c r="B124" s="638" t="str">
        <f>+IF(OCTUBRE!B124=0,"",OCTUBRE!B124)</f>
        <v/>
      </c>
      <c r="C124" s="759">
        <f>+ENERO!C124</f>
        <v>0</v>
      </c>
      <c r="D124" s="452">
        <f>OCTUBRE!D124+NOVIEMBRE!P124</f>
        <v>0</v>
      </c>
      <c r="E124" s="452">
        <f>OCTUBRE!E124+NOVIEMBRE!Q124</f>
        <v>430631999</v>
      </c>
      <c r="F124" s="464">
        <f t="shared" si="122"/>
        <v>430631999</v>
      </c>
      <c r="G124" s="377">
        <f>OCTUBRE!I124</f>
        <v>430631999</v>
      </c>
      <c r="H124" s="378">
        <v>0</v>
      </c>
      <c r="I124" s="464">
        <f t="shared" si="123"/>
        <v>430631999</v>
      </c>
      <c r="J124" s="377">
        <f>OCTUBRE!L124</f>
        <v>430631999</v>
      </c>
      <c r="K124" s="378">
        <v>0</v>
      </c>
      <c r="L124" s="823">
        <f t="shared" si="124"/>
        <v>430631999</v>
      </c>
      <c r="M124" s="466">
        <f t="shared" si="125"/>
        <v>0</v>
      </c>
      <c r="N124" s="376">
        <f t="shared" si="126"/>
        <v>0</v>
      </c>
      <c r="P124" s="374">
        <v>0</v>
      </c>
      <c r="Q124" s="379">
        <v>0</v>
      </c>
      <c r="R124" s="9"/>
      <c r="S124" s="688" t="str">
        <f>+IF(OCTUBRE!S124=0,"",OCTUBRE!S124)</f>
        <v>2010200-1</v>
      </c>
      <c r="T124" s="664" t="str">
        <f>+IF(OCTUBRE!T124=0,"",OCTUBRE!T124)</f>
        <v>Seguros</v>
      </c>
      <c r="U124" s="27">
        <f>+ENERO!U124</f>
        <v>3000000</v>
      </c>
      <c r="V124" s="15">
        <f>OCTUBRE!V124+NOVIEMBRE!AL124</f>
        <v>0</v>
      </c>
      <c r="W124" s="15">
        <f>OCTUBRE!W124+NOVIEMBRE!AM124</f>
        <v>150000000</v>
      </c>
      <c r="X124" s="18">
        <f t="shared" ref="X124:X139" si="135">SUM(U124:W124)</f>
        <v>153000000</v>
      </c>
      <c r="Y124" s="19">
        <f>OCTUBRE!AA124</f>
        <v>1958919</v>
      </c>
      <c r="Z124" s="364">
        <v>0</v>
      </c>
      <c r="AA124" s="18">
        <f t="shared" ref="AA124:AA139" si="136">SUM(Y124:Z124)</f>
        <v>1958919</v>
      </c>
      <c r="AB124" s="19">
        <f>OCTUBRE!AD124</f>
        <v>1666765</v>
      </c>
      <c r="AC124" s="364">
        <v>292154</v>
      </c>
      <c r="AD124" s="18">
        <f t="shared" ref="AD124:AD139" si="137">SUM(AB124:AC124)</f>
        <v>1958919</v>
      </c>
      <c r="AE124" s="19">
        <f>OCTUBRE!AG124</f>
        <v>1666765</v>
      </c>
      <c r="AF124" s="364">
        <v>292154</v>
      </c>
      <c r="AG124" s="18">
        <f t="shared" ref="AG124:AG139" si="138">SUM(AE124:AF124)</f>
        <v>1958919</v>
      </c>
      <c r="AH124" s="19">
        <f t="shared" ref="AH124:AH139" si="139">X124-AA124</f>
        <v>151041081</v>
      </c>
      <c r="AI124" s="15">
        <f t="shared" ref="AI124:AI139" si="140">X124-AD124</f>
        <v>151041081</v>
      </c>
      <c r="AJ124" s="16">
        <f t="shared" ref="AJ124:AJ139" si="141">X124-AG124</f>
        <v>151041081</v>
      </c>
      <c r="AK124" s="9"/>
      <c r="AL124" s="362">
        <v>0</v>
      </c>
      <c r="AM124" s="365">
        <v>150000000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837"/>
      <c r="J125" s="470"/>
      <c r="K125" s="470"/>
      <c r="L125" s="837"/>
      <c r="M125" s="470"/>
      <c r="N125" s="471"/>
      <c r="P125" s="472"/>
      <c r="Q125" s="471"/>
      <c r="R125" s="9"/>
      <c r="S125" s="688" t="str">
        <f>+IF(OCTUBRE!S125=0,"",OCTUBRE!S125)</f>
        <v>2010200-2</v>
      </c>
      <c r="T125" s="664" t="str">
        <f>+IF(OCTUBRE!T125=0,"",OCTUBRE!T125)</f>
        <v>Impresos y Publicaciones</v>
      </c>
      <c r="U125" s="27">
        <f>+ENERO!U125</f>
        <v>25000000</v>
      </c>
      <c r="V125" s="15">
        <f>OCTUBRE!V125+NOVIEMBRE!AL125</f>
        <v>0</v>
      </c>
      <c r="W125" s="15">
        <f>OCTUBRE!W125+NOVIEMBRE!AM125</f>
        <v>0</v>
      </c>
      <c r="X125" s="18">
        <f t="shared" si="135"/>
        <v>25000000</v>
      </c>
      <c r="Y125" s="19">
        <f>OCTUBRE!AA125</f>
        <v>4494395</v>
      </c>
      <c r="Z125" s="364">
        <v>4706966</v>
      </c>
      <c r="AA125" s="18">
        <f t="shared" si="136"/>
        <v>9201361</v>
      </c>
      <c r="AB125" s="19">
        <f>OCTUBRE!AD125</f>
        <v>4494395</v>
      </c>
      <c r="AC125" s="364">
        <v>4706966</v>
      </c>
      <c r="AD125" s="18">
        <f t="shared" si="137"/>
        <v>9201361</v>
      </c>
      <c r="AE125" s="19">
        <f>OCTUBRE!AG125</f>
        <v>2634400</v>
      </c>
      <c r="AF125" s="364">
        <v>487800</v>
      </c>
      <c r="AG125" s="18">
        <f t="shared" si="138"/>
        <v>3122200</v>
      </c>
      <c r="AH125" s="19">
        <f t="shared" si="139"/>
        <v>15798639</v>
      </c>
      <c r="AI125" s="15">
        <f t="shared" si="140"/>
        <v>15798639</v>
      </c>
      <c r="AJ125" s="16">
        <f t="shared" si="141"/>
        <v>21877800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2">C8-C128</f>
        <v>66420360605</v>
      </c>
      <c r="D126" s="467">
        <f t="shared" si="142"/>
        <v>0</v>
      </c>
      <c r="E126" s="467">
        <f t="shared" si="142"/>
        <v>32319700435</v>
      </c>
      <c r="F126" s="467">
        <f t="shared" si="142"/>
        <v>98740061040</v>
      </c>
      <c r="G126" s="467">
        <f t="shared" si="142"/>
        <v>90478265446</v>
      </c>
      <c r="H126" s="467">
        <f t="shared" si="142"/>
        <v>5278043739</v>
      </c>
      <c r="I126" s="838">
        <f t="shared" si="142"/>
        <v>95756309185</v>
      </c>
      <c r="J126" s="467">
        <f t="shared" si="142"/>
        <v>57084916488.070007</v>
      </c>
      <c r="K126" s="467">
        <f t="shared" si="142"/>
        <v>1855215366</v>
      </c>
      <c r="L126" s="838">
        <f t="shared" si="142"/>
        <v>58940131854.070007</v>
      </c>
      <c r="M126" s="467">
        <f t="shared" si="142"/>
        <v>2983751855</v>
      </c>
      <c r="N126" s="596">
        <f t="shared" si="142"/>
        <v>39799929185.930008</v>
      </c>
      <c r="P126" s="468">
        <f>P8-P128</f>
        <v>0</v>
      </c>
      <c r="Q126" s="469">
        <f>Q8-Q128</f>
        <v>3238110943</v>
      </c>
      <c r="R126" s="9"/>
      <c r="S126" s="688" t="str">
        <f>+IF(OCTUBRE!S126=0,"",OCTUBRE!S126)</f>
        <v>2010200-3</v>
      </c>
      <c r="T126" s="664" t="str">
        <f>+IF(OCTUBRE!T126=0,"",OCTUBRE!T126)</f>
        <v xml:space="preserve">Servicios Públicos </v>
      </c>
      <c r="U126" s="27">
        <f>+ENERO!U126</f>
        <v>740000000</v>
      </c>
      <c r="V126" s="15">
        <f>OCTUBRE!V126+NOVIEMBRE!AL126</f>
        <v>0</v>
      </c>
      <c r="W126" s="15">
        <f>OCTUBRE!W126+NOVIEMBRE!AM126</f>
        <v>0</v>
      </c>
      <c r="X126" s="18">
        <f t="shared" si="135"/>
        <v>740000000</v>
      </c>
      <c r="Y126" s="19">
        <f>OCTUBRE!AA126</f>
        <v>592833738</v>
      </c>
      <c r="Z126" s="364">
        <v>68002933</v>
      </c>
      <c r="AA126" s="18">
        <f t="shared" si="136"/>
        <v>660836671</v>
      </c>
      <c r="AB126" s="19">
        <f>OCTUBRE!AD126</f>
        <v>592833738</v>
      </c>
      <c r="AC126" s="364">
        <v>4471076</v>
      </c>
      <c r="AD126" s="18">
        <f t="shared" si="137"/>
        <v>597304814</v>
      </c>
      <c r="AE126" s="19">
        <f>OCTUBRE!AG126</f>
        <v>553389572</v>
      </c>
      <c r="AF126" s="364">
        <v>43585904</v>
      </c>
      <c r="AG126" s="18">
        <f t="shared" si="138"/>
        <v>596975476</v>
      </c>
      <c r="AH126" s="19">
        <f t="shared" si="139"/>
        <v>79163329</v>
      </c>
      <c r="AI126" s="15">
        <f t="shared" si="140"/>
        <v>142695186</v>
      </c>
      <c r="AJ126" s="16">
        <f t="shared" si="141"/>
        <v>143024524</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837"/>
      <c r="J127" s="470"/>
      <c r="K127" s="470"/>
      <c r="L127" s="837"/>
      <c r="M127" s="470"/>
      <c r="N127" s="471"/>
      <c r="P127" s="472"/>
      <c r="Q127" s="471"/>
      <c r="R127" s="9"/>
      <c r="S127" s="688" t="str">
        <f>+IF(OCTUBRE!S127=0,"",OCTUBRE!S127)</f>
        <v>2010200-4</v>
      </c>
      <c r="T127" s="664" t="str">
        <f>+IF(OCTUBRE!T127=0,"",OCTUBRE!T127)</f>
        <v>Comunicaciones y Transportes</v>
      </c>
      <c r="U127" s="27">
        <f>+ENERO!U127</f>
        <v>118000000</v>
      </c>
      <c r="V127" s="15">
        <f>OCTUBRE!V127+NOVIEMBRE!AL127</f>
        <v>40000000</v>
      </c>
      <c r="W127" s="15">
        <f>OCTUBRE!W127+NOVIEMBRE!AM127</f>
        <v>10000000</v>
      </c>
      <c r="X127" s="18">
        <f t="shared" si="135"/>
        <v>168000000</v>
      </c>
      <c r="Y127" s="19">
        <f>OCTUBRE!AA127</f>
        <v>156373483</v>
      </c>
      <c r="Z127" s="364">
        <v>4595743</v>
      </c>
      <c r="AA127" s="18">
        <f t="shared" si="136"/>
        <v>160969226</v>
      </c>
      <c r="AB127" s="19">
        <f>OCTUBRE!AD127</f>
        <v>116984125</v>
      </c>
      <c r="AC127" s="364">
        <v>16035359</v>
      </c>
      <c r="AD127" s="18">
        <f t="shared" si="137"/>
        <v>133019484</v>
      </c>
      <c r="AE127" s="19">
        <f>OCTUBRE!AG127</f>
        <v>114984125</v>
      </c>
      <c r="AF127" s="364">
        <v>5195743</v>
      </c>
      <c r="AG127" s="18">
        <f t="shared" si="138"/>
        <v>120179868</v>
      </c>
      <c r="AH127" s="19">
        <f t="shared" si="139"/>
        <v>7030774</v>
      </c>
      <c r="AI127" s="15">
        <f t="shared" si="140"/>
        <v>34980516</v>
      </c>
      <c r="AJ127" s="16">
        <f t="shared" si="141"/>
        <v>47820132</v>
      </c>
      <c r="AK127" s="9"/>
      <c r="AL127" s="362">
        <v>0</v>
      </c>
      <c r="AM127" s="365">
        <v>10000000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17885230076</v>
      </c>
      <c r="F128" s="473">
        <f>SUMIF($B8:$B$122,$B$24,F8:F122)+F122</f>
        <v>17885230076</v>
      </c>
      <c r="G128" s="473">
        <f>SUMIF($B8:$B$122,$B$24,G8:G122)+G122</f>
        <v>17885230076</v>
      </c>
      <c r="H128" s="473">
        <f>SUMIF($B8:$B$122,$B$24,H8:H122)+H122</f>
        <v>2551383633</v>
      </c>
      <c r="I128" s="473">
        <f>SUMIF($B8:$B$122,$B$24,I8:I122)+I122</f>
        <v>20436613709</v>
      </c>
      <c r="J128" s="473">
        <f>SUMIF($B8:$B$122,$B$24,J8:J122)+J1212</f>
        <v>17885230075.689999</v>
      </c>
      <c r="K128" s="473">
        <f>SUMIF($B8:$B$122,$B$24,K8:K122)+K122</f>
        <v>2551383633</v>
      </c>
      <c r="L128" s="473">
        <f>SUMIF($B8:$B$122,$B$24,L8:L122)+L122</f>
        <v>20436613708.689999</v>
      </c>
      <c r="M128" s="473">
        <f>SUMIF($B8:$B$122,$B$24,M8:M122)+M12</f>
        <v>-2551383633</v>
      </c>
      <c r="N128" s="597">
        <f>SUMIF($B8:$B$122,$B$24,N8:N122)+N122</f>
        <v>-2551383632.6900001</v>
      </c>
      <c r="O128" s="451"/>
      <c r="P128" s="473">
        <f>SUMIF($B8:$B$122,$B$24,P8:P122)+P122</f>
        <v>0</v>
      </c>
      <c r="Q128" s="474">
        <f>SUMIF($B8:$B$122,$B$24,Q8:Q122)+Q122</f>
        <v>1741918315</v>
      </c>
      <c r="R128" s="9"/>
      <c r="S128" s="688" t="str">
        <f>+IF(OCTUBRE!S128=0,"",OCTUBRE!S128)</f>
        <v>2010200-5</v>
      </c>
      <c r="T128" s="664" t="str">
        <f>+IF(OCTUBRE!T128=0,"",OCTUBRE!T128)</f>
        <v>Viáticos y Gastos de Viaje</v>
      </c>
      <c r="U128" s="27">
        <f>+ENERO!U128</f>
        <v>22000000</v>
      </c>
      <c r="V128" s="15">
        <f>OCTUBRE!V128+NOVIEMBRE!AL128</f>
        <v>-15000000</v>
      </c>
      <c r="W128" s="15">
        <f>OCTUBRE!W128+NOVIEMBRE!AM128</f>
        <v>0</v>
      </c>
      <c r="X128" s="18">
        <f t="shared" si="135"/>
        <v>7000000</v>
      </c>
      <c r="Y128" s="19">
        <f>OCTUBRE!AA128</f>
        <v>3651000</v>
      </c>
      <c r="Z128" s="364">
        <v>97000</v>
      </c>
      <c r="AA128" s="18">
        <f t="shared" si="136"/>
        <v>3748000</v>
      </c>
      <c r="AB128" s="19">
        <f>OCTUBRE!AD128</f>
        <v>3501000</v>
      </c>
      <c r="AC128" s="364">
        <v>0</v>
      </c>
      <c r="AD128" s="18">
        <f t="shared" si="137"/>
        <v>3501000</v>
      </c>
      <c r="AE128" s="19">
        <f>OCTUBRE!AG128</f>
        <v>3328500</v>
      </c>
      <c r="AF128" s="364">
        <v>0</v>
      </c>
      <c r="AG128" s="18">
        <f t="shared" si="138"/>
        <v>3328500</v>
      </c>
      <c r="AH128" s="19">
        <f t="shared" si="139"/>
        <v>3252000</v>
      </c>
      <c r="AI128" s="15">
        <f t="shared" si="140"/>
        <v>3499000</v>
      </c>
      <c r="AJ128" s="16">
        <f t="shared" si="141"/>
        <v>3671500</v>
      </c>
      <c r="AK128" s="9"/>
      <c r="AL128" s="362">
        <v>-15000000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837"/>
      <c r="J129" s="470"/>
      <c r="K129" s="470"/>
      <c r="L129" s="837"/>
      <c r="M129" s="470"/>
      <c r="N129" s="471"/>
      <c r="P129" s="472"/>
      <c r="Q129" s="471"/>
      <c r="R129" s="9"/>
      <c r="S129" s="688" t="str">
        <f>+IF(OCTUBRE!S129=0,"",OCTUBRE!S129)</f>
        <v>2010200-6</v>
      </c>
      <c r="T129" s="664" t="str">
        <f>+IF(OCTUBRE!T129=0,"",OCTUBRE!T129)</f>
        <v>Arrendamientos</v>
      </c>
      <c r="U129" s="27">
        <f>+ENERO!U129</f>
        <v>165000000</v>
      </c>
      <c r="V129" s="15">
        <f>OCTUBRE!V129+NOVIEMBRE!AL129</f>
        <v>-10000000</v>
      </c>
      <c r="W129" s="15">
        <f>OCTUBRE!W129+NOVIEMBRE!AM129</f>
        <v>0</v>
      </c>
      <c r="X129" s="18">
        <f t="shared" si="135"/>
        <v>155000000</v>
      </c>
      <c r="Y129" s="19">
        <f>OCTUBRE!AA129</f>
        <v>155000000</v>
      </c>
      <c r="Z129" s="364">
        <v>0</v>
      </c>
      <c r="AA129" s="18">
        <f t="shared" si="136"/>
        <v>155000000</v>
      </c>
      <c r="AB129" s="19">
        <f>OCTUBRE!AD129</f>
        <v>118179986</v>
      </c>
      <c r="AC129" s="364">
        <v>12510347</v>
      </c>
      <c r="AD129" s="18">
        <f t="shared" si="137"/>
        <v>130690333</v>
      </c>
      <c r="AE129" s="19">
        <f>OCTUBRE!AG129</f>
        <v>92271133</v>
      </c>
      <c r="AF129" s="364">
        <v>0</v>
      </c>
      <c r="AG129" s="18">
        <f t="shared" si="138"/>
        <v>92271133</v>
      </c>
      <c r="AH129" s="19">
        <f t="shared" si="139"/>
        <v>0</v>
      </c>
      <c r="AI129" s="15">
        <f t="shared" si="140"/>
        <v>24309667</v>
      </c>
      <c r="AJ129" s="16">
        <f t="shared" si="141"/>
        <v>62728867</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3">C128+C126</f>
        <v>66420360605</v>
      </c>
      <c r="D130" s="476">
        <f t="shared" si="143"/>
        <v>0</v>
      </c>
      <c r="E130" s="476">
        <f t="shared" si="143"/>
        <v>50204930511</v>
      </c>
      <c r="F130" s="477">
        <f t="shared" si="143"/>
        <v>116625291116</v>
      </c>
      <c r="G130" s="475">
        <f t="shared" si="143"/>
        <v>108363495522</v>
      </c>
      <c r="H130" s="476">
        <f t="shared" si="143"/>
        <v>7829427372</v>
      </c>
      <c r="I130" s="839">
        <f t="shared" si="143"/>
        <v>116192922894</v>
      </c>
      <c r="J130" s="475">
        <f t="shared" si="143"/>
        <v>74970146563.76001</v>
      </c>
      <c r="K130" s="476">
        <f t="shared" si="143"/>
        <v>4406598999</v>
      </c>
      <c r="L130" s="839">
        <f t="shared" si="143"/>
        <v>79376745562.76001</v>
      </c>
      <c r="M130" s="475">
        <f t="shared" si="143"/>
        <v>432368222</v>
      </c>
      <c r="N130" s="477">
        <f t="shared" si="143"/>
        <v>37248545553.240005</v>
      </c>
      <c r="P130" s="468">
        <f>P128+P126</f>
        <v>0</v>
      </c>
      <c r="Q130" s="469">
        <f>Q128+Q126</f>
        <v>4980029258</v>
      </c>
      <c r="R130" s="9"/>
      <c r="S130" s="688" t="str">
        <f>+IF(OCTUBRE!S130=0,"",OCTUBRE!S130)</f>
        <v>2010200-7</v>
      </c>
      <c r="T130" s="664" t="str">
        <f>+IF(OCTUBRE!T130=0,"",OCTUBRE!T130)</f>
        <v>Vigilancia y Aseo</v>
      </c>
      <c r="U130" s="27">
        <f>+ENERO!U130</f>
        <v>1086000000</v>
      </c>
      <c r="V130" s="15">
        <f>OCTUBRE!V130+NOVIEMBRE!AL130</f>
        <v>-50000000</v>
      </c>
      <c r="W130" s="15">
        <f>OCTUBRE!W130+NOVIEMBRE!AM130</f>
        <v>0</v>
      </c>
      <c r="X130" s="18">
        <f t="shared" si="135"/>
        <v>1036000000</v>
      </c>
      <c r="Y130" s="19">
        <f>OCTUBRE!AA130</f>
        <v>1027184608</v>
      </c>
      <c r="Z130" s="364">
        <v>0</v>
      </c>
      <c r="AA130" s="18">
        <f t="shared" si="136"/>
        <v>1027184608</v>
      </c>
      <c r="AB130" s="19">
        <f>OCTUBRE!AD130</f>
        <v>862842989</v>
      </c>
      <c r="AC130" s="364">
        <v>87433173</v>
      </c>
      <c r="AD130" s="18">
        <f t="shared" si="137"/>
        <v>950276162</v>
      </c>
      <c r="AE130" s="19">
        <f>OCTUBRE!AG130</f>
        <v>600543470</v>
      </c>
      <c r="AF130" s="364">
        <v>57523209</v>
      </c>
      <c r="AG130" s="18">
        <f t="shared" si="138"/>
        <v>658066679</v>
      </c>
      <c r="AH130" s="19">
        <f t="shared" si="139"/>
        <v>8815392</v>
      </c>
      <c r="AI130" s="15">
        <f t="shared" si="140"/>
        <v>85723838</v>
      </c>
      <c r="AJ130" s="16">
        <f t="shared" si="141"/>
        <v>377933321</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I131" s="451"/>
      <c r="L131" s="451"/>
      <c r="N131" s="9"/>
      <c r="R131" s="9"/>
      <c r="S131" s="688" t="str">
        <f>+IF(OCTUBRE!S131=0,"",OCTUBRE!S131)</f>
        <v>2010200-8</v>
      </c>
      <c r="T131" s="664" t="str">
        <f>+IF(OCTUBRE!T131=0,"",OCTUBRE!T131)</f>
        <v>Bienestar Social</v>
      </c>
      <c r="U131" s="27">
        <f>+ENERO!U131</f>
        <v>100000000</v>
      </c>
      <c r="V131" s="15">
        <f>OCTUBRE!V131+NOVIEMBRE!AL131</f>
        <v>0</v>
      </c>
      <c r="W131" s="15">
        <f>OCTUBRE!W131+NOVIEMBRE!AM131</f>
        <v>0</v>
      </c>
      <c r="X131" s="18">
        <f t="shared" si="135"/>
        <v>100000000</v>
      </c>
      <c r="Y131" s="19">
        <f>OCTUBRE!AA131</f>
        <v>80060580</v>
      </c>
      <c r="Z131" s="364">
        <v>19653022</v>
      </c>
      <c r="AA131" s="18">
        <f t="shared" si="136"/>
        <v>99713602</v>
      </c>
      <c r="AB131" s="19">
        <f>OCTUBRE!AD131</f>
        <v>10060580</v>
      </c>
      <c r="AC131" s="364">
        <v>11716962</v>
      </c>
      <c r="AD131" s="18">
        <f t="shared" si="137"/>
        <v>21777542</v>
      </c>
      <c r="AE131" s="19">
        <f>OCTUBRE!AG131</f>
        <v>8860580</v>
      </c>
      <c r="AF131" s="364">
        <v>3481206</v>
      </c>
      <c r="AG131" s="18">
        <f t="shared" si="138"/>
        <v>12341786</v>
      </c>
      <c r="AH131" s="19">
        <f t="shared" si="139"/>
        <v>286398</v>
      </c>
      <c r="AI131" s="15">
        <f t="shared" si="140"/>
        <v>78222458</v>
      </c>
      <c r="AJ131" s="16">
        <f t="shared" si="141"/>
        <v>87658214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I132" s="451"/>
      <c r="L132" s="451"/>
      <c r="N132" s="9"/>
      <c r="R132" s="9"/>
      <c r="S132" s="688" t="str">
        <f>+IF(OCTUBRE!S132=0,"",OCTUBRE!S132)</f>
        <v>2010200-9</v>
      </c>
      <c r="T132" s="664" t="str">
        <f>+IF(OCTUBRE!T132=0,"",OCTUBRE!T132)</f>
        <v>Capacitación, estimulos, incentivos, programa de calidad</v>
      </c>
      <c r="U132" s="27">
        <f>+ENERO!U132</f>
        <v>50000000</v>
      </c>
      <c r="V132" s="15">
        <f>OCTUBRE!V132+NOVIEMBRE!AL132</f>
        <v>0</v>
      </c>
      <c r="W132" s="15">
        <f>OCTUBRE!W132+NOVIEMBRE!AM132</f>
        <v>0</v>
      </c>
      <c r="X132" s="18">
        <f t="shared" si="135"/>
        <v>50000000</v>
      </c>
      <c r="Y132" s="19">
        <f>OCTUBRE!AA132</f>
        <v>0</v>
      </c>
      <c r="Z132" s="364">
        <v>50000000</v>
      </c>
      <c r="AA132" s="18">
        <f t="shared" si="136"/>
        <v>50000000</v>
      </c>
      <c r="AB132" s="19">
        <f>OCTUBRE!AD132</f>
        <v>0</v>
      </c>
      <c r="AC132" s="364">
        <v>50000000</v>
      </c>
      <c r="AD132" s="18">
        <f t="shared" si="137"/>
        <v>50000000</v>
      </c>
      <c r="AE132" s="19">
        <f>OCTUBRE!AG132</f>
        <v>0</v>
      </c>
      <c r="AF132" s="364">
        <v>0</v>
      </c>
      <c r="AG132" s="18">
        <f t="shared" si="138"/>
        <v>0</v>
      </c>
      <c r="AH132" s="19">
        <f t="shared" si="139"/>
        <v>0</v>
      </c>
      <c r="AI132" s="15">
        <f t="shared" si="140"/>
        <v>0</v>
      </c>
      <c r="AJ132" s="16">
        <f t="shared" si="141"/>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I133" s="451"/>
      <c r="L133" s="451"/>
      <c r="N133" s="9"/>
      <c r="R133" s="9"/>
      <c r="S133" s="688" t="str">
        <f>+IF(OCTUBRE!S133=0,"",OCTUBRE!S133)</f>
        <v>2010200-10</v>
      </c>
      <c r="T133" s="664" t="str">
        <f>+IF(OCTUBRE!T133=0,"",OCTUBRE!T133)</f>
        <v>Pagos otras IPS</v>
      </c>
      <c r="U133" s="27">
        <f>+ENERO!U133</f>
        <v>0</v>
      </c>
      <c r="V133" s="15">
        <f>OCTUBRE!V133+NOVIEMBRE!AL133</f>
        <v>0</v>
      </c>
      <c r="W133" s="15">
        <f>OCTUBRE!W133+NOVIEMBRE!AM133</f>
        <v>0</v>
      </c>
      <c r="X133" s="18">
        <f t="shared" si="135"/>
        <v>0</v>
      </c>
      <c r="Y133" s="19">
        <f>OCTUBRE!AA133</f>
        <v>0</v>
      </c>
      <c r="Z133" s="364">
        <v>0</v>
      </c>
      <c r="AA133" s="18">
        <f t="shared" si="136"/>
        <v>0</v>
      </c>
      <c r="AB133" s="19">
        <f>OCTUBRE!AD133</f>
        <v>0</v>
      </c>
      <c r="AC133" s="364">
        <v>0</v>
      </c>
      <c r="AD133" s="18">
        <f t="shared" si="137"/>
        <v>0</v>
      </c>
      <c r="AE133" s="19">
        <f>OCTUBRE!AG133</f>
        <v>0</v>
      </c>
      <c r="AF133" s="364">
        <v>0</v>
      </c>
      <c r="AG133" s="1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I134" s="451"/>
      <c r="L134" s="451"/>
      <c r="N134" s="9"/>
      <c r="R134" s="9"/>
      <c r="S134" s="688" t="str">
        <f>+IF(OCTUBRE!S134=0,"",OCTUBRE!S134)</f>
        <v>2010200-11</v>
      </c>
      <c r="T134" s="664" t="str">
        <f>+IF(OCTUBRE!T134=0,"",OCTUBRE!T134)</f>
        <v>Gastos financieros</v>
      </c>
      <c r="U134" s="27">
        <f>+ENERO!U134</f>
        <v>16000000</v>
      </c>
      <c r="V134" s="15">
        <f>OCTUBRE!V134+NOVIEMBRE!AL134</f>
        <v>20000000</v>
      </c>
      <c r="W134" s="15">
        <f>OCTUBRE!W134+NOVIEMBRE!AM134</f>
        <v>0</v>
      </c>
      <c r="X134" s="18">
        <f t="shared" si="135"/>
        <v>36000000</v>
      </c>
      <c r="Y134" s="19">
        <f>OCTUBRE!AA134</f>
        <v>22903276</v>
      </c>
      <c r="Z134" s="364">
        <v>5625536</v>
      </c>
      <c r="AA134" s="18">
        <f t="shared" si="136"/>
        <v>28528812</v>
      </c>
      <c r="AB134" s="19">
        <f>OCTUBRE!AD134</f>
        <v>22903276</v>
      </c>
      <c r="AC134" s="364">
        <v>5625536</v>
      </c>
      <c r="AD134" s="18">
        <f t="shared" si="137"/>
        <v>28528812</v>
      </c>
      <c r="AE134" s="19">
        <f>OCTUBRE!AG134</f>
        <v>22903276</v>
      </c>
      <c r="AF134" s="364">
        <v>5625536</v>
      </c>
      <c r="AG134" s="18">
        <f t="shared" si="138"/>
        <v>28528812</v>
      </c>
      <c r="AH134" s="19">
        <f t="shared" si="139"/>
        <v>7471188</v>
      </c>
      <c r="AI134" s="15">
        <f t="shared" si="140"/>
        <v>7471188</v>
      </c>
      <c r="AJ134" s="16">
        <f t="shared" si="141"/>
        <v>7471188</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I135" s="451"/>
      <c r="L135" s="451"/>
      <c r="N135" s="9"/>
      <c r="R135" s="9"/>
      <c r="S135" s="688" t="str">
        <f>+IF(OCTUBRE!S135=0,"",OCTUBRE!S135)</f>
        <v>2010200-12</v>
      </c>
      <c r="T135" s="664" t="str">
        <f>+IF(OCTUBRE!T135=0,"",OCTUBRE!T135)</f>
        <v>Mantenimiento de software</v>
      </c>
      <c r="U135" s="27">
        <f>+ENERO!U135</f>
        <v>350000000</v>
      </c>
      <c r="V135" s="15">
        <f>OCTUBRE!V135+NOVIEMBRE!AL135</f>
        <v>0</v>
      </c>
      <c r="W135" s="15">
        <f>OCTUBRE!W135+NOVIEMBRE!AM135</f>
        <v>0</v>
      </c>
      <c r="X135" s="18">
        <f t="shared" si="135"/>
        <v>350000000</v>
      </c>
      <c r="Y135" s="19">
        <f>OCTUBRE!AA135</f>
        <v>338498600</v>
      </c>
      <c r="Z135" s="364">
        <v>0</v>
      </c>
      <c r="AA135" s="18">
        <f t="shared" si="136"/>
        <v>338498600</v>
      </c>
      <c r="AB135" s="19">
        <f>OCTUBRE!AD135</f>
        <v>307856100</v>
      </c>
      <c r="AC135" s="364">
        <v>0</v>
      </c>
      <c r="AD135" s="18">
        <f t="shared" si="137"/>
        <v>307856100</v>
      </c>
      <c r="AE135" s="19">
        <f>OCTUBRE!AG135</f>
        <v>307856100</v>
      </c>
      <c r="AF135" s="364">
        <v>0</v>
      </c>
      <c r="AG135" s="18">
        <f t="shared" si="138"/>
        <v>307856100</v>
      </c>
      <c r="AH135" s="19">
        <f t="shared" si="139"/>
        <v>11501400</v>
      </c>
      <c r="AI135" s="15">
        <f t="shared" si="140"/>
        <v>42143900</v>
      </c>
      <c r="AJ135" s="16">
        <f t="shared" si="141"/>
        <v>42143900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I136" s="451"/>
      <c r="L136" s="451"/>
      <c r="N136" s="9"/>
      <c r="R136" s="9"/>
      <c r="S136" s="688" t="str">
        <f>+IF(OCTUBRE!S136=0,"",OCTUBRE!S136)</f>
        <v>2010200-13</v>
      </c>
      <c r="T136" s="664" t="str">
        <f>+IF(OCTUBRE!T136=0,"",OCTUBRE!T136)</f>
        <v/>
      </c>
      <c r="U136" s="27">
        <f>+ENERO!U136</f>
        <v>0</v>
      </c>
      <c r="V136" s="15">
        <f>OCTUBRE!V136+NOVIEMBRE!AL136</f>
        <v>0</v>
      </c>
      <c r="W136" s="15">
        <f>OCTUBRE!W136+NOVIEMBRE!AM136</f>
        <v>0</v>
      </c>
      <c r="X136" s="18">
        <f t="shared" si="135"/>
        <v>0</v>
      </c>
      <c r="Y136" s="19">
        <f>OCTUBRE!AA136</f>
        <v>0</v>
      </c>
      <c r="Z136" s="364">
        <v>0</v>
      </c>
      <c r="AA136" s="18">
        <f t="shared" si="136"/>
        <v>0</v>
      </c>
      <c r="AB136" s="19">
        <f>OCTUBRE!AD136</f>
        <v>0</v>
      </c>
      <c r="AC136" s="364">
        <v>0</v>
      </c>
      <c r="AD136" s="18">
        <f t="shared" si="137"/>
        <v>0</v>
      </c>
      <c r="AE136" s="19">
        <f>OCTUBRE!AG136</f>
        <v>0</v>
      </c>
      <c r="AF136" s="364">
        <v>0</v>
      </c>
      <c r="AG136" s="1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I137" s="451"/>
      <c r="L137" s="451"/>
      <c r="N137" s="9"/>
      <c r="R137" s="9"/>
      <c r="S137" s="688" t="str">
        <f>+IF(OCTUBRE!S137=0,"",OCTUBRE!S137)</f>
        <v>2010020-14</v>
      </c>
      <c r="T137" s="664" t="str">
        <f>+IF(OCTUBRE!T137=0,"",OCTUBRE!T137)</f>
        <v/>
      </c>
      <c r="U137" s="27">
        <f>+ENERO!U137</f>
        <v>0</v>
      </c>
      <c r="V137" s="15">
        <f>OCTUBRE!V137+NOVIEMBRE!AL137</f>
        <v>0</v>
      </c>
      <c r="W137" s="15">
        <f>OCTUBRE!W137+NOVIEMBRE!AM137</f>
        <v>0</v>
      </c>
      <c r="X137" s="18">
        <f t="shared" si="135"/>
        <v>0</v>
      </c>
      <c r="Y137" s="19">
        <f>OCTUBRE!AA137</f>
        <v>0</v>
      </c>
      <c r="Z137" s="364">
        <v>0</v>
      </c>
      <c r="AA137" s="18">
        <f t="shared" si="136"/>
        <v>0</v>
      </c>
      <c r="AB137" s="19">
        <f>OCTUBRE!AD137</f>
        <v>0</v>
      </c>
      <c r="AC137" s="364">
        <v>0</v>
      </c>
      <c r="AD137" s="18">
        <f t="shared" si="137"/>
        <v>0</v>
      </c>
      <c r="AE137" s="19">
        <f>OCTUBRE!AG137</f>
        <v>0</v>
      </c>
      <c r="AF137" s="364">
        <v>0</v>
      </c>
      <c r="AG137" s="1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I138" s="451"/>
      <c r="L138" s="451"/>
      <c r="N138" s="9"/>
      <c r="R138" s="9"/>
      <c r="S138" s="688" t="str">
        <f>+IF(OCTUBRE!S138=0,"",OCTUBRE!S138)</f>
        <v>2010200-15</v>
      </c>
      <c r="T138" s="664" t="str">
        <f>+IF(OCTUBRE!T138=0,"",OCTUBRE!T138)</f>
        <v/>
      </c>
      <c r="U138" s="27">
        <f>+ENERO!U138</f>
        <v>0</v>
      </c>
      <c r="V138" s="15">
        <f>OCTUBRE!V138+NOVIEMBRE!AL138</f>
        <v>0</v>
      </c>
      <c r="W138" s="15">
        <f>OCTUBRE!W138+NOVIEMBRE!AM138</f>
        <v>0</v>
      </c>
      <c r="X138" s="18">
        <f t="shared" si="135"/>
        <v>0</v>
      </c>
      <c r="Y138" s="19">
        <f>OCTUBRE!AA138</f>
        <v>0</v>
      </c>
      <c r="Z138" s="364">
        <v>0</v>
      </c>
      <c r="AA138" s="18">
        <f t="shared" si="136"/>
        <v>0</v>
      </c>
      <c r="AB138" s="19">
        <f>OCTUBRE!AD138</f>
        <v>0</v>
      </c>
      <c r="AC138" s="364">
        <v>0</v>
      </c>
      <c r="AD138" s="18">
        <f t="shared" si="137"/>
        <v>0</v>
      </c>
      <c r="AE138" s="19">
        <f>OCTUBRE!AG138</f>
        <v>0</v>
      </c>
      <c r="AF138" s="364">
        <v>0</v>
      </c>
      <c r="AG138" s="1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I139" s="451"/>
      <c r="L139" s="451"/>
      <c r="N139" s="9"/>
      <c r="R139" s="9"/>
      <c r="S139" s="688">
        <f>+IF(OCTUBRE!S139=0,"",OCTUBRE!S139)</f>
        <v>2010299</v>
      </c>
      <c r="T139" s="664" t="str">
        <f>+IF(OCTUBRE!T139=0,"",OCTUBRE!T139)</f>
        <v>Vigencias Anteriores</v>
      </c>
      <c r="U139" s="27">
        <f>+ENERO!U139</f>
        <v>100000000</v>
      </c>
      <c r="V139" s="15">
        <f>OCTUBRE!V139+NOVIEMBRE!AL139</f>
        <v>110000000</v>
      </c>
      <c r="W139" s="15">
        <f>OCTUBRE!W139+NOVIEMBRE!AM139</f>
        <v>360000000</v>
      </c>
      <c r="X139" s="18">
        <f t="shared" si="135"/>
        <v>570000000</v>
      </c>
      <c r="Y139" s="19">
        <f>OCTUBRE!AA139</f>
        <v>536895255</v>
      </c>
      <c r="Z139" s="364">
        <v>0</v>
      </c>
      <c r="AA139" s="18">
        <f t="shared" si="136"/>
        <v>536895255</v>
      </c>
      <c r="AB139" s="19">
        <f>OCTUBRE!AD139</f>
        <v>536895255</v>
      </c>
      <c r="AC139" s="364">
        <v>0</v>
      </c>
      <c r="AD139" s="18">
        <f t="shared" si="137"/>
        <v>536895255</v>
      </c>
      <c r="AE139" s="19">
        <f>OCTUBRE!AG139</f>
        <v>536895255</v>
      </c>
      <c r="AF139" s="364">
        <v>0</v>
      </c>
      <c r="AG139" s="18">
        <f t="shared" si="138"/>
        <v>536895255</v>
      </c>
      <c r="AH139" s="19">
        <f t="shared" si="139"/>
        <v>33104745</v>
      </c>
      <c r="AI139" s="15">
        <f t="shared" si="140"/>
        <v>33104745</v>
      </c>
      <c r="AJ139" s="16">
        <f t="shared" si="141"/>
        <v>33104745</v>
      </c>
      <c r="AK139" s="9"/>
      <c r="AL139" s="362">
        <v>0</v>
      </c>
      <c r="AM139" s="365">
        <v>0</v>
      </c>
      <c r="AN139" s="9"/>
      <c r="AO139" s="284"/>
      <c r="AP139" s="284"/>
      <c r="AQ139" s="284"/>
    </row>
    <row r="140" spans="1:52" s="372" customFormat="1" ht="24.95" customHeight="1">
      <c r="A140" s="734"/>
      <c r="B140" s="643"/>
      <c r="I140" s="451"/>
      <c r="L140" s="451"/>
      <c r="N140" s="9"/>
      <c r="R140" s="9"/>
      <c r="S140" s="356" t="str">
        <f>+IF(OCTUBRE!S140=0,"",OCTUBRE!S140)</f>
        <v/>
      </c>
      <c r="T140" s="678" t="str">
        <f>+IF(OCTUBRE!T140=0,"",OCTUBRE!T140)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I141" s="451"/>
      <c r="L141" s="451"/>
      <c r="N141" s="9"/>
      <c r="R141" s="9"/>
      <c r="S141" s="687">
        <f>+IF(OCTUBRE!S141=0,"",OCTUBRE!S141)</f>
        <v>2010300</v>
      </c>
      <c r="T141" s="663" t="str">
        <f>+IF(OCTUBRE!T141=0,"",OCTUBRE!T141)</f>
        <v>Impuestos y Multas</v>
      </c>
      <c r="U141" s="132">
        <f t="shared" ref="U141:AJ141" si="144">U142+U143</f>
        <v>527082264</v>
      </c>
      <c r="V141" s="122">
        <f t="shared" si="144"/>
        <v>0</v>
      </c>
      <c r="W141" s="122">
        <f t="shared" si="144"/>
        <v>0</v>
      </c>
      <c r="X141" s="129">
        <f t="shared" si="144"/>
        <v>527082264</v>
      </c>
      <c r="Y141" s="128">
        <f t="shared" si="144"/>
        <v>231459602</v>
      </c>
      <c r="Z141" s="122">
        <f t="shared" si="144"/>
        <v>31427258</v>
      </c>
      <c r="AA141" s="129">
        <f t="shared" si="144"/>
        <v>262886860</v>
      </c>
      <c r="AB141" s="128">
        <f t="shared" si="144"/>
        <v>231459602</v>
      </c>
      <c r="AC141" s="122">
        <f t="shared" si="144"/>
        <v>31427258</v>
      </c>
      <c r="AD141" s="129">
        <f t="shared" si="144"/>
        <v>262886860</v>
      </c>
      <c r="AE141" s="128">
        <f t="shared" si="144"/>
        <v>231459602</v>
      </c>
      <c r="AF141" s="122">
        <f t="shared" si="144"/>
        <v>15853977</v>
      </c>
      <c r="AG141" s="129">
        <f t="shared" si="144"/>
        <v>247313579</v>
      </c>
      <c r="AH141" s="128">
        <f t="shared" si="144"/>
        <v>264195404</v>
      </c>
      <c r="AI141" s="122">
        <f t="shared" si="144"/>
        <v>264195404</v>
      </c>
      <c r="AJ141" s="130">
        <f t="shared" si="144"/>
        <v>279768685</v>
      </c>
      <c r="AK141" s="10"/>
      <c r="AL141" s="128">
        <f>AL142+AL143</f>
        <v>0</v>
      </c>
      <c r="AM141" s="130">
        <f>AM142+AM143</f>
        <v>0</v>
      </c>
      <c r="AN141" s="9"/>
    </row>
    <row r="142" spans="1:52" s="372" customFormat="1" ht="24.95" customHeight="1">
      <c r="A142" s="734"/>
      <c r="B142" s="643"/>
      <c r="I142" s="451"/>
      <c r="L142" s="451"/>
      <c r="N142" s="9"/>
      <c r="R142" s="9"/>
      <c r="S142" s="688" t="str">
        <f>+IF(OCTUBRE!S142=0,"",OCTUBRE!S142)</f>
        <v>2010300-1</v>
      </c>
      <c r="T142" s="664" t="str">
        <f>+IF(OCTUBRE!T142=0,"",OCTUBRE!T142)</f>
        <v>Impuestos (Predial, Vehiculos, Otros)</v>
      </c>
      <c r="U142" s="27">
        <f>+ENERO!U142</f>
        <v>527082264</v>
      </c>
      <c r="V142" s="15">
        <f>OCTUBRE!V142+NOVIEMBRE!AL142</f>
        <v>0</v>
      </c>
      <c r="W142" s="15">
        <f>OCTUBRE!W142+NOVIEMBRE!AM142</f>
        <v>0</v>
      </c>
      <c r="X142" s="18">
        <f>SUM(U142:W142)</f>
        <v>527082264</v>
      </c>
      <c r="Y142" s="19">
        <f>OCTUBRE!AA142</f>
        <v>231459602</v>
      </c>
      <c r="Z142" s="364">
        <v>31427258</v>
      </c>
      <c r="AA142" s="18">
        <f>SUM(Y142:Z142)</f>
        <v>262886860</v>
      </c>
      <c r="AB142" s="19">
        <f>OCTUBRE!AD142</f>
        <v>231459602</v>
      </c>
      <c r="AC142" s="364">
        <v>31427258</v>
      </c>
      <c r="AD142" s="18">
        <f>SUM(AB142:AC142)</f>
        <v>262886860</v>
      </c>
      <c r="AE142" s="19">
        <f>OCTUBRE!AG142</f>
        <v>231459602</v>
      </c>
      <c r="AF142" s="364">
        <v>15853977</v>
      </c>
      <c r="AG142" s="18">
        <f>SUM(AE142:AF142)</f>
        <v>247313579</v>
      </c>
      <c r="AH142" s="19">
        <f>X142-AA142</f>
        <v>264195404</v>
      </c>
      <c r="AI142" s="15">
        <f>X142-AD142</f>
        <v>264195404</v>
      </c>
      <c r="AJ142" s="16">
        <f>X142-AG142</f>
        <v>279768685</v>
      </c>
      <c r="AK142" s="9"/>
      <c r="AL142" s="362">
        <v>0</v>
      </c>
      <c r="AM142" s="365">
        <v>0</v>
      </c>
      <c r="AN142" s="9"/>
    </row>
    <row r="143" spans="1:52" s="372" customFormat="1" ht="24.95" customHeight="1">
      <c r="A143" s="734"/>
      <c r="B143" s="643"/>
      <c r="I143" s="451"/>
      <c r="L143" s="451"/>
      <c r="N143" s="9"/>
      <c r="R143" s="9"/>
      <c r="S143" s="688">
        <f>+IF(OCTUBRE!S143=0,"",OCTUBRE!S143)</f>
        <v>2010399</v>
      </c>
      <c r="T143" s="664" t="str">
        <f>+IF(OCTUBRE!T143=0,"",OCTUBRE!T143)</f>
        <v>Vigencias Anteriores</v>
      </c>
      <c r="U143" s="27">
        <f>+ENERO!U143</f>
        <v>0</v>
      </c>
      <c r="V143" s="15">
        <f>OCTUBRE!V143+NOVIEMBRE!AL143</f>
        <v>0</v>
      </c>
      <c r="W143" s="15">
        <f>OCTUBRE!W143+NOVIEMBRE!AM143</f>
        <v>0</v>
      </c>
      <c r="X143" s="18">
        <f>SUM(U143:W143)</f>
        <v>0</v>
      </c>
      <c r="Y143" s="19">
        <f>OCTUBRE!AA143</f>
        <v>0</v>
      </c>
      <c r="Z143" s="364">
        <v>0</v>
      </c>
      <c r="AA143" s="18">
        <f>SUM(Y143:Z143)</f>
        <v>0</v>
      </c>
      <c r="AB143" s="19">
        <f>OCTUBRE!AD143</f>
        <v>0</v>
      </c>
      <c r="AC143" s="364">
        <v>0</v>
      </c>
      <c r="AD143" s="18">
        <f>SUM(AB143:AC143)</f>
        <v>0</v>
      </c>
      <c r="AE143" s="19">
        <f>OCTUBRE!AG143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I144" s="451"/>
      <c r="L144" s="451"/>
      <c r="N144" s="9"/>
      <c r="R144" s="9"/>
      <c r="S144" s="356" t="str">
        <f>+IF(OCTUBRE!S144=0,"",OCTUBRE!S144)</f>
        <v/>
      </c>
      <c r="T144" s="678" t="str">
        <f>+IF(OCTUBRE!T144=0,"",OCTUBRE!T144)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I145" s="451"/>
      <c r="L145" s="451"/>
      <c r="N145" s="9"/>
      <c r="R145" s="9"/>
      <c r="S145" s="686">
        <f>+IF(OCTUBRE!S145=0,"",OCTUBRE!S145)</f>
        <v>2020010</v>
      </c>
      <c r="T145" s="662" t="str">
        <f>+IF(OCTUBRE!T145=0,"",OCTUBRE!T145)</f>
        <v>Gastos de Operación</v>
      </c>
      <c r="U145" s="132">
        <f t="shared" ref="U145:AJ145" si="145">U147+U155</f>
        <v>5923637263</v>
      </c>
      <c r="V145" s="122">
        <f t="shared" si="145"/>
        <v>402000000</v>
      </c>
      <c r="W145" s="122">
        <f t="shared" si="145"/>
        <v>2765301905</v>
      </c>
      <c r="X145" s="129">
        <f t="shared" si="145"/>
        <v>9090939168</v>
      </c>
      <c r="Y145" s="128">
        <f t="shared" si="145"/>
        <v>7165654228</v>
      </c>
      <c r="Z145" s="122">
        <f t="shared" si="145"/>
        <v>684114802</v>
      </c>
      <c r="AA145" s="129">
        <f t="shared" si="145"/>
        <v>7849769030</v>
      </c>
      <c r="AB145" s="128">
        <f t="shared" si="145"/>
        <v>6349049147</v>
      </c>
      <c r="AC145" s="122">
        <f t="shared" si="145"/>
        <v>424039345</v>
      </c>
      <c r="AD145" s="129">
        <f t="shared" si="145"/>
        <v>6773088492</v>
      </c>
      <c r="AE145" s="128">
        <f t="shared" si="145"/>
        <v>5206230484</v>
      </c>
      <c r="AF145" s="122">
        <f t="shared" si="145"/>
        <v>237585508</v>
      </c>
      <c r="AG145" s="129">
        <f t="shared" si="145"/>
        <v>5443815992</v>
      </c>
      <c r="AH145" s="128">
        <f t="shared" si="145"/>
        <v>1241170138</v>
      </c>
      <c r="AI145" s="122">
        <f t="shared" si="145"/>
        <v>2317850676</v>
      </c>
      <c r="AJ145" s="130">
        <f t="shared" si="145"/>
        <v>3647123176</v>
      </c>
      <c r="AK145" s="10"/>
      <c r="AL145" s="128">
        <f>AL147+AL155</f>
        <v>-120000000</v>
      </c>
      <c r="AM145" s="130">
        <f>AM147+AM155</f>
        <v>220000000</v>
      </c>
      <c r="AN145" s="9"/>
    </row>
    <row r="146" spans="1:40" s="372" customFormat="1" ht="24.95" customHeight="1">
      <c r="A146" s="734"/>
      <c r="B146" s="643"/>
      <c r="I146" s="451"/>
      <c r="L146" s="451"/>
      <c r="N146" s="9"/>
      <c r="R146" s="9"/>
      <c r="S146" s="689" t="str">
        <f>+IF(OCTUBRE!S146=0,"",OCTUBRE!S146)</f>
        <v/>
      </c>
      <c r="T146" s="665" t="str">
        <f>+IF(OCTUBRE!T146=0,"",OCTUBRE!T146)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I147" s="451"/>
      <c r="L147" s="451"/>
      <c r="N147" s="9"/>
      <c r="R147" s="9"/>
      <c r="S147" s="687">
        <f>+IF(OCTUBRE!S147=0,"",OCTUBRE!S147)</f>
        <v>2020100</v>
      </c>
      <c r="T147" s="663" t="str">
        <f>+IF(OCTUBRE!T147=0,"",OCTUBRE!T147)</f>
        <v>Adquisición de bienes</v>
      </c>
      <c r="U147" s="132">
        <f t="shared" ref="U147:AJ147" si="146">SUM(U148:U149)+U153</f>
        <v>1211000000</v>
      </c>
      <c r="V147" s="122">
        <f t="shared" si="146"/>
        <v>-363000000</v>
      </c>
      <c r="W147" s="122">
        <f t="shared" si="146"/>
        <v>963000000</v>
      </c>
      <c r="X147" s="129">
        <f t="shared" si="146"/>
        <v>1811000000</v>
      </c>
      <c r="Y147" s="128">
        <f t="shared" si="146"/>
        <v>649724823</v>
      </c>
      <c r="Z147" s="122">
        <f t="shared" si="146"/>
        <v>399442542</v>
      </c>
      <c r="AA147" s="129">
        <f t="shared" si="146"/>
        <v>1049167365</v>
      </c>
      <c r="AB147" s="128">
        <f t="shared" si="146"/>
        <v>537019708</v>
      </c>
      <c r="AC147" s="122">
        <f t="shared" si="146"/>
        <v>101200480</v>
      </c>
      <c r="AD147" s="129">
        <f t="shared" si="146"/>
        <v>638220188</v>
      </c>
      <c r="AE147" s="128">
        <f t="shared" si="146"/>
        <v>454937033</v>
      </c>
      <c r="AF147" s="122">
        <f t="shared" si="146"/>
        <v>4549736</v>
      </c>
      <c r="AG147" s="129">
        <f t="shared" si="146"/>
        <v>459486769</v>
      </c>
      <c r="AH147" s="128">
        <f t="shared" si="146"/>
        <v>761832635</v>
      </c>
      <c r="AI147" s="122">
        <f t="shared" si="146"/>
        <v>1172779812</v>
      </c>
      <c r="AJ147" s="130">
        <f t="shared" si="146"/>
        <v>1351513231</v>
      </c>
      <c r="AK147" s="9"/>
      <c r="AL147" s="128">
        <f>SUM(AL148:AL149)+AL153</f>
        <v>15000000</v>
      </c>
      <c r="AM147" s="130">
        <f>SUM(AM148:AM149)+AM153</f>
        <v>100000000</v>
      </c>
      <c r="AN147" s="9"/>
    </row>
    <row r="148" spans="1:40" s="372" customFormat="1" ht="24.95" customHeight="1">
      <c r="A148" s="734"/>
      <c r="B148" s="643"/>
      <c r="I148" s="451"/>
      <c r="L148" s="451"/>
      <c r="N148" s="9"/>
      <c r="R148" s="9"/>
      <c r="S148" s="688">
        <f>+IF(OCTUBRE!S148=0,"",OCTUBRE!S148)</f>
        <v>2020101</v>
      </c>
      <c r="T148" s="664" t="str">
        <f>+IF(OCTUBRE!T148=0,"",OCTUBRE!T148)</f>
        <v>Mantenimiento Hospitalario</v>
      </c>
      <c r="U148" s="27">
        <f>+ENERO!U148</f>
        <v>1000000000</v>
      </c>
      <c r="V148" s="15">
        <f>OCTUBRE!V148+NOVIEMBRE!AL148</f>
        <v>-448000000</v>
      </c>
      <c r="W148" s="15">
        <f>OCTUBRE!W148+NOVIEMBRE!AM148</f>
        <v>200000000</v>
      </c>
      <c r="X148" s="18">
        <f>SUM(U148:W148)</f>
        <v>752000000</v>
      </c>
      <c r="Y148" s="19">
        <f>OCTUBRE!AA148</f>
        <v>304977852</v>
      </c>
      <c r="Z148" s="364">
        <v>254105462</v>
      </c>
      <c r="AA148" s="18">
        <f>SUM(Y148:Z148)</f>
        <v>559083314</v>
      </c>
      <c r="AB148" s="19">
        <f>OCTUBRE!AD148</f>
        <v>281420852</v>
      </c>
      <c r="AC148" s="364">
        <v>9759237</v>
      </c>
      <c r="AD148" s="18">
        <f>SUM(AB148:AC148)</f>
        <v>291180089</v>
      </c>
      <c r="AE148" s="19">
        <f>OCTUBRE!AG148</f>
        <v>244009706</v>
      </c>
      <c r="AF148" s="364">
        <v>4549736</v>
      </c>
      <c r="AG148" s="18">
        <f>SUM(AE148:AF148)</f>
        <v>248559442</v>
      </c>
      <c r="AH148" s="19">
        <f>X148-AA148</f>
        <v>192916686</v>
      </c>
      <c r="AI148" s="15">
        <f>X148-AD148</f>
        <v>460819911</v>
      </c>
      <c r="AJ148" s="16">
        <f>X148-AG148</f>
        <v>503440558</v>
      </c>
      <c r="AK148" s="9"/>
      <c r="AL148" s="362">
        <v>-10000000</v>
      </c>
      <c r="AM148" s="365">
        <v>0</v>
      </c>
      <c r="AN148" s="9"/>
    </row>
    <row r="149" spans="1:40" s="372" customFormat="1" ht="24.95" customHeight="1">
      <c r="A149" s="734"/>
      <c r="B149" s="643"/>
      <c r="I149" s="451"/>
      <c r="L149" s="451"/>
      <c r="N149" s="9"/>
      <c r="R149" s="9"/>
      <c r="S149" s="688">
        <f>+IF(OCTUBRE!S149=0,"",OCTUBRE!S149)</f>
        <v>2020102</v>
      </c>
      <c r="T149" s="664" t="str">
        <f>+IF(OCTUBRE!T149=0,"",OCTUBRE!T149)</f>
        <v>Otros</v>
      </c>
      <c r="U149" s="27">
        <f t="shared" ref="U149:AJ149" si="147">SUM(U150:U152)</f>
        <v>150000000</v>
      </c>
      <c r="V149" s="15">
        <f t="shared" si="147"/>
        <v>85000000</v>
      </c>
      <c r="W149" s="15">
        <f t="shared" si="147"/>
        <v>663000000</v>
      </c>
      <c r="X149" s="18">
        <f t="shared" si="147"/>
        <v>898000000</v>
      </c>
      <c r="Y149" s="19">
        <f t="shared" si="147"/>
        <v>198501285</v>
      </c>
      <c r="Z149" s="142">
        <f t="shared" si="147"/>
        <v>145337080</v>
      </c>
      <c r="AA149" s="18">
        <f t="shared" si="147"/>
        <v>343838365</v>
      </c>
      <c r="AB149" s="19">
        <f t="shared" si="147"/>
        <v>109353170</v>
      </c>
      <c r="AC149" s="142">
        <f t="shared" si="147"/>
        <v>91441243</v>
      </c>
      <c r="AD149" s="18">
        <f t="shared" si="147"/>
        <v>200794413</v>
      </c>
      <c r="AE149" s="19">
        <f t="shared" si="147"/>
        <v>64681641</v>
      </c>
      <c r="AF149" s="142">
        <f t="shared" si="147"/>
        <v>0</v>
      </c>
      <c r="AG149" s="18">
        <f t="shared" si="147"/>
        <v>64681641</v>
      </c>
      <c r="AH149" s="19">
        <f t="shared" si="147"/>
        <v>554161635</v>
      </c>
      <c r="AI149" s="15">
        <f t="shared" si="147"/>
        <v>697205587</v>
      </c>
      <c r="AJ149" s="16">
        <f t="shared" si="147"/>
        <v>833318359</v>
      </c>
      <c r="AK149" s="9"/>
      <c r="AL149" s="29">
        <f>SUM(AL150:AL152)</f>
        <v>25000000</v>
      </c>
      <c r="AM149" s="26">
        <f>SUM(AM150:AM152)</f>
        <v>100000000</v>
      </c>
      <c r="AN149" s="9"/>
    </row>
    <row r="150" spans="1:40" s="372" customFormat="1" ht="24.95" customHeight="1">
      <c r="A150" s="734"/>
      <c r="B150" s="643"/>
      <c r="I150" s="451"/>
      <c r="L150" s="451"/>
      <c r="N150" s="9"/>
      <c r="R150" s="9"/>
      <c r="S150" s="689" t="str">
        <f>+IF(OCTUBRE!S150=0,"",OCTUBRE!S150)</f>
        <v>2020102-1</v>
      </c>
      <c r="T150" s="664" t="str">
        <f>+IF(OCTUBRE!T150=0,"",OCTUBRE!T150)</f>
        <v>Compra de Equipo e Instr. Mco. y Laborat.</v>
      </c>
      <c r="U150" s="27">
        <f>+ENERO!U150</f>
        <v>150000000</v>
      </c>
      <c r="V150" s="15">
        <f>OCTUBRE!V150+NOVIEMBRE!AL150</f>
        <v>85000000</v>
      </c>
      <c r="W150" s="15">
        <f>OCTUBRE!W150+NOVIEMBRE!AM150</f>
        <v>663000000</v>
      </c>
      <c r="X150" s="18">
        <f>SUM(U150:W150)</f>
        <v>898000000</v>
      </c>
      <c r="Y150" s="19">
        <f>OCTUBRE!AA150</f>
        <v>198501285</v>
      </c>
      <c r="Z150" s="364">
        <v>145337080</v>
      </c>
      <c r="AA150" s="18">
        <f>SUM(Y150:Z150)</f>
        <v>343838365</v>
      </c>
      <c r="AB150" s="19">
        <f>OCTUBRE!AD150</f>
        <v>109353170</v>
      </c>
      <c r="AC150" s="364">
        <v>91441243</v>
      </c>
      <c r="AD150" s="18">
        <f>SUM(AB150:AC150)</f>
        <v>200794413</v>
      </c>
      <c r="AE150" s="19">
        <f>OCTUBRE!AG150</f>
        <v>64681641</v>
      </c>
      <c r="AF150" s="364">
        <v>0</v>
      </c>
      <c r="AG150" s="18">
        <f>SUM(AE150:AF150)</f>
        <v>64681641</v>
      </c>
      <c r="AH150" s="19">
        <f>X150-AA150</f>
        <v>554161635</v>
      </c>
      <c r="AI150" s="15">
        <f>X150-AD150</f>
        <v>697205587</v>
      </c>
      <c r="AJ150" s="16">
        <f>X150-AG150</f>
        <v>833318359</v>
      </c>
      <c r="AK150" s="9"/>
      <c r="AL150" s="362">
        <v>25000000</v>
      </c>
      <c r="AM150" s="365">
        <v>100000000</v>
      </c>
      <c r="AN150" s="9"/>
    </row>
    <row r="151" spans="1:40" s="372" customFormat="1" ht="24.95" customHeight="1">
      <c r="A151" s="734"/>
      <c r="B151" s="643"/>
      <c r="I151" s="451"/>
      <c r="L151" s="451"/>
      <c r="N151" s="9"/>
      <c r="R151" s="9"/>
      <c r="S151" s="689" t="str">
        <f>+IF(OCTUBRE!S151=0,"",OCTUBRE!S151)</f>
        <v>2020102-2</v>
      </c>
      <c r="T151" s="664" t="str">
        <f>+IF(OCTUBRE!T151=0,"",OCTUBRE!T151)</f>
        <v>Materiales</v>
      </c>
      <c r="U151" s="27">
        <f>+ENERO!U151</f>
        <v>0</v>
      </c>
      <c r="V151" s="15">
        <f>OCTUBRE!V151+NOVIEMBRE!AL151</f>
        <v>0</v>
      </c>
      <c r="W151" s="15">
        <f>OCTUBRE!W151+NOVIEMBRE!AM151</f>
        <v>0</v>
      </c>
      <c r="X151" s="18">
        <f>SUM(U151:W151)</f>
        <v>0</v>
      </c>
      <c r="Y151" s="19">
        <f>OCTUBRE!AA151</f>
        <v>0</v>
      </c>
      <c r="Z151" s="364">
        <v>0</v>
      </c>
      <c r="AA151" s="18">
        <f>SUM(Y151:Z151)</f>
        <v>0</v>
      </c>
      <c r="AB151" s="19">
        <f>OCTUBRE!AD151</f>
        <v>0</v>
      </c>
      <c r="AC151" s="364">
        <v>0</v>
      </c>
      <c r="AD151" s="18">
        <f>SUM(AB151:AC151)</f>
        <v>0</v>
      </c>
      <c r="AE151" s="19">
        <f>OCTUBRE!AG151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I152" s="451"/>
      <c r="L152" s="451"/>
      <c r="N152" s="9"/>
      <c r="R152" s="9"/>
      <c r="S152" s="689" t="str">
        <f>+IF(OCTUBRE!S152=0,"",OCTUBRE!S152)</f>
        <v>2020102-3</v>
      </c>
      <c r="T152" s="664" t="str">
        <f>+IF(OCTUBRE!T152=0,"",OCTUBRE!T152)</f>
        <v/>
      </c>
      <c r="U152" s="27">
        <f>+ENERO!U152</f>
        <v>0</v>
      </c>
      <c r="V152" s="15">
        <f>OCTUBRE!V152+NOVIEMBRE!AL152</f>
        <v>0</v>
      </c>
      <c r="W152" s="15">
        <f>OCTUBRE!W152+NOVIEMBRE!AM152</f>
        <v>0</v>
      </c>
      <c r="X152" s="18">
        <f>SUM(U152:W152)</f>
        <v>0</v>
      </c>
      <c r="Y152" s="19">
        <f>OCTUBRE!AA152</f>
        <v>0</v>
      </c>
      <c r="Z152" s="364">
        <v>0</v>
      </c>
      <c r="AA152" s="18">
        <f>SUM(Y152:Z152)</f>
        <v>0</v>
      </c>
      <c r="AB152" s="19">
        <f>OCTUBRE!AD152</f>
        <v>0</v>
      </c>
      <c r="AC152" s="364">
        <v>0</v>
      </c>
      <c r="AD152" s="18">
        <f>SUM(AB152:AC152)</f>
        <v>0</v>
      </c>
      <c r="AE152" s="19">
        <f>OCTUBRE!AG152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I153" s="451"/>
      <c r="L153" s="451"/>
      <c r="N153" s="9"/>
      <c r="R153" s="9"/>
      <c r="S153" s="688">
        <f>+IF(OCTUBRE!S153=0,"",OCTUBRE!S153)</f>
        <v>2020199</v>
      </c>
      <c r="T153" s="664" t="str">
        <f>+IF(OCTUBRE!T153=0,"",OCTUBRE!T153)</f>
        <v>Vigencias Anteriores</v>
      </c>
      <c r="U153" s="27">
        <f>+ENERO!U153</f>
        <v>61000000</v>
      </c>
      <c r="V153" s="15">
        <f>OCTUBRE!V153+NOVIEMBRE!AL153</f>
        <v>0</v>
      </c>
      <c r="W153" s="15">
        <f>OCTUBRE!W153+NOVIEMBRE!AM153</f>
        <v>100000000</v>
      </c>
      <c r="X153" s="18">
        <f>SUM(U153:W153)</f>
        <v>161000000</v>
      </c>
      <c r="Y153" s="19">
        <f>OCTUBRE!AA153</f>
        <v>146245686</v>
      </c>
      <c r="Z153" s="364">
        <v>0</v>
      </c>
      <c r="AA153" s="18">
        <f>SUM(Y153:Z153)</f>
        <v>146245686</v>
      </c>
      <c r="AB153" s="19">
        <f>OCTUBRE!AD153</f>
        <v>146245686</v>
      </c>
      <c r="AC153" s="364">
        <v>0</v>
      </c>
      <c r="AD153" s="18">
        <f>SUM(AB153:AC153)</f>
        <v>146245686</v>
      </c>
      <c r="AE153" s="19">
        <f>OCTUBRE!AG153</f>
        <v>146245686</v>
      </c>
      <c r="AF153" s="364">
        <v>0</v>
      </c>
      <c r="AG153" s="18">
        <f>SUM(AE153:AF153)</f>
        <v>146245686</v>
      </c>
      <c r="AH153" s="19">
        <f>X153-AA153</f>
        <v>14754314</v>
      </c>
      <c r="AI153" s="15">
        <f>X153-AD153</f>
        <v>14754314</v>
      </c>
      <c r="AJ153" s="16">
        <f>X153-AG153</f>
        <v>14754314</v>
      </c>
      <c r="AK153" s="9"/>
      <c r="AL153" s="362">
        <v>0</v>
      </c>
      <c r="AM153" s="365">
        <v>0</v>
      </c>
      <c r="AN153" s="9"/>
    </row>
    <row r="154" spans="1:40" s="372" customFormat="1" ht="24.95" customHeight="1">
      <c r="A154" s="734"/>
      <c r="B154" s="643"/>
      <c r="I154" s="451"/>
      <c r="L154" s="451"/>
      <c r="N154" s="9"/>
      <c r="R154" s="9"/>
      <c r="S154" s="356" t="str">
        <f>+IF(OCTUBRE!S154=0,"",OCTUBRE!S154)</f>
        <v/>
      </c>
      <c r="T154" s="678" t="str">
        <f>+IF(OCTUBRE!T154=0,"",OCTUBRE!T154)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I155" s="451"/>
      <c r="L155" s="451"/>
      <c r="N155" s="9"/>
      <c r="R155" s="9"/>
      <c r="S155" s="687">
        <f>+IF(OCTUBRE!S155=0,"",OCTUBRE!S155)</f>
        <v>2020200</v>
      </c>
      <c r="T155" s="663" t="str">
        <f>+IF(OCTUBRE!T155=0,"",OCTUBRE!T155)</f>
        <v>Adquisición de Servicios</v>
      </c>
      <c r="U155" s="132">
        <f t="shared" ref="U155:AJ155" si="148">SUM(U156:U157)+U168</f>
        <v>4712637263</v>
      </c>
      <c r="V155" s="122">
        <f t="shared" si="148"/>
        <v>765000000</v>
      </c>
      <c r="W155" s="122">
        <f t="shared" si="148"/>
        <v>1802301905</v>
      </c>
      <c r="X155" s="129">
        <f t="shared" si="148"/>
        <v>7279939168</v>
      </c>
      <c r="Y155" s="128">
        <f t="shared" si="148"/>
        <v>6515929405</v>
      </c>
      <c r="Z155" s="122">
        <f t="shared" si="148"/>
        <v>284672260</v>
      </c>
      <c r="AA155" s="129">
        <f t="shared" si="148"/>
        <v>6800601665</v>
      </c>
      <c r="AB155" s="128">
        <f t="shared" si="148"/>
        <v>5812029439</v>
      </c>
      <c r="AC155" s="122">
        <f t="shared" si="148"/>
        <v>322838865</v>
      </c>
      <c r="AD155" s="129">
        <f t="shared" si="148"/>
        <v>6134868304</v>
      </c>
      <c r="AE155" s="128">
        <f t="shared" si="148"/>
        <v>4751293451</v>
      </c>
      <c r="AF155" s="122">
        <f t="shared" si="148"/>
        <v>233035772</v>
      </c>
      <c r="AG155" s="129">
        <f t="shared" si="148"/>
        <v>4984329223</v>
      </c>
      <c r="AH155" s="128">
        <f t="shared" si="148"/>
        <v>479337503</v>
      </c>
      <c r="AI155" s="122">
        <f t="shared" si="148"/>
        <v>1145070864</v>
      </c>
      <c r="AJ155" s="130">
        <f t="shared" si="148"/>
        <v>2295609945</v>
      </c>
      <c r="AK155" s="9"/>
      <c r="AL155" s="128">
        <f>SUM(AL156:AL157)+AL168</f>
        <v>-135000000</v>
      </c>
      <c r="AM155" s="130">
        <f>SUM(AM156:AM157)+AM168</f>
        <v>120000000</v>
      </c>
      <c r="AN155" s="9"/>
    </row>
    <row r="156" spans="1:40" s="372" customFormat="1" ht="24.95" customHeight="1">
      <c r="A156" s="734"/>
      <c r="B156" s="643"/>
      <c r="I156" s="451"/>
      <c r="L156" s="451"/>
      <c r="N156" s="9"/>
      <c r="P156" s="9"/>
      <c r="Q156" s="9"/>
      <c r="R156" s="9"/>
      <c r="S156" s="688">
        <f>+IF(OCTUBRE!S156=0,"",OCTUBRE!S156)</f>
        <v>2020201</v>
      </c>
      <c r="T156" s="664" t="str">
        <f>+IF(OCTUBRE!T156=0,"",OCTUBRE!T156)</f>
        <v>Mantenimiento Hospitalario</v>
      </c>
      <c r="U156" s="27">
        <f>+ENERO!U156</f>
        <v>2002025000</v>
      </c>
      <c r="V156" s="15">
        <f>OCTUBRE!V156+NOVIEMBRE!AL156</f>
        <v>630000000</v>
      </c>
      <c r="W156" s="15">
        <f>OCTUBRE!W156+NOVIEMBRE!AM156</f>
        <v>380000000</v>
      </c>
      <c r="X156" s="18">
        <f>SUM(U156:W156)</f>
        <v>3012025000</v>
      </c>
      <c r="Y156" s="19">
        <f>OCTUBRE!AA156</f>
        <v>2650606716</v>
      </c>
      <c r="Z156" s="364">
        <v>227961108</v>
      </c>
      <c r="AA156" s="18">
        <f>SUM(Y156:Z156)</f>
        <v>2878567824</v>
      </c>
      <c r="AB156" s="19">
        <f>OCTUBRE!AD156</f>
        <v>2307317254</v>
      </c>
      <c r="AC156" s="364">
        <v>160249712</v>
      </c>
      <c r="AD156" s="18">
        <f>SUM(AB156:AC156)</f>
        <v>2467566966</v>
      </c>
      <c r="AE156" s="19">
        <f>OCTUBRE!AG156</f>
        <v>2071359329</v>
      </c>
      <c r="AF156" s="364">
        <v>79808171</v>
      </c>
      <c r="AG156" s="18">
        <f>SUM(AE156:AF156)</f>
        <v>2151167500</v>
      </c>
      <c r="AH156" s="19">
        <f>X156-AA156</f>
        <v>133457176</v>
      </c>
      <c r="AI156" s="15">
        <f>X156-AD156</f>
        <v>544458034</v>
      </c>
      <c r="AJ156" s="16">
        <f>X156-AG156</f>
        <v>860857500</v>
      </c>
      <c r="AK156" s="9"/>
      <c r="AL156" s="362">
        <v>0</v>
      </c>
      <c r="AM156" s="365">
        <v>100000000</v>
      </c>
      <c r="AN156" s="9"/>
    </row>
    <row r="157" spans="1:40" s="372" customFormat="1" ht="24.95" customHeight="1">
      <c r="A157" s="734"/>
      <c r="B157" s="643"/>
      <c r="I157" s="451"/>
      <c r="L157" s="451"/>
      <c r="N157" s="9"/>
      <c r="P157" s="9"/>
      <c r="Q157" s="9"/>
      <c r="R157" s="9"/>
      <c r="S157" s="688">
        <f>+IF(OCTUBRE!S157=0,"",OCTUBRE!S157)</f>
        <v>2020202</v>
      </c>
      <c r="T157" s="664" t="str">
        <f>+IF(OCTUBRE!T157=0,"",OCTUBRE!T157)</f>
        <v>Otros</v>
      </c>
      <c r="U157" s="27">
        <f t="shared" ref="U157:AJ157" si="149">SUM(U158:U167)</f>
        <v>2609712263</v>
      </c>
      <c r="V157" s="15">
        <f t="shared" si="149"/>
        <v>-35000000</v>
      </c>
      <c r="W157" s="15">
        <f t="shared" si="149"/>
        <v>520000000</v>
      </c>
      <c r="X157" s="18">
        <f t="shared" si="149"/>
        <v>3094712263</v>
      </c>
      <c r="Y157" s="19">
        <f t="shared" si="149"/>
        <v>2878516263</v>
      </c>
      <c r="Z157" s="142">
        <f t="shared" si="149"/>
        <v>56711152</v>
      </c>
      <c r="AA157" s="18">
        <f t="shared" si="149"/>
        <v>2935227415</v>
      </c>
      <c r="AB157" s="19">
        <f t="shared" si="149"/>
        <v>2517905759</v>
      </c>
      <c r="AC157" s="142">
        <f t="shared" si="149"/>
        <v>162589153</v>
      </c>
      <c r="AD157" s="18">
        <f t="shared" si="149"/>
        <v>2680494912</v>
      </c>
      <c r="AE157" s="19">
        <f t="shared" si="149"/>
        <v>1693127696</v>
      </c>
      <c r="AF157" s="142">
        <f t="shared" si="149"/>
        <v>153227601</v>
      </c>
      <c r="AG157" s="18">
        <f t="shared" si="149"/>
        <v>1846355297</v>
      </c>
      <c r="AH157" s="19">
        <f t="shared" si="149"/>
        <v>159484848</v>
      </c>
      <c r="AI157" s="15">
        <f t="shared" si="149"/>
        <v>414217351</v>
      </c>
      <c r="AJ157" s="16">
        <f t="shared" si="149"/>
        <v>1248356966</v>
      </c>
      <c r="AK157" s="10"/>
      <c r="AL157" s="29">
        <f>SUM(AL158:AL167)</f>
        <v>-135000000</v>
      </c>
      <c r="AM157" s="26">
        <f>SUM(AM158:AM167)</f>
        <v>20000000</v>
      </c>
      <c r="AN157" s="9"/>
    </row>
    <row r="158" spans="1:40" s="372" customFormat="1" ht="24.95" customHeight="1">
      <c r="A158" s="734"/>
      <c r="B158" s="643"/>
      <c r="I158" s="451"/>
      <c r="L158" s="451"/>
      <c r="N158" s="9"/>
      <c r="P158" s="9"/>
      <c r="Q158" s="9"/>
      <c r="R158" s="9"/>
      <c r="S158" s="689" t="str">
        <f>+IF(OCTUBRE!S158=0,"",OCTUBRE!S158)</f>
        <v>2020202-1</v>
      </c>
      <c r="T158" s="665" t="str">
        <f>+IF(OCTUBRE!T158=0,"",OCTUBRE!T158)</f>
        <v>Seguros</v>
      </c>
      <c r="U158" s="27">
        <f>+ENERO!U158</f>
        <v>200000000</v>
      </c>
      <c r="V158" s="15">
        <f>OCTUBRE!V158+NOVIEMBRE!AL158</f>
        <v>0</v>
      </c>
      <c r="W158" s="15">
        <f>OCTUBRE!W158+NOVIEMBRE!AM158</f>
        <v>0</v>
      </c>
      <c r="X158" s="18">
        <f t="shared" ref="X158:X168" si="150">SUM(U158:W158)</f>
        <v>200000000</v>
      </c>
      <c r="Y158" s="19">
        <f>OCTUBRE!AA158</f>
        <v>199150182</v>
      </c>
      <c r="Z158" s="364">
        <v>-11042785</v>
      </c>
      <c r="AA158" s="18">
        <f t="shared" ref="AA158:AA168" si="151">SUM(Y158:Z158)</f>
        <v>188107397</v>
      </c>
      <c r="AB158" s="19">
        <f>OCTUBRE!AD158</f>
        <v>157819799</v>
      </c>
      <c r="AC158" s="364">
        <v>30287598</v>
      </c>
      <c r="AD158" s="18">
        <f t="shared" ref="AD158:AD168" si="152">SUM(AB158:AC158)</f>
        <v>188107397</v>
      </c>
      <c r="AE158" s="19">
        <f>OCTUBRE!AG158</f>
        <v>157819799</v>
      </c>
      <c r="AF158" s="364">
        <v>30287598</v>
      </c>
      <c r="AG158" s="18">
        <f t="shared" ref="AG158:AG168" si="153">SUM(AE158:AF158)</f>
        <v>188107397</v>
      </c>
      <c r="AH158" s="19">
        <f t="shared" ref="AH158:AH168" si="154">X158-AA158</f>
        <v>11892603</v>
      </c>
      <c r="AI158" s="15">
        <f t="shared" ref="AI158:AI168" si="155">X158-AD158</f>
        <v>11892603</v>
      </c>
      <c r="AJ158" s="16">
        <f t="shared" ref="AJ158:AJ168" si="156">X158-AG158</f>
        <v>11892603</v>
      </c>
      <c r="AK158" s="9"/>
      <c r="AL158" s="362">
        <v>0</v>
      </c>
      <c r="AM158" s="365">
        <v>0</v>
      </c>
      <c r="AN158" s="9"/>
    </row>
    <row r="159" spans="1:40" s="372" customFormat="1" ht="24.95" customHeight="1">
      <c r="A159" s="734"/>
      <c r="B159" s="643"/>
      <c r="I159" s="451"/>
      <c r="L159" s="451"/>
      <c r="N159" s="9"/>
      <c r="P159" s="9"/>
      <c r="Q159" s="9"/>
      <c r="R159" s="9"/>
      <c r="S159" s="689" t="str">
        <f>+IF(OCTUBRE!S159=0,"",OCTUBRE!S159)</f>
        <v>2020202-2</v>
      </c>
      <c r="T159" s="665" t="str">
        <f>+IF(OCTUBRE!T159=0,"",OCTUBRE!T159)</f>
        <v>Impresos y Publicaciones</v>
      </c>
      <c r="U159" s="27">
        <f>+ENERO!U159</f>
        <v>40000000</v>
      </c>
      <c r="V159" s="15">
        <f>OCTUBRE!V159+NOVIEMBRE!AL159</f>
        <v>0</v>
      </c>
      <c r="W159" s="15">
        <f>OCTUBRE!W159+NOVIEMBRE!AM159</f>
        <v>0</v>
      </c>
      <c r="X159" s="18">
        <f t="shared" si="150"/>
        <v>40000000</v>
      </c>
      <c r="Y159" s="19">
        <f>OCTUBRE!AA159</f>
        <v>35420000</v>
      </c>
      <c r="Z159" s="364">
        <v>0</v>
      </c>
      <c r="AA159" s="18">
        <f t="shared" si="151"/>
        <v>35420000</v>
      </c>
      <c r="AB159" s="19">
        <f>OCTUBRE!AD159</f>
        <v>35420000</v>
      </c>
      <c r="AC159" s="364">
        <v>0</v>
      </c>
      <c r="AD159" s="18">
        <f t="shared" si="152"/>
        <v>35420000</v>
      </c>
      <c r="AE159" s="19">
        <f>OCTUBRE!AG159</f>
        <v>33249873</v>
      </c>
      <c r="AF159" s="364">
        <v>0</v>
      </c>
      <c r="AG159" s="18">
        <f t="shared" si="153"/>
        <v>33249873</v>
      </c>
      <c r="AH159" s="19">
        <f t="shared" si="154"/>
        <v>4580000</v>
      </c>
      <c r="AI159" s="15">
        <f t="shared" si="155"/>
        <v>4580000</v>
      </c>
      <c r="AJ159" s="16">
        <f t="shared" si="156"/>
        <v>6750127</v>
      </c>
      <c r="AK159" s="9"/>
      <c r="AL159" s="362">
        <v>0</v>
      </c>
      <c r="AM159" s="365">
        <v>0</v>
      </c>
      <c r="AN159" s="9"/>
    </row>
    <row r="160" spans="1:40" s="372" customFormat="1" ht="24.95" customHeight="1">
      <c r="A160" s="734"/>
      <c r="B160" s="643"/>
      <c r="I160" s="451"/>
      <c r="L160" s="451"/>
      <c r="N160" s="9"/>
      <c r="P160" s="9"/>
      <c r="Q160" s="9"/>
      <c r="R160" s="9"/>
      <c r="S160" s="689" t="str">
        <f>+IF(OCTUBRE!S160=0,"",OCTUBRE!S160)</f>
        <v>2020202-3</v>
      </c>
      <c r="T160" s="665" t="str">
        <f>+IF(OCTUBRE!T160=0,"",OCTUBRE!T160)</f>
        <v>Pago a otras IPS</v>
      </c>
      <c r="U160" s="27">
        <f>+ENERO!U160</f>
        <v>0</v>
      </c>
      <c r="V160" s="15">
        <f>OCTUBRE!V160+NOVIEMBRE!AL160</f>
        <v>0</v>
      </c>
      <c r="W160" s="15">
        <f>OCTUBRE!W160+NOVIEMBRE!AM160</f>
        <v>0</v>
      </c>
      <c r="X160" s="18">
        <f t="shared" si="150"/>
        <v>0</v>
      </c>
      <c r="Y160" s="19">
        <f>OCTUBRE!AA160</f>
        <v>0</v>
      </c>
      <c r="Z160" s="364">
        <v>0</v>
      </c>
      <c r="AA160" s="18">
        <f t="shared" si="151"/>
        <v>0</v>
      </c>
      <c r="AB160" s="19">
        <f>OCTUBRE!AD160</f>
        <v>0</v>
      </c>
      <c r="AC160" s="364">
        <v>0</v>
      </c>
      <c r="AD160" s="18">
        <f t="shared" si="152"/>
        <v>0</v>
      </c>
      <c r="AE160" s="19">
        <f>OCTUBRE!AG160</f>
        <v>0</v>
      </c>
      <c r="AF160" s="364">
        <v>0</v>
      </c>
      <c r="AG160" s="18">
        <f t="shared" si="153"/>
        <v>0</v>
      </c>
      <c r="AH160" s="19">
        <f t="shared" si="154"/>
        <v>0</v>
      </c>
      <c r="AI160" s="15">
        <f t="shared" si="155"/>
        <v>0</v>
      </c>
      <c r="AJ160" s="16">
        <f t="shared" si="156"/>
        <v>0</v>
      </c>
      <c r="AK160" s="9"/>
      <c r="AL160" s="362">
        <v>0</v>
      </c>
      <c r="AM160" s="365">
        <v>0</v>
      </c>
      <c r="AN160" s="9"/>
    </row>
    <row r="161" spans="1:40" s="372" customFormat="1" ht="24.95" customHeight="1">
      <c r="A161" s="734"/>
      <c r="B161" s="643"/>
      <c r="I161" s="451"/>
      <c r="L161" s="451"/>
      <c r="N161" s="9"/>
      <c r="P161" s="9"/>
      <c r="Q161" s="9"/>
      <c r="R161" s="9"/>
      <c r="S161" s="689" t="str">
        <f>+IF(OCTUBRE!S161=0,"",OCTUBRE!S161)</f>
        <v>2020202-4</v>
      </c>
      <c r="T161" s="665" t="str">
        <f>+IF(OCTUBRE!T161=0,"",OCTUBRE!T161)</f>
        <v>Comunicaciones y Transportes</v>
      </c>
      <c r="U161" s="27">
        <f>+ENERO!U161</f>
        <v>5000000</v>
      </c>
      <c r="V161" s="15">
        <f>OCTUBRE!V161+NOVIEMBRE!AL161</f>
        <v>0</v>
      </c>
      <c r="W161" s="15">
        <f>OCTUBRE!W161+NOVIEMBRE!AM161</f>
        <v>0</v>
      </c>
      <c r="X161" s="18">
        <f t="shared" si="150"/>
        <v>5000000</v>
      </c>
      <c r="Y161" s="19">
        <f>OCTUBRE!AA161</f>
        <v>320000</v>
      </c>
      <c r="Z161" s="364">
        <v>3862846</v>
      </c>
      <c r="AA161" s="18">
        <f t="shared" si="151"/>
        <v>4182846</v>
      </c>
      <c r="AB161" s="19">
        <f>OCTUBRE!AD161</f>
        <v>320000</v>
      </c>
      <c r="AC161" s="364">
        <v>3862846</v>
      </c>
      <c r="AD161" s="18">
        <f t="shared" si="152"/>
        <v>4182846</v>
      </c>
      <c r="AE161" s="19">
        <f>OCTUBRE!AG161</f>
        <v>0</v>
      </c>
      <c r="AF161" s="364">
        <v>942846</v>
      </c>
      <c r="AG161" s="18">
        <f t="shared" si="153"/>
        <v>942846</v>
      </c>
      <c r="AH161" s="19">
        <f t="shared" si="154"/>
        <v>817154</v>
      </c>
      <c r="AI161" s="15">
        <f t="shared" si="155"/>
        <v>817154</v>
      </c>
      <c r="AJ161" s="16">
        <f t="shared" si="156"/>
        <v>4057154</v>
      </c>
      <c r="AK161" s="9"/>
      <c r="AL161" s="362">
        <v>0</v>
      </c>
      <c r="AM161" s="365">
        <v>0</v>
      </c>
      <c r="AN161" s="9"/>
    </row>
    <row r="162" spans="1:40" s="372" customFormat="1" ht="24.95" customHeight="1">
      <c r="A162" s="734"/>
      <c r="B162" s="643"/>
      <c r="I162" s="451"/>
      <c r="L162" s="451"/>
      <c r="N162" s="9"/>
      <c r="P162" s="9"/>
      <c r="Q162" s="9"/>
      <c r="R162" s="9"/>
      <c r="S162" s="689" t="str">
        <f>+IF(OCTUBRE!S162=0,"",OCTUBRE!S162)</f>
        <v>2020202-5</v>
      </c>
      <c r="T162" s="665" t="str">
        <f>+IF(OCTUBRE!T162=0,"",OCTUBRE!T162)</f>
        <v>Viáticos y Gastos de Viaje</v>
      </c>
      <c r="U162" s="27">
        <f>+ENERO!U162</f>
        <v>5000000</v>
      </c>
      <c r="V162" s="15">
        <f>OCTUBRE!V162+NOVIEMBRE!AL162</f>
        <v>0</v>
      </c>
      <c r="W162" s="15">
        <f>OCTUBRE!W162+NOVIEMBRE!AM162</f>
        <v>0</v>
      </c>
      <c r="X162" s="18">
        <f t="shared" si="150"/>
        <v>5000000</v>
      </c>
      <c r="Y162" s="19">
        <f>OCTUBRE!AA162</f>
        <v>712500</v>
      </c>
      <c r="Z162" s="364">
        <v>0</v>
      </c>
      <c r="AA162" s="18">
        <f t="shared" si="151"/>
        <v>712500</v>
      </c>
      <c r="AB162" s="19">
        <f>OCTUBRE!AD162</f>
        <v>712500</v>
      </c>
      <c r="AC162" s="364">
        <v>0</v>
      </c>
      <c r="AD162" s="18">
        <f t="shared" si="152"/>
        <v>712500</v>
      </c>
      <c r="AE162" s="19">
        <f>OCTUBRE!AG162</f>
        <v>712500</v>
      </c>
      <c r="AF162" s="364">
        <v>0</v>
      </c>
      <c r="AG162" s="18">
        <f t="shared" si="153"/>
        <v>712500</v>
      </c>
      <c r="AH162" s="19">
        <f t="shared" si="154"/>
        <v>4287500</v>
      </c>
      <c r="AI162" s="15">
        <f t="shared" si="155"/>
        <v>4287500</v>
      </c>
      <c r="AJ162" s="16">
        <f t="shared" si="156"/>
        <v>4287500</v>
      </c>
      <c r="AK162" s="9"/>
      <c r="AL162" s="362">
        <v>0</v>
      </c>
      <c r="AM162" s="365">
        <v>0</v>
      </c>
      <c r="AN162" s="9"/>
    </row>
    <row r="163" spans="1:40" s="372" customFormat="1" ht="24.95" customHeight="1">
      <c r="A163" s="734"/>
      <c r="B163" s="643"/>
      <c r="I163" s="451"/>
      <c r="L163" s="451"/>
      <c r="N163" s="9"/>
      <c r="P163" s="9"/>
      <c r="Q163" s="9"/>
      <c r="R163" s="9"/>
      <c r="S163" s="689" t="str">
        <f>+IF(OCTUBRE!S163=0,"",OCTUBRE!S163)</f>
        <v>2020202-6</v>
      </c>
      <c r="T163" s="665" t="str">
        <f>+IF(OCTUBRE!T163=0,"",OCTUBRE!T163)</f>
        <v>Plan Integral de Manejo de Residuos Sólidos Hospitalarios</v>
      </c>
      <c r="U163" s="27">
        <f>+ENERO!U163</f>
        <v>300000000</v>
      </c>
      <c r="V163" s="15">
        <f>OCTUBRE!V163+NOVIEMBRE!AL163</f>
        <v>0</v>
      </c>
      <c r="W163" s="15">
        <f>OCTUBRE!W163+NOVIEMBRE!AM163</f>
        <v>20000000</v>
      </c>
      <c r="X163" s="18">
        <f t="shared" si="150"/>
        <v>320000000</v>
      </c>
      <c r="Y163" s="19">
        <f>OCTUBRE!AA163</f>
        <v>212380586</v>
      </c>
      <c r="Z163" s="364">
        <v>60700951</v>
      </c>
      <c r="AA163" s="18">
        <f t="shared" si="151"/>
        <v>273081537</v>
      </c>
      <c r="AB163" s="19">
        <f>OCTUBRE!AD163</f>
        <v>208203872</v>
      </c>
      <c r="AC163" s="364">
        <v>37893218</v>
      </c>
      <c r="AD163" s="18">
        <f t="shared" si="152"/>
        <v>246097090</v>
      </c>
      <c r="AE163" s="19">
        <f>OCTUBRE!AG163</f>
        <v>167790601</v>
      </c>
      <c r="AF163" s="364">
        <v>12809020</v>
      </c>
      <c r="AG163" s="18">
        <f t="shared" si="153"/>
        <v>180599621</v>
      </c>
      <c r="AH163" s="19">
        <f t="shared" si="154"/>
        <v>46918463</v>
      </c>
      <c r="AI163" s="15">
        <f t="shared" si="155"/>
        <v>73902910</v>
      </c>
      <c r="AJ163" s="16">
        <f t="shared" si="156"/>
        <v>139400379</v>
      </c>
      <c r="AK163" s="9"/>
      <c r="AL163" s="362">
        <v>0</v>
      </c>
      <c r="AM163" s="365">
        <v>20000000</v>
      </c>
      <c r="AN163" s="9"/>
    </row>
    <row r="164" spans="1:40" s="372" customFormat="1" ht="24.95" customHeight="1">
      <c r="A164" s="734"/>
      <c r="B164" s="643"/>
      <c r="I164" s="451"/>
      <c r="L164" s="451"/>
      <c r="N164" s="9"/>
      <c r="P164" s="9"/>
      <c r="Q164" s="9"/>
      <c r="R164" s="9"/>
      <c r="S164" s="689" t="str">
        <f>+IF(OCTUBRE!S164=0,"",OCTUBRE!S164)</f>
        <v>2020202-7</v>
      </c>
      <c r="T164" s="665" t="str">
        <f>+IF(OCTUBRE!T164=0,"",OCTUBRE!T164)</f>
        <v>Servicios de Laboratorio contratados con terceros</v>
      </c>
      <c r="U164" s="27">
        <f>+ENERO!U164</f>
        <v>778712263</v>
      </c>
      <c r="V164" s="15">
        <f>OCTUBRE!V164+NOVIEMBRE!AL164</f>
        <v>100000000</v>
      </c>
      <c r="W164" s="15">
        <f>OCTUBRE!W164+NOVIEMBRE!AM164</f>
        <v>0</v>
      </c>
      <c r="X164" s="18">
        <f t="shared" si="150"/>
        <v>878712263</v>
      </c>
      <c r="Y164" s="19">
        <f>OCTUBRE!AA164</f>
        <v>833719495</v>
      </c>
      <c r="Z164" s="364">
        <v>3190140</v>
      </c>
      <c r="AA164" s="18">
        <f t="shared" si="151"/>
        <v>836909635</v>
      </c>
      <c r="AB164" s="19">
        <f>OCTUBRE!AD164</f>
        <v>722642161</v>
      </c>
      <c r="AC164" s="364">
        <v>54574426</v>
      </c>
      <c r="AD164" s="18">
        <f t="shared" si="152"/>
        <v>777216587</v>
      </c>
      <c r="AE164" s="19">
        <f>OCTUBRE!AG164</f>
        <v>348644354</v>
      </c>
      <c r="AF164" s="364">
        <v>61391474</v>
      </c>
      <c r="AG164" s="18">
        <f t="shared" si="153"/>
        <v>410035828</v>
      </c>
      <c r="AH164" s="19">
        <f t="shared" si="154"/>
        <v>41802628</v>
      </c>
      <c r="AI164" s="15">
        <f t="shared" si="155"/>
        <v>101495676</v>
      </c>
      <c r="AJ164" s="16">
        <f t="shared" si="156"/>
        <v>468676435</v>
      </c>
      <c r="AK164" s="9"/>
      <c r="AL164" s="362">
        <v>0</v>
      </c>
      <c r="AM164" s="365">
        <v>0</v>
      </c>
      <c r="AN164" s="9"/>
    </row>
    <row r="165" spans="1:40" s="372" customFormat="1" ht="24.95" customHeight="1">
      <c r="A165" s="734"/>
      <c r="B165" s="643"/>
      <c r="I165" s="451"/>
      <c r="L165" s="451"/>
      <c r="N165" s="9"/>
      <c r="P165" s="9"/>
      <c r="Q165" s="9"/>
      <c r="R165" s="9"/>
      <c r="S165" s="689" t="str">
        <f>+IF(OCTUBRE!S165=0,"",OCTUBRE!S165)</f>
        <v>2020202-8</v>
      </c>
      <c r="T165" s="665" t="str">
        <f>+IF(OCTUBRE!T165=0,"",OCTUBRE!T165)</f>
        <v>Servicios de Rayos X e Imaginología contratado con terceros</v>
      </c>
      <c r="U165" s="27">
        <f>+ENERO!U165</f>
        <v>1116000000</v>
      </c>
      <c r="V165" s="15">
        <f>OCTUBRE!V165+NOVIEMBRE!AL165</f>
        <v>0</v>
      </c>
      <c r="W165" s="15">
        <f>OCTUBRE!W165+NOVIEMBRE!AM165</f>
        <v>500000000</v>
      </c>
      <c r="X165" s="18">
        <f t="shared" si="150"/>
        <v>1616000000</v>
      </c>
      <c r="Y165" s="19">
        <f>OCTUBRE!AA165</f>
        <v>1577000000</v>
      </c>
      <c r="Z165" s="364">
        <v>0</v>
      </c>
      <c r="AA165" s="18">
        <f t="shared" si="151"/>
        <v>1577000000</v>
      </c>
      <c r="AB165" s="19">
        <f>OCTUBRE!AD165</f>
        <v>1372973927</v>
      </c>
      <c r="AC165" s="364">
        <v>35971065</v>
      </c>
      <c r="AD165" s="18">
        <f t="shared" si="152"/>
        <v>1408944992</v>
      </c>
      <c r="AE165" s="19">
        <f>OCTUBRE!AG165</f>
        <v>965097069</v>
      </c>
      <c r="AF165" s="364">
        <v>47796663</v>
      </c>
      <c r="AG165" s="18">
        <f t="shared" si="153"/>
        <v>1012893732</v>
      </c>
      <c r="AH165" s="19">
        <f t="shared" si="154"/>
        <v>39000000</v>
      </c>
      <c r="AI165" s="15">
        <f t="shared" si="155"/>
        <v>207055008</v>
      </c>
      <c r="AJ165" s="16">
        <f t="shared" si="156"/>
        <v>603106268</v>
      </c>
      <c r="AK165" s="9"/>
      <c r="AL165" s="362">
        <v>0</v>
      </c>
      <c r="AM165" s="365">
        <v>0</v>
      </c>
      <c r="AN165" s="9"/>
    </row>
    <row r="166" spans="1:40" s="372" customFormat="1" ht="24.95" customHeight="1">
      <c r="A166" s="734"/>
      <c r="B166" s="643"/>
      <c r="I166" s="451"/>
      <c r="L166" s="451"/>
      <c r="N166" s="9"/>
      <c r="P166" s="9"/>
      <c r="Q166" s="9"/>
      <c r="R166" s="9"/>
      <c r="S166" s="689" t="str">
        <f>+IF(OCTUBRE!S166=0,"",OCTUBRE!S166)</f>
        <v>2020202-9</v>
      </c>
      <c r="T166" s="665" t="str">
        <f>+IF(OCTUBRE!T166=0,"",OCTUBRE!T166)</f>
        <v>Arrendamientos</v>
      </c>
      <c r="U166" s="27">
        <f>+ENERO!U166</f>
        <v>165000000</v>
      </c>
      <c r="V166" s="15">
        <f>OCTUBRE!V166+NOVIEMBRE!AL166</f>
        <v>-135000000</v>
      </c>
      <c r="W166" s="15">
        <f>OCTUBRE!W166+NOVIEMBRE!AM166</f>
        <v>0</v>
      </c>
      <c r="X166" s="18">
        <f t="shared" si="150"/>
        <v>30000000</v>
      </c>
      <c r="Y166" s="19">
        <f>OCTUBRE!AA166</f>
        <v>19813500</v>
      </c>
      <c r="Z166" s="364">
        <v>0</v>
      </c>
      <c r="AA166" s="18">
        <f t="shared" si="151"/>
        <v>19813500</v>
      </c>
      <c r="AB166" s="19">
        <f>OCTUBRE!AD166</f>
        <v>19813500</v>
      </c>
      <c r="AC166" s="364">
        <v>0</v>
      </c>
      <c r="AD166" s="18">
        <f t="shared" si="152"/>
        <v>19813500</v>
      </c>
      <c r="AE166" s="19">
        <f>OCTUBRE!AG166</f>
        <v>19813500</v>
      </c>
      <c r="AF166" s="364">
        <v>0</v>
      </c>
      <c r="AG166" s="18">
        <f t="shared" si="153"/>
        <v>19813500</v>
      </c>
      <c r="AH166" s="19">
        <f t="shared" si="154"/>
        <v>10186500</v>
      </c>
      <c r="AI166" s="15">
        <f t="shared" si="155"/>
        <v>10186500</v>
      </c>
      <c r="AJ166" s="16">
        <f t="shared" si="156"/>
        <v>10186500</v>
      </c>
      <c r="AK166" s="9"/>
      <c r="AL166" s="362">
        <v>-135000000</v>
      </c>
      <c r="AM166" s="365">
        <v>0</v>
      </c>
      <c r="AN166" s="9"/>
    </row>
    <row r="167" spans="1:40" s="372" customFormat="1" ht="24.95" customHeight="1">
      <c r="A167" s="734"/>
      <c r="B167" s="643"/>
      <c r="I167" s="451"/>
      <c r="L167" s="451"/>
      <c r="N167" s="9"/>
      <c r="P167" s="9"/>
      <c r="Q167" s="9"/>
      <c r="R167" s="9"/>
      <c r="S167" s="689" t="str">
        <f>+IF(OCTUBRE!S167=0,"",OCTUBRE!S167)</f>
        <v>2020202-10</v>
      </c>
      <c r="T167" s="665" t="str">
        <f>+IF(OCTUBRE!T167=0,"",OCTUBRE!T167)</f>
        <v>Servicios Públicos</v>
      </c>
      <c r="U167" s="27">
        <f>+ENERO!U167</f>
        <v>0</v>
      </c>
      <c r="V167" s="15">
        <f>OCTUBRE!V167+NOVIEMBRE!AL167</f>
        <v>0</v>
      </c>
      <c r="W167" s="15">
        <f>OCTUBRE!W167+NOVIEMBRE!AM167</f>
        <v>0</v>
      </c>
      <c r="X167" s="18">
        <f>SUM(U167:W167)</f>
        <v>0</v>
      </c>
      <c r="Y167" s="19">
        <f>OCTUBRE!AA167</f>
        <v>0</v>
      </c>
      <c r="Z167" s="364">
        <v>0</v>
      </c>
      <c r="AA167" s="18">
        <f>SUM(Y167:Z167)</f>
        <v>0</v>
      </c>
      <c r="AB167" s="19">
        <f>OCTUBRE!AD167</f>
        <v>0</v>
      </c>
      <c r="AC167" s="364">
        <v>0</v>
      </c>
      <c r="AD167" s="18">
        <f>SUM(AB167:AC167)</f>
        <v>0</v>
      </c>
      <c r="AE167" s="19">
        <f>OCTUBRE!AG167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I168" s="451"/>
      <c r="L168" s="451"/>
      <c r="N168" s="9"/>
      <c r="P168" s="9"/>
      <c r="Q168" s="9"/>
      <c r="R168" s="9"/>
      <c r="S168" s="688">
        <f>+IF(OCTUBRE!S168=0,"",OCTUBRE!S168)</f>
        <v>2020299</v>
      </c>
      <c r="T168" s="664" t="str">
        <f>+IF(OCTUBRE!T168=0,"",OCTUBRE!T168)</f>
        <v>Vigencias Anteriores</v>
      </c>
      <c r="U168" s="27">
        <f>+ENERO!U168</f>
        <v>100900000</v>
      </c>
      <c r="V168" s="15">
        <f>OCTUBRE!V168+NOVIEMBRE!AL168</f>
        <v>170000000</v>
      </c>
      <c r="W168" s="15">
        <f>OCTUBRE!W168+NOVIEMBRE!AM168</f>
        <v>902301905</v>
      </c>
      <c r="X168" s="18">
        <f t="shared" si="150"/>
        <v>1173201905</v>
      </c>
      <c r="Y168" s="19">
        <f>OCTUBRE!AA168</f>
        <v>986806426</v>
      </c>
      <c r="Z168" s="364">
        <v>0</v>
      </c>
      <c r="AA168" s="18">
        <f t="shared" si="151"/>
        <v>986806426</v>
      </c>
      <c r="AB168" s="19">
        <f>OCTUBRE!AD168</f>
        <v>986806426</v>
      </c>
      <c r="AC168" s="364">
        <v>0</v>
      </c>
      <c r="AD168" s="18">
        <f t="shared" si="152"/>
        <v>986806426</v>
      </c>
      <c r="AE168" s="19">
        <f>OCTUBRE!AG168</f>
        <v>986806426</v>
      </c>
      <c r="AF168" s="364">
        <v>0</v>
      </c>
      <c r="AG168" s="18">
        <f t="shared" si="153"/>
        <v>986806426</v>
      </c>
      <c r="AH168" s="19">
        <f t="shared" si="154"/>
        <v>186395479</v>
      </c>
      <c r="AI168" s="15">
        <f t="shared" si="155"/>
        <v>186395479</v>
      </c>
      <c r="AJ168" s="16">
        <f t="shared" si="156"/>
        <v>186395479</v>
      </c>
      <c r="AK168" s="9"/>
      <c r="AL168" s="362">
        <v>0</v>
      </c>
      <c r="AM168" s="365">
        <v>0</v>
      </c>
      <c r="AN168" s="9"/>
    </row>
    <row r="169" spans="1:40" s="372" customFormat="1" ht="24.95" customHeight="1">
      <c r="A169" s="734"/>
      <c r="B169" s="643"/>
      <c r="I169" s="451"/>
      <c r="L169" s="451"/>
      <c r="N169" s="9"/>
      <c r="P169" s="9"/>
      <c r="Q169" s="9"/>
      <c r="R169" s="9"/>
      <c r="S169" s="356" t="str">
        <f>+IF(OCTUBRE!S169=0,"",OCTUBRE!S169)</f>
        <v/>
      </c>
      <c r="T169" s="678" t="str">
        <f>+IF(OCTUBRE!T169=0,"",OCTUBRE!T169)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I170" s="451"/>
      <c r="L170" s="451"/>
      <c r="N170" s="9"/>
      <c r="P170" s="9"/>
      <c r="Q170" s="9"/>
      <c r="R170" s="9"/>
      <c r="S170" s="686">
        <f>+IF(OCTUBRE!S170=0,"",OCTUBRE!S170)</f>
        <v>3000000</v>
      </c>
      <c r="T170" s="668" t="str">
        <f>+IF(OCTUBRE!T170=0,"",OCTUBRE!T170)</f>
        <v>TRANSFERENCIAS CORRIENTES</v>
      </c>
      <c r="U170" s="460">
        <f t="shared" ref="U170:AJ170" si="157">U172+U176+U185</f>
        <v>1240354144</v>
      </c>
      <c r="V170" s="461">
        <f t="shared" si="157"/>
        <v>52000000</v>
      </c>
      <c r="W170" s="461">
        <f t="shared" si="157"/>
        <v>0</v>
      </c>
      <c r="X170" s="462">
        <f t="shared" si="157"/>
        <v>1292354144</v>
      </c>
      <c r="Y170" s="369">
        <f t="shared" si="157"/>
        <v>846871019</v>
      </c>
      <c r="Z170" s="461">
        <f t="shared" si="157"/>
        <v>135894227</v>
      </c>
      <c r="AA170" s="462">
        <f t="shared" si="157"/>
        <v>982765246</v>
      </c>
      <c r="AB170" s="369">
        <f t="shared" si="157"/>
        <v>846871019</v>
      </c>
      <c r="AC170" s="461">
        <f t="shared" si="157"/>
        <v>135894227</v>
      </c>
      <c r="AD170" s="462">
        <f t="shared" si="157"/>
        <v>982765246</v>
      </c>
      <c r="AE170" s="369">
        <f t="shared" si="157"/>
        <v>842760879</v>
      </c>
      <c r="AF170" s="461">
        <f t="shared" si="157"/>
        <v>129460537</v>
      </c>
      <c r="AG170" s="462">
        <f t="shared" si="157"/>
        <v>972221416</v>
      </c>
      <c r="AH170" s="369">
        <f t="shared" si="157"/>
        <v>309588898</v>
      </c>
      <c r="AI170" s="461">
        <f t="shared" si="157"/>
        <v>309588898</v>
      </c>
      <c r="AJ170" s="370">
        <f t="shared" si="157"/>
        <v>320132728</v>
      </c>
      <c r="AK170" s="9"/>
      <c r="AL170" s="128">
        <f>AL172+AL176+AL185</f>
        <v>0</v>
      </c>
      <c r="AM170" s="130">
        <f>AM172+AM176+AM185</f>
        <v>0</v>
      </c>
      <c r="AN170" s="9"/>
    </row>
    <row r="171" spans="1:40" s="372" customFormat="1" ht="24.95" customHeight="1">
      <c r="A171" s="734"/>
      <c r="B171" s="643"/>
      <c r="I171" s="451"/>
      <c r="L171" s="451"/>
      <c r="N171" s="9"/>
      <c r="P171" s="9"/>
      <c r="Q171" s="9"/>
      <c r="R171" s="9"/>
      <c r="S171" s="356" t="str">
        <f>+IF(OCTUBRE!S171=0,"",OCTUBRE!S171)</f>
        <v/>
      </c>
      <c r="T171" s="678" t="str">
        <f>+IF(OCTUBRE!T171=0,"",OCTUBRE!T171)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I172" s="451"/>
      <c r="L172" s="451"/>
      <c r="N172" s="9"/>
      <c r="P172" s="9"/>
      <c r="Q172" s="9"/>
      <c r="R172" s="9"/>
      <c r="S172" s="687">
        <f>+IF(OCTUBRE!S172=0,"",OCTUBRE!S172)</f>
        <v>3100000</v>
      </c>
      <c r="T172" s="663" t="str">
        <f>+IF(OCTUBRE!T172=0,"",OCTUBRE!T172)</f>
        <v>Transferencias al Sector Público</v>
      </c>
      <c r="U172" s="132">
        <f t="shared" ref="U172:AJ172" si="158">SUM(U173:U174)</f>
        <v>50000000</v>
      </c>
      <c r="V172" s="122">
        <f t="shared" si="158"/>
        <v>44000000</v>
      </c>
      <c r="W172" s="122">
        <f t="shared" si="158"/>
        <v>0</v>
      </c>
      <c r="X172" s="129">
        <f t="shared" si="158"/>
        <v>94000000</v>
      </c>
      <c r="Y172" s="128">
        <f t="shared" si="158"/>
        <v>91353733</v>
      </c>
      <c r="Z172" s="122">
        <f t="shared" si="158"/>
        <v>0</v>
      </c>
      <c r="AA172" s="129">
        <f t="shared" si="158"/>
        <v>91353733</v>
      </c>
      <c r="AB172" s="128">
        <f t="shared" si="158"/>
        <v>91353733</v>
      </c>
      <c r="AC172" s="122">
        <f t="shared" si="158"/>
        <v>0</v>
      </c>
      <c r="AD172" s="129">
        <f t="shared" si="158"/>
        <v>91353733</v>
      </c>
      <c r="AE172" s="128">
        <f t="shared" si="158"/>
        <v>91353733</v>
      </c>
      <c r="AF172" s="122">
        <f t="shared" si="158"/>
        <v>0</v>
      </c>
      <c r="AG172" s="129">
        <f t="shared" si="158"/>
        <v>91353733</v>
      </c>
      <c r="AH172" s="128">
        <f t="shared" si="158"/>
        <v>2646267</v>
      </c>
      <c r="AI172" s="122">
        <f t="shared" si="158"/>
        <v>2646267</v>
      </c>
      <c r="AJ172" s="130">
        <f t="shared" si="158"/>
        <v>2646267</v>
      </c>
      <c r="AK172" s="9"/>
      <c r="AL172" s="128">
        <f>SUM(AL173:AL174)</f>
        <v>0</v>
      </c>
      <c r="AM172" s="130">
        <f>SUM(AM173:AM174)</f>
        <v>0</v>
      </c>
      <c r="AN172" s="9"/>
    </row>
    <row r="173" spans="1:40" s="372" customFormat="1" ht="24.95" customHeight="1">
      <c r="A173" s="734"/>
      <c r="B173" s="643"/>
      <c r="I173" s="451"/>
      <c r="L173" s="451"/>
      <c r="N173" s="9"/>
      <c r="P173" s="9"/>
      <c r="Q173" s="9"/>
      <c r="R173" s="9"/>
      <c r="S173" s="688">
        <f>+IF(OCTUBRE!S173=0,"",OCTUBRE!S173)</f>
        <v>3100003</v>
      </c>
      <c r="T173" s="664" t="str">
        <f>+IF(OCTUBRE!T173=0,"",OCTUBRE!T173)</f>
        <v>Entidades Públicas (Contraloria, Supersalud,…)</v>
      </c>
      <c r="U173" s="27">
        <f>+ENERO!U173</f>
        <v>50000000</v>
      </c>
      <c r="V173" s="15">
        <f>OCTUBRE!V173+NOVIEMBRE!AL173</f>
        <v>44000000</v>
      </c>
      <c r="W173" s="15">
        <f>OCTUBRE!W173+NOVIEMBRE!AM173</f>
        <v>0</v>
      </c>
      <c r="X173" s="18">
        <f>SUM(U173:W173)</f>
        <v>94000000</v>
      </c>
      <c r="Y173" s="19">
        <f>OCTUBRE!AA173</f>
        <v>91353733</v>
      </c>
      <c r="Z173" s="364">
        <v>0</v>
      </c>
      <c r="AA173" s="18">
        <f>SUM(Y173:Z173)</f>
        <v>91353733</v>
      </c>
      <c r="AB173" s="19">
        <f>OCTUBRE!AD173</f>
        <v>91353733</v>
      </c>
      <c r="AC173" s="364">
        <v>0</v>
      </c>
      <c r="AD173" s="18">
        <f>SUM(AB173:AC173)</f>
        <v>91353733</v>
      </c>
      <c r="AE173" s="19">
        <f>OCTUBRE!AG173</f>
        <v>91353733</v>
      </c>
      <c r="AF173" s="364">
        <v>0</v>
      </c>
      <c r="AG173" s="18">
        <f>SUM(AE173:AF173)</f>
        <v>91353733</v>
      </c>
      <c r="AH173" s="19">
        <f>X173-AA173</f>
        <v>2646267</v>
      </c>
      <c r="AI173" s="15">
        <f>X173-AD173</f>
        <v>2646267</v>
      </c>
      <c r="AJ173" s="16">
        <f>X173-AG173</f>
        <v>2646267</v>
      </c>
      <c r="AK173" s="9"/>
      <c r="AL173" s="362">
        <v>0</v>
      </c>
      <c r="AM173" s="365">
        <v>0</v>
      </c>
      <c r="AN173" s="9"/>
    </row>
    <row r="174" spans="1:40" s="372" customFormat="1" ht="24.95" customHeight="1">
      <c r="A174" s="734"/>
      <c r="B174" s="643"/>
      <c r="I174" s="451"/>
      <c r="L174" s="451"/>
      <c r="N174" s="9"/>
      <c r="P174" s="9"/>
      <c r="Q174" s="9"/>
      <c r="R174" s="9"/>
      <c r="S174" s="688">
        <f>+IF(OCTUBRE!S174=0,"",OCTUBRE!S174)</f>
        <v>3199999</v>
      </c>
      <c r="T174" s="664" t="str">
        <f>+IF(OCTUBRE!T174=0,"",OCTUBRE!T174)</f>
        <v>Vigencias Anteriores</v>
      </c>
      <c r="U174" s="27">
        <f>+ENERO!U174</f>
        <v>0</v>
      </c>
      <c r="V174" s="15">
        <f>OCTUBRE!V174+NOVIEMBRE!AL174</f>
        <v>0</v>
      </c>
      <c r="W174" s="15">
        <f>OCTUBRE!W174+NOVIEMBRE!AM174</f>
        <v>0</v>
      </c>
      <c r="X174" s="18">
        <f>SUM(U174:W174)</f>
        <v>0</v>
      </c>
      <c r="Y174" s="19">
        <f>OCTUBRE!AA174</f>
        <v>0</v>
      </c>
      <c r="Z174" s="364">
        <v>0</v>
      </c>
      <c r="AA174" s="18">
        <f>SUM(Y174:Z174)</f>
        <v>0</v>
      </c>
      <c r="AB174" s="19">
        <f>OCTUBRE!AD174</f>
        <v>0</v>
      </c>
      <c r="AC174" s="364">
        <v>0</v>
      </c>
      <c r="AD174" s="18">
        <f>SUM(AB174:AC174)</f>
        <v>0</v>
      </c>
      <c r="AE174" s="19">
        <f>OCTUBRE!AG174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I175" s="451"/>
      <c r="L175" s="451"/>
      <c r="N175" s="9"/>
      <c r="P175" s="9"/>
      <c r="Q175" s="9"/>
      <c r="R175" s="9"/>
      <c r="S175" s="356" t="str">
        <f>+IF(OCTUBRE!S175=0,"",OCTUBRE!S175)</f>
        <v/>
      </c>
      <c r="T175" s="678" t="str">
        <f>+IF(OCTUBRE!T175=0,"",OCTUBRE!T175)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I176" s="451"/>
      <c r="L176" s="451"/>
      <c r="N176" s="9"/>
      <c r="P176" s="9"/>
      <c r="Q176" s="9"/>
      <c r="R176" s="9"/>
      <c r="S176" s="687">
        <f>+IF(OCTUBRE!S176=0,"",OCTUBRE!S176)</f>
        <v>320000</v>
      </c>
      <c r="T176" s="663" t="str">
        <f>+IF(OCTUBRE!T176=0,"",OCTUBRE!T176)</f>
        <v>Transf. Previsión y Seguridad Social</v>
      </c>
      <c r="U176" s="132">
        <f t="shared" ref="U176:AJ176" si="159">SUM(U177:U183)</f>
        <v>1110354144</v>
      </c>
      <c r="V176" s="122">
        <f t="shared" si="159"/>
        <v>0</v>
      </c>
      <c r="W176" s="122">
        <f t="shared" si="159"/>
        <v>0</v>
      </c>
      <c r="X176" s="129">
        <f t="shared" si="159"/>
        <v>1110354144</v>
      </c>
      <c r="Y176" s="128">
        <f t="shared" si="159"/>
        <v>733063306</v>
      </c>
      <c r="Z176" s="122">
        <f t="shared" si="159"/>
        <v>133514227</v>
      </c>
      <c r="AA176" s="129">
        <f t="shared" si="159"/>
        <v>866577533</v>
      </c>
      <c r="AB176" s="128">
        <f t="shared" si="159"/>
        <v>733063306</v>
      </c>
      <c r="AC176" s="122">
        <f t="shared" si="159"/>
        <v>133514227</v>
      </c>
      <c r="AD176" s="129">
        <f t="shared" si="159"/>
        <v>866577533</v>
      </c>
      <c r="AE176" s="128">
        <f t="shared" si="159"/>
        <v>728953166</v>
      </c>
      <c r="AF176" s="122">
        <f t="shared" si="159"/>
        <v>129460537</v>
      </c>
      <c r="AG176" s="129">
        <f t="shared" si="159"/>
        <v>858413703</v>
      </c>
      <c r="AH176" s="128">
        <f t="shared" si="159"/>
        <v>243776611</v>
      </c>
      <c r="AI176" s="122">
        <f t="shared" si="159"/>
        <v>243776611</v>
      </c>
      <c r="AJ176" s="130">
        <f t="shared" si="159"/>
        <v>251940441</v>
      </c>
      <c r="AK176" s="9"/>
      <c r="AL176" s="128">
        <f>SUM(AL177:AL183)</f>
        <v>0</v>
      </c>
      <c r="AM176" s="130">
        <f>SUM(AM177:AM183)</f>
        <v>0</v>
      </c>
      <c r="AN176" s="9"/>
    </row>
    <row r="177" spans="1:40" s="372" customFormat="1" ht="24.95" customHeight="1">
      <c r="A177" s="734"/>
      <c r="B177" s="643"/>
      <c r="I177" s="451"/>
      <c r="L177" s="451"/>
      <c r="N177" s="9"/>
      <c r="P177" s="9"/>
      <c r="Q177" s="9"/>
      <c r="R177" s="9"/>
      <c r="S177" s="688">
        <f>+IF(OCTUBRE!S177=0,"",OCTUBRE!S177)</f>
        <v>3200100</v>
      </c>
      <c r="T177" s="664" t="str">
        <f>+IF(OCTUBRE!T177=0,"",OCTUBRE!T177)</f>
        <v>Pensiones y Jubilaciones (Pago Directo)</v>
      </c>
      <c r="U177" s="27">
        <f>+ENERO!U177</f>
        <v>965336472</v>
      </c>
      <c r="V177" s="15">
        <f>OCTUBRE!V177+NOVIEMBRE!AL177</f>
        <v>0</v>
      </c>
      <c r="W177" s="15">
        <f>OCTUBRE!W177+NOVIEMBRE!AM177</f>
        <v>0</v>
      </c>
      <c r="X177" s="18">
        <f t="shared" ref="X177:X183" si="160">SUM(U177:W177)</f>
        <v>965336472</v>
      </c>
      <c r="Y177" s="19">
        <f>OCTUBRE!AA177</f>
        <v>678221468</v>
      </c>
      <c r="Z177" s="364">
        <v>129278990</v>
      </c>
      <c r="AA177" s="18">
        <f t="shared" ref="AA177:AA183" si="161">SUM(Y177:Z177)</f>
        <v>807500458</v>
      </c>
      <c r="AB177" s="19">
        <f>OCTUBRE!AD177</f>
        <v>678221468</v>
      </c>
      <c r="AC177" s="364">
        <v>129278990</v>
      </c>
      <c r="AD177" s="18">
        <f t="shared" ref="AD177:AD183" si="162">SUM(AB177:AC177)</f>
        <v>807500458</v>
      </c>
      <c r="AE177" s="19">
        <f>OCTUBRE!AG177</f>
        <v>674543368</v>
      </c>
      <c r="AF177" s="364">
        <v>125274949</v>
      </c>
      <c r="AG177" s="18">
        <f t="shared" ref="AG177:AG183" si="163">SUM(AE177:AF177)</f>
        <v>799818317</v>
      </c>
      <c r="AH177" s="19">
        <f t="shared" ref="AH177:AH183" si="164">X177-AA177</f>
        <v>157836014</v>
      </c>
      <c r="AI177" s="15">
        <f t="shared" ref="AI177:AI183" si="165">X177-AD177</f>
        <v>157836014</v>
      </c>
      <c r="AJ177" s="16">
        <f t="shared" ref="AJ177:AJ183" si="166">X177-AG177</f>
        <v>165518155</v>
      </c>
      <c r="AK177" s="9"/>
      <c r="AL177" s="362">
        <v>0</v>
      </c>
      <c r="AM177" s="365">
        <v>0</v>
      </c>
      <c r="AN177" s="9"/>
    </row>
    <row r="178" spans="1:40" s="372" customFormat="1" ht="24.95" customHeight="1">
      <c r="A178" s="734"/>
      <c r="B178" s="643"/>
      <c r="I178" s="451"/>
      <c r="L178" s="451"/>
      <c r="N178" s="9"/>
      <c r="P178" s="9"/>
      <c r="Q178" s="9"/>
      <c r="R178" s="9"/>
      <c r="S178" s="688">
        <f>+IF(OCTUBRE!S178=0,"",OCTUBRE!S178)</f>
        <v>3200200</v>
      </c>
      <c r="T178" s="664" t="str">
        <f>+IF(OCTUBRE!T178=0,"",OCTUBRE!T178)</f>
        <v>Cesantías Pago Directo (Pago Directo)</v>
      </c>
      <c r="U178" s="27">
        <f>+ENERO!U178</f>
        <v>20000000</v>
      </c>
      <c r="V178" s="15">
        <f>OCTUBRE!V178+NOVIEMBRE!AL178</f>
        <v>20000000</v>
      </c>
      <c r="W178" s="15">
        <f>OCTUBRE!W178+NOVIEMBRE!AM178</f>
        <v>0</v>
      </c>
      <c r="X178" s="18">
        <f t="shared" si="160"/>
        <v>40000000</v>
      </c>
      <c r="Y178" s="19">
        <f>OCTUBRE!AA178</f>
        <v>18617802</v>
      </c>
      <c r="Z178" s="364">
        <v>3922676</v>
      </c>
      <c r="AA178" s="18">
        <f t="shared" si="161"/>
        <v>22540478</v>
      </c>
      <c r="AB178" s="19">
        <f>OCTUBRE!AD178</f>
        <v>18617802</v>
      </c>
      <c r="AC178" s="364">
        <v>3922676</v>
      </c>
      <c r="AD178" s="18">
        <f t="shared" si="162"/>
        <v>22540478</v>
      </c>
      <c r="AE178" s="19">
        <f>OCTUBRE!AG178</f>
        <v>18186325</v>
      </c>
      <c r="AF178" s="364">
        <v>3878605</v>
      </c>
      <c r="AG178" s="18">
        <f t="shared" si="163"/>
        <v>22064930</v>
      </c>
      <c r="AH178" s="19">
        <f t="shared" si="164"/>
        <v>17459522</v>
      </c>
      <c r="AI178" s="15">
        <f t="shared" si="165"/>
        <v>17459522</v>
      </c>
      <c r="AJ178" s="16">
        <f t="shared" si="166"/>
        <v>17935070</v>
      </c>
      <c r="AK178" s="9"/>
      <c r="AL178" s="362">
        <v>0</v>
      </c>
      <c r="AM178" s="365">
        <v>0</v>
      </c>
      <c r="AN178" s="9"/>
    </row>
    <row r="179" spans="1:40" s="372" customFormat="1" ht="24.95" customHeight="1">
      <c r="A179" s="734"/>
      <c r="B179" s="643"/>
      <c r="I179" s="451"/>
      <c r="L179" s="451"/>
      <c r="N179" s="9"/>
      <c r="P179" s="9"/>
      <c r="Q179" s="9"/>
      <c r="R179" s="9"/>
      <c r="S179" s="688">
        <f>+IF(OCTUBRE!S179=0,"",OCTUBRE!S179)</f>
        <v>3200300</v>
      </c>
      <c r="T179" s="664" t="str">
        <f>+IF(OCTUBRE!T179=0,"",OCTUBRE!T179)</f>
        <v>Bonos, Cuotas de Bonos y cuotas partes jubilatorias</v>
      </c>
      <c r="U179" s="27">
        <f>+ENERO!U179</f>
        <v>20000000</v>
      </c>
      <c r="V179" s="15">
        <f>OCTUBRE!V179+NOVIEMBRE!AL179</f>
        <v>0</v>
      </c>
      <c r="W179" s="15">
        <f>OCTUBRE!W179+NOVIEMBRE!AM179</f>
        <v>0</v>
      </c>
      <c r="X179" s="18">
        <f t="shared" si="160"/>
        <v>20000000</v>
      </c>
      <c r="Y179" s="19">
        <f>OCTUBRE!AA179</f>
        <v>0</v>
      </c>
      <c r="Z179" s="364">
        <v>0</v>
      </c>
      <c r="AA179" s="18">
        <f t="shared" si="161"/>
        <v>0</v>
      </c>
      <c r="AB179" s="19">
        <f>OCTUBRE!AD179</f>
        <v>0</v>
      </c>
      <c r="AC179" s="364">
        <v>0</v>
      </c>
      <c r="AD179" s="18">
        <f t="shared" si="162"/>
        <v>0</v>
      </c>
      <c r="AE179" s="19">
        <f>OCTUBRE!AG179</f>
        <v>0</v>
      </c>
      <c r="AF179" s="364">
        <v>0</v>
      </c>
      <c r="AG179" s="18">
        <f t="shared" si="163"/>
        <v>0</v>
      </c>
      <c r="AH179" s="19">
        <f t="shared" si="164"/>
        <v>20000000</v>
      </c>
      <c r="AI179" s="15">
        <f t="shared" si="165"/>
        <v>20000000</v>
      </c>
      <c r="AJ179" s="16">
        <f t="shared" si="166"/>
        <v>20000000</v>
      </c>
      <c r="AK179" s="9"/>
      <c r="AL179" s="362">
        <v>0</v>
      </c>
      <c r="AM179" s="365">
        <v>0</v>
      </c>
      <c r="AN179" s="9"/>
    </row>
    <row r="180" spans="1:40" s="372" customFormat="1" ht="24.95" customHeight="1">
      <c r="A180" s="734"/>
      <c r="B180" s="643"/>
      <c r="I180" s="451"/>
      <c r="L180" s="451"/>
      <c r="N180" s="9"/>
      <c r="P180" s="9"/>
      <c r="Q180" s="9"/>
      <c r="R180" s="9"/>
      <c r="S180" s="688">
        <f>+IF(OCTUBRE!S180=0,"",OCTUBRE!S180)</f>
        <v>3200400</v>
      </c>
      <c r="T180" s="664" t="str">
        <f>+IF(OCTUBRE!T180=0,"",OCTUBRE!T180)</f>
        <v>Intereses a las cesantias</v>
      </c>
      <c r="U180" s="27">
        <f>+ENERO!U180</f>
        <v>105017672</v>
      </c>
      <c r="V180" s="15">
        <f>OCTUBRE!V180+NOVIEMBRE!AL180</f>
        <v>-20000000</v>
      </c>
      <c r="W180" s="15">
        <f>OCTUBRE!W180+NOVIEMBRE!AM180</f>
        <v>0</v>
      </c>
      <c r="X180" s="18">
        <f t="shared" si="160"/>
        <v>85017672</v>
      </c>
      <c r="Y180" s="19">
        <f>OCTUBRE!AA180</f>
        <v>36224036</v>
      </c>
      <c r="Z180" s="364">
        <v>312561</v>
      </c>
      <c r="AA180" s="18">
        <f t="shared" si="161"/>
        <v>36536597</v>
      </c>
      <c r="AB180" s="19">
        <f>OCTUBRE!AD180</f>
        <v>36224036</v>
      </c>
      <c r="AC180" s="364">
        <v>312561</v>
      </c>
      <c r="AD180" s="18">
        <f t="shared" si="162"/>
        <v>36536597</v>
      </c>
      <c r="AE180" s="19">
        <f>OCTUBRE!AG180</f>
        <v>36223473</v>
      </c>
      <c r="AF180" s="364">
        <v>306983</v>
      </c>
      <c r="AG180" s="18">
        <f t="shared" si="163"/>
        <v>36530456</v>
      </c>
      <c r="AH180" s="19">
        <f t="shared" si="164"/>
        <v>48481075</v>
      </c>
      <c r="AI180" s="15">
        <f t="shared" si="165"/>
        <v>48481075</v>
      </c>
      <c r="AJ180" s="16">
        <f t="shared" si="166"/>
        <v>48487216</v>
      </c>
      <c r="AK180" s="9"/>
      <c r="AL180" s="362">
        <v>0</v>
      </c>
      <c r="AM180" s="365">
        <v>0</v>
      </c>
      <c r="AN180" s="9"/>
    </row>
    <row r="181" spans="1:40" s="372" customFormat="1" ht="24.95" customHeight="1">
      <c r="A181" s="734"/>
      <c r="B181" s="643"/>
      <c r="I181" s="451"/>
      <c r="L181" s="451"/>
      <c r="N181" s="9"/>
      <c r="P181" s="9"/>
      <c r="Q181" s="9"/>
      <c r="R181" s="9"/>
      <c r="S181" s="688">
        <f>+IF(OCTUBRE!S181=0,"",OCTUBRE!S181)</f>
        <v>3200500</v>
      </c>
      <c r="T181" s="664" t="str">
        <f>+IF(OCTUBRE!T181=0,"",OCTUBRE!T181)</f>
        <v/>
      </c>
      <c r="U181" s="27">
        <f>+ENERO!U181</f>
        <v>0</v>
      </c>
      <c r="V181" s="15">
        <f>OCTUBRE!V181+NOVIEMBRE!AL181</f>
        <v>0</v>
      </c>
      <c r="W181" s="15">
        <f>OCTUBRE!W181+NOVIEMBRE!AM181</f>
        <v>0</v>
      </c>
      <c r="X181" s="18">
        <f t="shared" si="160"/>
        <v>0</v>
      </c>
      <c r="Y181" s="19">
        <f>OCTUBRE!AA181</f>
        <v>0</v>
      </c>
      <c r="Z181" s="364">
        <v>0</v>
      </c>
      <c r="AA181" s="18">
        <f t="shared" si="161"/>
        <v>0</v>
      </c>
      <c r="AB181" s="19">
        <f>OCTUBRE!AD181</f>
        <v>0</v>
      </c>
      <c r="AC181" s="364">
        <v>0</v>
      </c>
      <c r="AD181" s="18">
        <f t="shared" si="162"/>
        <v>0</v>
      </c>
      <c r="AE181" s="19">
        <f>OCTUBRE!AG181</f>
        <v>0</v>
      </c>
      <c r="AF181" s="364">
        <v>0</v>
      </c>
      <c r="AG181" s="18">
        <f t="shared" si="163"/>
        <v>0</v>
      </c>
      <c r="AH181" s="19">
        <f t="shared" si="164"/>
        <v>0</v>
      </c>
      <c r="AI181" s="15">
        <f t="shared" si="165"/>
        <v>0</v>
      </c>
      <c r="AJ181" s="16">
        <f t="shared" si="166"/>
        <v>0</v>
      </c>
      <c r="AK181" s="9"/>
      <c r="AL181" s="362">
        <v>0</v>
      </c>
      <c r="AM181" s="365">
        <v>0</v>
      </c>
      <c r="AN181" s="9"/>
    </row>
    <row r="182" spans="1:40" s="372" customFormat="1" ht="24.95" customHeight="1">
      <c r="A182" s="734"/>
      <c r="B182" s="643"/>
      <c r="I182" s="451"/>
      <c r="L182" s="451"/>
      <c r="N182" s="9"/>
      <c r="P182" s="9"/>
      <c r="Q182" s="9"/>
      <c r="R182" s="9"/>
      <c r="S182" s="688">
        <f>+IF(OCTUBRE!S182=0,"",OCTUBRE!S182)</f>
        <v>3200600</v>
      </c>
      <c r="T182" s="664" t="str">
        <f>+IF(OCTUBRE!T182=0,"",OCTUBRE!T182)</f>
        <v/>
      </c>
      <c r="U182" s="27">
        <f>+ENERO!U182</f>
        <v>0</v>
      </c>
      <c r="V182" s="15">
        <f>OCTUBRE!V182+NOVIEMBRE!AL182</f>
        <v>0</v>
      </c>
      <c r="W182" s="15">
        <f>OCTUBRE!W182+NOVIEMBRE!AM182</f>
        <v>0</v>
      </c>
      <c r="X182" s="18">
        <f t="shared" si="160"/>
        <v>0</v>
      </c>
      <c r="Y182" s="19">
        <f>OCTUBRE!AA182</f>
        <v>0</v>
      </c>
      <c r="Z182" s="364">
        <v>0</v>
      </c>
      <c r="AA182" s="18">
        <f t="shared" si="161"/>
        <v>0</v>
      </c>
      <c r="AB182" s="19">
        <f>OCTUBRE!AD182</f>
        <v>0</v>
      </c>
      <c r="AC182" s="364">
        <v>0</v>
      </c>
      <c r="AD182" s="18">
        <f t="shared" si="162"/>
        <v>0</v>
      </c>
      <c r="AE182" s="19">
        <f>OCTUBRE!AG182</f>
        <v>0</v>
      </c>
      <c r="AF182" s="364">
        <v>0</v>
      </c>
      <c r="AG182" s="18">
        <f t="shared" si="163"/>
        <v>0</v>
      </c>
      <c r="AH182" s="19">
        <f t="shared" si="164"/>
        <v>0</v>
      </c>
      <c r="AI182" s="15">
        <f t="shared" si="165"/>
        <v>0</v>
      </c>
      <c r="AJ182" s="16">
        <f t="shared" si="166"/>
        <v>0</v>
      </c>
      <c r="AK182" s="9"/>
      <c r="AL182" s="362">
        <v>0</v>
      </c>
      <c r="AM182" s="365">
        <v>0</v>
      </c>
      <c r="AN182" s="9"/>
    </row>
    <row r="183" spans="1:40" s="372" customFormat="1" ht="24.95" customHeight="1">
      <c r="A183" s="734"/>
      <c r="B183" s="643"/>
      <c r="I183" s="451"/>
      <c r="L183" s="451"/>
      <c r="N183" s="9"/>
      <c r="P183" s="9"/>
      <c r="Q183" s="9"/>
      <c r="R183" s="9"/>
      <c r="S183" s="688">
        <f>+IF(OCTUBRE!S183=0,"",OCTUBRE!S183)</f>
        <v>3299999</v>
      </c>
      <c r="T183" s="664" t="str">
        <f>+IF(OCTUBRE!T183=0,"",OCTUBRE!T183)</f>
        <v>Vigencias Anteriores</v>
      </c>
      <c r="U183" s="27">
        <f>+ENERO!U183</f>
        <v>0</v>
      </c>
      <c r="V183" s="15">
        <f>OCTUBRE!V183+NOVIEMBRE!AL183</f>
        <v>0</v>
      </c>
      <c r="W183" s="15">
        <f>OCTUBRE!W183+NOVIEMBRE!AM183</f>
        <v>0</v>
      </c>
      <c r="X183" s="18">
        <f t="shared" si="160"/>
        <v>0</v>
      </c>
      <c r="Y183" s="19">
        <f>OCTUBRE!AA183</f>
        <v>0</v>
      </c>
      <c r="Z183" s="364">
        <v>0</v>
      </c>
      <c r="AA183" s="18">
        <f t="shared" si="161"/>
        <v>0</v>
      </c>
      <c r="AB183" s="19">
        <f>OCTUBRE!AD183</f>
        <v>0</v>
      </c>
      <c r="AC183" s="364">
        <v>0</v>
      </c>
      <c r="AD183" s="18">
        <f t="shared" si="162"/>
        <v>0</v>
      </c>
      <c r="AE183" s="19">
        <f>OCTUBRE!AG183</f>
        <v>0</v>
      </c>
      <c r="AF183" s="364">
        <v>0</v>
      </c>
      <c r="AG183" s="18">
        <f t="shared" si="163"/>
        <v>0</v>
      </c>
      <c r="AH183" s="19">
        <f t="shared" si="164"/>
        <v>0</v>
      </c>
      <c r="AI183" s="15">
        <f t="shared" si="165"/>
        <v>0</v>
      </c>
      <c r="AJ183" s="16">
        <f t="shared" si="166"/>
        <v>0</v>
      </c>
      <c r="AK183" s="9"/>
      <c r="AL183" s="362">
        <v>0</v>
      </c>
      <c r="AM183" s="365">
        <v>0</v>
      </c>
      <c r="AN183" s="9"/>
    </row>
    <row r="184" spans="1:40" s="372" customFormat="1" ht="24.95" customHeight="1">
      <c r="A184" s="734"/>
      <c r="B184" s="643"/>
      <c r="I184" s="451"/>
      <c r="L184" s="451"/>
      <c r="N184" s="9"/>
      <c r="P184" s="9"/>
      <c r="Q184" s="9"/>
      <c r="R184" s="9"/>
      <c r="S184" s="356" t="str">
        <f>+IF(OCTUBRE!S184=0,"",OCTUBRE!S184)</f>
        <v/>
      </c>
      <c r="T184" s="678" t="str">
        <f>+IF(OCTUBRE!T184=0,"",OCTUBRE!T184)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I185" s="451"/>
      <c r="L185" s="451"/>
      <c r="N185" s="9"/>
      <c r="P185" s="9"/>
      <c r="Q185" s="9"/>
      <c r="R185" s="9"/>
      <c r="S185" s="687">
        <f>+IF(OCTUBRE!S185=0,"",OCTUBRE!S185)</f>
        <v>3300000</v>
      </c>
      <c r="T185" s="663" t="str">
        <f>+IF(OCTUBRE!T185=0,"",OCTUBRE!T185)</f>
        <v>Otras Transferencias</v>
      </c>
      <c r="U185" s="132">
        <f t="shared" ref="U185:AJ185" si="167">U186+U187+U191</f>
        <v>80000000</v>
      </c>
      <c r="V185" s="122">
        <f t="shared" si="167"/>
        <v>8000000</v>
      </c>
      <c r="W185" s="122">
        <f t="shared" si="167"/>
        <v>0</v>
      </c>
      <c r="X185" s="129">
        <f t="shared" si="167"/>
        <v>88000000</v>
      </c>
      <c r="Y185" s="128">
        <f t="shared" si="167"/>
        <v>22453980</v>
      </c>
      <c r="Z185" s="122">
        <f t="shared" si="167"/>
        <v>2380000</v>
      </c>
      <c r="AA185" s="129">
        <f t="shared" si="167"/>
        <v>24833980</v>
      </c>
      <c r="AB185" s="128">
        <f t="shared" si="167"/>
        <v>22453980</v>
      </c>
      <c r="AC185" s="122">
        <f t="shared" si="167"/>
        <v>2380000</v>
      </c>
      <c r="AD185" s="129">
        <f t="shared" si="167"/>
        <v>24833980</v>
      </c>
      <c r="AE185" s="128">
        <f t="shared" si="167"/>
        <v>22453980</v>
      </c>
      <c r="AF185" s="122">
        <f t="shared" si="167"/>
        <v>0</v>
      </c>
      <c r="AG185" s="129">
        <f t="shared" si="167"/>
        <v>22453980</v>
      </c>
      <c r="AH185" s="128">
        <f t="shared" si="167"/>
        <v>63166020</v>
      </c>
      <c r="AI185" s="122">
        <f t="shared" si="167"/>
        <v>63166020</v>
      </c>
      <c r="AJ185" s="130">
        <f t="shared" si="167"/>
        <v>65546020</v>
      </c>
      <c r="AK185" s="9"/>
      <c r="AL185" s="128">
        <f>AL186+AL187+AL191</f>
        <v>0</v>
      </c>
      <c r="AM185" s="130">
        <f>AM186+AM187+AM191</f>
        <v>0</v>
      </c>
      <c r="AN185" s="9"/>
    </row>
    <row r="186" spans="1:40" s="372" customFormat="1" ht="24.95" customHeight="1">
      <c r="A186" s="734"/>
      <c r="B186" s="643"/>
      <c r="I186" s="451"/>
      <c r="L186" s="451"/>
      <c r="N186" s="9"/>
      <c r="P186" s="9"/>
      <c r="Q186" s="9"/>
      <c r="R186" s="9"/>
      <c r="S186" s="688">
        <f>+IF(OCTUBRE!S186=0,"",OCTUBRE!S186)</f>
        <v>3300100</v>
      </c>
      <c r="T186" s="664" t="str">
        <f>+IF(OCTUBRE!T186=0,"",OCTUBRE!T186)</f>
        <v>Sentencias y Conciliaciones</v>
      </c>
      <c r="U186" s="27">
        <f>+ENERO!U186</f>
        <v>60000000</v>
      </c>
      <c r="V186" s="15">
        <f>OCTUBRE!V186+NOVIEMBRE!AL186</f>
        <v>0</v>
      </c>
      <c r="W186" s="15">
        <f>OCTUBRE!W186+NOVIEMBRE!AM186</f>
        <v>0</v>
      </c>
      <c r="X186" s="18">
        <f>SUM(U186:W186)</f>
        <v>60000000</v>
      </c>
      <c r="Y186" s="19">
        <f>OCTUBRE!AA186</f>
        <v>0</v>
      </c>
      <c r="Z186" s="364">
        <v>0</v>
      </c>
      <c r="AA186" s="18">
        <f>SUM(Y186:Z186)</f>
        <v>0</v>
      </c>
      <c r="AB186" s="19">
        <f>OCTUBRE!AD186</f>
        <v>0</v>
      </c>
      <c r="AC186" s="364">
        <v>0</v>
      </c>
      <c r="AD186" s="18">
        <f>SUM(AB186:AC186)</f>
        <v>0</v>
      </c>
      <c r="AE186" s="19">
        <f>OCTUBRE!AG186</f>
        <v>0</v>
      </c>
      <c r="AF186" s="364">
        <v>0</v>
      </c>
      <c r="AG186" s="18">
        <f>SUM(AE186:AF186)</f>
        <v>0</v>
      </c>
      <c r="AH186" s="19">
        <f>X186-AA186</f>
        <v>60000000</v>
      </c>
      <c r="AI186" s="15">
        <f>X186-AD186</f>
        <v>60000000</v>
      </c>
      <c r="AJ186" s="16">
        <f>X186-AG186</f>
        <v>60000000</v>
      </c>
      <c r="AK186" s="9"/>
      <c r="AL186" s="362">
        <v>0</v>
      </c>
      <c r="AM186" s="365">
        <v>0</v>
      </c>
      <c r="AN186" s="9"/>
    </row>
    <row r="187" spans="1:40" s="372" customFormat="1" ht="24.95" customHeight="1">
      <c r="A187" s="734"/>
      <c r="B187" s="643"/>
      <c r="I187" s="451"/>
      <c r="L187" s="451"/>
      <c r="N187" s="9"/>
      <c r="P187" s="9"/>
      <c r="Q187" s="9"/>
      <c r="R187" s="9"/>
      <c r="S187" s="688">
        <f>+IF(OCTUBRE!S187=0,"",OCTUBRE!S187)</f>
        <v>3300200</v>
      </c>
      <c r="T187" s="664" t="str">
        <f>+IF(OCTUBRE!T187=0,"",OCTUBRE!T187)</f>
        <v>Destinatarios de otras transferencias</v>
      </c>
      <c r="U187" s="27">
        <f t="shared" ref="U187:AM187" si="168">SUM(U188:U190)</f>
        <v>20000000</v>
      </c>
      <c r="V187" s="15">
        <f t="shared" si="168"/>
        <v>8000000</v>
      </c>
      <c r="W187" s="15">
        <f t="shared" si="168"/>
        <v>0</v>
      </c>
      <c r="X187" s="18">
        <f t="shared" si="168"/>
        <v>28000000</v>
      </c>
      <c r="Y187" s="19">
        <f t="shared" si="168"/>
        <v>22453980</v>
      </c>
      <c r="Z187" s="142">
        <f t="shared" si="168"/>
        <v>2380000</v>
      </c>
      <c r="AA187" s="18">
        <f t="shared" si="168"/>
        <v>24833980</v>
      </c>
      <c r="AB187" s="19">
        <f t="shared" si="168"/>
        <v>22453980</v>
      </c>
      <c r="AC187" s="142">
        <f t="shared" si="168"/>
        <v>2380000</v>
      </c>
      <c r="AD187" s="18">
        <f t="shared" si="168"/>
        <v>24833980</v>
      </c>
      <c r="AE187" s="19">
        <f t="shared" si="168"/>
        <v>22453980</v>
      </c>
      <c r="AF187" s="142">
        <f t="shared" si="168"/>
        <v>0</v>
      </c>
      <c r="AG187" s="18">
        <f t="shared" si="168"/>
        <v>22453980</v>
      </c>
      <c r="AH187" s="19">
        <f t="shared" si="168"/>
        <v>3166020</v>
      </c>
      <c r="AI187" s="15">
        <f t="shared" si="168"/>
        <v>3166020</v>
      </c>
      <c r="AJ187" s="16">
        <f t="shared" si="168"/>
        <v>5546020</v>
      </c>
      <c r="AK187" s="9"/>
      <c r="AL187" s="29">
        <f t="shared" si="168"/>
        <v>0</v>
      </c>
      <c r="AM187" s="26">
        <f t="shared" si="168"/>
        <v>0</v>
      </c>
      <c r="AN187" s="9"/>
    </row>
    <row r="188" spans="1:40" s="372" customFormat="1" ht="24.95" customHeight="1">
      <c r="A188" s="734"/>
      <c r="B188" s="644"/>
      <c r="I188" s="451"/>
      <c r="L188" s="451"/>
      <c r="N188" s="9"/>
      <c r="P188" s="9"/>
      <c r="Q188" s="9"/>
      <c r="R188" s="9"/>
      <c r="S188" s="689" t="str">
        <f>+IF(OCTUBRE!S188=0,"",OCTUBRE!S188)</f>
        <v>3300200-1</v>
      </c>
      <c r="T188" s="664" t="str">
        <f>+IF(OCTUBRE!T188=0,"",OCTUBRE!T188)</f>
        <v>COHAN</v>
      </c>
      <c r="U188" s="27">
        <f>+ENERO!U188</f>
        <v>10000000</v>
      </c>
      <c r="V188" s="15">
        <f>OCTUBRE!V188+NOVIEMBRE!AL188</f>
        <v>8000000</v>
      </c>
      <c r="W188" s="15">
        <f>OCTUBRE!W188+NOVIEMBRE!AM188</f>
        <v>0</v>
      </c>
      <c r="X188" s="18">
        <f>SUM(U188:W188)</f>
        <v>18000000</v>
      </c>
      <c r="Y188" s="19">
        <f>OCTUBRE!AA188</f>
        <v>17803516</v>
      </c>
      <c r="Z188" s="364">
        <v>0</v>
      </c>
      <c r="AA188" s="18">
        <f>SUM(Y188:Z188)</f>
        <v>17803516</v>
      </c>
      <c r="AB188" s="19">
        <f>OCTUBRE!AD188</f>
        <v>17803516</v>
      </c>
      <c r="AC188" s="364">
        <v>0</v>
      </c>
      <c r="AD188" s="18">
        <f>SUM(AB188:AC188)</f>
        <v>17803516</v>
      </c>
      <c r="AE188" s="19">
        <f>OCTUBRE!AG188</f>
        <v>17803516</v>
      </c>
      <c r="AF188" s="364">
        <v>0</v>
      </c>
      <c r="AG188" s="18">
        <f>SUM(AE188:AF188)</f>
        <v>17803516</v>
      </c>
      <c r="AH188" s="19">
        <f>X188-AA188</f>
        <v>196484</v>
      </c>
      <c r="AI188" s="15">
        <f>X188-AD188</f>
        <v>196484</v>
      </c>
      <c r="AJ188" s="16">
        <f>X188-AG188</f>
        <v>196484</v>
      </c>
      <c r="AK188" s="9"/>
      <c r="AL188" s="362">
        <v>0</v>
      </c>
      <c r="AM188" s="365">
        <v>0</v>
      </c>
      <c r="AN188" s="9"/>
    </row>
    <row r="189" spans="1:40" s="372" customFormat="1" ht="24.95" customHeight="1">
      <c r="A189" s="734"/>
      <c r="B189" s="644"/>
      <c r="I189" s="451"/>
      <c r="L189" s="451"/>
      <c r="N189" s="9"/>
      <c r="P189" s="9"/>
      <c r="Q189" s="9"/>
      <c r="R189" s="9"/>
      <c r="S189" s="689" t="str">
        <f>+IF(OCTUBRE!S189=0,"",OCTUBRE!S189)</f>
        <v>3300200-2</v>
      </c>
      <c r="T189" s="664" t="str">
        <f>+IF(OCTUBRE!T189=0,"",OCTUBRE!T189)</f>
        <v>AESA</v>
      </c>
      <c r="U189" s="27">
        <f>+ENERO!U189</f>
        <v>5000000</v>
      </c>
      <c r="V189" s="15">
        <f>OCTUBRE!V189+NOVIEMBRE!AL189</f>
        <v>0</v>
      </c>
      <c r="W189" s="15">
        <f>OCTUBRE!W189+NOVIEMBRE!AM189</f>
        <v>0</v>
      </c>
      <c r="X189" s="18">
        <f>SUM(U189:W189)</f>
        <v>5000000</v>
      </c>
      <c r="Y189" s="19">
        <f>OCTUBRE!AA189</f>
        <v>3312464</v>
      </c>
      <c r="Z189" s="364">
        <v>0</v>
      </c>
      <c r="AA189" s="18">
        <f>SUM(Y189:Z189)</f>
        <v>3312464</v>
      </c>
      <c r="AB189" s="19">
        <f>OCTUBRE!AD189</f>
        <v>3312464</v>
      </c>
      <c r="AC189" s="364">
        <v>0</v>
      </c>
      <c r="AD189" s="18">
        <f>SUM(AB189:AC189)</f>
        <v>3312464</v>
      </c>
      <c r="AE189" s="19">
        <f>OCTUBRE!AG189</f>
        <v>3312464</v>
      </c>
      <c r="AF189" s="364">
        <v>0</v>
      </c>
      <c r="AG189" s="18">
        <f>SUM(AE189:AF189)</f>
        <v>3312464</v>
      </c>
      <c r="AH189" s="19">
        <f>X189-AA189</f>
        <v>1687536</v>
      </c>
      <c r="AI189" s="15">
        <f>X189-AD189</f>
        <v>1687536</v>
      </c>
      <c r="AJ189" s="16">
        <f>X189-AG189</f>
        <v>1687536</v>
      </c>
      <c r="AK189" s="9"/>
      <c r="AL189" s="362">
        <v>0</v>
      </c>
      <c r="AM189" s="365">
        <v>0</v>
      </c>
      <c r="AN189" s="9"/>
    </row>
    <row r="190" spans="1:40" s="372" customFormat="1" ht="24.95" customHeight="1">
      <c r="A190" s="734"/>
      <c r="B190" s="644"/>
      <c r="I190" s="451"/>
      <c r="L190" s="451"/>
      <c r="N190" s="9"/>
      <c r="P190" s="9"/>
      <c r="Q190" s="9"/>
      <c r="R190" s="9"/>
      <c r="S190" s="689" t="str">
        <f>+IF(OCTUBRE!S190=0,"",OCTUBRE!S190)</f>
        <v>3300200-3</v>
      </c>
      <c r="T190" s="664" t="str">
        <f>+IF(OCTUBRE!T190=0,"",OCTUBRE!T190)</f>
        <v xml:space="preserve">OTRAS </v>
      </c>
      <c r="U190" s="27">
        <f>+ENERO!U190</f>
        <v>5000000</v>
      </c>
      <c r="V190" s="15">
        <f>OCTUBRE!V190+NOVIEMBRE!AL190</f>
        <v>0</v>
      </c>
      <c r="W190" s="15">
        <f>OCTUBRE!W190+NOVIEMBRE!AM190</f>
        <v>0</v>
      </c>
      <c r="X190" s="18">
        <f>SUM(U190:W190)</f>
        <v>5000000</v>
      </c>
      <c r="Y190" s="19">
        <f>OCTUBRE!AA190</f>
        <v>1338000</v>
      </c>
      <c r="Z190" s="364">
        <v>2380000</v>
      </c>
      <c r="AA190" s="18">
        <f>SUM(Y190:Z190)</f>
        <v>3718000</v>
      </c>
      <c r="AB190" s="19">
        <f>OCTUBRE!AD190</f>
        <v>1338000</v>
      </c>
      <c r="AC190" s="364">
        <v>2380000</v>
      </c>
      <c r="AD190" s="18">
        <f>SUM(AB190:AC190)</f>
        <v>3718000</v>
      </c>
      <c r="AE190" s="19">
        <f>OCTUBRE!AG190</f>
        <v>1338000</v>
      </c>
      <c r="AF190" s="364">
        <v>0</v>
      </c>
      <c r="AG190" s="18">
        <f>SUM(AE190:AF190)</f>
        <v>1338000</v>
      </c>
      <c r="AH190" s="19">
        <f>X190-AA190</f>
        <v>1282000</v>
      </c>
      <c r="AI190" s="15">
        <f>X190-AD190</f>
        <v>1282000</v>
      </c>
      <c r="AJ190" s="16">
        <f>X190-AG190</f>
        <v>3662000</v>
      </c>
      <c r="AK190" s="9"/>
      <c r="AL190" s="362">
        <v>0</v>
      </c>
      <c r="AM190" s="365">
        <v>0</v>
      </c>
      <c r="AN190" s="9"/>
    </row>
    <row r="191" spans="1:40" s="372" customFormat="1" ht="24.95" customHeight="1">
      <c r="A191" s="734"/>
      <c r="B191" s="644"/>
      <c r="I191" s="451"/>
      <c r="L191" s="451"/>
      <c r="N191" s="9"/>
      <c r="P191" s="9"/>
      <c r="Q191" s="9"/>
      <c r="R191" s="9"/>
      <c r="S191" s="688">
        <f>+IF(OCTUBRE!S191=0,"",OCTUBRE!S191)</f>
        <v>3399999</v>
      </c>
      <c r="T191" s="664" t="str">
        <f>+IF(OCTUBRE!T191=0,"",OCTUBRE!T191)</f>
        <v>Vigencias Anteriores</v>
      </c>
      <c r="U191" s="27">
        <f>+ENERO!U191</f>
        <v>0</v>
      </c>
      <c r="V191" s="15">
        <f>OCTUBRE!V191+NOVIEMBRE!AL191</f>
        <v>0</v>
      </c>
      <c r="W191" s="15">
        <f>OCTUBRE!W191+NOVIEMBRE!AM191</f>
        <v>0</v>
      </c>
      <c r="X191" s="18">
        <f>SUM(U191:W191)</f>
        <v>0</v>
      </c>
      <c r="Y191" s="19">
        <f>OCTUBRE!AA191</f>
        <v>0</v>
      </c>
      <c r="Z191" s="364">
        <v>0</v>
      </c>
      <c r="AA191" s="18">
        <f>SUM(Y191:Z191)</f>
        <v>0</v>
      </c>
      <c r="AB191" s="19">
        <f>OCTUBRE!AD191</f>
        <v>0</v>
      </c>
      <c r="AC191" s="364">
        <v>0</v>
      </c>
      <c r="AD191" s="18">
        <f>SUM(AB191:AC191)</f>
        <v>0</v>
      </c>
      <c r="AE191" s="19">
        <f>OCTUBRE!AG191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I192" s="451"/>
      <c r="L192" s="451"/>
      <c r="N192" s="9"/>
      <c r="P192" s="9"/>
      <c r="Q192" s="9"/>
      <c r="R192" s="9"/>
      <c r="S192" s="356" t="str">
        <f>+IF(OCTUBRE!S194=0,"",OCTUBRE!S194)</f>
        <v/>
      </c>
      <c r="T192" s="678" t="str">
        <f>+IF(OCTUBRE!T194=0,"",OCTUBRE!T194)</f>
        <v/>
      </c>
      <c r="U192" s="161"/>
      <c r="V192" s="161"/>
      <c r="W192" s="161"/>
      <c r="X192" s="161"/>
      <c r="Y192" s="161"/>
      <c r="Z192" s="161"/>
      <c r="AA192" s="161"/>
      <c r="AB192" s="161"/>
      <c r="AC192" s="161"/>
      <c r="AD192" s="161"/>
      <c r="AE192" s="161"/>
      <c r="AF192" s="161"/>
      <c r="AG192" s="161"/>
      <c r="AH192" s="161"/>
      <c r="AI192" s="161"/>
      <c r="AJ192" s="166"/>
      <c r="AK192" s="9"/>
      <c r="AL192" s="172"/>
      <c r="AM192" s="173"/>
      <c r="AN192" s="9"/>
    </row>
    <row r="193" spans="1:40" s="372" customFormat="1" ht="47.25" customHeight="1">
      <c r="A193" s="734"/>
      <c r="B193" s="644"/>
      <c r="I193" s="451"/>
      <c r="L193" s="451"/>
      <c r="N193" s="9"/>
      <c r="P193" s="9"/>
      <c r="Q193" s="9"/>
      <c r="R193" s="9"/>
      <c r="S193" s="483" t="s">
        <v>318</v>
      </c>
      <c r="T193" s="672" t="s">
        <v>561</v>
      </c>
      <c r="U193" s="460">
        <f>U195+U209</f>
        <v>10282942055</v>
      </c>
      <c r="V193" s="461">
        <f t="shared" ref="V193:AJ193" si="169">V195+V209</f>
        <v>5485317789</v>
      </c>
      <c r="W193" s="461">
        <f t="shared" si="169"/>
        <v>12803805490</v>
      </c>
      <c r="X193" s="370">
        <f t="shared" si="169"/>
        <v>28572065334</v>
      </c>
      <c r="Y193" s="369">
        <f t="shared" si="169"/>
        <v>26223776623</v>
      </c>
      <c r="Z193" s="484">
        <f t="shared" si="169"/>
        <v>364374220</v>
      </c>
      <c r="AA193" s="370">
        <f t="shared" si="169"/>
        <v>26588150843</v>
      </c>
      <c r="AB193" s="460">
        <f t="shared" si="169"/>
        <v>23960937416</v>
      </c>
      <c r="AC193" s="484">
        <f t="shared" si="169"/>
        <v>1737206824</v>
      </c>
      <c r="AD193" s="462">
        <f t="shared" si="169"/>
        <v>25698144240</v>
      </c>
      <c r="AE193" s="369">
        <f t="shared" si="169"/>
        <v>18624641795</v>
      </c>
      <c r="AF193" s="484">
        <f t="shared" si="169"/>
        <v>328366428</v>
      </c>
      <c r="AG193" s="370">
        <f t="shared" si="169"/>
        <v>18953008223</v>
      </c>
      <c r="AH193" s="369">
        <f t="shared" si="169"/>
        <v>1983914491</v>
      </c>
      <c r="AI193" s="461">
        <f t="shared" si="169"/>
        <v>2873921094</v>
      </c>
      <c r="AJ193" s="370">
        <f t="shared" si="169"/>
        <v>9619057111</v>
      </c>
      <c r="AK193" s="9"/>
      <c r="AL193" s="369">
        <f>AL195+AL209</f>
        <v>100000000</v>
      </c>
      <c r="AM193" s="370">
        <f>AM195+AM209</f>
        <v>670029258</v>
      </c>
      <c r="AN193" s="9"/>
    </row>
    <row r="194" spans="1:40" s="372" customFormat="1" ht="24.95" customHeight="1">
      <c r="A194" s="734"/>
      <c r="B194" s="644"/>
      <c r="I194" s="451"/>
      <c r="L194" s="451"/>
      <c r="N194" s="9"/>
      <c r="P194" s="9"/>
      <c r="Q194" s="9"/>
      <c r="R194" s="9"/>
      <c r="S194" s="356"/>
      <c r="T194" s="678"/>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I195" s="451"/>
      <c r="L195" s="451"/>
      <c r="N195" s="9"/>
      <c r="P195" s="9"/>
      <c r="Q195" s="9"/>
      <c r="R195" s="9"/>
      <c r="S195" s="686">
        <f>+IF(OCTUBRE!S195=0,"",OCTUBRE!S195)</f>
        <v>4000000</v>
      </c>
      <c r="T195" s="668" t="str">
        <f>+IF(OCTUBRE!T195=0,"",OCTUBRE!T195)</f>
        <v>GASTOS  DE PRESTACION DE SERVICIOS</v>
      </c>
      <c r="U195" s="460">
        <f t="shared" ref="U195:AJ195" si="170">U196</f>
        <v>10282942055</v>
      </c>
      <c r="V195" s="461">
        <f t="shared" si="170"/>
        <v>5485317789</v>
      </c>
      <c r="W195" s="461">
        <f t="shared" si="170"/>
        <v>12803805490</v>
      </c>
      <c r="X195" s="462">
        <f t="shared" si="170"/>
        <v>28572065334</v>
      </c>
      <c r="Y195" s="369">
        <f t="shared" si="170"/>
        <v>26223776623</v>
      </c>
      <c r="Z195" s="461">
        <f t="shared" si="170"/>
        <v>364374220</v>
      </c>
      <c r="AA195" s="462">
        <f t="shared" si="170"/>
        <v>26588150843</v>
      </c>
      <c r="AB195" s="369">
        <f t="shared" si="170"/>
        <v>23960937416</v>
      </c>
      <c r="AC195" s="461">
        <f t="shared" si="170"/>
        <v>1737206824</v>
      </c>
      <c r="AD195" s="462">
        <f t="shared" si="170"/>
        <v>25698144240</v>
      </c>
      <c r="AE195" s="369">
        <f t="shared" si="170"/>
        <v>18624641795</v>
      </c>
      <c r="AF195" s="461">
        <f t="shared" si="170"/>
        <v>328366428</v>
      </c>
      <c r="AG195" s="462">
        <f t="shared" si="170"/>
        <v>18953008223</v>
      </c>
      <c r="AH195" s="369">
        <f t="shared" si="170"/>
        <v>1983914491</v>
      </c>
      <c r="AI195" s="461">
        <f t="shared" si="170"/>
        <v>2873921094</v>
      </c>
      <c r="AJ195" s="370">
        <f t="shared" si="170"/>
        <v>9619057111</v>
      </c>
      <c r="AK195" s="9"/>
      <c r="AL195" s="128">
        <f>AL196</f>
        <v>100000000</v>
      </c>
      <c r="AM195" s="130">
        <f>AM196</f>
        <v>670029258</v>
      </c>
      <c r="AN195" s="9"/>
    </row>
    <row r="196" spans="1:40" s="372" customFormat="1" ht="24.95" customHeight="1">
      <c r="A196" s="734"/>
      <c r="B196" s="644"/>
      <c r="I196" s="451"/>
      <c r="L196" s="451"/>
      <c r="N196" s="9"/>
      <c r="P196" s="9"/>
      <c r="Q196" s="9"/>
      <c r="R196" s="9"/>
      <c r="S196" s="687">
        <f>+IF(OCTUBRE!S196=0,"",OCTUBRE!S196)</f>
        <v>4100000</v>
      </c>
      <c r="T196" s="663" t="str">
        <f>+IF(OCTUBRE!T196=0,"",OCTUBRE!T196)</f>
        <v>Insumos y Suministros Hospitalarios</v>
      </c>
      <c r="U196" s="132">
        <f t="shared" ref="U196:AJ196" si="171">U197+U205+U207</f>
        <v>10282942055</v>
      </c>
      <c r="V196" s="122">
        <f t="shared" si="171"/>
        <v>5485317789</v>
      </c>
      <c r="W196" s="122">
        <f t="shared" si="171"/>
        <v>12803805490</v>
      </c>
      <c r="X196" s="129">
        <f t="shared" si="171"/>
        <v>28572065334</v>
      </c>
      <c r="Y196" s="128">
        <f t="shared" si="171"/>
        <v>26223776623</v>
      </c>
      <c r="Z196" s="122">
        <f t="shared" si="171"/>
        <v>364374220</v>
      </c>
      <c r="AA196" s="129">
        <f t="shared" si="171"/>
        <v>26588150843</v>
      </c>
      <c r="AB196" s="128">
        <f t="shared" si="171"/>
        <v>23960937416</v>
      </c>
      <c r="AC196" s="122">
        <f t="shared" si="171"/>
        <v>1737206824</v>
      </c>
      <c r="AD196" s="129">
        <f t="shared" si="171"/>
        <v>25698144240</v>
      </c>
      <c r="AE196" s="128">
        <f t="shared" si="171"/>
        <v>18624641795</v>
      </c>
      <c r="AF196" s="122">
        <f t="shared" si="171"/>
        <v>328366428</v>
      </c>
      <c r="AG196" s="129">
        <f t="shared" si="171"/>
        <v>18953008223</v>
      </c>
      <c r="AH196" s="128">
        <f t="shared" si="171"/>
        <v>1983914491</v>
      </c>
      <c r="AI196" s="122">
        <f t="shared" si="171"/>
        <v>2873921094</v>
      </c>
      <c r="AJ196" s="130">
        <f t="shared" si="171"/>
        <v>9619057111</v>
      </c>
      <c r="AK196" s="10"/>
      <c r="AL196" s="128">
        <f>AL197+AL205+AL207</f>
        <v>100000000</v>
      </c>
      <c r="AM196" s="130">
        <f>AM197+AM205+AM207</f>
        <v>670029258</v>
      </c>
      <c r="AN196" s="9"/>
    </row>
    <row r="197" spans="1:40" s="372" customFormat="1" ht="24.95" customHeight="1">
      <c r="A197" s="734"/>
      <c r="B197" s="644"/>
      <c r="I197" s="451"/>
      <c r="L197" s="451"/>
      <c r="N197" s="9"/>
      <c r="P197" s="9"/>
      <c r="Q197" s="9"/>
      <c r="R197" s="9"/>
      <c r="S197" s="688">
        <f>+IF(OCTUBRE!S197=0,"",OCTUBRE!S197)</f>
        <v>4100100</v>
      </c>
      <c r="T197" s="664" t="str">
        <f>+IF(OCTUBRE!T197=0,"",OCTUBRE!T197)</f>
        <v>Compra de Bienes para la Prestacion de servicios</v>
      </c>
      <c r="U197" s="27">
        <f t="shared" ref="U197:AJ197" si="172">SUM(U198:U204)</f>
        <v>8084311192</v>
      </c>
      <c r="V197" s="15">
        <f t="shared" si="172"/>
        <v>4040190078</v>
      </c>
      <c r="W197" s="15">
        <f t="shared" si="172"/>
        <v>7091436703</v>
      </c>
      <c r="X197" s="18">
        <f t="shared" si="172"/>
        <v>19215937973</v>
      </c>
      <c r="Y197" s="19">
        <f t="shared" si="172"/>
        <v>17701796054</v>
      </c>
      <c r="Z197" s="142">
        <f t="shared" si="172"/>
        <v>359854220</v>
      </c>
      <c r="AA197" s="18">
        <f t="shared" si="172"/>
        <v>18061650274</v>
      </c>
      <c r="AB197" s="19">
        <f t="shared" si="172"/>
        <v>15722746890</v>
      </c>
      <c r="AC197" s="142">
        <f t="shared" si="172"/>
        <v>1663480869</v>
      </c>
      <c r="AD197" s="18">
        <f t="shared" si="172"/>
        <v>17386227759</v>
      </c>
      <c r="AE197" s="19">
        <f t="shared" si="172"/>
        <v>10546156351</v>
      </c>
      <c r="AF197" s="142">
        <f t="shared" si="172"/>
        <v>251676272</v>
      </c>
      <c r="AG197" s="18">
        <f t="shared" si="172"/>
        <v>10797832623</v>
      </c>
      <c r="AH197" s="19">
        <f t="shared" si="172"/>
        <v>1154287699</v>
      </c>
      <c r="AI197" s="15">
        <f t="shared" si="172"/>
        <v>1829710214</v>
      </c>
      <c r="AJ197" s="16">
        <f t="shared" si="172"/>
        <v>8418105350</v>
      </c>
      <c r="AK197" s="9"/>
      <c r="AL197" s="29">
        <f>SUM(AL198:AL204)</f>
        <v>100000000</v>
      </c>
      <c r="AM197" s="26">
        <f>SUM(AM198:AM204)</f>
        <v>670029258</v>
      </c>
      <c r="AN197" s="9"/>
    </row>
    <row r="198" spans="1:40" s="372" customFormat="1" ht="24.95" customHeight="1">
      <c r="A198" s="734"/>
      <c r="B198" s="644"/>
      <c r="I198" s="451"/>
      <c r="L198" s="451"/>
      <c r="N198" s="9"/>
      <c r="P198" s="9"/>
      <c r="Q198" s="9"/>
      <c r="R198" s="9"/>
      <c r="S198" s="689" t="str">
        <f>+IF(OCTUBRE!S198=0,"",OCTUBRE!S198)</f>
        <v>4100100-1</v>
      </c>
      <c r="T198" s="665" t="str">
        <f>+IF(OCTUBRE!T198=0,"",OCTUBRE!T198)</f>
        <v>Productos Farmaceuticos</v>
      </c>
      <c r="U198" s="27">
        <f>+ENERO!U198</f>
        <v>4000000000</v>
      </c>
      <c r="V198" s="15">
        <f>OCTUBRE!V198+NOVIEMBRE!AL198</f>
        <v>1735190078</v>
      </c>
      <c r="W198" s="15">
        <f>OCTUBRE!W198+NOVIEMBRE!AM198</f>
        <v>3513303536</v>
      </c>
      <c r="X198" s="18">
        <f t="shared" ref="X198:X204" si="173">SUM(U198:W198)</f>
        <v>9248493614</v>
      </c>
      <c r="Y198" s="19">
        <f>OCTUBRE!AA198</f>
        <v>7984756313</v>
      </c>
      <c r="Z198" s="364">
        <v>658545104</v>
      </c>
      <c r="AA198" s="18">
        <f t="shared" ref="AA198:AA204" si="174">SUM(Y198:Z198)</f>
        <v>8643301417</v>
      </c>
      <c r="AB198" s="19">
        <f>OCTUBRE!AD198</f>
        <v>7224229913</v>
      </c>
      <c r="AC198" s="364">
        <v>779108159</v>
      </c>
      <c r="AD198" s="18">
        <f t="shared" ref="AD198:AD204" si="175">SUM(AB198:AC198)</f>
        <v>8003338072</v>
      </c>
      <c r="AE198" s="19">
        <f>OCTUBRE!AG198</f>
        <v>4354089651</v>
      </c>
      <c r="AF198" s="364">
        <v>109724280</v>
      </c>
      <c r="AG198" s="18">
        <f t="shared" ref="AG198:AG204" si="176">SUM(AE198:AF198)</f>
        <v>4463813931</v>
      </c>
      <c r="AH198" s="19">
        <f t="shared" ref="AH198:AH204" si="177">X198-AA198</f>
        <v>605192197</v>
      </c>
      <c r="AI198" s="15">
        <f t="shared" ref="AI198:AI204" si="178">X198-AD198</f>
        <v>1245155542</v>
      </c>
      <c r="AJ198" s="16">
        <f t="shared" ref="AJ198:AJ204" si="179">X198-AG198</f>
        <v>4784679683</v>
      </c>
      <c r="AK198" s="9"/>
      <c r="AL198" s="362">
        <v>100000000</v>
      </c>
      <c r="AM198" s="365">
        <v>670029258</v>
      </c>
      <c r="AN198" s="9"/>
    </row>
    <row r="199" spans="1:40" s="372" customFormat="1" ht="24.95" customHeight="1">
      <c r="A199" s="734"/>
      <c r="B199" s="644"/>
      <c r="I199" s="451"/>
      <c r="L199" s="451"/>
      <c r="N199" s="9"/>
      <c r="P199" s="9"/>
      <c r="Q199" s="9"/>
      <c r="R199" s="9"/>
      <c r="S199" s="689" t="str">
        <f>+IF(OCTUBRE!S199=0,"",OCTUBRE!S199)</f>
        <v>4100100-2</v>
      </c>
      <c r="T199" s="665" t="str">
        <f>+IF(OCTUBRE!T199=0,"",OCTUBRE!T199)</f>
        <v>Material Médico Quirúrgico</v>
      </c>
      <c r="U199" s="27">
        <f>+ENERO!U199</f>
        <v>3244311192</v>
      </c>
      <c r="V199" s="15">
        <f>OCTUBRE!V199+NOVIEMBRE!AL199</f>
        <v>2305000000</v>
      </c>
      <c r="W199" s="15">
        <f>OCTUBRE!W199+NOVIEMBRE!AM199</f>
        <v>3578133167</v>
      </c>
      <c r="X199" s="18">
        <f t="shared" si="173"/>
        <v>9127444359</v>
      </c>
      <c r="Y199" s="19">
        <f>OCTUBRE!AA199</f>
        <v>9010676205</v>
      </c>
      <c r="Z199" s="364">
        <v>-378055225</v>
      </c>
      <c r="AA199" s="18">
        <f t="shared" si="174"/>
        <v>8632620980</v>
      </c>
      <c r="AB199" s="19">
        <f>OCTUBRE!AD199</f>
        <v>7792153441</v>
      </c>
      <c r="AC199" s="364">
        <v>805008369</v>
      </c>
      <c r="AD199" s="18">
        <f t="shared" si="175"/>
        <v>8597161810</v>
      </c>
      <c r="AE199" s="19">
        <f>OCTUBRE!AG199</f>
        <v>5700200735</v>
      </c>
      <c r="AF199" s="364">
        <v>127489276</v>
      </c>
      <c r="AG199" s="18">
        <f t="shared" si="176"/>
        <v>5827690011</v>
      </c>
      <c r="AH199" s="19">
        <f t="shared" si="177"/>
        <v>494823379</v>
      </c>
      <c r="AI199" s="15">
        <f t="shared" si="178"/>
        <v>530282549</v>
      </c>
      <c r="AJ199" s="16">
        <f t="shared" si="179"/>
        <v>3299754348</v>
      </c>
      <c r="AK199" s="9"/>
      <c r="AL199" s="362">
        <v>0</v>
      </c>
      <c r="AM199" s="365">
        <v>0</v>
      </c>
      <c r="AN199" s="9"/>
    </row>
    <row r="200" spans="1:40" s="372" customFormat="1" ht="24.95" customHeight="1">
      <c r="A200" s="734"/>
      <c r="B200" s="644"/>
      <c r="I200" s="451"/>
      <c r="L200" s="451"/>
      <c r="N200" s="9"/>
      <c r="P200" s="9"/>
      <c r="Q200" s="9"/>
      <c r="R200" s="9"/>
      <c r="S200" s="689" t="str">
        <f>+IF(OCTUBRE!S200=0,"",OCTUBRE!S200)</f>
        <v>4100100-3</v>
      </c>
      <c r="T200" s="665" t="str">
        <f>+IF(OCTUBRE!T200=0,"",OCTUBRE!T200)</f>
        <v>Material de Laboratorio</v>
      </c>
      <c r="U200" s="27">
        <f>+ENERO!U200</f>
        <v>840000000</v>
      </c>
      <c r="V200" s="15">
        <f>OCTUBRE!V200+NOVIEMBRE!AL200</f>
        <v>0</v>
      </c>
      <c r="W200" s="15">
        <f>OCTUBRE!W200+NOVIEMBRE!AM200</f>
        <v>0</v>
      </c>
      <c r="X200" s="18">
        <f t="shared" si="173"/>
        <v>840000000</v>
      </c>
      <c r="Y200" s="19">
        <f>OCTUBRE!AA200</f>
        <v>706363536</v>
      </c>
      <c r="Z200" s="364">
        <v>79364341</v>
      </c>
      <c r="AA200" s="18">
        <f t="shared" si="174"/>
        <v>785727877</v>
      </c>
      <c r="AB200" s="19">
        <f>OCTUBRE!AD200</f>
        <v>706363536</v>
      </c>
      <c r="AC200" s="364">
        <v>79364341</v>
      </c>
      <c r="AD200" s="18">
        <f t="shared" si="175"/>
        <v>785727877</v>
      </c>
      <c r="AE200" s="19">
        <f>OCTUBRE!AG200</f>
        <v>491865965</v>
      </c>
      <c r="AF200" s="364">
        <v>14462716</v>
      </c>
      <c r="AG200" s="18">
        <f t="shared" si="176"/>
        <v>506328681</v>
      </c>
      <c r="AH200" s="19">
        <f t="shared" si="177"/>
        <v>54272123</v>
      </c>
      <c r="AI200" s="15">
        <f t="shared" si="178"/>
        <v>54272123</v>
      </c>
      <c r="AJ200" s="16">
        <f t="shared" si="179"/>
        <v>333671319</v>
      </c>
      <c r="AK200" s="9"/>
      <c r="AL200" s="362">
        <v>0</v>
      </c>
      <c r="AM200" s="365">
        <v>0</v>
      </c>
      <c r="AN200" s="9"/>
    </row>
    <row r="201" spans="1:40" s="372" customFormat="1" ht="24.95" customHeight="1">
      <c r="A201" s="734"/>
      <c r="B201" s="644"/>
      <c r="I201" s="451"/>
      <c r="L201" s="451"/>
      <c r="N201" s="9"/>
      <c r="P201" s="9"/>
      <c r="Q201" s="9"/>
      <c r="R201" s="9"/>
      <c r="S201" s="689" t="str">
        <f>+IF(OCTUBRE!S201=0,"",OCTUBRE!S201)</f>
        <v>4100100-4</v>
      </c>
      <c r="T201" s="665" t="str">
        <f>+IF(OCTUBRE!T201=0,"",OCTUBRE!T201)</f>
        <v>Material para Odontologia</v>
      </c>
      <c r="U201" s="27">
        <f>+ENERO!U201</f>
        <v>0</v>
      </c>
      <c r="V201" s="15">
        <f>OCTUBRE!V201+NOVIEMBRE!AL201</f>
        <v>0</v>
      </c>
      <c r="W201" s="15">
        <f>OCTUBRE!W201+NOVIEMBRE!AM201</f>
        <v>0</v>
      </c>
      <c r="X201" s="18">
        <f t="shared" si="173"/>
        <v>0</v>
      </c>
      <c r="Y201" s="19">
        <f>OCTUBRE!AA201</f>
        <v>0</v>
      </c>
      <c r="Z201" s="364">
        <v>0</v>
      </c>
      <c r="AA201" s="18">
        <f t="shared" si="174"/>
        <v>0</v>
      </c>
      <c r="AB201" s="19">
        <f>OCTUBRE!AD201</f>
        <v>0</v>
      </c>
      <c r="AC201" s="364">
        <v>0</v>
      </c>
      <c r="AD201" s="18">
        <f t="shared" si="175"/>
        <v>0</v>
      </c>
      <c r="AE201" s="19">
        <f>OCTUBRE!AG201</f>
        <v>0</v>
      </c>
      <c r="AF201" s="364">
        <v>0</v>
      </c>
      <c r="AG201" s="18">
        <f t="shared" si="176"/>
        <v>0</v>
      </c>
      <c r="AH201" s="19">
        <f t="shared" si="177"/>
        <v>0</v>
      </c>
      <c r="AI201" s="15">
        <f t="shared" si="178"/>
        <v>0</v>
      </c>
      <c r="AJ201" s="16">
        <f t="shared" si="179"/>
        <v>0</v>
      </c>
      <c r="AK201" s="9"/>
      <c r="AL201" s="362">
        <v>0</v>
      </c>
      <c r="AM201" s="365">
        <v>0</v>
      </c>
      <c r="AN201" s="9"/>
    </row>
    <row r="202" spans="1:40" s="372" customFormat="1" ht="24.95" customHeight="1">
      <c r="A202" s="734"/>
      <c r="B202" s="644"/>
      <c r="I202" s="451"/>
      <c r="L202" s="451"/>
      <c r="N202" s="9"/>
      <c r="P202" s="9"/>
      <c r="Q202" s="9"/>
      <c r="R202" s="9"/>
      <c r="S202" s="689" t="str">
        <f>+IF(OCTUBRE!S202=0,"",OCTUBRE!S202)</f>
        <v>4100100-5</v>
      </c>
      <c r="T202" s="665" t="str">
        <f>+IF(OCTUBRE!T202=0,"",OCTUBRE!T202)</f>
        <v>Material para Rayos X</v>
      </c>
      <c r="U202" s="27">
        <f>+ENERO!U202</f>
        <v>0</v>
      </c>
      <c r="V202" s="15">
        <f>OCTUBRE!V202+NOVIEMBRE!AL202</f>
        <v>0</v>
      </c>
      <c r="W202" s="15">
        <f>OCTUBRE!W202+NOVIEMBRE!AM202</f>
        <v>0</v>
      </c>
      <c r="X202" s="18">
        <f t="shared" si="173"/>
        <v>0</v>
      </c>
      <c r="Y202" s="19">
        <f>OCTUBRE!AA202</f>
        <v>0</v>
      </c>
      <c r="Z202" s="364">
        <v>0</v>
      </c>
      <c r="AA202" s="18">
        <f t="shared" si="174"/>
        <v>0</v>
      </c>
      <c r="AB202" s="19">
        <f>OCTUBRE!AD202</f>
        <v>0</v>
      </c>
      <c r="AC202" s="364">
        <v>0</v>
      </c>
      <c r="AD202" s="18">
        <f t="shared" si="175"/>
        <v>0</v>
      </c>
      <c r="AE202" s="19">
        <f>OCTUBRE!AG202</f>
        <v>0</v>
      </c>
      <c r="AF202" s="364">
        <v>0</v>
      </c>
      <c r="AG202" s="18">
        <f t="shared" si="176"/>
        <v>0</v>
      </c>
      <c r="AH202" s="19">
        <f t="shared" si="177"/>
        <v>0</v>
      </c>
      <c r="AI202" s="15">
        <f t="shared" si="178"/>
        <v>0</v>
      </c>
      <c r="AJ202" s="16">
        <f t="shared" si="179"/>
        <v>0</v>
      </c>
      <c r="AK202" s="9"/>
      <c r="AL202" s="362">
        <v>0</v>
      </c>
      <c r="AM202" s="365">
        <v>0</v>
      </c>
      <c r="AN202" s="9"/>
    </row>
    <row r="203" spans="1:40" s="372" customFormat="1" ht="24.95" customHeight="1">
      <c r="A203" s="734"/>
      <c r="B203" s="644"/>
      <c r="I203" s="451"/>
      <c r="L203" s="451"/>
      <c r="N203" s="9"/>
      <c r="P203" s="9"/>
      <c r="Q203" s="9"/>
      <c r="R203" s="9"/>
      <c r="S203" s="689" t="str">
        <f>+IF(OCTUBRE!S203=0,"",OCTUBRE!S203)</f>
        <v>4100100-6</v>
      </c>
      <c r="T203" s="665" t="str">
        <f>+IF(OCTUBRE!T203=0,"",OCTUBRE!T203)</f>
        <v/>
      </c>
      <c r="U203" s="27">
        <f>+ENERO!U203</f>
        <v>0</v>
      </c>
      <c r="V203" s="15">
        <f>OCTUBRE!V203+NOVIEMBRE!AL203</f>
        <v>0</v>
      </c>
      <c r="W203" s="15">
        <f>OCTUBRE!W203+NOVIEMBRE!AM203</f>
        <v>0</v>
      </c>
      <c r="X203" s="18">
        <f t="shared" si="173"/>
        <v>0</v>
      </c>
      <c r="Y203" s="19">
        <f>OCTUBRE!AA203</f>
        <v>0</v>
      </c>
      <c r="Z203" s="364">
        <v>0</v>
      </c>
      <c r="AA203" s="18">
        <f t="shared" si="174"/>
        <v>0</v>
      </c>
      <c r="AB203" s="19">
        <f>OCTUBRE!AD203</f>
        <v>0</v>
      </c>
      <c r="AC203" s="364">
        <v>0</v>
      </c>
      <c r="AD203" s="18">
        <f t="shared" si="175"/>
        <v>0</v>
      </c>
      <c r="AE203" s="19">
        <f>OCTUBRE!AG203</f>
        <v>0</v>
      </c>
      <c r="AF203" s="364">
        <v>0</v>
      </c>
      <c r="AG203" s="18">
        <f t="shared" si="176"/>
        <v>0</v>
      </c>
      <c r="AH203" s="19">
        <f t="shared" si="177"/>
        <v>0</v>
      </c>
      <c r="AI203" s="15">
        <f t="shared" si="178"/>
        <v>0</v>
      </c>
      <c r="AJ203" s="16">
        <f t="shared" si="179"/>
        <v>0</v>
      </c>
      <c r="AK203" s="9"/>
      <c r="AL203" s="362">
        <v>0</v>
      </c>
      <c r="AM203" s="365">
        <v>0</v>
      </c>
      <c r="AN203" s="9"/>
    </row>
    <row r="204" spans="1:40" s="372" customFormat="1" ht="24.95" customHeight="1">
      <c r="A204" s="734"/>
      <c r="B204" s="644"/>
      <c r="I204" s="451"/>
      <c r="L204" s="451"/>
      <c r="N204" s="9"/>
      <c r="P204" s="9"/>
      <c r="Q204" s="9"/>
      <c r="R204" s="9"/>
      <c r="S204" s="689" t="str">
        <f>+IF(OCTUBRE!S204=0,"",OCTUBRE!S204)</f>
        <v>4100100-7</v>
      </c>
      <c r="T204" s="665" t="str">
        <f>+IF(OCTUBRE!T204=0,"",OCTUBRE!T204)</f>
        <v/>
      </c>
      <c r="U204" s="27">
        <f>+ENERO!U204</f>
        <v>0</v>
      </c>
      <c r="V204" s="15">
        <f>OCTUBRE!V204+NOVIEMBRE!AL204</f>
        <v>0</v>
      </c>
      <c r="W204" s="15">
        <f>OCTUBRE!W204+NOVIEMBRE!AM204</f>
        <v>0</v>
      </c>
      <c r="X204" s="18">
        <f t="shared" si="173"/>
        <v>0</v>
      </c>
      <c r="Y204" s="19">
        <f>OCTUBRE!AA204</f>
        <v>0</v>
      </c>
      <c r="Z204" s="364">
        <v>0</v>
      </c>
      <c r="AA204" s="18">
        <f t="shared" si="174"/>
        <v>0</v>
      </c>
      <c r="AB204" s="19">
        <f>OCTUBRE!AD204</f>
        <v>0</v>
      </c>
      <c r="AC204" s="364">
        <v>0</v>
      </c>
      <c r="AD204" s="18">
        <f t="shared" si="175"/>
        <v>0</v>
      </c>
      <c r="AE204" s="19">
        <f>OCTUBRE!AG204</f>
        <v>0</v>
      </c>
      <c r="AF204" s="364">
        <v>0</v>
      </c>
      <c r="AG204" s="18">
        <f t="shared" si="176"/>
        <v>0</v>
      </c>
      <c r="AH204" s="19">
        <f t="shared" si="177"/>
        <v>0</v>
      </c>
      <c r="AI204" s="15">
        <f t="shared" si="178"/>
        <v>0</v>
      </c>
      <c r="AJ204" s="16">
        <f t="shared" si="179"/>
        <v>0</v>
      </c>
      <c r="AK204" s="9"/>
      <c r="AL204" s="362">
        <v>0</v>
      </c>
      <c r="AM204" s="365">
        <v>0</v>
      </c>
      <c r="AN204" s="9"/>
    </row>
    <row r="205" spans="1:40" s="372" customFormat="1" ht="24.95" customHeight="1">
      <c r="A205" s="734"/>
      <c r="B205" s="644"/>
      <c r="I205" s="451"/>
      <c r="L205" s="451"/>
      <c r="N205" s="9"/>
      <c r="P205" s="9"/>
      <c r="Q205" s="9"/>
      <c r="R205" s="9"/>
      <c r="S205" s="688">
        <f>+IF(OCTUBRE!S205=0,"",OCTUBRE!S205)</f>
        <v>4100200</v>
      </c>
      <c r="T205" s="664" t="str">
        <f>+IF(OCTUBRE!T205=0,"",OCTUBRE!T205)</f>
        <v>Gastos Complementarios e Intermedios</v>
      </c>
      <c r="U205" s="27">
        <f t="shared" ref="U205:AJ205" si="180">U206</f>
        <v>1200000000</v>
      </c>
      <c r="V205" s="15">
        <f t="shared" si="180"/>
        <v>0</v>
      </c>
      <c r="W205" s="15">
        <f t="shared" si="180"/>
        <v>20000000</v>
      </c>
      <c r="X205" s="18">
        <f t="shared" si="180"/>
        <v>1220000000</v>
      </c>
      <c r="Y205" s="19">
        <f t="shared" si="180"/>
        <v>1193140240</v>
      </c>
      <c r="Z205" s="142">
        <f t="shared" si="180"/>
        <v>4520000</v>
      </c>
      <c r="AA205" s="18">
        <f t="shared" si="180"/>
        <v>1197660240</v>
      </c>
      <c r="AB205" s="19">
        <f t="shared" si="180"/>
        <v>909350197</v>
      </c>
      <c r="AC205" s="142">
        <f t="shared" si="180"/>
        <v>73725955</v>
      </c>
      <c r="AD205" s="18">
        <f t="shared" si="180"/>
        <v>983076152</v>
      </c>
      <c r="AE205" s="19">
        <f t="shared" si="180"/>
        <v>749645115</v>
      </c>
      <c r="AF205" s="142">
        <f t="shared" si="180"/>
        <v>76690156</v>
      </c>
      <c r="AG205" s="18">
        <f t="shared" si="180"/>
        <v>826335271</v>
      </c>
      <c r="AH205" s="19">
        <f t="shared" si="180"/>
        <v>22339760</v>
      </c>
      <c r="AI205" s="15">
        <f t="shared" si="180"/>
        <v>236923848</v>
      </c>
      <c r="AJ205" s="16">
        <f t="shared" si="180"/>
        <v>393664729</v>
      </c>
      <c r="AK205" s="9"/>
      <c r="AL205" s="29">
        <f>AL206</f>
        <v>0</v>
      </c>
      <c r="AM205" s="26">
        <f>AM206</f>
        <v>0</v>
      </c>
      <c r="AN205" s="9"/>
    </row>
    <row r="206" spans="1:40" s="372" customFormat="1" ht="24.95" customHeight="1">
      <c r="A206" s="734"/>
      <c r="B206" s="644"/>
      <c r="I206" s="451"/>
      <c r="L206" s="451"/>
      <c r="N206" s="9"/>
      <c r="P206" s="9"/>
      <c r="Q206" s="9"/>
      <c r="R206" s="9"/>
      <c r="S206" s="689" t="str">
        <f>+IF(OCTUBRE!S206=0,"",OCTUBRE!S206)</f>
        <v>4100200-1</v>
      </c>
      <c r="T206" s="665" t="str">
        <f>+IF(OCTUBRE!T206=0,"",OCTUBRE!T206)</f>
        <v>Alimentación</v>
      </c>
      <c r="U206" s="27">
        <f>+ENERO!U206</f>
        <v>1200000000</v>
      </c>
      <c r="V206" s="15">
        <f>OCTUBRE!V206+NOVIEMBRE!AL206</f>
        <v>0</v>
      </c>
      <c r="W206" s="15">
        <f>OCTUBRE!W206+NOVIEMBRE!AM206</f>
        <v>20000000</v>
      </c>
      <c r="X206" s="18">
        <f>SUM(U206:W206)</f>
        <v>1220000000</v>
      </c>
      <c r="Y206" s="19">
        <f>OCTUBRE!AA206</f>
        <v>1193140240</v>
      </c>
      <c r="Z206" s="364">
        <v>4520000</v>
      </c>
      <c r="AA206" s="18">
        <f>SUM(Y206:Z206)</f>
        <v>1197660240</v>
      </c>
      <c r="AB206" s="19">
        <f>OCTUBRE!AD206</f>
        <v>909350197</v>
      </c>
      <c r="AC206" s="364">
        <v>73725955</v>
      </c>
      <c r="AD206" s="18">
        <f>SUM(AB206:AC206)</f>
        <v>983076152</v>
      </c>
      <c r="AE206" s="19">
        <f>OCTUBRE!AG206</f>
        <v>749645115</v>
      </c>
      <c r="AF206" s="364">
        <v>76690156</v>
      </c>
      <c r="AG206" s="18">
        <f>SUM(AE206:AF206)</f>
        <v>826335271</v>
      </c>
      <c r="AH206" s="19">
        <f>X206-AA206</f>
        <v>22339760</v>
      </c>
      <c r="AI206" s="15">
        <f>X206-AD206</f>
        <v>236923848</v>
      </c>
      <c r="AJ206" s="16">
        <f>X206-AG206</f>
        <v>393664729</v>
      </c>
      <c r="AK206" s="9"/>
      <c r="AL206" s="362">
        <v>0</v>
      </c>
      <c r="AM206" s="365">
        <v>0</v>
      </c>
      <c r="AN206" s="9"/>
    </row>
    <row r="207" spans="1:40" s="372" customFormat="1" ht="24.95" customHeight="1" thickBot="1">
      <c r="A207" s="734"/>
      <c r="B207" s="644"/>
      <c r="I207" s="451"/>
      <c r="L207" s="451"/>
      <c r="N207" s="9"/>
      <c r="P207" s="9"/>
      <c r="Q207" s="9"/>
      <c r="R207" s="9"/>
      <c r="S207" s="691">
        <f>+IF(OCTUBRE!S207=0,"",OCTUBRE!S207)</f>
        <v>4199999</v>
      </c>
      <c r="T207" s="670" t="str">
        <f>+IF(OCTUBRE!T207=0,"",OCTUBRE!T207)</f>
        <v>Vigencias Anteriores</v>
      </c>
      <c r="U207" s="133">
        <f>+ENERO!U207</f>
        <v>998630863</v>
      </c>
      <c r="V207" s="121">
        <f>OCTUBRE!V207+NOVIEMBRE!AL207</f>
        <v>1445127711</v>
      </c>
      <c r="W207" s="121">
        <f>OCTUBRE!W207+NOVIEMBRE!AM207</f>
        <v>5692368787</v>
      </c>
      <c r="X207" s="126">
        <f>SUM(U207:W207)</f>
        <v>8136127361</v>
      </c>
      <c r="Y207" s="124">
        <f>OCTUBRE!AA207</f>
        <v>7328840329</v>
      </c>
      <c r="Z207" s="378">
        <v>0</v>
      </c>
      <c r="AA207" s="126">
        <f>SUM(Y207:Z207)</f>
        <v>7328840329</v>
      </c>
      <c r="AB207" s="124">
        <f>OCTUBRE!AD207</f>
        <v>7328840329</v>
      </c>
      <c r="AC207" s="378">
        <v>0</v>
      </c>
      <c r="AD207" s="126">
        <f>SUM(AB207:AC207)</f>
        <v>7328840329</v>
      </c>
      <c r="AE207" s="124">
        <f>OCTUBRE!AG207</f>
        <v>7328840329</v>
      </c>
      <c r="AF207" s="378">
        <v>0</v>
      </c>
      <c r="AG207" s="126">
        <f>SUM(AE207:AF207)</f>
        <v>7328840329</v>
      </c>
      <c r="AH207" s="124">
        <f>X207-AA207</f>
        <v>807287032</v>
      </c>
      <c r="AI207" s="121">
        <f>X207-AD207</f>
        <v>807287032</v>
      </c>
      <c r="AJ207" s="125">
        <f>X207-AG207</f>
        <v>807287032</v>
      </c>
      <c r="AK207" s="9"/>
      <c r="AL207" s="374">
        <v>0</v>
      </c>
      <c r="AM207" s="379">
        <v>0</v>
      </c>
      <c r="AN207" s="9"/>
    </row>
    <row r="208" spans="1:40" s="372" customFormat="1" ht="24.95" customHeight="1">
      <c r="A208" s="734"/>
      <c r="B208" s="644"/>
      <c r="I208" s="451"/>
      <c r="L208" s="451"/>
      <c r="N208" s="9"/>
      <c r="P208" s="9"/>
      <c r="Q208" s="9"/>
      <c r="R208" s="9"/>
      <c r="S208" s="479" t="str">
        <f>+IF(OCTUBRE!S208=0,"",OCTUBRE!S208)</f>
        <v/>
      </c>
      <c r="T208" s="671" t="str">
        <f>+IF(OCTUBRE!T208=0,"",OCTUBRE!T208)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I209" s="451"/>
      <c r="L209" s="451"/>
      <c r="N209" s="9"/>
      <c r="P209" s="9"/>
      <c r="Q209" s="9"/>
      <c r="R209" s="9"/>
      <c r="S209" s="686">
        <f>+IF(OCTUBRE!S209=0,"",OCTUBRE!S209)</f>
        <v>5000000</v>
      </c>
      <c r="T209" s="668" t="s">
        <v>435</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462">
        <f t="shared" si="181"/>
        <v>0</v>
      </c>
      <c r="AE209" s="369">
        <f t="shared" si="181"/>
        <v>0</v>
      </c>
      <c r="AF209" s="461">
        <f t="shared" si="181"/>
        <v>0</v>
      </c>
      <c r="AG209" s="462">
        <f t="shared" si="181"/>
        <v>0</v>
      </c>
      <c r="AH209" s="369">
        <f t="shared" si="181"/>
        <v>0</v>
      </c>
      <c r="AI209" s="461">
        <f t="shared" si="181"/>
        <v>0</v>
      </c>
      <c r="AJ209" s="370">
        <f t="shared" si="181"/>
        <v>0</v>
      </c>
      <c r="AK209" s="9"/>
      <c r="AL209" s="128">
        <f>AL210</f>
        <v>0</v>
      </c>
      <c r="AM209" s="130">
        <f>AM210</f>
        <v>0</v>
      </c>
      <c r="AN209" s="9"/>
    </row>
    <row r="210" spans="1:40" s="372" customFormat="1" ht="24.95" customHeight="1">
      <c r="A210" s="734"/>
      <c r="B210" s="644"/>
      <c r="I210" s="451"/>
      <c r="L210" s="451"/>
      <c r="N210" s="9"/>
      <c r="P210" s="9"/>
      <c r="Q210" s="9"/>
      <c r="R210" s="9"/>
      <c r="S210" s="687">
        <f>+IF(OCTUBRE!S210=0,"",OCTUBRE!S210)</f>
        <v>5100000</v>
      </c>
      <c r="T210" s="663" t="str">
        <f>+IF(OCTUBRE!T210=0,"",OCTUBRE!T210)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29">
        <f t="shared" si="182"/>
        <v>0</v>
      </c>
      <c r="AE210" s="128">
        <f t="shared" si="182"/>
        <v>0</v>
      </c>
      <c r="AF210" s="122">
        <f t="shared" si="182"/>
        <v>0</v>
      </c>
      <c r="AG210" s="129">
        <f t="shared" si="182"/>
        <v>0</v>
      </c>
      <c r="AH210" s="128">
        <f t="shared" si="182"/>
        <v>0</v>
      </c>
      <c r="AI210" s="122">
        <f t="shared" si="182"/>
        <v>0</v>
      </c>
      <c r="AJ210" s="130">
        <f t="shared" si="182"/>
        <v>0</v>
      </c>
      <c r="AK210" s="9"/>
      <c r="AL210" s="128">
        <f>AL211+AL218</f>
        <v>0</v>
      </c>
      <c r="AM210" s="130">
        <f>AM211+AM218</f>
        <v>0</v>
      </c>
      <c r="AN210" s="9"/>
    </row>
    <row r="211" spans="1:40" s="372" customFormat="1" ht="24.95" customHeight="1">
      <c r="A211" s="734"/>
      <c r="B211" s="644"/>
      <c r="I211" s="451"/>
      <c r="L211" s="451"/>
      <c r="N211" s="9"/>
      <c r="P211" s="9"/>
      <c r="Q211" s="9"/>
      <c r="R211" s="9"/>
      <c r="S211" s="688">
        <f>+IF(OCTUBRE!S211=0,"",OCTUBRE!S211)</f>
        <v>5100100</v>
      </c>
      <c r="T211" s="664" t="str">
        <f>+IF(OCTUBRE!T211=0,"",OCTUBRE!T211)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8">
        <f t="shared" si="183"/>
        <v>0</v>
      </c>
      <c r="AE211" s="19">
        <f t="shared" si="183"/>
        <v>0</v>
      </c>
      <c r="AF211" s="142">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72" customFormat="1" ht="24.95" customHeight="1">
      <c r="A212" s="734"/>
      <c r="B212" s="644"/>
      <c r="I212" s="451"/>
      <c r="L212" s="451"/>
      <c r="N212" s="9"/>
      <c r="P212" s="9"/>
      <c r="Q212" s="9"/>
      <c r="R212" s="9"/>
      <c r="S212" s="689" t="str">
        <f>+IF(OCTUBRE!S212=0,"",OCTUBRE!S212)</f>
        <v>5100100-1</v>
      </c>
      <c r="T212" s="665" t="str">
        <f>+IF(OCTUBRE!T212=0,"",OCTUBRE!T212)</f>
        <v>Productos Farmaceuticos</v>
      </c>
      <c r="U212" s="27">
        <f>+ENERO!U212</f>
        <v>0</v>
      </c>
      <c r="V212" s="15">
        <f>OCTUBRE!V212+NOVIEMBRE!AL212</f>
        <v>0</v>
      </c>
      <c r="W212" s="15">
        <f>OCTUBRE!W212+NOVIEMBRE!AM212</f>
        <v>0</v>
      </c>
      <c r="X212" s="18">
        <f t="shared" ref="X212:X218" si="184">SUM(U212:W212)</f>
        <v>0</v>
      </c>
      <c r="Y212" s="19">
        <f>OCTUBRE!AA212</f>
        <v>0</v>
      </c>
      <c r="Z212" s="364">
        <v>0</v>
      </c>
      <c r="AA212" s="18">
        <f t="shared" ref="AA212:AA218" si="185">SUM(Y212:Z212)</f>
        <v>0</v>
      </c>
      <c r="AB212" s="19">
        <f>OCTUBRE!AD212</f>
        <v>0</v>
      </c>
      <c r="AC212" s="364">
        <v>0</v>
      </c>
      <c r="AD212" s="18">
        <f t="shared" ref="AD212:AD218" si="186">SUM(AB212:AC212)</f>
        <v>0</v>
      </c>
      <c r="AE212" s="19">
        <f>OCTUBRE!AG212</f>
        <v>0</v>
      </c>
      <c r="AF212" s="364">
        <v>0</v>
      </c>
      <c r="AG212" s="1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row>
    <row r="213" spans="1:40" s="372" customFormat="1" ht="24.95" customHeight="1">
      <c r="A213" s="734"/>
      <c r="B213" s="644"/>
      <c r="I213" s="451"/>
      <c r="L213" s="451"/>
      <c r="N213" s="9"/>
      <c r="P213" s="9"/>
      <c r="Q213" s="9"/>
      <c r="R213" s="9"/>
      <c r="S213" s="689" t="str">
        <f>+IF(OCTUBRE!S213=0,"",OCTUBRE!S213)</f>
        <v>5100100-2</v>
      </c>
      <c r="T213" s="665" t="str">
        <f>+IF(OCTUBRE!T213=0,"",OCTUBRE!T213)</f>
        <v>Material Médico Quirúrgico</v>
      </c>
      <c r="U213" s="27">
        <f>+ENERO!U213</f>
        <v>0</v>
      </c>
      <c r="V213" s="15">
        <f>OCTUBRE!V213+NOVIEMBRE!AL213</f>
        <v>0</v>
      </c>
      <c r="W213" s="15">
        <f>OCTUBRE!W213+NOVIEMBRE!AM213</f>
        <v>0</v>
      </c>
      <c r="X213" s="18">
        <f t="shared" si="184"/>
        <v>0</v>
      </c>
      <c r="Y213" s="19">
        <f>OCTUBRE!AA213</f>
        <v>0</v>
      </c>
      <c r="Z213" s="364">
        <v>0</v>
      </c>
      <c r="AA213" s="18">
        <f t="shared" si="185"/>
        <v>0</v>
      </c>
      <c r="AB213" s="19">
        <f>OCTUBRE!AD213</f>
        <v>0</v>
      </c>
      <c r="AC213" s="364">
        <v>0</v>
      </c>
      <c r="AD213" s="18">
        <f t="shared" si="186"/>
        <v>0</v>
      </c>
      <c r="AE213" s="19">
        <f>OCTUBRE!AG213</f>
        <v>0</v>
      </c>
      <c r="AF213" s="364">
        <v>0</v>
      </c>
      <c r="AG213" s="18">
        <f t="shared" si="187"/>
        <v>0</v>
      </c>
      <c r="AH213" s="19">
        <f t="shared" si="188"/>
        <v>0</v>
      </c>
      <c r="AI213" s="15">
        <f t="shared" si="189"/>
        <v>0</v>
      </c>
      <c r="AJ213" s="16">
        <f t="shared" si="190"/>
        <v>0</v>
      </c>
      <c r="AK213" s="9"/>
      <c r="AL213" s="362">
        <v>0</v>
      </c>
      <c r="AM213" s="365">
        <v>0</v>
      </c>
      <c r="AN213" s="9"/>
    </row>
    <row r="214" spans="1:40" s="372" customFormat="1" ht="24.95" customHeight="1">
      <c r="A214" s="734"/>
      <c r="B214" s="644"/>
      <c r="I214" s="451"/>
      <c r="L214" s="451"/>
      <c r="N214" s="9"/>
      <c r="P214" s="9"/>
      <c r="Q214" s="9"/>
      <c r="R214" s="9"/>
      <c r="S214" s="689" t="str">
        <f>+IF(OCTUBRE!S214=0,"",OCTUBRE!S214)</f>
        <v>5100100-3</v>
      </c>
      <c r="T214" s="665" t="str">
        <f>+IF(OCTUBRE!T214=0,"",OCTUBRE!T214)</f>
        <v>Material de Laboratorio</v>
      </c>
      <c r="U214" s="27">
        <f>+ENERO!U214</f>
        <v>0</v>
      </c>
      <c r="V214" s="15">
        <f>OCTUBRE!V214+NOVIEMBRE!AL214</f>
        <v>0</v>
      </c>
      <c r="W214" s="15">
        <f>OCTUBRE!W214+NOVIEMBRE!AM214</f>
        <v>0</v>
      </c>
      <c r="X214" s="18">
        <f t="shared" si="184"/>
        <v>0</v>
      </c>
      <c r="Y214" s="19">
        <f>OCTUBRE!AA214</f>
        <v>0</v>
      </c>
      <c r="Z214" s="364">
        <v>0</v>
      </c>
      <c r="AA214" s="18">
        <f t="shared" si="185"/>
        <v>0</v>
      </c>
      <c r="AB214" s="19">
        <f>OCTUBRE!AD214</f>
        <v>0</v>
      </c>
      <c r="AC214" s="364">
        <v>0</v>
      </c>
      <c r="AD214" s="18">
        <f t="shared" si="186"/>
        <v>0</v>
      </c>
      <c r="AE214" s="19">
        <f>OCTUBRE!AG214</f>
        <v>0</v>
      </c>
      <c r="AF214" s="364">
        <v>0</v>
      </c>
      <c r="AG214" s="18">
        <f t="shared" si="187"/>
        <v>0</v>
      </c>
      <c r="AH214" s="19">
        <f t="shared" si="188"/>
        <v>0</v>
      </c>
      <c r="AI214" s="15">
        <f t="shared" si="189"/>
        <v>0</v>
      </c>
      <c r="AJ214" s="16">
        <f t="shared" si="190"/>
        <v>0</v>
      </c>
      <c r="AK214" s="9"/>
      <c r="AL214" s="362">
        <v>0</v>
      </c>
      <c r="AM214" s="365">
        <v>0</v>
      </c>
      <c r="AN214" s="9"/>
    </row>
    <row r="215" spans="1:40" s="372" customFormat="1" ht="24.95" customHeight="1">
      <c r="A215" s="734"/>
      <c r="B215" s="644"/>
      <c r="I215" s="451"/>
      <c r="L215" s="451"/>
      <c r="N215" s="9"/>
      <c r="P215" s="9"/>
      <c r="Q215" s="9"/>
      <c r="R215" s="9"/>
      <c r="S215" s="689" t="str">
        <f>+IF(OCTUBRE!S215=0,"",OCTUBRE!S215)</f>
        <v>5100100-4</v>
      </c>
      <c r="T215" s="665" t="str">
        <f>+IF(OCTUBRE!T215=0,"",OCTUBRE!T215)</f>
        <v>Material para Odontologia</v>
      </c>
      <c r="U215" s="27">
        <f>+ENERO!U215</f>
        <v>0</v>
      </c>
      <c r="V215" s="15">
        <f>OCTUBRE!V215+NOVIEMBRE!AL215</f>
        <v>0</v>
      </c>
      <c r="W215" s="15">
        <f>OCTUBRE!W215+NOVIEMBRE!AM215</f>
        <v>0</v>
      </c>
      <c r="X215" s="18">
        <f t="shared" si="184"/>
        <v>0</v>
      </c>
      <c r="Y215" s="19">
        <f>OCTUBRE!AA215</f>
        <v>0</v>
      </c>
      <c r="Z215" s="364">
        <v>0</v>
      </c>
      <c r="AA215" s="18">
        <f t="shared" si="185"/>
        <v>0</v>
      </c>
      <c r="AB215" s="19">
        <f>OCTUBRE!AD215</f>
        <v>0</v>
      </c>
      <c r="AC215" s="364">
        <v>0</v>
      </c>
      <c r="AD215" s="18">
        <f t="shared" si="186"/>
        <v>0</v>
      </c>
      <c r="AE215" s="19">
        <f>OCTUBRE!AG215</f>
        <v>0</v>
      </c>
      <c r="AF215" s="364">
        <v>0</v>
      </c>
      <c r="AG215" s="18">
        <f t="shared" si="187"/>
        <v>0</v>
      </c>
      <c r="AH215" s="19">
        <f t="shared" si="188"/>
        <v>0</v>
      </c>
      <c r="AI215" s="15">
        <f t="shared" si="189"/>
        <v>0</v>
      </c>
      <c r="AJ215" s="16">
        <f t="shared" si="190"/>
        <v>0</v>
      </c>
      <c r="AK215" s="9"/>
      <c r="AL215" s="362">
        <v>0</v>
      </c>
      <c r="AM215" s="365">
        <v>0</v>
      </c>
      <c r="AN215" s="9"/>
    </row>
    <row r="216" spans="1:40" s="372" customFormat="1" ht="24.95" customHeight="1">
      <c r="A216" s="734"/>
      <c r="B216" s="644"/>
      <c r="I216" s="451"/>
      <c r="L216" s="451"/>
      <c r="N216" s="9"/>
      <c r="P216" s="9"/>
      <c r="Q216" s="9"/>
      <c r="R216" s="9"/>
      <c r="S216" s="689" t="str">
        <f>+IF(OCTUBRE!S216=0,"",OCTUBRE!S216)</f>
        <v>5100100-5</v>
      </c>
      <c r="T216" s="665" t="str">
        <f>+IF(OCTUBRE!T216=0,"",OCTUBRE!T216)</f>
        <v>Material para Rayos X</v>
      </c>
      <c r="U216" s="27">
        <f>+ENERO!U216</f>
        <v>0</v>
      </c>
      <c r="V216" s="15">
        <f>OCTUBRE!V216+NOVIEMBRE!AL216</f>
        <v>0</v>
      </c>
      <c r="W216" s="15">
        <f>OCTUBRE!W216+NOVIEMBRE!AM216</f>
        <v>0</v>
      </c>
      <c r="X216" s="18">
        <f t="shared" si="184"/>
        <v>0</v>
      </c>
      <c r="Y216" s="19">
        <f>OCTUBRE!AA216</f>
        <v>0</v>
      </c>
      <c r="Z216" s="364">
        <v>0</v>
      </c>
      <c r="AA216" s="18">
        <f t="shared" si="185"/>
        <v>0</v>
      </c>
      <c r="AB216" s="19">
        <f>OCTUBRE!AD216</f>
        <v>0</v>
      </c>
      <c r="AC216" s="364">
        <v>0</v>
      </c>
      <c r="AD216" s="18">
        <f t="shared" si="186"/>
        <v>0</v>
      </c>
      <c r="AE216" s="19">
        <f>OCTUBRE!AG216</f>
        <v>0</v>
      </c>
      <c r="AF216" s="364">
        <v>0</v>
      </c>
      <c r="AG216" s="18">
        <f t="shared" si="187"/>
        <v>0</v>
      </c>
      <c r="AH216" s="19">
        <f t="shared" si="188"/>
        <v>0</v>
      </c>
      <c r="AI216" s="15">
        <f t="shared" si="189"/>
        <v>0</v>
      </c>
      <c r="AJ216" s="16">
        <f t="shared" si="190"/>
        <v>0</v>
      </c>
      <c r="AK216" s="9"/>
      <c r="AL216" s="362">
        <v>0</v>
      </c>
      <c r="AM216" s="365">
        <v>0</v>
      </c>
      <c r="AN216" s="9"/>
    </row>
    <row r="217" spans="1:40" s="372" customFormat="1" ht="24.95" customHeight="1">
      <c r="A217" s="734"/>
      <c r="B217" s="644"/>
      <c r="I217" s="451"/>
      <c r="L217" s="451"/>
      <c r="N217" s="9"/>
      <c r="P217" s="9"/>
      <c r="Q217" s="9"/>
      <c r="R217" s="9"/>
      <c r="S217" s="689" t="str">
        <f>+IF(OCTUBRE!S217=0,"",OCTUBRE!S217)</f>
        <v>5100100-6</v>
      </c>
      <c r="T217" s="665" t="str">
        <f>+IF(OCTUBRE!T217=0,"",OCTUBRE!T217)</f>
        <v>Material aseo personal, etc.</v>
      </c>
      <c r="U217" s="27">
        <f>+ENERO!U217</f>
        <v>0</v>
      </c>
      <c r="V217" s="15">
        <f>OCTUBRE!V217+NOVIEMBRE!AL217</f>
        <v>0</v>
      </c>
      <c r="W217" s="15">
        <f>OCTUBRE!W217+NOVIEMBRE!AM217</f>
        <v>0</v>
      </c>
      <c r="X217" s="18">
        <f t="shared" si="184"/>
        <v>0</v>
      </c>
      <c r="Y217" s="19">
        <f>OCTUBRE!AA217</f>
        <v>0</v>
      </c>
      <c r="Z217" s="364">
        <v>0</v>
      </c>
      <c r="AA217" s="18">
        <f t="shared" si="185"/>
        <v>0</v>
      </c>
      <c r="AB217" s="19">
        <f>OCTUBRE!AD217</f>
        <v>0</v>
      </c>
      <c r="AC217" s="364">
        <v>0</v>
      </c>
      <c r="AD217" s="18">
        <f t="shared" si="186"/>
        <v>0</v>
      </c>
      <c r="AE217" s="19">
        <f>OCTUBRE!AG217</f>
        <v>0</v>
      </c>
      <c r="AF217" s="364">
        <v>0</v>
      </c>
      <c r="AG217" s="18">
        <f t="shared" si="187"/>
        <v>0</v>
      </c>
      <c r="AH217" s="19">
        <f t="shared" si="188"/>
        <v>0</v>
      </c>
      <c r="AI217" s="15">
        <f t="shared" si="189"/>
        <v>0</v>
      </c>
      <c r="AJ217" s="16">
        <f t="shared" si="190"/>
        <v>0</v>
      </c>
      <c r="AK217" s="9"/>
      <c r="AL217" s="362">
        <v>0</v>
      </c>
      <c r="AM217" s="365">
        <v>0</v>
      </c>
      <c r="AN217" s="9"/>
    </row>
    <row r="218" spans="1:40" s="372" customFormat="1" ht="24.95" customHeight="1" thickBot="1">
      <c r="A218" s="734"/>
      <c r="B218" s="644"/>
      <c r="I218" s="451"/>
      <c r="L218" s="451"/>
      <c r="N218" s="9"/>
      <c r="P218" s="9"/>
      <c r="Q218" s="9"/>
      <c r="R218" s="9"/>
      <c r="S218" s="698">
        <f>+IF(OCTUBRE!S218=0,"",OCTUBRE!S218)</f>
        <v>5199999</v>
      </c>
      <c r="T218" s="680" t="str">
        <f>+IF(OCTUBRE!T218=0,"",OCTUBRE!T218)</f>
        <v>Vigencias Anteriores</v>
      </c>
      <c r="U218" s="133">
        <f>+ENERO!U218</f>
        <v>0</v>
      </c>
      <c r="V218" s="121">
        <f>OCTUBRE!V218+NOVIEMBRE!AL218</f>
        <v>0</v>
      </c>
      <c r="W218" s="121">
        <f>OCTUBRE!W218+NOVIEMBRE!AM218</f>
        <v>0</v>
      </c>
      <c r="X218" s="126">
        <f t="shared" si="184"/>
        <v>0</v>
      </c>
      <c r="Y218" s="124">
        <f>OCTUBRE!AA218</f>
        <v>0</v>
      </c>
      <c r="Z218" s="378">
        <v>0</v>
      </c>
      <c r="AA218" s="126">
        <f t="shared" si="185"/>
        <v>0</v>
      </c>
      <c r="AB218" s="124">
        <f>OCTUBRE!AD218</f>
        <v>0</v>
      </c>
      <c r="AC218" s="378">
        <v>0</v>
      </c>
      <c r="AD218" s="126">
        <f t="shared" si="186"/>
        <v>0</v>
      </c>
      <c r="AE218" s="124">
        <f>OCTUBRE!AG218</f>
        <v>0</v>
      </c>
      <c r="AF218" s="378">
        <v>0</v>
      </c>
      <c r="AG218" s="126">
        <f t="shared" si="187"/>
        <v>0</v>
      </c>
      <c r="AH218" s="124">
        <f t="shared" si="188"/>
        <v>0</v>
      </c>
      <c r="AI218" s="121">
        <f t="shared" si="189"/>
        <v>0</v>
      </c>
      <c r="AJ218" s="125">
        <f t="shared" si="190"/>
        <v>0</v>
      </c>
      <c r="AK218" s="9"/>
      <c r="AL218" s="491">
        <v>0</v>
      </c>
      <c r="AM218" s="492">
        <v>0</v>
      </c>
      <c r="AN218" s="9"/>
    </row>
    <row r="219" spans="1:40" s="372" customFormat="1" ht="24.95" customHeight="1" thickBot="1">
      <c r="A219" s="734"/>
      <c r="B219" s="644"/>
      <c r="I219" s="451"/>
      <c r="L219" s="451"/>
      <c r="N219" s="9"/>
      <c r="P219" s="9"/>
      <c r="Q219" s="9"/>
      <c r="R219" s="9"/>
      <c r="S219" s="485" t="str">
        <f>+IF(OCTUBRE!S219=0,"",OCTUBRE!S219)</f>
        <v/>
      </c>
      <c r="T219" s="677" t="str">
        <f>+IF(OCTUBRE!T219=0,"",OCTUBRE!T219)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I220" s="451"/>
      <c r="L220" s="451"/>
      <c r="N220" s="9"/>
      <c r="P220" s="9"/>
      <c r="Q220" s="9"/>
      <c r="R220" s="9"/>
      <c r="S220" s="347" t="str">
        <f>+IF(OCTUBRE!S220=0,"",OCTUBRE!S220)</f>
        <v>C</v>
      </c>
      <c r="T220" s="659" t="str">
        <f>+IF(OCTUBRE!T220=0,"",OCTUBRE!T220)</f>
        <v xml:space="preserve">SERVICIO DE LA DEUDA </v>
      </c>
      <c r="U220" s="348">
        <f t="shared" ref="U220:AJ220" si="191">U222+U227</f>
        <v>262344980</v>
      </c>
      <c r="V220" s="349">
        <f t="shared" si="191"/>
        <v>-15000000</v>
      </c>
      <c r="W220" s="349">
        <f t="shared" si="191"/>
        <v>27000000</v>
      </c>
      <c r="X220" s="352">
        <f t="shared" si="191"/>
        <v>274344980</v>
      </c>
      <c r="Y220" s="351">
        <f t="shared" si="191"/>
        <v>253165186</v>
      </c>
      <c r="Z220" s="349">
        <f t="shared" si="191"/>
        <v>0</v>
      </c>
      <c r="AA220" s="352">
        <f t="shared" si="191"/>
        <v>253165186</v>
      </c>
      <c r="AB220" s="351">
        <f t="shared" si="191"/>
        <v>253165186</v>
      </c>
      <c r="AC220" s="349">
        <f t="shared" si="191"/>
        <v>0</v>
      </c>
      <c r="AD220" s="352">
        <f t="shared" si="191"/>
        <v>253165186</v>
      </c>
      <c r="AE220" s="351">
        <f t="shared" si="191"/>
        <v>253165186</v>
      </c>
      <c r="AF220" s="349">
        <f t="shared" si="191"/>
        <v>0</v>
      </c>
      <c r="AG220" s="352">
        <f t="shared" si="191"/>
        <v>253165186</v>
      </c>
      <c r="AH220" s="351">
        <f t="shared" si="191"/>
        <v>21179794</v>
      </c>
      <c r="AI220" s="349">
        <f t="shared" si="191"/>
        <v>21179794</v>
      </c>
      <c r="AJ220" s="350">
        <f t="shared" si="191"/>
        <v>21179794</v>
      </c>
      <c r="AK220" s="490"/>
      <c r="AL220" s="351">
        <f>AL222+AL227</f>
        <v>0</v>
      </c>
      <c r="AM220" s="350">
        <f>AM222+AM227</f>
        <v>0</v>
      </c>
      <c r="AN220" s="9"/>
    </row>
    <row r="221" spans="1:40" s="372" customFormat="1" ht="24.95" customHeight="1">
      <c r="A221" s="734"/>
      <c r="B221" s="644"/>
      <c r="I221" s="451"/>
      <c r="L221" s="451"/>
      <c r="N221" s="9"/>
      <c r="P221" s="9"/>
      <c r="Q221" s="9"/>
      <c r="R221" s="9"/>
      <c r="S221" s="356" t="str">
        <f>+IF(OCTUBRE!S221=0,"",OCTUBRE!S221)</f>
        <v/>
      </c>
      <c r="T221" s="678" t="str">
        <f>+IF(OCTUBRE!T221=0,"",OCTUBRE!T221)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I222" s="451"/>
      <c r="L222" s="451"/>
      <c r="N222" s="9"/>
      <c r="P222" s="9"/>
      <c r="Q222" s="9"/>
      <c r="R222" s="9"/>
      <c r="S222" s="687">
        <f>+IF(OCTUBRE!S222=0,"",OCTUBRE!S222)</f>
        <v>7001000</v>
      </c>
      <c r="T222" s="663" t="str">
        <f>+IF(OCTUBRE!T222=0,"",OCTUBRE!T222)</f>
        <v>SERVICIO DE LA DEUDA INTERNA</v>
      </c>
      <c r="U222" s="132">
        <f t="shared" ref="U222:AJ222" si="192">SUM(U223:U225)</f>
        <v>262344980</v>
      </c>
      <c r="V222" s="122">
        <f t="shared" si="192"/>
        <v>-15000000</v>
      </c>
      <c r="W222" s="122">
        <f t="shared" si="192"/>
        <v>27000000</v>
      </c>
      <c r="X222" s="129">
        <f t="shared" si="192"/>
        <v>274344980</v>
      </c>
      <c r="Y222" s="128">
        <f t="shared" si="192"/>
        <v>253165186</v>
      </c>
      <c r="Z222" s="122">
        <f t="shared" si="192"/>
        <v>0</v>
      </c>
      <c r="AA222" s="129">
        <f t="shared" si="192"/>
        <v>253165186</v>
      </c>
      <c r="AB222" s="128">
        <f t="shared" si="192"/>
        <v>253165186</v>
      </c>
      <c r="AC222" s="122">
        <f t="shared" si="192"/>
        <v>0</v>
      </c>
      <c r="AD222" s="129">
        <f t="shared" si="192"/>
        <v>253165186</v>
      </c>
      <c r="AE222" s="128">
        <f t="shared" si="192"/>
        <v>253165186</v>
      </c>
      <c r="AF222" s="122">
        <f t="shared" si="192"/>
        <v>0</v>
      </c>
      <c r="AG222" s="129">
        <f t="shared" si="192"/>
        <v>253165186</v>
      </c>
      <c r="AH222" s="128">
        <f t="shared" si="192"/>
        <v>21179794</v>
      </c>
      <c r="AI222" s="122">
        <f t="shared" si="192"/>
        <v>21179794</v>
      </c>
      <c r="AJ222" s="130">
        <f t="shared" si="192"/>
        <v>21179794</v>
      </c>
      <c r="AK222" s="9"/>
      <c r="AL222" s="128">
        <f>SUM(AL223:AL225)</f>
        <v>0</v>
      </c>
      <c r="AM222" s="130">
        <f>SUM(AM223:AM225)</f>
        <v>0</v>
      </c>
      <c r="AN222" s="9"/>
    </row>
    <row r="223" spans="1:40" s="372" customFormat="1" ht="24.95" customHeight="1">
      <c r="A223" s="734"/>
      <c r="B223" s="644"/>
      <c r="I223" s="451"/>
      <c r="L223" s="451"/>
      <c r="N223" s="9"/>
      <c r="P223" s="9"/>
      <c r="Q223" s="9"/>
      <c r="R223" s="9"/>
      <c r="S223" s="688">
        <f>+IF(OCTUBRE!S223=0,"",OCTUBRE!S223)</f>
        <v>7001100</v>
      </c>
      <c r="T223" s="664" t="str">
        <f>+IF(OCTUBRE!T223=0,"",OCTUBRE!T223)</f>
        <v>Amortización deuda Pública Interna</v>
      </c>
      <c r="U223" s="27">
        <f>+ENERO!U223</f>
        <v>250000000</v>
      </c>
      <c r="V223" s="15">
        <f>OCTUBRE!V223+NOVIEMBRE!AL223</f>
        <v>-15000000</v>
      </c>
      <c r="W223" s="15">
        <f>OCTUBRE!W223+NOVIEMBRE!AM223</f>
        <v>0</v>
      </c>
      <c r="X223" s="18">
        <f>SUM(U223:W223)</f>
        <v>235000000</v>
      </c>
      <c r="Y223" s="19">
        <f>OCTUBRE!AA223</f>
        <v>221195509</v>
      </c>
      <c r="Z223" s="364">
        <v>0</v>
      </c>
      <c r="AA223" s="18">
        <f>SUM(Y223:Z223)</f>
        <v>221195509</v>
      </c>
      <c r="AB223" s="19">
        <f>OCTUBRE!AD223</f>
        <v>221195509</v>
      </c>
      <c r="AC223" s="364">
        <v>0</v>
      </c>
      <c r="AD223" s="18">
        <f>SUM(AB223:AC223)</f>
        <v>221195509</v>
      </c>
      <c r="AE223" s="19">
        <f>OCTUBRE!AG223</f>
        <v>221195509</v>
      </c>
      <c r="AF223" s="364">
        <v>0</v>
      </c>
      <c r="AG223" s="18">
        <f>SUM(AE223:AF223)</f>
        <v>221195509</v>
      </c>
      <c r="AH223" s="19">
        <f>X223-AA223</f>
        <v>13804491</v>
      </c>
      <c r="AI223" s="15">
        <f>X223-AD223</f>
        <v>13804491</v>
      </c>
      <c r="AJ223" s="16">
        <f>X223-AG223</f>
        <v>13804491</v>
      </c>
      <c r="AK223" s="9"/>
      <c r="AL223" s="362">
        <v>0</v>
      </c>
      <c r="AM223" s="365">
        <v>0</v>
      </c>
      <c r="AN223" s="9"/>
    </row>
    <row r="224" spans="1:40" s="372" customFormat="1" ht="24.95" customHeight="1">
      <c r="A224" s="734"/>
      <c r="B224" s="644"/>
      <c r="I224" s="451"/>
      <c r="L224" s="451"/>
      <c r="N224" s="9"/>
      <c r="P224" s="9"/>
      <c r="Q224" s="9"/>
      <c r="R224" s="9"/>
      <c r="S224" s="688">
        <f>+IF(OCTUBRE!S224=0,"",OCTUBRE!S224)</f>
        <v>7001200</v>
      </c>
      <c r="T224" s="664" t="str">
        <f>+IF(OCTUBRE!T224=0,"",OCTUBRE!T224)</f>
        <v>Intereses Comisiones y gastos de la Deuda Pública</v>
      </c>
      <c r="U224" s="27">
        <f>+ENERO!U224</f>
        <v>12344980</v>
      </c>
      <c r="V224" s="15">
        <f>OCTUBRE!V224+NOVIEMBRE!AL224</f>
        <v>0</v>
      </c>
      <c r="W224" s="15">
        <f>OCTUBRE!W224+NOVIEMBRE!AM224</f>
        <v>0</v>
      </c>
      <c r="X224" s="18">
        <f>SUM(U224:W224)</f>
        <v>12344980</v>
      </c>
      <c r="Y224" s="19">
        <f>OCTUBRE!AA224</f>
        <v>5697023</v>
      </c>
      <c r="Z224" s="364">
        <v>0</v>
      </c>
      <c r="AA224" s="18">
        <f>SUM(Y224:Z224)</f>
        <v>5697023</v>
      </c>
      <c r="AB224" s="19">
        <f>OCTUBRE!AD224</f>
        <v>5697023</v>
      </c>
      <c r="AC224" s="364">
        <v>0</v>
      </c>
      <c r="AD224" s="18">
        <f>SUM(AB224:AC224)</f>
        <v>5697023</v>
      </c>
      <c r="AE224" s="19">
        <f>OCTUBRE!AG224</f>
        <v>5697023</v>
      </c>
      <c r="AF224" s="364">
        <v>0</v>
      </c>
      <c r="AG224" s="18">
        <f>SUM(AE224:AF224)</f>
        <v>5697023</v>
      </c>
      <c r="AH224" s="19">
        <f>X224-AA224</f>
        <v>6647957</v>
      </c>
      <c r="AI224" s="15">
        <f>X224-AD224</f>
        <v>6647957</v>
      </c>
      <c r="AJ224" s="16">
        <f>X224-AG224</f>
        <v>6647957</v>
      </c>
      <c r="AK224" s="9"/>
      <c r="AL224" s="362">
        <v>0</v>
      </c>
      <c r="AM224" s="365">
        <v>0</v>
      </c>
      <c r="AN224" s="9"/>
    </row>
    <row r="225" spans="1:64" s="372" customFormat="1" ht="24.95" customHeight="1">
      <c r="A225" s="734"/>
      <c r="B225" s="644"/>
      <c r="I225" s="451"/>
      <c r="L225" s="451"/>
      <c r="N225" s="9"/>
      <c r="P225" s="9"/>
      <c r="Q225" s="9"/>
      <c r="R225" s="9"/>
      <c r="S225" s="688">
        <f>+IF(OCTUBRE!S225=0,"",OCTUBRE!S225)</f>
        <v>7001999</v>
      </c>
      <c r="T225" s="664" t="str">
        <f>+IF(OCTUBRE!T225=0,"",OCTUBRE!T225)</f>
        <v>Vigencias Anteriores</v>
      </c>
      <c r="U225" s="27">
        <f>+ENERO!U225</f>
        <v>0</v>
      </c>
      <c r="V225" s="15">
        <f>OCTUBRE!V225+NOVIEMBRE!AL225</f>
        <v>0</v>
      </c>
      <c r="W225" s="15">
        <f>OCTUBRE!W225+NOVIEMBRE!AM225</f>
        <v>27000000</v>
      </c>
      <c r="X225" s="18">
        <f>SUM(U225:W225)</f>
        <v>27000000</v>
      </c>
      <c r="Y225" s="19">
        <f>OCTUBRE!AA225</f>
        <v>26272654</v>
      </c>
      <c r="Z225" s="364">
        <v>0</v>
      </c>
      <c r="AA225" s="18">
        <f>SUM(Y225:Z225)</f>
        <v>26272654</v>
      </c>
      <c r="AB225" s="19">
        <f>OCTUBRE!AD225</f>
        <v>26272654</v>
      </c>
      <c r="AC225" s="364">
        <v>0</v>
      </c>
      <c r="AD225" s="18">
        <f>SUM(AB225:AC225)</f>
        <v>26272654</v>
      </c>
      <c r="AE225" s="19">
        <f>OCTUBRE!AG225</f>
        <v>26272654</v>
      </c>
      <c r="AF225" s="364">
        <v>0</v>
      </c>
      <c r="AG225" s="18">
        <f>SUM(AE225:AF225)</f>
        <v>26272654</v>
      </c>
      <c r="AH225" s="19">
        <f>X225-AA225</f>
        <v>727346</v>
      </c>
      <c r="AI225" s="15">
        <f>X225-AD225</f>
        <v>727346</v>
      </c>
      <c r="AJ225" s="16">
        <f>X225-AG225</f>
        <v>727346</v>
      </c>
      <c r="AK225" s="9"/>
      <c r="AL225" s="362">
        <v>0</v>
      </c>
      <c r="AM225" s="365">
        <v>0</v>
      </c>
      <c r="AN225" s="9"/>
    </row>
    <row r="226" spans="1:64" s="372" customFormat="1" ht="24.95" customHeight="1">
      <c r="A226" s="734"/>
      <c r="B226" s="644"/>
      <c r="I226" s="451"/>
      <c r="L226" s="451"/>
      <c r="N226" s="9"/>
      <c r="P226" s="9"/>
      <c r="Q226" s="9"/>
      <c r="R226" s="9"/>
      <c r="S226" s="356" t="str">
        <f>+IF(OCTUBRE!S226=0,"",OCTUBRE!S226)</f>
        <v/>
      </c>
      <c r="T226" s="678" t="str">
        <f>+IF(OCTUBRE!T226=0,"",OCTUBRE!T226)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I227" s="451"/>
      <c r="L227" s="451"/>
      <c r="N227" s="9"/>
      <c r="P227" s="9"/>
      <c r="Q227" s="9"/>
      <c r="R227" s="9"/>
      <c r="S227" s="687">
        <f>+IF(OCTUBRE!S227=0,"",OCTUBRE!S227)</f>
        <v>7002001</v>
      </c>
      <c r="T227" s="663" t="str">
        <f>+IF(OCTUBRE!T227=0,"",OCTUBRE!T227)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row>
    <row r="228" spans="1:64" s="372" customFormat="1" ht="24.95" customHeight="1">
      <c r="A228" s="734"/>
      <c r="B228" s="644"/>
      <c r="I228" s="451"/>
      <c r="L228" s="451"/>
      <c r="N228" s="9"/>
      <c r="P228" s="9"/>
      <c r="Q228" s="9"/>
      <c r="R228" s="9"/>
      <c r="S228" s="688">
        <f>+IF(OCTUBRE!S228=0,"",OCTUBRE!S228)</f>
        <v>7002100</v>
      </c>
      <c r="T228" s="664" t="str">
        <f>+IF(OCTUBRE!T228=0,"",OCTUBRE!T228)</f>
        <v>Amortización deuda Pública Externa</v>
      </c>
      <c r="U228" s="27">
        <f>+ENERO!U228</f>
        <v>0</v>
      </c>
      <c r="V228" s="15">
        <f>OCTUBRE!V228+NOVIEMBRE!AL228</f>
        <v>0</v>
      </c>
      <c r="W228" s="15">
        <f>OCTUBRE!W228+NOVIEMBRE!AM228</f>
        <v>0</v>
      </c>
      <c r="X228" s="18">
        <f>SUM(U228:W228)</f>
        <v>0</v>
      </c>
      <c r="Y228" s="19">
        <f>OCTUBRE!AA228</f>
        <v>0</v>
      </c>
      <c r="Z228" s="364">
        <v>0</v>
      </c>
      <c r="AA228" s="18">
        <f>SUM(Y228:Z228)</f>
        <v>0</v>
      </c>
      <c r="AB228" s="19">
        <f>OCTUBRE!AD228</f>
        <v>0</v>
      </c>
      <c r="AC228" s="364">
        <v>0</v>
      </c>
      <c r="AD228" s="18">
        <f>SUM(AB228:AC228)</f>
        <v>0</v>
      </c>
      <c r="AE228" s="19">
        <f>OCTUBRE!AG228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I229" s="451"/>
      <c r="L229" s="451"/>
      <c r="N229" s="9"/>
      <c r="P229" s="9"/>
      <c r="Q229" s="9"/>
      <c r="R229" s="9"/>
      <c r="S229" s="688">
        <f>+IF(OCTUBRE!S229=0,"",OCTUBRE!S229)</f>
        <v>7002200</v>
      </c>
      <c r="T229" s="664" t="str">
        <f>+IF(OCTUBRE!T229=0,"",OCTUBRE!T229)</f>
        <v>Intereses Comisiones y gastos de la Deuda Pública</v>
      </c>
      <c r="U229" s="27">
        <f>+ENERO!U229</f>
        <v>0</v>
      </c>
      <c r="V229" s="15">
        <f>OCTUBRE!V229+NOVIEMBRE!AL229</f>
        <v>0</v>
      </c>
      <c r="W229" s="15">
        <f>OCTUBRE!W229+NOVIEMBRE!AM229</f>
        <v>0</v>
      </c>
      <c r="X229" s="18">
        <f>SUM(U229:W229)</f>
        <v>0</v>
      </c>
      <c r="Y229" s="19">
        <f>OCTUBRE!AA229</f>
        <v>0</v>
      </c>
      <c r="Z229" s="364">
        <v>0</v>
      </c>
      <c r="AA229" s="18">
        <f>SUM(Y229:Z229)</f>
        <v>0</v>
      </c>
      <c r="AB229" s="19">
        <f>OCTUBRE!AD229</f>
        <v>0</v>
      </c>
      <c r="AC229" s="364">
        <v>0</v>
      </c>
      <c r="AD229" s="18">
        <f>SUM(AB229:AC229)</f>
        <v>0</v>
      </c>
      <c r="AE229" s="19">
        <f>OCTUBRE!AG229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I230" s="451"/>
      <c r="L230" s="451"/>
      <c r="N230" s="9"/>
      <c r="P230" s="9"/>
      <c r="Q230" s="9"/>
      <c r="R230" s="9"/>
      <c r="S230" s="691">
        <f>+IF(OCTUBRE!S230=0,"",OCTUBRE!S230)</f>
        <v>7002999</v>
      </c>
      <c r="T230" s="670" t="str">
        <f>+IF(OCTUBRE!T230=0,"",OCTUBRE!T230)</f>
        <v>Vigencias Anteriores</v>
      </c>
      <c r="U230" s="133">
        <f>+ENERO!U230</f>
        <v>0</v>
      </c>
      <c r="V230" s="121">
        <f>OCTUBRE!V230+NOVIEMBRE!AL230</f>
        <v>0</v>
      </c>
      <c r="W230" s="121">
        <f>OCTUBRE!W230+NOVIEMBRE!AM230</f>
        <v>0</v>
      </c>
      <c r="X230" s="126">
        <f>SUM(U230:W230)</f>
        <v>0</v>
      </c>
      <c r="Y230" s="124">
        <f>OCTUBRE!AA230</f>
        <v>0</v>
      </c>
      <c r="Z230" s="378">
        <v>0</v>
      </c>
      <c r="AA230" s="126">
        <f>SUM(Y230:Z230)</f>
        <v>0</v>
      </c>
      <c r="AB230" s="124">
        <f>OCTUBRE!AD230</f>
        <v>0</v>
      </c>
      <c r="AC230" s="378">
        <v>0</v>
      </c>
      <c r="AD230" s="126">
        <f>SUM(AB230:AC230)</f>
        <v>0</v>
      </c>
      <c r="AE230" s="124">
        <f>OCTUBRE!AG230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I231" s="451"/>
      <c r="L231" s="451"/>
      <c r="N231" s="9"/>
      <c r="P231" s="9"/>
      <c r="Q231" s="9"/>
      <c r="R231" s="9"/>
      <c r="S231" s="479" t="str">
        <f>+IF(OCTUBRE!S231=0,"",OCTUBRE!S231)</f>
        <v/>
      </c>
      <c r="T231" s="671" t="str">
        <f>+IF(OCTUBRE!T231=0,"",OCTUBRE!T231)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I232" s="451"/>
      <c r="L232" s="451"/>
      <c r="N232" s="9"/>
      <c r="P232" s="9"/>
      <c r="Q232" s="9"/>
      <c r="R232" s="9"/>
      <c r="S232" s="495" t="str">
        <f>+IF(OCTUBRE!S232=0,"",OCTUBRE!S232)</f>
        <v>D</v>
      </c>
      <c r="T232" s="679" t="str">
        <f>+IF(OCTUBRE!T232=0,"",OCTUBRE!T232)</f>
        <v>INVERSION</v>
      </c>
      <c r="U232" s="460">
        <f>U234+U243</f>
        <v>5765730053</v>
      </c>
      <c r="V232" s="461">
        <f t="shared" ref="V232:AJ232" si="194">V234+V243</f>
        <v>0</v>
      </c>
      <c r="W232" s="461">
        <f t="shared" si="194"/>
        <v>30222523310</v>
      </c>
      <c r="X232" s="462">
        <f t="shared" si="194"/>
        <v>35988253363</v>
      </c>
      <c r="Y232" s="369">
        <f t="shared" si="194"/>
        <v>25669700219</v>
      </c>
      <c r="Z232" s="461">
        <f t="shared" si="194"/>
        <v>3474087156</v>
      </c>
      <c r="AA232" s="462">
        <f t="shared" si="194"/>
        <v>29143787375</v>
      </c>
      <c r="AB232" s="369">
        <f t="shared" si="194"/>
        <v>16257560174</v>
      </c>
      <c r="AC232" s="461">
        <f t="shared" si="194"/>
        <v>1654619047</v>
      </c>
      <c r="AD232" s="462">
        <f t="shared" si="194"/>
        <v>17912179221</v>
      </c>
      <c r="AE232" s="369">
        <f t="shared" si="194"/>
        <v>14793410364</v>
      </c>
      <c r="AF232" s="461">
        <f t="shared" si="194"/>
        <v>1433622732</v>
      </c>
      <c r="AG232" s="462">
        <f t="shared" si="194"/>
        <v>16227033096</v>
      </c>
      <c r="AH232" s="369">
        <f t="shared" si="194"/>
        <v>6844465988</v>
      </c>
      <c r="AI232" s="461">
        <f t="shared" si="194"/>
        <v>18076074142</v>
      </c>
      <c r="AJ232" s="370">
        <f t="shared" si="194"/>
        <v>19761220267</v>
      </c>
      <c r="AK232" s="490"/>
      <c r="AL232" s="369">
        <f>AL234+AL243</f>
        <v>0</v>
      </c>
      <c r="AM232" s="370">
        <f>AM234+AM243</f>
        <v>3200000000</v>
      </c>
      <c r="AN232" s="9"/>
    </row>
    <row r="233" spans="1:64" s="372" customFormat="1" ht="24.95" customHeight="1">
      <c r="A233" s="734"/>
      <c r="B233" s="644"/>
      <c r="I233" s="451"/>
      <c r="L233" s="451"/>
      <c r="N233" s="9"/>
      <c r="P233" s="9"/>
      <c r="Q233" s="9"/>
      <c r="R233" s="9"/>
      <c r="S233" s="356" t="str">
        <f>+IF(OCTUBRE!S233=0,"",OCTUBRE!S233)</f>
        <v/>
      </c>
      <c r="T233" s="678" t="str">
        <f>+IF(OCTUBRE!T233=0,"",OCTUBRE!T233)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I234" s="451"/>
      <c r="L234" s="451"/>
      <c r="N234" s="9"/>
      <c r="P234" s="9"/>
      <c r="Q234" s="9"/>
      <c r="R234" s="9"/>
      <c r="S234" s="687">
        <f>+IF(OCTUBRE!S234=0,"",OCTUBRE!S234)</f>
        <v>8000000</v>
      </c>
      <c r="T234" s="663" t="str">
        <f>+IF(OCTUBRE!T234=0,"",OCTUBRE!T234)</f>
        <v>Programas de Inversión</v>
      </c>
      <c r="U234" s="132">
        <f>U235</f>
        <v>5265730053</v>
      </c>
      <c r="V234" s="122">
        <f t="shared" ref="V234:AJ234" si="195">V235</f>
        <v>100000000</v>
      </c>
      <c r="W234" s="122">
        <f t="shared" si="195"/>
        <v>16952626782</v>
      </c>
      <c r="X234" s="129">
        <f t="shared" si="195"/>
        <v>22318356835</v>
      </c>
      <c r="Y234" s="128">
        <f t="shared" si="195"/>
        <v>18843908934</v>
      </c>
      <c r="Z234" s="122">
        <f t="shared" si="195"/>
        <v>3101651138</v>
      </c>
      <c r="AA234" s="129">
        <f t="shared" si="195"/>
        <v>21945560072</v>
      </c>
      <c r="AB234" s="128">
        <f t="shared" si="195"/>
        <v>10313849547</v>
      </c>
      <c r="AC234" s="122">
        <f t="shared" si="195"/>
        <v>1163348553</v>
      </c>
      <c r="AD234" s="129">
        <f t="shared" si="195"/>
        <v>11477198100</v>
      </c>
      <c r="AE234" s="128">
        <f t="shared" si="195"/>
        <v>9937538489</v>
      </c>
      <c r="AF234" s="122">
        <f t="shared" si="195"/>
        <v>1189153421</v>
      </c>
      <c r="AG234" s="129">
        <f t="shared" si="195"/>
        <v>11126691910</v>
      </c>
      <c r="AH234" s="128">
        <f t="shared" si="195"/>
        <v>372796763</v>
      </c>
      <c r="AI234" s="122">
        <f t="shared" si="195"/>
        <v>10841158735</v>
      </c>
      <c r="AJ234" s="130">
        <f t="shared" si="195"/>
        <v>11191664925</v>
      </c>
      <c r="AK234" s="9"/>
      <c r="AL234" s="128">
        <f>AL235</f>
        <v>100000000</v>
      </c>
      <c r="AM234" s="130">
        <f>AM235</f>
        <v>3200000000</v>
      </c>
      <c r="AN234" s="9"/>
    </row>
    <row r="235" spans="1:64" s="372" customFormat="1" ht="24.95" customHeight="1">
      <c r="A235" s="734"/>
      <c r="B235" s="644"/>
      <c r="I235" s="451"/>
      <c r="L235" s="451"/>
      <c r="N235" s="9"/>
      <c r="P235" s="9"/>
      <c r="Q235" s="9"/>
      <c r="R235" s="9"/>
      <c r="S235" s="688">
        <f>+IF(OCTUBRE!S235=0,"",OCTUBRE!S235)</f>
        <v>8001000</v>
      </c>
      <c r="T235" s="664" t="str">
        <f>+IF(OCTUBRE!T235=0,"",OCTUBRE!T235)</f>
        <v>Formación Bruta del Capital</v>
      </c>
      <c r="U235" s="27">
        <f t="shared" ref="U235:AJ235" si="196">SUM(U236:U241)</f>
        <v>5265730053</v>
      </c>
      <c r="V235" s="15">
        <f t="shared" si="196"/>
        <v>100000000</v>
      </c>
      <c r="W235" s="15">
        <f t="shared" si="196"/>
        <v>16952626782</v>
      </c>
      <c r="X235" s="18">
        <f t="shared" si="196"/>
        <v>22318356835</v>
      </c>
      <c r="Y235" s="19">
        <f t="shared" si="196"/>
        <v>18843908934</v>
      </c>
      <c r="Z235" s="142">
        <f t="shared" si="196"/>
        <v>3101651138</v>
      </c>
      <c r="AA235" s="18">
        <f t="shared" si="196"/>
        <v>21945560072</v>
      </c>
      <c r="AB235" s="19">
        <f t="shared" si="196"/>
        <v>10313849547</v>
      </c>
      <c r="AC235" s="142">
        <f t="shared" si="196"/>
        <v>1163348553</v>
      </c>
      <c r="AD235" s="18">
        <f t="shared" si="196"/>
        <v>11477198100</v>
      </c>
      <c r="AE235" s="19">
        <f t="shared" si="196"/>
        <v>9937538489</v>
      </c>
      <c r="AF235" s="142">
        <f t="shared" si="196"/>
        <v>1189153421</v>
      </c>
      <c r="AG235" s="18">
        <f t="shared" si="196"/>
        <v>11126691910</v>
      </c>
      <c r="AH235" s="19">
        <f t="shared" si="196"/>
        <v>372796763</v>
      </c>
      <c r="AI235" s="15">
        <f t="shared" si="196"/>
        <v>10841158735</v>
      </c>
      <c r="AJ235" s="16">
        <f t="shared" si="196"/>
        <v>11191664925</v>
      </c>
      <c r="AK235" s="9"/>
      <c r="AL235" s="29">
        <f>SUM(AL236:AL241)</f>
        <v>100000000</v>
      </c>
      <c r="AM235" s="26">
        <f>SUM(AM236:AM241)</f>
        <v>3200000000</v>
      </c>
      <c r="AN235" s="9"/>
    </row>
    <row r="236" spans="1:64" s="372" customFormat="1" ht="24.95" customHeight="1">
      <c r="A236" s="734"/>
      <c r="B236" s="644"/>
      <c r="I236" s="451"/>
      <c r="L236" s="451"/>
      <c r="N236" s="9"/>
      <c r="P236" s="9"/>
      <c r="Q236" s="9"/>
      <c r="R236" s="9"/>
      <c r="S236" s="689" t="str">
        <f>+IF(OCTUBRE!S236=0,"",OCTUBRE!S236)</f>
        <v>8001000-1</v>
      </c>
      <c r="T236" s="665" t="str">
        <f>+IF(OCTUBRE!T236=0,"",OCTUBRE!T236)</f>
        <v>Subprogr.Construc. Remodelac. Adecuación y Apliac.1</v>
      </c>
      <c r="U236" s="27">
        <f>+ENERO!U236</f>
        <v>4765730053</v>
      </c>
      <c r="V236" s="15">
        <f>OCTUBRE!V236+NOVIEMBRE!AL236</f>
        <v>0</v>
      </c>
      <c r="W236" s="15">
        <f>OCTUBRE!W236+NOVIEMBRE!AM236</f>
        <v>11200000000</v>
      </c>
      <c r="X236" s="18">
        <f t="shared" ref="X236:X241" si="197">SUM(U236:W236)</f>
        <v>15965730053</v>
      </c>
      <c r="Y236" s="19">
        <f>OCTUBRE!AA236</f>
        <v>12705773638</v>
      </c>
      <c r="Z236" s="364">
        <v>3101651138</v>
      </c>
      <c r="AA236" s="18">
        <f t="shared" ref="AA236:AA241" si="198">SUM(Y236:Z236)</f>
        <v>15807424776</v>
      </c>
      <c r="AB236" s="19">
        <f>OCTUBRE!AD236</f>
        <v>7593417799</v>
      </c>
      <c r="AC236" s="364">
        <v>629673249</v>
      </c>
      <c r="AD236" s="18">
        <f t="shared" ref="AD236:AD241" si="199">SUM(AB236:AC236)</f>
        <v>8223091048</v>
      </c>
      <c r="AE236" s="19">
        <f>OCTUBRE!AG236</f>
        <v>7524489065</v>
      </c>
      <c r="AF236" s="364">
        <v>663864451</v>
      </c>
      <c r="AG236" s="18">
        <f t="shared" ref="AG236:AG241" si="200">SUM(AE236:AF236)</f>
        <v>8188353516</v>
      </c>
      <c r="AH236" s="19">
        <f t="shared" ref="AH236:AH241" si="201">X236-AA236</f>
        <v>158305277</v>
      </c>
      <c r="AI236" s="15">
        <f t="shared" ref="AI236:AI241" si="202">X236-AD236</f>
        <v>7742639005</v>
      </c>
      <c r="AJ236" s="16">
        <f t="shared" ref="AJ236:AJ241" si="203">X236-AG236</f>
        <v>7777376537</v>
      </c>
      <c r="AK236" s="9"/>
      <c r="AL236" s="362">
        <v>0</v>
      </c>
      <c r="AM236" s="365">
        <v>3200000000</v>
      </c>
      <c r="AN236" s="9"/>
    </row>
    <row r="237" spans="1:64" s="372" customFormat="1" ht="24.95" customHeight="1">
      <c r="A237" s="734"/>
      <c r="B237" s="644"/>
      <c r="I237" s="451"/>
      <c r="L237" s="451"/>
      <c r="N237" s="9"/>
      <c r="P237" s="9"/>
      <c r="Q237" s="9"/>
      <c r="R237" s="9"/>
      <c r="S237" s="689" t="str">
        <f>+IF(OCTUBRE!S237=0,"",OCTUBRE!S237)</f>
        <v>8001000-2</v>
      </c>
      <c r="T237" s="665" t="str">
        <f>+IF(OCTUBRE!T237=0,"",OCTUBRE!T237)</f>
        <v>Subprogr.Construc. Remodelac. Adecuación y Apliac.2</v>
      </c>
      <c r="U237" s="27">
        <f>+ENERO!U237</f>
        <v>500000000</v>
      </c>
      <c r="V237" s="15">
        <f>OCTUBRE!V237+NOVIEMBRE!AL237</f>
        <v>100000000</v>
      </c>
      <c r="W237" s="15">
        <f>OCTUBRE!W237+NOVIEMBRE!AM237</f>
        <v>719283217</v>
      </c>
      <c r="X237" s="18">
        <f t="shared" si="197"/>
        <v>1319283217</v>
      </c>
      <c r="Y237" s="19">
        <f>OCTUBRE!AA237</f>
        <v>1219283217</v>
      </c>
      <c r="Z237" s="364">
        <v>0</v>
      </c>
      <c r="AA237" s="18">
        <f t="shared" si="198"/>
        <v>1219283217</v>
      </c>
      <c r="AB237" s="19">
        <f>OCTUBRE!AD237</f>
        <v>307382324</v>
      </c>
      <c r="AC237" s="364">
        <v>0</v>
      </c>
      <c r="AD237" s="18">
        <f t="shared" si="199"/>
        <v>307382324</v>
      </c>
      <c r="AE237" s="19">
        <f>OCTUBRE!AG237</f>
        <v>0</v>
      </c>
      <c r="AF237" s="364">
        <v>0</v>
      </c>
      <c r="AG237" s="18">
        <f t="shared" si="200"/>
        <v>0</v>
      </c>
      <c r="AH237" s="19">
        <f t="shared" si="201"/>
        <v>100000000</v>
      </c>
      <c r="AI237" s="15">
        <f t="shared" si="202"/>
        <v>1011900893</v>
      </c>
      <c r="AJ237" s="16">
        <f t="shared" si="203"/>
        <v>1319283217</v>
      </c>
      <c r="AK237" s="9"/>
      <c r="AL237" s="362">
        <v>100000000</v>
      </c>
      <c r="AM237" s="365">
        <v>0</v>
      </c>
      <c r="AN237" s="9"/>
    </row>
    <row r="238" spans="1:64" s="372" customFormat="1" ht="24.95" customHeight="1">
      <c r="A238" s="734"/>
      <c r="B238" s="644"/>
      <c r="I238" s="451"/>
      <c r="L238" s="451"/>
      <c r="N238" s="9"/>
      <c r="P238" s="9"/>
      <c r="Q238" s="9"/>
      <c r="R238" s="9"/>
      <c r="S238" s="689" t="str">
        <f>+IF(OCTUBRE!S238=0,"",OCTUBRE!S238)</f>
        <v>8001000-3</v>
      </c>
      <c r="T238" s="665" t="str">
        <f>+IF(OCTUBRE!T238=0,"",OCTUBRE!T238)</f>
        <v>Subprogr.Construc. Remodelac. Adecuación y Apliac.3</v>
      </c>
      <c r="U238" s="27">
        <f>+ENERO!U238</f>
        <v>0</v>
      </c>
      <c r="V238" s="15">
        <f>OCTUBRE!V238+NOVIEMBRE!AL238</f>
        <v>0</v>
      </c>
      <c r="W238" s="15">
        <f>OCTUBRE!W238+NOVIEMBRE!AM238</f>
        <v>0</v>
      </c>
      <c r="X238" s="18">
        <f t="shared" si="197"/>
        <v>0</v>
      </c>
      <c r="Y238" s="19">
        <f>OCTUBRE!AA238</f>
        <v>0</v>
      </c>
      <c r="Z238" s="364">
        <v>0</v>
      </c>
      <c r="AA238" s="18">
        <f t="shared" si="198"/>
        <v>0</v>
      </c>
      <c r="AB238" s="19">
        <f>OCTUBRE!AD238</f>
        <v>0</v>
      </c>
      <c r="AC238" s="364">
        <v>0</v>
      </c>
      <c r="AD238" s="18">
        <f t="shared" si="199"/>
        <v>0</v>
      </c>
      <c r="AE238" s="19">
        <f>OCTUBRE!AG238</f>
        <v>0</v>
      </c>
      <c r="AF238" s="364">
        <v>0</v>
      </c>
      <c r="AG238" s="18">
        <f t="shared" si="200"/>
        <v>0</v>
      </c>
      <c r="AH238" s="19">
        <f t="shared" si="201"/>
        <v>0</v>
      </c>
      <c r="AI238" s="15">
        <f t="shared" si="202"/>
        <v>0</v>
      </c>
      <c r="AJ238" s="16">
        <f t="shared" si="203"/>
        <v>0</v>
      </c>
      <c r="AK238" s="9"/>
      <c r="AL238" s="362">
        <v>0</v>
      </c>
      <c r="AM238" s="365">
        <v>0</v>
      </c>
      <c r="AN238" s="9"/>
    </row>
    <row r="239" spans="1:64" s="372" customFormat="1" ht="24.95" customHeight="1">
      <c r="A239" s="734"/>
      <c r="B239" s="644"/>
      <c r="I239" s="451"/>
      <c r="L239" s="451"/>
      <c r="N239" s="9"/>
      <c r="P239" s="9"/>
      <c r="Q239" s="9"/>
      <c r="S239" s="689" t="str">
        <f>+IF(OCTUBRE!S239=0,"",OCTUBRE!S239)</f>
        <v>8001000-4</v>
      </c>
      <c r="T239" s="665" t="str">
        <f>+IF(OCTUBRE!T239=0,"",OCTUBRE!T239)</f>
        <v>Subprogr.Construc. Remodelac. Adecuación y Apliac.4</v>
      </c>
      <c r="U239" s="27">
        <f>+ENERO!U239</f>
        <v>0</v>
      </c>
      <c r="V239" s="15">
        <f>OCTUBRE!V239+NOVIEMBRE!AL239</f>
        <v>0</v>
      </c>
      <c r="W239" s="15">
        <f>OCTUBRE!W239+NOVIEMBRE!AM239</f>
        <v>0</v>
      </c>
      <c r="X239" s="18">
        <f t="shared" si="197"/>
        <v>0</v>
      </c>
      <c r="Y239" s="19">
        <f>OCTUBRE!AA239</f>
        <v>0</v>
      </c>
      <c r="Z239" s="364">
        <v>0</v>
      </c>
      <c r="AA239" s="18">
        <f t="shared" si="198"/>
        <v>0</v>
      </c>
      <c r="AB239" s="19">
        <f>OCTUBRE!AD239</f>
        <v>0</v>
      </c>
      <c r="AC239" s="364">
        <v>0</v>
      </c>
      <c r="AD239" s="18">
        <f t="shared" si="199"/>
        <v>0</v>
      </c>
      <c r="AE239" s="19">
        <f>OCTUBRE!AG239</f>
        <v>0</v>
      </c>
      <c r="AF239" s="364">
        <v>0</v>
      </c>
      <c r="AG239" s="18">
        <f t="shared" si="200"/>
        <v>0</v>
      </c>
      <c r="AH239" s="19">
        <f t="shared" si="201"/>
        <v>0</v>
      </c>
      <c r="AI239" s="15">
        <f t="shared" si="202"/>
        <v>0</v>
      </c>
      <c r="AJ239" s="16">
        <f t="shared" si="203"/>
        <v>0</v>
      </c>
      <c r="AK239" s="9"/>
      <c r="AL239" s="362">
        <v>0</v>
      </c>
      <c r="AM239" s="365">
        <v>0</v>
      </c>
      <c r="AN239" s="9"/>
    </row>
    <row r="240" spans="1:64" s="372" customFormat="1" ht="24.95" customHeight="1">
      <c r="A240" s="734"/>
      <c r="B240" s="644"/>
      <c r="I240" s="451"/>
      <c r="L240" s="451"/>
      <c r="N240" s="9"/>
      <c r="P240" s="9"/>
      <c r="Q240" s="9"/>
      <c r="S240" s="689" t="str">
        <f>+IF(OCTUBRE!S240=0,"",OCTUBRE!S240)</f>
        <v>8001000-5</v>
      </c>
      <c r="T240" s="665" t="str">
        <f>+IF(OCTUBRE!T240=0,"",OCTUBRE!T240)</f>
        <v>Subprogr.Construc. Remodelac. Adecuación y Apliac.5</v>
      </c>
      <c r="U240" s="27">
        <f>+ENERO!U240</f>
        <v>0</v>
      </c>
      <c r="V240" s="15">
        <f>OCTUBRE!V240+NOVIEMBRE!AL240</f>
        <v>0</v>
      </c>
      <c r="W240" s="15">
        <f>OCTUBRE!W240+NOVIEMBRE!AM240</f>
        <v>0</v>
      </c>
      <c r="X240" s="18">
        <f t="shared" si="197"/>
        <v>0</v>
      </c>
      <c r="Y240" s="19">
        <f>OCTUBRE!AA240</f>
        <v>0</v>
      </c>
      <c r="Z240" s="364">
        <v>0</v>
      </c>
      <c r="AA240" s="18">
        <f t="shared" si="198"/>
        <v>0</v>
      </c>
      <c r="AB240" s="19">
        <f>OCTUBRE!AD240</f>
        <v>0</v>
      </c>
      <c r="AC240" s="364">
        <v>0</v>
      </c>
      <c r="AD240" s="18">
        <f t="shared" si="199"/>
        <v>0</v>
      </c>
      <c r="AE240" s="19">
        <f>OCTUBRE!AG240</f>
        <v>0</v>
      </c>
      <c r="AF240" s="364">
        <v>0</v>
      </c>
      <c r="AG240" s="18">
        <f t="shared" si="200"/>
        <v>0</v>
      </c>
      <c r="AH240" s="19">
        <f t="shared" si="201"/>
        <v>0</v>
      </c>
      <c r="AI240" s="15">
        <f t="shared" si="202"/>
        <v>0</v>
      </c>
      <c r="AJ240" s="16">
        <f t="shared" si="203"/>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451"/>
      <c r="J241" s="372"/>
      <c r="K241" s="372"/>
      <c r="L241" s="451"/>
      <c r="M241" s="372"/>
      <c r="N241" s="9"/>
      <c r="O241" s="372"/>
      <c r="P241" s="9"/>
      <c r="Q241" s="9"/>
      <c r="S241" s="697">
        <f>+IF(OCTUBRE!S241=0,"",OCTUBRE!S241)</f>
        <v>8001999</v>
      </c>
      <c r="T241" s="665" t="str">
        <f>+IF(OCTUBRE!T241=0,"",OCTUBRE!T241)</f>
        <v>Vigencias Anteriores</v>
      </c>
      <c r="U241" s="27">
        <f>+ENERO!U241</f>
        <v>0</v>
      </c>
      <c r="V241" s="15">
        <f>OCTUBRE!V241+NOVIEMBRE!AL241</f>
        <v>0</v>
      </c>
      <c r="W241" s="15">
        <f>OCTUBRE!W241+NOVIEMBRE!AM241</f>
        <v>5033343565</v>
      </c>
      <c r="X241" s="18">
        <f t="shared" si="197"/>
        <v>5033343565</v>
      </c>
      <c r="Y241" s="19">
        <f>OCTUBRE!AA241</f>
        <v>4918852079</v>
      </c>
      <c r="Z241" s="364">
        <v>0</v>
      </c>
      <c r="AA241" s="18">
        <f t="shared" si="198"/>
        <v>4918852079</v>
      </c>
      <c r="AB241" s="19">
        <f>OCTUBRE!AD241</f>
        <v>2413049424</v>
      </c>
      <c r="AC241" s="364">
        <v>533675304</v>
      </c>
      <c r="AD241" s="18">
        <f t="shared" si="199"/>
        <v>2946724728</v>
      </c>
      <c r="AE241" s="19">
        <f>OCTUBRE!AG241</f>
        <v>2413049424</v>
      </c>
      <c r="AF241" s="364">
        <v>525288970</v>
      </c>
      <c r="AG241" s="18">
        <f t="shared" si="200"/>
        <v>2938338394</v>
      </c>
      <c r="AH241" s="19">
        <f t="shared" si="201"/>
        <v>114491486</v>
      </c>
      <c r="AI241" s="15">
        <f t="shared" si="202"/>
        <v>2086618837</v>
      </c>
      <c r="AJ241" s="16">
        <f t="shared" si="203"/>
        <v>2095005171</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451"/>
      <c r="J242" s="372"/>
      <c r="K242" s="372"/>
      <c r="L242" s="451"/>
      <c r="M242" s="372"/>
      <c r="N242" s="9"/>
      <c r="O242" s="372"/>
      <c r="P242" s="9"/>
      <c r="Q242" s="9"/>
      <c r="S242" s="356" t="str">
        <f>+IF(OCTUBRE!S242=0,"",OCTUBRE!S242)</f>
        <v/>
      </c>
      <c r="T242" s="678" t="str">
        <f>+IF(OCTUBRE!T242=0,"",OCTUBRE!T242)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451"/>
      <c r="J243" s="372"/>
      <c r="K243" s="372"/>
      <c r="L243" s="451"/>
      <c r="M243" s="372"/>
      <c r="N243" s="9"/>
      <c r="O243" s="372"/>
      <c r="P243" s="9"/>
      <c r="Q243" s="9"/>
      <c r="S243" s="687">
        <f>+IF(OCTUBRE!S243=0,"",OCTUBRE!S243)</f>
        <v>8002001</v>
      </c>
      <c r="T243" s="663" t="str">
        <f>+IF(OCTUBRE!T243=0,"",OCTUBRE!T243)</f>
        <v>Gastos Operativos de Inversion   (Programas Especiales)</v>
      </c>
      <c r="U243" s="132">
        <f t="shared" ref="U243:AJ243" si="204">SUM(U244:U256)</f>
        <v>500000000</v>
      </c>
      <c r="V243" s="122">
        <f t="shared" si="204"/>
        <v>-100000000</v>
      </c>
      <c r="W243" s="122">
        <f t="shared" si="204"/>
        <v>13269896528</v>
      </c>
      <c r="X243" s="129">
        <f t="shared" si="204"/>
        <v>13669896528</v>
      </c>
      <c r="Y243" s="128">
        <f t="shared" si="204"/>
        <v>6825791285</v>
      </c>
      <c r="Z243" s="122">
        <f t="shared" si="204"/>
        <v>372436018</v>
      </c>
      <c r="AA243" s="129">
        <f t="shared" si="204"/>
        <v>7198227303</v>
      </c>
      <c r="AB243" s="128">
        <f t="shared" si="204"/>
        <v>5943710627</v>
      </c>
      <c r="AC243" s="122">
        <f t="shared" si="204"/>
        <v>491270494</v>
      </c>
      <c r="AD243" s="129">
        <f t="shared" si="204"/>
        <v>6434981121</v>
      </c>
      <c r="AE243" s="128">
        <f t="shared" si="204"/>
        <v>4855871875</v>
      </c>
      <c r="AF243" s="122">
        <f t="shared" si="204"/>
        <v>244469311</v>
      </c>
      <c r="AG243" s="129">
        <f t="shared" si="204"/>
        <v>5100341186</v>
      </c>
      <c r="AH243" s="128">
        <f t="shared" si="204"/>
        <v>6471669225</v>
      </c>
      <c r="AI243" s="122">
        <f t="shared" si="204"/>
        <v>7234915407</v>
      </c>
      <c r="AJ243" s="130">
        <f t="shared" si="204"/>
        <v>8569555342</v>
      </c>
      <c r="AK243" s="9"/>
      <c r="AL243" s="128">
        <f>SUM(AL244:AL256)</f>
        <v>-100000000</v>
      </c>
      <c r="AM243" s="130">
        <f>SUM(AM244:AM256)</f>
        <v>0</v>
      </c>
    </row>
    <row r="244" spans="1:70" ht="24.95" customHeight="1">
      <c r="A244" s="734"/>
      <c r="B244" s="644"/>
      <c r="C244" s="372"/>
      <c r="D244" s="372"/>
      <c r="E244" s="372"/>
      <c r="F244" s="372"/>
      <c r="G244" s="372"/>
      <c r="H244" s="372"/>
      <c r="I244" s="451"/>
      <c r="J244" s="372"/>
      <c r="K244" s="372"/>
      <c r="L244" s="451"/>
      <c r="M244" s="372"/>
      <c r="N244" s="9"/>
      <c r="O244" s="372"/>
      <c r="P244" s="9"/>
      <c r="Q244" s="9"/>
      <c r="S244" s="689" t="str">
        <f>+IF(OCTUBRE!S244=0,"",OCTUBRE!S244)</f>
        <v>8002100-1</v>
      </c>
      <c r="T244" s="665" t="str">
        <f>+IF(OCTUBRE!T244=0,"",OCTUBRE!T244)</f>
        <v>Fondo de la Vivienda</v>
      </c>
      <c r="U244" s="27">
        <f>+ENERO!U244</f>
        <v>0</v>
      </c>
      <c r="V244" s="15">
        <f>OCTUBRE!V244+NOVIEMBRE!AL244</f>
        <v>0</v>
      </c>
      <c r="W244" s="15">
        <f>OCTUBRE!W244+NOVIEMBRE!AM244</f>
        <v>0</v>
      </c>
      <c r="X244" s="18">
        <f t="shared" ref="X244:X256" si="205">SUM(U244:W244)</f>
        <v>0</v>
      </c>
      <c r="Y244" s="19">
        <f>OCTUBRE!AA244</f>
        <v>0</v>
      </c>
      <c r="Z244" s="364">
        <v>0</v>
      </c>
      <c r="AA244" s="18">
        <f t="shared" ref="AA244:AA256" si="206">SUM(Y244:Z244)</f>
        <v>0</v>
      </c>
      <c r="AB244" s="19">
        <f>OCTUBRE!AD244</f>
        <v>0</v>
      </c>
      <c r="AC244" s="364">
        <v>0</v>
      </c>
      <c r="AD244" s="18">
        <f t="shared" ref="AD244:AD256" si="207">SUM(AB244:AC244)</f>
        <v>0</v>
      </c>
      <c r="AE244" s="19">
        <f>OCTUBRE!AG244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451"/>
      <c r="J245" s="372"/>
      <c r="K245" s="372"/>
      <c r="L245" s="451"/>
      <c r="M245" s="372"/>
      <c r="N245" s="9"/>
      <c r="O245" s="372"/>
      <c r="P245" s="9"/>
      <c r="Q245" s="9"/>
      <c r="S245" s="689" t="str">
        <f>+IF(OCTUBRE!S245=0,"",OCTUBRE!S245)</f>
        <v>8002100-2</v>
      </c>
      <c r="T245" s="665" t="str">
        <f>+IF(OCTUBRE!T245=0,"",OCTUBRE!T245)</f>
        <v>Programas Especial 01</v>
      </c>
      <c r="U245" s="27">
        <f>+ENERO!U245</f>
        <v>0</v>
      </c>
      <c r="V245" s="15">
        <f>OCTUBRE!V245+NOVIEMBRE!AL245</f>
        <v>-100000000</v>
      </c>
      <c r="W245" s="15">
        <f>OCTUBRE!W245+NOVIEMBRE!AM245</f>
        <v>152517826</v>
      </c>
      <c r="X245" s="18">
        <f t="shared" si="205"/>
        <v>52517826</v>
      </c>
      <c r="Y245" s="19">
        <f>OCTUBRE!AA245</f>
        <v>0</v>
      </c>
      <c r="Z245" s="364">
        <v>0</v>
      </c>
      <c r="AA245" s="18">
        <f t="shared" si="206"/>
        <v>0</v>
      </c>
      <c r="AB245" s="19">
        <f>OCTUBRE!AD245</f>
        <v>0</v>
      </c>
      <c r="AC245" s="364">
        <v>0</v>
      </c>
      <c r="AD245" s="18">
        <f t="shared" si="207"/>
        <v>0</v>
      </c>
      <c r="AE245" s="19">
        <f>OCTUBRE!AG245</f>
        <v>0</v>
      </c>
      <c r="AF245" s="364">
        <v>0</v>
      </c>
      <c r="AG245" s="18">
        <f t="shared" si="208"/>
        <v>0</v>
      </c>
      <c r="AH245" s="19">
        <f t="shared" si="209"/>
        <v>52517826</v>
      </c>
      <c r="AI245" s="15">
        <f t="shared" si="210"/>
        <v>52517826</v>
      </c>
      <c r="AJ245" s="16">
        <f t="shared" si="211"/>
        <v>52517826</v>
      </c>
      <c r="AK245" s="9"/>
      <c r="AL245" s="362">
        <v>-100000000</v>
      </c>
      <c r="AM245" s="365">
        <v>0</v>
      </c>
    </row>
    <row r="246" spans="1:70" ht="24.95" customHeight="1">
      <c r="A246" s="734"/>
      <c r="B246" s="644"/>
      <c r="C246" s="372"/>
      <c r="D246" s="372"/>
      <c r="E246" s="372"/>
      <c r="F246" s="372"/>
      <c r="G246" s="372"/>
      <c r="H246" s="372"/>
      <c r="I246" s="451"/>
      <c r="J246" s="372"/>
      <c r="K246" s="372"/>
      <c r="L246" s="451"/>
      <c r="M246" s="372"/>
      <c r="N246" s="9"/>
      <c r="O246" s="372"/>
      <c r="P246" s="9"/>
      <c r="Q246" s="9"/>
      <c r="S246" s="689" t="str">
        <f>+IF(OCTUBRE!S246=0,"",OCTUBRE!S246)</f>
        <v>8002100-3</v>
      </c>
      <c r="T246" s="665" t="str">
        <f>+IF(OCTUBRE!T246=0,"",OCTUBRE!T246)</f>
        <v>Programas Especial 02</v>
      </c>
      <c r="U246" s="27">
        <f>+ENERO!U246</f>
        <v>0</v>
      </c>
      <c r="V246" s="15">
        <f>OCTUBRE!V246+NOVIEMBRE!AL246</f>
        <v>0</v>
      </c>
      <c r="W246" s="15">
        <f>OCTUBRE!W246+NOVIEMBRE!AM246</f>
        <v>450000000</v>
      </c>
      <c r="X246" s="18">
        <f t="shared" si="205"/>
        <v>450000000</v>
      </c>
      <c r="Y246" s="19">
        <f>OCTUBRE!AA246</f>
        <v>292210000</v>
      </c>
      <c r="Z246" s="364">
        <v>111788600</v>
      </c>
      <c r="AA246" s="18">
        <f t="shared" si="206"/>
        <v>403998600</v>
      </c>
      <c r="AB246" s="19">
        <f>OCTUBRE!AD246</f>
        <v>0</v>
      </c>
      <c r="AC246" s="364">
        <v>154119100</v>
      </c>
      <c r="AD246" s="18">
        <f t="shared" si="207"/>
        <v>154119100</v>
      </c>
      <c r="AE246" s="19">
        <f>OCTUBRE!AG246</f>
        <v>0</v>
      </c>
      <c r="AF246" s="364">
        <v>116884000</v>
      </c>
      <c r="AG246" s="18">
        <f t="shared" si="208"/>
        <v>116884000</v>
      </c>
      <c r="AH246" s="19">
        <f t="shared" si="209"/>
        <v>46001400</v>
      </c>
      <c r="AI246" s="15">
        <f t="shared" si="210"/>
        <v>295880900</v>
      </c>
      <c r="AJ246" s="16">
        <f t="shared" si="211"/>
        <v>333116000</v>
      </c>
      <c r="AK246" s="9"/>
      <c r="AL246" s="362">
        <v>0</v>
      </c>
      <c r="AM246" s="365">
        <v>0</v>
      </c>
    </row>
    <row r="247" spans="1:70" ht="24.95" customHeight="1">
      <c r="A247" s="734"/>
      <c r="B247" s="644"/>
      <c r="C247" s="372"/>
      <c r="D247" s="372"/>
      <c r="E247" s="372"/>
      <c r="F247" s="372"/>
      <c r="G247" s="372"/>
      <c r="H247" s="372"/>
      <c r="I247" s="451"/>
      <c r="J247" s="372"/>
      <c r="K247" s="372"/>
      <c r="L247" s="451"/>
      <c r="M247" s="372"/>
      <c r="N247" s="9"/>
      <c r="O247" s="372"/>
      <c r="P247" s="9"/>
      <c r="Q247" s="9"/>
      <c r="S247" s="689" t="str">
        <f>+IF(OCTUBRE!S247=0,"",OCTUBRE!S247)</f>
        <v>8002100-4</v>
      </c>
      <c r="T247" s="665" t="str">
        <f>+IF(OCTUBRE!T247=0,"",OCTUBRE!T247)</f>
        <v>Programas Especial 03</v>
      </c>
      <c r="U247" s="27">
        <f>+ENERO!U247</f>
        <v>0</v>
      </c>
      <c r="V247" s="15">
        <f>OCTUBRE!V247+NOVIEMBRE!AL247</f>
        <v>0</v>
      </c>
      <c r="W247" s="15">
        <f>OCTUBRE!W247+NOVIEMBRE!AM247</f>
        <v>193911300</v>
      </c>
      <c r="X247" s="18">
        <f t="shared" si="205"/>
        <v>193911300</v>
      </c>
      <c r="Y247" s="19">
        <f>OCTUBRE!AA247</f>
        <v>135471040</v>
      </c>
      <c r="Z247" s="364">
        <v>0</v>
      </c>
      <c r="AA247" s="18">
        <f t="shared" si="206"/>
        <v>135471040</v>
      </c>
      <c r="AB247" s="19">
        <f>OCTUBRE!AD247</f>
        <v>135471040</v>
      </c>
      <c r="AC247" s="364">
        <v>0</v>
      </c>
      <c r="AD247" s="18">
        <f t="shared" si="207"/>
        <v>135471040</v>
      </c>
      <c r="AE247" s="19">
        <f>OCTUBRE!AG247</f>
        <v>133299600</v>
      </c>
      <c r="AF247" s="364">
        <v>0</v>
      </c>
      <c r="AG247" s="18">
        <f t="shared" si="208"/>
        <v>133299600</v>
      </c>
      <c r="AH247" s="19">
        <f t="shared" si="209"/>
        <v>58440260</v>
      </c>
      <c r="AI247" s="15">
        <f t="shared" si="210"/>
        <v>58440260</v>
      </c>
      <c r="AJ247" s="16">
        <f t="shared" si="211"/>
        <v>60611700</v>
      </c>
      <c r="AK247" s="9"/>
      <c r="AL247" s="362">
        <v>0</v>
      </c>
      <c r="AM247" s="365">
        <v>0</v>
      </c>
    </row>
    <row r="248" spans="1:70" ht="24.95" customHeight="1">
      <c r="A248" s="734"/>
      <c r="B248" s="644"/>
      <c r="C248" s="372"/>
      <c r="D248" s="372"/>
      <c r="E248" s="372"/>
      <c r="F248" s="372"/>
      <c r="G248" s="372"/>
      <c r="H248" s="372"/>
      <c r="I248" s="451"/>
      <c r="J248" s="372"/>
      <c r="K248" s="372"/>
      <c r="L248" s="451"/>
      <c r="M248" s="372"/>
      <c r="N248" s="9"/>
      <c r="O248" s="372"/>
      <c r="P248" s="9"/>
      <c r="Q248" s="9"/>
      <c r="S248" s="689" t="str">
        <f>+IF(OCTUBRE!S248=0,"",OCTUBRE!S248)</f>
        <v>8002100-5</v>
      </c>
      <c r="T248" s="665" t="str">
        <f>+IF(OCTUBRE!T248=0,"",OCTUBRE!T248)</f>
        <v>Programas Especial 04</v>
      </c>
      <c r="U248" s="27">
        <f>+ENERO!U248</f>
        <v>500000000</v>
      </c>
      <c r="V248" s="15">
        <f>OCTUBRE!V248+NOVIEMBRE!AL248</f>
        <v>0</v>
      </c>
      <c r="W248" s="15">
        <f>OCTUBRE!W248+NOVIEMBRE!AM248</f>
        <v>2619976000</v>
      </c>
      <c r="X248" s="18">
        <f t="shared" si="205"/>
        <v>3119976000</v>
      </c>
      <c r="Y248" s="19">
        <f>OCTUBRE!AA248</f>
        <v>2235990331</v>
      </c>
      <c r="Z248" s="364">
        <v>-593605</v>
      </c>
      <c r="AA248" s="18">
        <f t="shared" si="206"/>
        <v>2235396726</v>
      </c>
      <c r="AB248" s="19">
        <f>OCTUBRE!AD248</f>
        <v>2235396726</v>
      </c>
      <c r="AC248" s="364">
        <v>0</v>
      </c>
      <c r="AD248" s="18">
        <f t="shared" si="207"/>
        <v>2235396726</v>
      </c>
      <c r="AE248" s="19">
        <f>OCTUBRE!AG248</f>
        <v>2235396726</v>
      </c>
      <c r="AF248" s="364">
        <v>0</v>
      </c>
      <c r="AG248" s="18">
        <f t="shared" si="208"/>
        <v>2235396726</v>
      </c>
      <c r="AH248" s="19">
        <f t="shared" si="209"/>
        <v>884579274</v>
      </c>
      <c r="AI248" s="15">
        <f t="shared" si="210"/>
        <v>884579274</v>
      </c>
      <c r="AJ248" s="16">
        <f t="shared" si="211"/>
        <v>884579274</v>
      </c>
      <c r="AK248" s="9"/>
      <c r="AL248" s="362">
        <v>0</v>
      </c>
      <c r="AM248" s="365">
        <v>0</v>
      </c>
    </row>
    <row r="249" spans="1:70" ht="24.95" customHeight="1">
      <c r="A249" s="734"/>
      <c r="B249" s="644"/>
      <c r="C249" s="372"/>
      <c r="D249" s="372"/>
      <c r="E249" s="372"/>
      <c r="F249" s="372"/>
      <c r="G249" s="372"/>
      <c r="H249" s="372"/>
      <c r="I249" s="451"/>
      <c r="J249" s="372"/>
      <c r="K249" s="372"/>
      <c r="L249" s="451"/>
      <c r="M249" s="372"/>
      <c r="N249" s="9"/>
      <c r="O249" s="372"/>
      <c r="P249" s="9"/>
      <c r="Q249" s="9"/>
      <c r="S249" s="689" t="str">
        <f>+IF(OCTUBRE!S249=0,"",OCTUBRE!S249)</f>
        <v>8002100-6</v>
      </c>
      <c r="T249" s="665" t="str">
        <f>+IF(OCTUBRE!T249=0,"",OCTUBRE!T249)</f>
        <v>Programas Especial 05</v>
      </c>
      <c r="U249" s="27">
        <f>+ENERO!U249</f>
        <v>0</v>
      </c>
      <c r="V249" s="15">
        <f>OCTUBRE!V249+NOVIEMBRE!AL249</f>
        <v>0</v>
      </c>
      <c r="W249" s="15">
        <f>OCTUBRE!W249+NOVIEMBRE!AM249</f>
        <v>20000000</v>
      </c>
      <c r="X249" s="18">
        <f t="shared" si="205"/>
        <v>20000000</v>
      </c>
      <c r="Y249" s="19">
        <f>OCTUBRE!AA249</f>
        <v>0</v>
      </c>
      <c r="Z249" s="364">
        <v>0</v>
      </c>
      <c r="AA249" s="18">
        <f t="shared" si="206"/>
        <v>0</v>
      </c>
      <c r="AB249" s="19">
        <f>OCTUBRE!AD249</f>
        <v>0</v>
      </c>
      <c r="AC249" s="364">
        <v>0</v>
      </c>
      <c r="AD249" s="18">
        <f t="shared" si="207"/>
        <v>0</v>
      </c>
      <c r="AE249" s="19">
        <f>OCTUBRE!AG249</f>
        <v>0</v>
      </c>
      <c r="AF249" s="364">
        <v>0</v>
      </c>
      <c r="AG249" s="1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451"/>
      <c r="J250" s="372"/>
      <c r="K250" s="372"/>
      <c r="L250" s="451"/>
      <c r="M250" s="372"/>
      <c r="N250" s="9"/>
      <c r="O250" s="372"/>
      <c r="P250" s="9"/>
      <c r="Q250" s="9"/>
      <c r="S250" s="689" t="str">
        <f>+IF(OCTUBRE!S250=0,"",OCTUBRE!S250)</f>
        <v>8002100-7</v>
      </c>
      <c r="T250" s="665" t="str">
        <f>+IF(OCTUBRE!T250=0,"",OCTUBRE!T250)</f>
        <v>Programas Especial 06</v>
      </c>
      <c r="U250" s="27">
        <f>+ENERO!U250</f>
        <v>0</v>
      </c>
      <c r="V250" s="15">
        <f>OCTUBRE!V250+NOVIEMBRE!AL250</f>
        <v>0</v>
      </c>
      <c r="W250" s="15">
        <f>OCTUBRE!W250+NOVIEMBRE!AM250</f>
        <v>9358200000</v>
      </c>
      <c r="X250" s="18">
        <f>SUM(U250:W250)</f>
        <v>9358200000</v>
      </c>
      <c r="Y250" s="19">
        <f>OCTUBRE!AA250</f>
        <v>3696212430</v>
      </c>
      <c r="Z250" s="364">
        <v>261241023</v>
      </c>
      <c r="AA250" s="18">
        <f>SUM(Y250:Z250)</f>
        <v>3957453453</v>
      </c>
      <c r="AB250" s="19">
        <f>OCTUBRE!AD250</f>
        <v>3106935377</v>
      </c>
      <c r="AC250" s="364">
        <v>337151394</v>
      </c>
      <c r="AD250" s="18">
        <f>SUM(AB250:AC250)</f>
        <v>3444086771</v>
      </c>
      <c r="AE250" s="19">
        <f>OCTUBRE!AG250</f>
        <v>2021268065</v>
      </c>
      <c r="AF250" s="364">
        <v>127585311</v>
      </c>
      <c r="AG250" s="18">
        <f>SUM(AE250:AF250)</f>
        <v>2148853376</v>
      </c>
      <c r="AH250" s="19">
        <f>X250-AA250</f>
        <v>5400746547</v>
      </c>
      <c r="AI250" s="15">
        <f>X250-AD250</f>
        <v>5914113229</v>
      </c>
      <c r="AJ250" s="16">
        <f>X250-AG250</f>
        <v>7209346624</v>
      </c>
      <c r="AK250" s="9"/>
      <c r="AL250" s="362">
        <v>0</v>
      </c>
      <c r="AM250" s="365">
        <v>0</v>
      </c>
    </row>
    <row r="251" spans="1:70" ht="24.95" customHeight="1">
      <c r="A251" s="734"/>
      <c r="B251" s="644"/>
      <c r="C251" s="372"/>
      <c r="D251" s="372"/>
      <c r="E251" s="372"/>
      <c r="F251" s="372"/>
      <c r="G251" s="372"/>
      <c r="H251" s="372"/>
      <c r="I251" s="451"/>
      <c r="J251" s="372"/>
      <c r="K251" s="372"/>
      <c r="L251" s="451"/>
      <c r="M251" s="372"/>
      <c r="N251" s="9"/>
      <c r="O251" s="372"/>
      <c r="P251" s="9"/>
      <c r="Q251" s="9"/>
      <c r="S251" s="689" t="str">
        <f>+IF(OCTUBRE!S251=0,"",OCTUBRE!S251)</f>
        <v>8002100-8</v>
      </c>
      <c r="T251" s="665" t="str">
        <f>+IF(OCTUBRE!T251=0,"",OCTUBRE!T251)</f>
        <v>Programas Especial 07</v>
      </c>
      <c r="U251" s="27">
        <f>+ENERO!U251</f>
        <v>0</v>
      </c>
      <c r="V251" s="15">
        <f>OCTUBRE!V251+NOVIEMBRE!AL251</f>
        <v>0</v>
      </c>
      <c r="W251" s="15">
        <f>OCTUBRE!W251+NOVIEMBRE!AM251</f>
        <v>0</v>
      </c>
      <c r="X251" s="18">
        <f>SUM(U251:W251)</f>
        <v>0</v>
      </c>
      <c r="Y251" s="19">
        <f>OCTUBRE!AA251</f>
        <v>0</v>
      </c>
      <c r="Z251" s="364">
        <v>0</v>
      </c>
      <c r="AA251" s="18">
        <f>SUM(Y251:Z251)</f>
        <v>0</v>
      </c>
      <c r="AB251" s="19">
        <f>OCTUBRE!AD251</f>
        <v>0</v>
      </c>
      <c r="AC251" s="364">
        <v>0</v>
      </c>
      <c r="AD251" s="18">
        <f>SUM(AB251:AC251)</f>
        <v>0</v>
      </c>
      <c r="AE251" s="19">
        <f>OCTUBRE!AG251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451"/>
      <c r="J252" s="372"/>
      <c r="K252" s="372"/>
      <c r="L252" s="451"/>
      <c r="M252" s="372"/>
      <c r="N252" s="9"/>
      <c r="O252" s="372"/>
      <c r="P252" s="9"/>
      <c r="Q252" s="9"/>
      <c r="S252" s="689" t="str">
        <f>+IF(OCTUBRE!S252=0,"",OCTUBRE!S252)</f>
        <v>8002100-9</v>
      </c>
      <c r="T252" s="665" t="str">
        <f>+IF(OCTUBRE!T252=0,"",OCTUBRE!T252)</f>
        <v>Programas Especial 08</v>
      </c>
      <c r="U252" s="27">
        <f>+ENERO!U252</f>
        <v>0</v>
      </c>
      <c r="V252" s="15">
        <f>OCTUBRE!V252+NOVIEMBRE!AL252</f>
        <v>0</v>
      </c>
      <c r="W252" s="15">
        <f>OCTUBRE!W252+NOVIEMBRE!AM252</f>
        <v>0</v>
      </c>
      <c r="X252" s="18">
        <f>SUM(U252:W252)</f>
        <v>0</v>
      </c>
      <c r="Y252" s="19">
        <f>OCTUBRE!AA252</f>
        <v>0</v>
      </c>
      <c r="Z252" s="364">
        <v>0</v>
      </c>
      <c r="AA252" s="18">
        <f>SUM(Y252:Z252)</f>
        <v>0</v>
      </c>
      <c r="AB252" s="19">
        <f>OCTUBRE!AD252</f>
        <v>0</v>
      </c>
      <c r="AC252" s="364">
        <v>0</v>
      </c>
      <c r="AD252" s="18">
        <f>SUM(AB252:AC252)</f>
        <v>0</v>
      </c>
      <c r="AE252" s="19">
        <f>OCTUBRE!AG252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451"/>
      <c r="J253" s="372"/>
      <c r="K253" s="372"/>
      <c r="L253" s="451"/>
      <c r="M253" s="372"/>
      <c r="N253" s="9"/>
      <c r="O253" s="372"/>
      <c r="P253" s="9"/>
      <c r="Q253" s="9"/>
      <c r="S253" s="689" t="str">
        <f>+IF(OCTUBRE!S253=0,"",OCTUBRE!S253)</f>
        <v>8002100-10</v>
      </c>
      <c r="T253" s="665" t="str">
        <f>+IF(OCTUBRE!T253=0,"",OCTUBRE!T253)</f>
        <v>Programas Especial 09</v>
      </c>
      <c r="U253" s="27">
        <f>+ENERO!U253</f>
        <v>0</v>
      </c>
      <c r="V253" s="15">
        <f>OCTUBRE!V253+NOVIEMBRE!AL253</f>
        <v>0</v>
      </c>
      <c r="W253" s="15">
        <f>OCTUBRE!W253+NOVIEMBRE!AM253</f>
        <v>0</v>
      </c>
      <c r="X253" s="18">
        <f>SUM(U253:W253)</f>
        <v>0</v>
      </c>
      <c r="Y253" s="19">
        <f>OCTUBRE!AA253</f>
        <v>0</v>
      </c>
      <c r="Z253" s="364">
        <v>0</v>
      </c>
      <c r="AA253" s="18">
        <f>SUM(Y253:Z253)</f>
        <v>0</v>
      </c>
      <c r="AB253" s="19">
        <f>OCTUBRE!AD253</f>
        <v>0</v>
      </c>
      <c r="AC253" s="364">
        <v>0</v>
      </c>
      <c r="AD253" s="18">
        <f>SUM(AB253:AC253)</f>
        <v>0</v>
      </c>
      <c r="AE253" s="19">
        <f>OCTUBRE!AG253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451"/>
      <c r="J254" s="372"/>
      <c r="K254" s="372"/>
      <c r="L254" s="451"/>
      <c r="M254" s="372"/>
      <c r="N254" s="9"/>
      <c r="O254" s="372"/>
      <c r="P254" s="9"/>
      <c r="Q254" s="9"/>
      <c r="S254" s="689" t="str">
        <f>+IF(OCTUBRE!S254=0,"",OCTUBRE!S254)</f>
        <v>8002100-11</v>
      </c>
      <c r="T254" s="665" t="str">
        <f>+IF(OCTUBRE!T254=0,"",OCTUBRE!T254)</f>
        <v>Programas Especial 10</v>
      </c>
      <c r="U254" s="27">
        <f>+ENERO!U254</f>
        <v>0</v>
      </c>
      <c r="V254" s="15">
        <f>OCTUBRE!V254+NOVIEMBRE!AL254</f>
        <v>0</v>
      </c>
      <c r="W254" s="15">
        <f>OCTUBRE!W254+NOVIEMBRE!AM254</f>
        <v>0</v>
      </c>
      <c r="X254" s="18">
        <f>SUM(U254:W254)</f>
        <v>0</v>
      </c>
      <c r="Y254" s="19">
        <f>OCTUBRE!AA254</f>
        <v>0</v>
      </c>
      <c r="Z254" s="364">
        <v>0</v>
      </c>
      <c r="AA254" s="18">
        <f>SUM(Y254:Z254)</f>
        <v>0</v>
      </c>
      <c r="AB254" s="19">
        <f>OCTUBRE!AD254</f>
        <v>0</v>
      </c>
      <c r="AC254" s="364">
        <v>0</v>
      </c>
      <c r="AD254" s="18">
        <f>SUM(AB254:AC254)</f>
        <v>0</v>
      </c>
      <c r="AE254" s="19">
        <f>OCTUBRE!AG254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451"/>
      <c r="J255" s="372"/>
      <c r="K255" s="372"/>
      <c r="L255" s="451"/>
      <c r="M255" s="372"/>
      <c r="N255" s="9"/>
      <c r="O255" s="372"/>
      <c r="P255" s="9"/>
      <c r="Q255" s="9"/>
      <c r="S255" s="689" t="str">
        <f>+IF(OCTUBRE!S255=0,"",OCTUBRE!S255)</f>
        <v>8002100-12</v>
      </c>
      <c r="T255" s="665" t="str">
        <f>+IF(OCTUBRE!T255=0,"",OCTUBRE!T255)</f>
        <v>Programas Especial 11</v>
      </c>
      <c r="U255" s="27">
        <f>+ENERO!U255</f>
        <v>0</v>
      </c>
      <c r="V255" s="15">
        <f>OCTUBRE!V255+NOVIEMBRE!AL255</f>
        <v>0</v>
      </c>
      <c r="W255" s="15">
        <f>OCTUBRE!W255+NOVIEMBRE!AM255</f>
        <v>0</v>
      </c>
      <c r="X255" s="18">
        <f t="shared" si="205"/>
        <v>0</v>
      </c>
      <c r="Y255" s="19">
        <f>OCTUBRE!AA255</f>
        <v>0</v>
      </c>
      <c r="Z255" s="364">
        <v>0</v>
      </c>
      <c r="AA255" s="18">
        <f t="shared" si="206"/>
        <v>0</v>
      </c>
      <c r="AB255" s="19">
        <f>OCTUBRE!AD255</f>
        <v>0</v>
      </c>
      <c r="AC255" s="364">
        <v>0</v>
      </c>
      <c r="AD255" s="18">
        <f t="shared" si="207"/>
        <v>0</v>
      </c>
      <c r="AE255" s="19">
        <f>OCTUBRE!AG255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451"/>
      <c r="J256" s="372"/>
      <c r="K256" s="372"/>
      <c r="L256" s="451"/>
      <c r="M256" s="372"/>
      <c r="N256" s="9"/>
      <c r="O256" s="372"/>
      <c r="P256" s="9"/>
      <c r="Q256" s="9"/>
      <c r="S256" s="698">
        <f>+IF(OCTUBRE!S256=0,"",OCTUBRE!S256)</f>
        <v>8002999</v>
      </c>
      <c r="T256" s="680" t="str">
        <f>+IF(OCTUBRE!T256=0,"",OCTUBRE!T256)</f>
        <v>Vigencias Anteriores</v>
      </c>
      <c r="U256" s="133">
        <f>+ENERO!U256</f>
        <v>0</v>
      </c>
      <c r="V256" s="121">
        <f>OCTUBRE!V256+NOVIEMBRE!AL256</f>
        <v>0</v>
      </c>
      <c r="W256" s="121">
        <f>OCTUBRE!W256+NOVIEMBRE!AM256</f>
        <v>475291402</v>
      </c>
      <c r="X256" s="126">
        <f t="shared" si="205"/>
        <v>475291402</v>
      </c>
      <c r="Y256" s="124">
        <f>OCTUBRE!AA256</f>
        <v>465907484</v>
      </c>
      <c r="Z256" s="378">
        <v>0</v>
      </c>
      <c r="AA256" s="126">
        <f t="shared" si="206"/>
        <v>465907484</v>
      </c>
      <c r="AB256" s="124">
        <f>OCTUBRE!AD256</f>
        <v>465907484</v>
      </c>
      <c r="AC256" s="378">
        <v>0</v>
      </c>
      <c r="AD256" s="126">
        <f t="shared" si="207"/>
        <v>465907484</v>
      </c>
      <c r="AE256" s="124">
        <f>OCTUBRE!AG256</f>
        <v>465907484</v>
      </c>
      <c r="AF256" s="378">
        <v>0</v>
      </c>
      <c r="AG256" s="126">
        <f t="shared" si="208"/>
        <v>465907484</v>
      </c>
      <c r="AH256" s="124">
        <f t="shared" si="209"/>
        <v>9383918</v>
      </c>
      <c r="AI256" s="121">
        <f t="shared" si="210"/>
        <v>9383918</v>
      </c>
      <c r="AJ256" s="125">
        <f t="shared" si="211"/>
        <v>9383918</v>
      </c>
      <c r="AK256" s="9"/>
      <c r="AL256" s="374">
        <v>0</v>
      </c>
      <c r="AM256" s="379">
        <v>0</v>
      </c>
    </row>
    <row r="257" spans="1:39" ht="24.95" customHeight="1" thickBot="1">
      <c r="A257" s="734"/>
      <c r="B257" s="644"/>
      <c r="C257" s="372"/>
      <c r="D257" s="372"/>
      <c r="E257" s="372"/>
      <c r="F257" s="372"/>
      <c r="G257" s="372"/>
      <c r="H257" s="372"/>
      <c r="I257" s="451"/>
      <c r="J257" s="372"/>
      <c r="K257" s="372"/>
      <c r="L257" s="451"/>
      <c r="M257" s="372"/>
      <c r="N257" s="9"/>
      <c r="O257" s="372"/>
      <c r="P257" s="9"/>
      <c r="Q257" s="9"/>
      <c r="S257" s="485" t="str">
        <f>+IF(OCTUBRE!S257=0,"",OCTUBRE!S257)</f>
        <v/>
      </c>
      <c r="T257" s="677" t="str">
        <f>+IF(OCTUBRE!T257=0,"",OCTUBRE!T257)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2">+(D10+D17+D113)-(V10+V193+V220+V232)</f>
        <v>0</v>
      </c>
      <c r="W258" s="330">
        <f t="shared" si="212"/>
        <v>0</v>
      </c>
      <c r="X258" s="330">
        <f t="shared" si="212"/>
        <v>0</v>
      </c>
      <c r="Y258" s="330">
        <f t="shared" si="212"/>
        <v>11427884347</v>
      </c>
      <c r="Z258" s="330">
        <f t="shared" si="212"/>
        <v>1251253411</v>
      </c>
      <c r="AA258" s="330">
        <f t="shared" si="212"/>
        <v>12679137758</v>
      </c>
      <c r="AB258" s="330">
        <f t="shared" si="212"/>
        <v>-5254113207.2399902</v>
      </c>
      <c r="AC258" s="330">
        <f t="shared" si="212"/>
        <v>-2424283210</v>
      </c>
      <c r="AD258" s="330">
        <f t="shared" si="212"/>
        <v>-7678396417.2399902</v>
      </c>
      <c r="AE258" s="330">
        <f t="shared" si="212"/>
        <v>-64409001172</v>
      </c>
      <c r="AF258" s="330">
        <f t="shared" si="212"/>
        <v>32151508001.240005</v>
      </c>
      <c r="AG258" s="330">
        <f t="shared" si="212"/>
        <v>-69938406946</v>
      </c>
      <c r="AH258" s="330">
        <f t="shared" si="212"/>
        <v>-13111505980</v>
      </c>
      <c r="AI258" s="330">
        <f t="shared" si="212"/>
        <v>-24590119878</v>
      </c>
      <c r="AJ258" s="768">
        <f t="shared" si="212"/>
        <v>-46686884170</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14580029258</v>
      </c>
    </row>
    <row r="260" spans="1:39" ht="24.95" customHeight="1" thickBot="1">
      <c r="S260" s="785" t="s">
        <v>562</v>
      </c>
      <c r="T260" s="786"/>
      <c r="U260" s="761">
        <f>+U8-U262</f>
        <v>62391028787</v>
      </c>
      <c r="V260" s="761">
        <f t="shared" ref="V260:AJ260" si="213">+V8-V262</f>
        <v>-3245127711</v>
      </c>
      <c r="W260" s="761">
        <f t="shared" si="213"/>
        <v>35581442778</v>
      </c>
      <c r="X260" s="761">
        <f t="shared" si="213"/>
        <v>94727343854</v>
      </c>
      <c r="Y260" s="761">
        <f t="shared" si="213"/>
        <v>76292889697</v>
      </c>
      <c r="Z260" s="761">
        <f t="shared" si="213"/>
        <v>6578173961</v>
      </c>
      <c r="AA260" s="761">
        <f t="shared" si="213"/>
        <v>82871063658</v>
      </c>
      <c r="AB260" s="761">
        <f t="shared" si="213"/>
        <v>62087340948</v>
      </c>
      <c r="AC260" s="761">
        <f t="shared" si="213"/>
        <v>6297206905</v>
      </c>
      <c r="AD260" s="761">
        <f t="shared" si="213"/>
        <v>68384547853</v>
      </c>
      <c r="AE260" s="761">
        <f t="shared" si="213"/>
        <v>46704450571</v>
      </c>
      <c r="AF260" s="761">
        <f t="shared" si="213"/>
        <v>4571748582</v>
      </c>
      <c r="AG260" s="761">
        <f t="shared" si="213"/>
        <v>51276199153</v>
      </c>
      <c r="AH260" s="761">
        <f t="shared" si="213"/>
        <v>11856280196</v>
      </c>
      <c r="AI260" s="761">
        <f t="shared" si="213"/>
        <v>26342796001</v>
      </c>
      <c r="AJ260" s="762">
        <f t="shared" si="213"/>
        <v>43451144701</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563</v>
      </c>
      <c r="T262" s="788"/>
      <c r="U262" s="765">
        <f>+SUMIF($T$8:$T$256,$T$33,U8:U256)</f>
        <v>4029331818</v>
      </c>
      <c r="V262" s="765">
        <f t="shared" ref="V262:AJ262" si="214">+SUMIF($T$8:$T$256,$T$33,V8:V256)</f>
        <v>3245127711</v>
      </c>
      <c r="W262" s="765">
        <f t="shared" si="214"/>
        <v>14623487733</v>
      </c>
      <c r="X262" s="765">
        <f t="shared" si="214"/>
        <v>21897947262</v>
      </c>
      <c r="Y262" s="765">
        <f t="shared" si="214"/>
        <v>20642721478</v>
      </c>
      <c r="Z262" s="765">
        <f t="shared" si="214"/>
        <v>0</v>
      </c>
      <c r="AA262" s="765">
        <f t="shared" si="214"/>
        <v>20642721478</v>
      </c>
      <c r="AB262" s="765">
        <f t="shared" si="214"/>
        <v>18136918823</v>
      </c>
      <c r="AC262" s="765">
        <f t="shared" si="214"/>
        <v>533675304</v>
      </c>
      <c r="AD262" s="765">
        <f t="shared" si="214"/>
        <v>18670594127</v>
      </c>
      <c r="AE262" s="765">
        <f t="shared" si="214"/>
        <v>18136918823</v>
      </c>
      <c r="AF262" s="765">
        <f t="shared" si="214"/>
        <v>525288970</v>
      </c>
      <c r="AG262" s="765">
        <f t="shared" si="214"/>
        <v>18662207793</v>
      </c>
      <c r="AH262" s="765">
        <f t="shared" si="214"/>
        <v>1255225784</v>
      </c>
      <c r="AI262" s="765">
        <f t="shared" si="214"/>
        <v>3227353135</v>
      </c>
      <c r="AJ262" s="789">
        <f t="shared" si="214"/>
        <v>3235739469</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50204930511</v>
      </c>
      <c r="X264" s="783">
        <f t="shared" si="215"/>
        <v>116625291116</v>
      </c>
      <c r="Y264" s="783">
        <f t="shared" si="215"/>
        <v>96935611175</v>
      </c>
      <c r="Z264" s="783">
        <f t="shared" si="215"/>
        <v>6578173961</v>
      </c>
      <c r="AA264" s="783">
        <f t="shared" si="215"/>
        <v>103513785136</v>
      </c>
      <c r="AB264" s="783">
        <f t="shared" si="215"/>
        <v>80224259771</v>
      </c>
      <c r="AC264" s="783">
        <f t="shared" si="215"/>
        <v>6830882209</v>
      </c>
      <c r="AD264" s="783">
        <f t="shared" si="215"/>
        <v>87055141980</v>
      </c>
      <c r="AE264" s="783">
        <f t="shared" si="215"/>
        <v>64841369394</v>
      </c>
      <c r="AF264" s="783">
        <f t="shared" si="215"/>
        <v>5097037552</v>
      </c>
      <c r="AG264" s="783">
        <f t="shared" si="215"/>
        <v>69938406946</v>
      </c>
      <c r="AH264" s="783">
        <f t="shared" si="215"/>
        <v>13111505980</v>
      </c>
      <c r="AI264" s="783">
        <f t="shared" si="215"/>
        <v>29570149136</v>
      </c>
      <c r="AJ264" s="784">
        <f t="shared" si="215"/>
        <v>46686884170</v>
      </c>
    </row>
  </sheetData>
  <sheetProtection password="E27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1"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FF00"/>
  </sheetPr>
  <dimension ref="A1:IO264"/>
  <sheetViews>
    <sheetView showGridLines="0" tabSelected="1" topLeftCell="A94" zoomScale="80" zoomScaleNormal="80" workbookViewId="0">
      <selection activeCell="J65" sqref="J65"/>
    </sheetView>
  </sheetViews>
  <sheetFormatPr baseColWidth="10" defaultColWidth="0" defaultRowHeight="24.95" customHeight="1"/>
  <cols>
    <col min="1" max="1" width="14.5703125" style="735" customWidth="1"/>
    <col min="2" max="2" width="37.42578125" style="645" customWidth="1"/>
    <col min="3" max="3" width="17.140625" style="262" bestFit="1" customWidth="1"/>
    <col min="4" max="4" width="16.140625" style="262" customWidth="1"/>
    <col min="5" max="6" width="14.42578125" style="262" customWidth="1"/>
    <col min="7" max="7" width="16.5703125" style="262" bestFit="1" customWidth="1"/>
    <col min="8" max="8" width="17.28515625" style="262" customWidth="1"/>
    <col min="9" max="9" width="15.7109375" style="262" bestFit="1" customWidth="1"/>
    <col min="10" max="10" width="16" style="262" customWidth="1"/>
    <col min="11" max="11" width="18"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44.42578125" style="657" customWidth="1"/>
    <col min="21" max="21" width="17.7109375" style="262" customWidth="1"/>
    <col min="22" max="22" width="17.28515625" style="262" bestFit="1" customWidth="1"/>
    <col min="23" max="23" width="17.7109375" style="262" bestFit="1" customWidth="1"/>
    <col min="24" max="24" width="18.140625" style="262" bestFit="1" customWidth="1"/>
    <col min="25" max="25" width="14.7109375" style="262" customWidth="1"/>
    <col min="26" max="26" width="17.5703125" style="262" customWidth="1"/>
    <col min="27" max="27" width="17.42578125" style="262" customWidth="1"/>
    <col min="28" max="28" width="14.7109375" style="262" customWidth="1"/>
    <col min="29" max="29" width="16.5703125" style="262" customWidth="1"/>
    <col min="30" max="30" width="17" style="262" customWidth="1"/>
    <col min="31" max="31" width="14.7109375" style="262" customWidth="1"/>
    <col min="32" max="32" width="17" style="262" customWidth="1"/>
    <col min="33" max="33" width="18.4257812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140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9.42578125" style="262" customWidth="1"/>
    <col min="60" max="63" width="17.5703125" style="262" customWidth="1"/>
    <col min="64" max="64" width="30.28515625" style="262" customWidth="1"/>
    <col min="65" max="65" width="76" style="262" customWidth="1"/>
    <col min="66" max="66" width="18.42578125" style="262" customWidth="1"/>
    <col min="67" max="67" width="17" style="262" customWidth="1"/>
    <col min="68" max="68" width="16.140625" style="262" customWidth="1"/>
    <col min="69" max="69" width="22.85546875" style="508" customWidth="1"/>
    <col min="70" max="70" width="50.42578125" style="262" customWidth="1"/>
    <col min="71" max="71" width="2.28515625" style="262" customWidth="1"/>
    <col min="72" max="16384" width="11" style="262" hidden="1"/>
  </cols>
  <sheetData>
    <row r="1" spans="1:70" ht="24.95" customHeight="1" thickBot="1">
      <c r="A1" s="946" t="str">
        <f>IF($F$8-$X$8=0," ","OJO: PRESUPUESTO DESEQUILIBRADO")</f>
        <v xml:space="preserve"> </v>
      </c>
      <c r="B1" s="946"/>
      <c r="C1" s="998"/>
      <c r="D1" s="998"/>
      <c r="E1" s="998"/>
      <c r="F1" s="998"/>
      <c r="G1" s="998"/>
      <c r="H1" s="998"/>
      <c r="I1" s="998"/>
      <c r="J1" s="998"/>
      <c r="K1" s="947" t="str">
        <f>+IF(L8&gt;I8,"OJO - SUS RECAUDOS SON SUPERIORES A SUS RECONOCIMIENTOS, VERIFIQUE","")</f>
        <v/>
      </c>
      <c r="L1" s="947"/>
      <c r="M1" s="947"/>
      <c r="N1" s="947"/>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70" ht="53.25" customHeight="1" thickBot="1">
      <c r="A2" s="732"/>
      <c r="B2" s="699" t="str">
        <f>+ENERO!B2</f>
        <v>SECRETARIA SECCIONAL DE SALUD Y PROTECCION SOCIAL DE ANTIOQUIA DE ANTIOQUIA</v>
      </c>
      <c r="C2" s="264"/>
      <c r="D2" s="956" t="str">
        <f>+IF(F2="","","MUNICIPIO:")</f>
        <v>MUNICIPIO:</v>
      </c>
      <c r="E2" s="956"/>
      <c r="F2" s="265" t="str">
        <f>IF(INSTRUCCIONES!B3=0,"",INSTRUCCIONES!B3)</f>
        <v>MEDELLIN</v>
      </c>
      <c r="G2" s="266"/>
      <c r="H2" s="266"/>
      <c r="I2" s="266"/>
      <c r="J2" s="266"/>
      <c r="K2" s="267"/>
      <c r="L2" s="957" t="s">
        <v>380</v>
      </c>
      <c r="M2" s="930"/>
      <c r="N2" s="268" t="s">
        <v>381</v>
      </c>
      <c r="P2" s="941" t="s">
        <v>451</v>
      </c>
      <c r="Q2" s="942"/>
      <c r="R2" s="269"/>
      <c r="S2" s="682"/>
      <c r="T2" s="699" t="str">
        <f>+ENERO!T2</f>
        <v>SECRETARIA SECCIONAL DE SALUD Y PROTECCION SOCIAL DE ANTIOQUIA DE ANTIOQUIA</v>
      </c>
      <c r="U2" s="264"/>
      <c r="V2" s="940" t="str">
        <f>+IF(Y2="","","M U N I C I P I O:")</f>
        <v>M U N I C I P I O:</v>
      </c>
      <c r="W2" s="940"/>
      <c r="X2" s="940"/>
      <c r="Y2" s="932" t="str">
        <f>IF(INSTRUCCIONES!B3=0,"",INSTRUCCIONES!B3)</f>
        <v>MEDELLIN</v>
      </c>
      <c r="Z2" s="932"/>
      <c r="AA2" s="932"/>
      <c r="AB2" s="932"/>
      <c r="AC2" s="932"/>
      <c r="AD2" s="932"/>
      <c r="AE2" s="932"/>
      <c r="AF2" s="932"/>
      <c r="AG2" s="933"/>
      <c r="AH2" s="930" t="s">
        <v>380</v>
      </c>
      <c r="AI2" s="931"/>
      <c r="AJ2" s="268" t="s">
        <v>381</v>
      </c>
      <c r="AL2" s="941" t="s">
        <v>451</v>
      </c>
      <c r="AM2" s="942"/>
      <c r="AO2" s="2">
        <v>12</v>
      </c>
      <c r="AP2" s="270" t="s">
        <v>7</v>
      </c>
      <c r="AQ2" s="271"/>
      <c r="AR2" s="3"/>
      <c r="AS2" s="3"/>
      <c r="AT2" s="3"/>
      <c r="AU2" s="3"/>
      <c r="AV2" s="3"/>
      <c r="AW2" s="3"/>
      <c r="AX2" s="3"/>
      <c r="AY2" s="3"/>
      <c r="AZ2" s="4"/>
      <c r="BB2" s="941" t="s">
        <v>588</v>
      </c>
      <c r="BC2" s="958"/>
      <c r="BD2" s="51" t="s">
        <v>380</v>
      </c>
      <c r="BE2" s="268" t="str">
        <f>+L3</f>
        <v>DICIEMBRE</v>
      </c>
      <c r="BF2" s="263"/>
      <c r="BG2" s="941" t="s">
        <v>589</v>
      </c>
      <c r="BH2" s="958"/>
      <c r="BI2" s="958"/>
      <c r="BJ2" s="51" t="s">
        <v>380</v>
      </c>
      <c r="BK2" s="268" t="str">
        <f>+BE2</f>
        <v>DICIEMBRE</v>
      </c>
      <c r="BM2" s="941" t="s">
        <v>589</v>
      </c>
      <c r="BN2" s="958"/>
      <c r="BO2" s="958"/>
      <c r="BP2" s="51" t="s">
        <v>380</v>
      </c>
      <c r="BQ2" s="509" t="str">
        <f>+BK2</f>
        <v>DICIEMBRE</v>
      </c>
    </row>
    <row r="3" spans="1:70" ht="24.95" customHeight="1" thickBot="1">
      <c r="A3" s="733"/>
      <c r="B3" s="973" t="s">
        <v>8</v>
      </c>
      <c r="C3" s="272"/>
      <c r="D3" s="989" t="str">
        <f>+IF(F3="","","INSTITUCION:")</f>
        <v>INSTITUCION:</v>
      </c>
      <c r="E3" s="989"/>
      <c r="F3" s="948" t="str">
        <f>IF(INSTRUCCIONES!B5=0,"",INSTRUCCIONES!B5)</f>
        <v>ESE HOSPITAL LA MARIA</v>
      </c>
      <c r="G3" s="948"/>
      <c r="H3" s="948"/>
      <c r="I3" s="948"/>
      <c r="J3" s="948"/>
      <c r="K3" s="949"/>
      <c r="L3" s="974" t="s">
        <v>368</v>
      </c>
      <c r="M3" s="975"/>
      <c r="N3" s="954">
        <f>+INSTRUCCIONES!F3</f>
        <v>2019</v>
      </c>
      <c r="P3" s="1009" t="s">
        <v>519</v>
      </c>
      <c r="Q3" s="1008" t="s">
        <v>520</v>
      </c>
      <c r="R3" s="269"/>
      <c r="S3" s="683"/>
      <c r="T3" s="973" t="s">
        <v>10</v>
      </c>
      <c r="U3" s="273"/>
      <c r="V3" s="920" t="str">
        <f>+IF(Y3="","","E.S.E. H O S P I T A L:")</f>
        <v>E.S.E. H O S P I T A L:</v>
      </c>
      <c r="W3" s="920"/>
      <c r="X3" s="920"/>
      <c r="Y3" s="922" t="str">
        <f>IF(INSTRUCCIONES!B5=0,"",INSTRUCCIONES!B5)</f>
        <v>ESE HOSPITAL LA MARIA</v>
      </c>
      <c r="Z3" s="922"/>
      <c r="AA3" s="922"/>
      <c r="AB3" s="922"/>
      <c r="AC3" s="922"/>
      <c r="AD3" s="922"/>
      <c r="AE3" s="922"/>
      <c r="AF3" s="922"/>
      <c r="AG3" s="923"/>
      <c r="AH3" s="926" t="str">
        <f>+L3</f>
        <v>DICIEMBRE</v>
      </c>
      <c r="AI3" s="927"/>
      <c r="AJ3" s="918">
        <f>+N3</f>
        <v>2019</v>
      </c>
      <c r="AL3" s="943" t="s">
        <v>518</v>
      </c>
      <c r="AM3" s="961" t="s">
        <v>517</v>
      </c>
      <c r="AO3" s="5"/>
      <c r="AP3" s="274" t="s">
        <v>11</v>
      </c>
      <c r="AQ3" s="275"/>
      <c r="AR3" s="275"/>
      <c r="AS3" s="275"/>
      <c r="AT3" s="275"/>
      <c r="AU3" s="275"/>
      <c r="AV3" s="275"/>
      <c r="AW3" s="275"/>
      <c r="AX3" s="275"/>
      <c r="AY3" s="275"/>
      <c r="AZ3" s="276"/>
      <c r="BB3" s="959" t="str">
        <f>+CONCATENATE(INSTRUCCIONES!B5, " - ", INSTRUCCIONES!B3)</f>
        <v>ESE HOSPITAL LA MARIA - MEDELLIN</v>
      </c>
      <c r="BC3" s="960"/>
      <c r="BD3" s="52" t="s">
        <v>381</v>
      </c>
      <c r="BE3" s="50">
        <f>+N3</f>
        <v>2019</v>
      </c>
      <c r="BF3" s="6" t="s">
        <v>12</v>
      </c>
      <c r="BG3" s="959" t="str">
        <f>+CONCATENATE(INSTRUCCIONES!B5, " - ", INSTRUCCIONES!B3)</f>
        <v>ESE HOSPITAL LA MARIA - MEDELLIN</v>
      </c>
      <c r="BH3" s="960"/>
      <c r="BI3" s="960"/>
      <c r="BJ3" s="52" t="s">
        <v>381</v>
      </c>
      <c r="BK3" s="50">
        <f>+BE3</f>
        <v>2019</v>
      </c>
      <c r="BM3" s="959" t="str">
        <f>+CONCATENATE(INSTRUCCIONES!B5, " - ", INSTRUCCIONES!B3)</f>
        <v>ESE HOSPITAL LA MARIA - MEDELLIN</v>
      </c>
      <c r="BN3" s="960"/>
      <c r="BO3" s="960"/>
      <c r="BP3" s="52" t="s">
        <v>381</v>
      </c>
      <c r="BQ3" s="193">
        <f>+BK3</f>
        <v>2019</v>
      </c>
    </row>
    <row r="4" spans="1:70" ht="24.95" customHeight="1" thickBot="1">
      <c r="A4" s="733"/>
      <c r="B4" s="997"/>
      <c r="C4" s="277"/>
      <c r="D4" s="990"/>
      <c r="E4" s="990"/>
      <c r="F4" s="950"/>
      <c r="G4" s="950"/>
      <c r="H4" s="950"/>
      <c r="I4" s="950"/>
      <c r="J4" s="950"/>
      <c r="K4" s="951"/>
      <c r="L4" s="976"/>
      <c r="M4" s="977"/>
      <c r="N4" s="955"/>
      <c r="P4" s="944"/>
      <c r="Q4" s="962"/>
      <c r="R4" s="269"/>
      <c r="S4" s="683"/>
      <c r="T4" s="973"/>
      <c r="U4" s="277"/>
      <c r="V4" s="921"/>
      <c r="W4" s="921"/>
      <c r="X4" s="921"/>
      <c r="Y4" s="924"/>
      <c r="Z4" s="924"/>
      <c r="AA4" s="924"/>
      <c r="AB4" s="924"/>
      <c r="AC4" s="924"/>
      <c r="AD4" s="924"/>
      <c r="AE4" s="924"/>
      <c r="AF4" s="924"/>
      <c r="AG4" s="925"/>
      <c r="AH4" s="928"/>
      <c r="AI4" s="929"/>
      <c r="AJ4" s="919"/>
      <c r="AL4" s="944"/>
      <c r="AM4" s="962"/>
      <c r="AO4" s="5"/>
      <c r="AP4" s="278"/>
      <c r="AQ4" s="279" t="s">
        <v>13</v>
      </c>
      <c r="AR4" s="279" t="s">
        <v>14</v>
      </c>
      <c r="AS4" s="279" t="s">
        <v>15</v>
      </c>
      <c r="AT4" s="279" t="s">
        <v>16</v>
      </c>
      <c r="AU4" s="279" t="s">
        <v>16</v>
      </c>
      <c r="AV4" s="280" t="s">
        <v>16</v>
      </c>
      <c r="AW4" s="911" t="str">
        <f>+CONCATENATE("PROYECCION A DICIEMBRE 31 DEL ",N3)</f>
        <v>PROYECCION A DICIEMBRE 31 DEL 2019</v>
      </c>
      <c r="AX4" s="912"/>
      <c r="AY4" s="912"/>
      <c r="AZ4" s="913"/>
      <c r="BB4" s="281"/>
      <c r="BC4" s="282"/>
      <c r="BD4" s="282"/>
      <c r="BE4" s="47"/>
      <c r="BF4" s="7"/>
      <c r="BG4" s="281"/>
      <c r="BH4" s="282"/>
      <c r="BI4" s="282"/>
      <c r="BJ4" s="48"/>
      <c r="BK4" s="283"/>
      <c r="BL4" s="8"/>
      <c r="BM4" s="281"/>
      <c r="BN4" s="284"/>
      <c r="BO4" s="284"/>
      <c r="BP4" s="49"/>
      <c r="BQ4" s="510"/>
    </row>
    <row r="5" spans="1:70" ht="42" customHeight="1" thickTop="1" thickBot="1">
      <c r="A5" s="993" t="s">
        <v>17</v>
      </c>
      <c r="B5" s="995" t="s">
        <v>18</v>
      </c>
      <c r="C5" s="978" t="s">
        <v>19</v>
      </c>
      <c r="D5" s="979"/>
      <c r="E5" s="979"/>
      <c r="F5" s="980"/>
      <c r="G5" s="981" t="s">
        <v>514</v>
      </c>
      <c r="H5" s="982"/>
      <c r="I5" s="983"/>
      <c r="J5" s="984" t="str">
        <f>+IF(L8&gt;I8,"OJO - RECAUDOS MAYORES QUE RECONOCIMIENTOS","RECAUDO")</f>
        <v>RECAUDO</v>
      </c>
      <c r="K5" s="985"/>
      <c r="L5" s="986"/>
      <c r="M5" s="987" t="s">
        <v>21</v>
      </c>
      <c r="N5" s="988"/>
      <c r="P5" s="945"/>
      <c r="Q5" s="963"/>
      <c r="R5" s="269"/>
      <c r="S5" s="938" t="s">
        <v>466</v>
      </c>
      <c r="T5" s="991" t="s">
        <v>18</v>
      </c>
      <c r="U5" s="286" t="s">
        <v>19</v>
      </c>
      <c r="V5" s="287"/>
      <c r="W5" s="287"/>
      <c r="X5" s="288"/>
      <c r="Y5" s="289" t="s">
        <v>515</v>
      </c>
      <c r="Z5" s="287"/>
      <c r="AA5" s="287"/>
      <c r="AB5" s="915" t="s">
        <v>516</v>
      </c>
      <c r="AC5" s="916"/>
      <c r="AD5" s="917"/>
      <c r="AE5" s="915" t="s">
        <v>22</v>
      </c>
      <c r="AF5" s="916"/>
      <c r="AG5" s="917"/>
      <c r="AH5" s="915" t="s">
        <v>23</v>
      </c>
      <c r="AI5" s="916"/>
      <c r="AJ5" s="917"/>
      <c r="AL5" s="945"/>
      <c r="AM5" s="963"/>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511"/>
      <c r="BF5" s="1002" t="s">
        <v>358</v>
      </c>
      <c r="BG5" s="502" t="s">
        <v>32</v>
      </c>
      <c r="BH5" s="966" t="str">
        <f>+CONCATENATE("ACUMULADO ",N3)</f>
        <v>ACUMULADO 2019</v>
      </c>
      <c r="BI5" s="967"/>
      <c r="BJ5" s="967"/>
      <c r="BK5" s="999"/>
      <c r="BL5" s="1000" t="s">
        <v>359</v>
      </c>
      <c r="BM5" s="964" t="s">
        <v>32</v>
      </c>
      <c r="BN5" s="298" t="str">
        <f>+CONCATENATE("ACUMULADO ",BQ3)</f>
        <v>ACUMULADO 2019</v>
      </c>
      <c r="BO5" s="299"/>
      <c r="BP5" s="300"/>
      <c r="BQ5" s="512"/>
      <c r="BR5" s="1006" t="str">
        <f>+CONCATENATE("PAGOS TOTALES DEL AÑO ",BQ3)</f>
        <v>PAGOS TOTALES DEL AÑO 2019</v>
      </c>
    </row>
    <row r="6" spans="1:70" ht="24.95" customHeight="1" thickBot="1">
      <c r="A6" s="994"/>
      <c r="B6" s="996"/>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39" t="s">
        <v>42</v>
      </c>
      <c r="T6" s="99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DICIEMBRE</v>
      </c>
      <c r="AS6" s="306" t="str">
        <f>AR6</f>
        <v>DICIEMBRE</v>
      </c>
      <c r="AT6" s="306" t="str">
        <f>AR6</f>
        <v>DICIEMBRE</v>
      </c>
      <c r="AU6" s="306" t="s">
        <v>14</v>
      </c>
      <c r="AV6" s="306" t="s">
        <v>29</v>
      </c>
      <c r="AW6" s="306"/>
      <c r="AX6" s="306"/>
      <c r="AY6" s="306" t="s">
        <v>14</v>
      </c>
      <c r="AZ6" s="307" t="s">
        <v>29</v>
      </c>
      <c r="BB6" s="308"/>
      <c r="BC6" s="309" t="s">
        <v>45</v>
      </c>
      <c r="BD6" s="310" t="s">
        <v>46</v>
      </c>
      <c r="BE6" s="311" t="s">
        <v>47</v>
      </c>
      <c r="BF6" s="1003"/>
      <c r="BG6" s="504"/>
      <c r="BH6" s="505" t="s">
        <v>45</v>
      </c>
      <c r="BI6" s="505" t="s">
        <v>48</v>
      </c>
      <c r="BJ6" s="505" t="s">
        <v>49</v>
      </c>
      <c r="BK6" s="506" t="s">
        <v>50</v>
      </c>
      <c r="BL6" s="1001"/>
      <c r="BM6" s="965"/>
      <c r="BN6" s="315" t="s">
        <v>45</v>
      </c>
      <c r="BO6" s="313" t="s">
        <v>48</v>
      </c>
      <c r="BP6" s="313" t="s">
        <v>49</v>
      </c>
      <c r="BQ6" s="513" t="s">
        <v>50</v>
      </c>
      <c r="BR6" s="1007"/>
    </row>
    <row r="7" spans="1:70"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3941828022</v>
      </c>
      <c r="AR7" s="317">
        <f>I22</f>
        <v>4515944034</v>
      </c>
      <c r="AS7" s="317">
        <f>L22</f>
        <v>2572549189</v>
      </c>
      <c r="AT7" s="13"/>
      <c r="AU7" s="318">
        <f t="shared" ref="AU7:AU17" si="0">IF(AQ7=0," ",AR7/AQ7)</f>
        <v>1.1456471486822264</v>
      </c>
      <c r="AV7" s="318">
        <f t="shared" ref="AV7:AV17" si="1">IF(AQ7=0," ",AS7/AQ7)</f>
        <v>0.65262846949237097</v>
      </c>
      <c r="AW7" s="317">
        <f>I23/AO$2*12+I24</f>
        <v>4515944034</v>
      </c>
      <c r="AX7" s="317">
        <f>L23/AO$2*12+L24</f>
        <v>2572549189</v>
      </c>
      <c r="AY7" s="317">
        <f t="shared" ref="AY7:AY16" si="2">AW7-AQ7</f>
        <v>574116012</v>
      </c>
      <c r="AZ7" s="319">
        <f t="shared" ref="AZ7:AZ16" si="3">AX7-AQ7</f>
        <v>-1369278833</v>
      </c>
      <c r="BB7" s="320" t="s">
        <v>53</v>
      </c>
      <c r="BC7" s="54">
        <f>F10</f>
        <v>10176865038</v>
      </c>
      <c r="BD7" s="55">
        <f>I10</f>
        <v>10176865038</v>
      </c>
      <c r="BE7" s="56">
        <f>K10</f>
        <v>0</v>
      </c>
      <c r="BF7" s="53">
        <f>+BE7+NOVIEMBRE!BE7+OCTUBRE!BE7+SEPTIEMBRE!BF7</f>
        <v>10176865038</v>
      </c>
      <c r="BG7" s="91" t="s">
        <v>54</v>
      </c>
      <c r="BH7" s="116">
        <f>+SUM(BH8:BH11)</f>
        <v>43824442505</v>
      </c>
      <c r="BI7" s="116">
        <f>+SUM(BI8:BI11)</f>
        <v>39255516732</v>
      </c>
      <c r="BJ7" s="116">
        <f>+SUM(BJ8:BJ11)</f>
        <v>39255516732</v>
      </c>
      <c r="BK7" s="116">
        <f>+SUM(BK8:BK11)</f>
        <v>4967037334</v>
      </c>
      <c r="BL7" s="40">
        <f>+BK7+NOVIEMBRE!BK7+OCTUBRE!BK7+SEPTIEMBRE!BL7</f>
        <v>31569388843</v>
      </c>
      <c r="BM7" s="61" t="s">
        <v>54</v>
      </c>
      <c r="BN7" s="62">
        <f>BN8+BN15+BN22</f>
        <v>43824442505</v>
      </c>
      <c r="BO7" s="63">
        <f>BO8+BO15+BO22</f>
        <v>39255516732</v>
      </c>
      <c r="BP7" s="63">
        <f>BP8+BP15+BP22</f>
        <v>39255516732</v>
      </c>
      <c r="BQ7" s="194">
        <f>BQ8+BQ15+BQ22</f>
        <v>4967037334</v>
      </c>
      <c r="BR7" s="117">
        <f>+BQ7+NOVIEMBRE!BQ7+OCTUBRE!BQ7+SEPTIEMBRE!BQ7+AGOSTO!BQ7+JULIO!BQ7+JUNIO!BQ7+MAYO!BQ7+ABRIL!BQ7+MARZO!BQ7+FEBRERO!BQ7+ENERO!BQ7</f>
        <v>31569388843</v>
      </c>
    </row>
    <row r="8" spans="1:70" s="9" customFormat="1" ht="24.95" customHeight="1" thickBot="1">
      <c r="A8" s="711">
        <f>+IF(NOVIEMBRE!A8=0,"",NOVIEMBRE!A8)</f>
        <v>1</v>
      </c>
      <c r="B8" s="618" t="str">
        <f>+IF(NOVIEMBRE!B8=0,"",NOVIEMBRE!B8)</f>
        <v>INGRESOS</v>
      </c>
      <c r="C8" s="321">
        <f>C10+C17+C113</f>
        <v>66420360605</v>
      </c>
      <c r="D8" s="321">
        <f t="shared" ref="D8:N8" si="4">D10+D17+D113</f>
        <v>0</v>
      </c>
      <c r="E8" s="321">
        <f t="shared" si="4"/>
        <v>70834754503</v>
      </c>
      <c r="F8" s="321">
        <f t="shared" si="4"/>
        <v>137255115108</v>
      </c>
      <c r="G8" s="321">
        <f t="shared" si="4"/>
        <v>116192922894</v>
      </c>
      <c r="H8" s="321">
        <f t="shared" si="4"/>
        <v>31979971273</v>
      </c>
      <c r="I8" s="321">
        <f t="shared" si="4"/>
        <v>148172894167</v>
      </c>
      <c r="J8" s="321">
        <f t="shared" si="4"/>
        <v>79376745562.76001</v>
      </c>
      <c r="K8" s="321">
        <f t="shared" si="4"/>
        <v>30368439668</v>
      </c>
      <c r="L8" s="321">
        <f t="shared" si="4"/>
        <v>109745185230.76001</v>
      </c>
      <c r="M8" s="321">
        <f t="shared" si="4"/>
        <v>-10917779059</v>
      </c>
      <c r="N8" s="321">
        <f t="shared" si="4"/>
        <v>27509929877.240002</v>
      </c>
      <c r="O8" s="323"/>
      <c r="P8" s="324">
        <f>P10+P17+P113</f>
        <v>0</v>
      </c>
      <c r="Q8" s="322">
        <f>Q10+Q17+Q113</f>
        <v>20629823992</v>
      </c>
      <c r="S8" s="684" t="str">
        <f>+IF(NOVIEMBRE!S8=0,"",NOVIEMBRE!S8)</f>
        <v/>
      </c>
      <c r="T8" s="658" t="str">
        <f>+IF(NOVIEMBRE!T8=0,"",NOVIEMBRE!T8)</f>
        <v>GASTOS</v>
      </c>
      <c r="U8" s="325">
        <f>U10+U193+U220+U232</f>
        <v>66420360605</v>
      </c>
      <c r="V8" s="326">
        <f t="shared" ref="V8:AJ8" si="5">V10+V193+V220+V232</f>
        <v>0</v>
      </c>
      <c r="W8" s="326">
        <f t="shared" si="5"/>
        <v>70834754503</v>
      </c>
      <c r="X8" s="327">
        <f t="shared" si="5"/>
        <v>137255115108</v>
      </c>
      <c r="Y8" s="328">
        <f t="shared" si="5"/>
        <v>103513785136</v>
      </c>
      <c r="Z8" s="326">
        <f t="shared" si="5"/>
        <v>-7420597284</v>
      </c>
      <c r="AA8" s="327">
        <f t="shared" si="5"/>
        <v>96093187852</v>
      </c>
      <c r="AB8" s="328">
        <f t="shared" si="5"/>
        <v>87055141980</v>
      </c>
      <c r="AC8" s="326">
        <f t="shared" si="5"/>
        <v>9038045872</v>
      </c>
      <c r="AD8" s="327">
        <f t="shared" si="5"/>
        <v>96093187852</v>
      </c>
      <c r="AE8" s="328">
        <f t="shared" si="5"/>
        <v>69938406946</v>
      </c>
      <c r="AF8" s="326">
        <f t="shared" si="5"/>
        <v>12096917498</v>
      </c>
      <c r="AG8" s="327">
        <f t="shared" si="5"/>
        <v>82035324444</v>
      </c>
      <c r="AH8" s="328">
        <f t="shared" si="5"/>
        <v>41161927256</v>
      </c>
      <c r="AI8" s="326">
        <f t="shared" si="5"/>
        <v>41161927256</v>
      </c>
      <c r="AJ8" s="329">
        <f t="shared" si="5"/>
        <v>55219790664</v>
      </c>
      <c r="AL8" s="330">
        <f>AL10+AL193+AL220+AL232</f>
        <v>0</v>
      </c>
      <c r="AM8" s="331">
        <f>AM10+AM193+AM220+AM232</f>
        <v>20629823992</v>
      </c>
      <c r="AO8" s="21"/>
      <c r="AP8" s="11" t="s">
        <v>56</v>
      </c>
      <c r="AQ8" s="12">
        <f>F25</f>
        <v>43813235315</v>
      </c>
      <c r="AR8" s="12">
        <f>I25</f>
        <v>53406502412</v>
      </c>
      <c r="AS8" s="12">
        <f>L25</f>
        <v>33845430585</v>
      </c>
      <c r="AT8" s="13"/>
      <c r="AU8" s="332">
        <f t="shared" si="0"/>
        <v>1.21895819900147</v>
      </c>
      <c r="AV8" s="332">
        <f t="shared" si="1"/>
        <v>0.77249329664117727</v>
      </c>
      <c r="AW8" s="12">
        <f>I26/AO$2*12+I27</f>
        <v>53406502412</v>
      </c>
      <c r="AX8" s="12">
        <f>L26/AO$2*12+L27</f>
        <v>33845430585</v>
      </c>
      <c r="AY8" s="12">
        <f t="shared" si="2"/>
        <v>9593267097</v>
      </c>
      <c r="AZ8" s="333">
        <f t="shared" si="3"/>
        <v>-9967804730</v>
      </c>
      <c r="BB8" s="140" t="s">
        <v>57</v>
      </c>
      <c r="BC8" s="65">
        <f>BC9+BC19</f>
        <v>105829186068</v>
      </c>
      <c r="BD8" s="66">
        <f>BD9+BD19</f>
        <v>114784232813</v>
      </c>
      <c r="BE8" s="67">
        <f>BE9+BE19</f>
        <v>28371762136</v>
      </c>
      <c r="BF8" s="53">
        <f>+BE8+NOVIEMBRE!BE8+OCTUBRE!BE8+SEPTIEMBRE!BF8</f>
        <v>76356523877.070007</v>
      </c>
      <c r="BG8" s="68" t="s">
        <v>58</v>
      </c>
      <c r="BH8" s="69">
        <f>BN9+BN13</f>
        <v>6664797719</v>
      </c>
      <c r="BI8" s="69">
        <f>BO9+BO13</f>
        <v>5501228317</v>
      </c>
      <c r="BJ8" s="69">
        <f>BP9+BP13</f>
        <v>5501228317</v>
      </c>
      <c r="BK8" s="69">
        <f>BQ9+BQ13</f>
        <v>574385870</v>
      </c>
      <c r="BL8" s="40">
        <f>+BK8+NOVIEMBRE!BK8+OCTUBRE!BK8+SEPTIEMBRE!BL8</f>
        <v>5494389810</v>
      </c>
      <c r="BM8" s="71" t="s">
        <v>59</v>
      </c>
      <c r="BN8" s="72">
        <f>BN9+BN14+BN13</f>
        <v>30038954105</v>
      </c>
      <c r="BO8" s="69">
        <f>BO9+BO14+BO13</f>
        <v>27271031331</v>
      </c>
      <c r="BP8" s="69">
        <f>BP9+BP14+BP13</f>
        <v>27271031331</v>
      </c>
      <c r="BQ8" s="195">
        <f>BQ9+BQ14+BQ13</f>
        <v>3372304294</v>
      </c>
      <c r="BR8" s="118">
        <f>BR9+BR14+BR13</f>
        <v>21693054956</v>
      </c>
    </row>
    <row r="9" spans="1:70"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14204436739</v>
      </c>
      <c r="AR9" s="12">
        <f>I28+I75</f>
        <v>19265714671</v>
      </c>
      <c r="AS9" s="12">
        <f>L28+L75</f>
        <v>11481041889</v>
      </c>
      <c r="AT9" s="13"/>
      <c r="AU9" s="340">
        <f t="shared" si="0"/>
        <v>1.3563166935091238</v>
      </c>
      <c r="AV9" s="340">
        <f t="shared" si="1"/>
        <v>0.80827153515192973</v>
      </c>
      <c r="AW9" s="341">
        <f>(I30+I33+I36+I76)/AO$2*12+I31+I34+I37+I38+I39+I40+I77</f>
        <v>19265714671</v>
      </c>
      <c r="AX9" s="341">
        <f>(L30+L33+L36+L76)/AO$2*12+L31+L34+L37+L38+L39+L40+L77</f>
        <v>11481041889</v>
      </c>
      <c r="AY9" s="341">
        <f t="shared" si="2"/>
        <v>5061277932</v>
      </c>
      <c r="AZ9" s="342">
        <f t="shared" si="3"/>
        <v>-2723394850</v>
      </c>
      <c r="BB9" s="343" t="s">
        <v>412</v>
      </c>
      <c r="BC9" s="73">
        <f>BC10+BC18</f>
        <v>105728808005</v>
      </c>
      <c r="BD9" s="74">
        <f>BD10+BD18</f>
        <v>114658276637</v>
      </c>
      <c r="BE9" s="75">
        <f>BE10+BE18</f>
        <v>28367164370</v>
      </c>
      <c r="BF9" s="53">
        <f>+BE9+NOVIEMBRE!BE9+OCTUBRE!BE9+SEPTIEMBRE!BF9</f>
        <v>76285339033.070007</v>
      </c>
      <c r="BG9" s="77" t="s">
        <v>62</v>
      </c>
      <c r="BH9" s="78">
        <f t="shared" ref="BH9:BK10" si="6">BN14</f>
        <v>23374156386</v>
      </c>
      <c r="BI9" s="78">
        <f t="shared" si="6"/>
        <v>21769803014</v>
      </c>
      <c r="BJ9" s="78">
        <f t="shared" si="6"/>
        <v>21769803014</v>
      </c>
      <c r="BK9" s="78">
        <f t="shared" si="6"/>
        <v>2797918424</v>
      </c>
      <c r="BL9" s="40">
        <f>+BK9+NOVIEMBRE!BK9+OCTUBRE!BK9+SEPTIEMBRE!BL9</f>
        <v>16198665146</v>
      </c>
      <c r="BM9" s="137" t="s">
        <v>63</v>
      </c>
      <c r="BN9" s="80">
        <f>SUM(BN10:BN12)</f>
        <v>4908685503</v>
      </c>
      <c r="BO9" s="185">
        <f>SUM(BO10:BO12)</f>
        <v>4284882180</v>
      </c>
      <c r="BP9" s="78">
        <f>SUM(BP10:BP12)</f>
        <v>4284882180</v>
      </c>
      <c r="BQ9" s="192">
        <f>SUM(BQ10:BQ12)</f>
        <v>362573019</v>
      </c>
      <c r="BR9" s="118">
        <f>SUM(BR10:BR12)</f>
        <v>4278043673</v>
      </c>
    </row>
    <row r="10" spans="1:70" s="9" customFormat="1" ht="24.95" customHeight="1">
      <c r="A10" s="712">
        <f>+IF(NOVIEMBRE!A10=0,"",NOVIEMBRE!A10)</f>
        <v>10</v>
      </c>
      <c r="B10" s="620" t="str">
        <f>+IF(NOVIEMBRE!B10=0,"",NOVIEMBRE!B10)</f>
        <v>DISPONIBILIDAD INICIAL</v>
      </c>
      <c r="C10" s="174">
        <f t="shared" ref="C10:N10" si="7">SUM(C12:C15)</f>
        <v>4845434734</v>
      </c>
      <c r="D10" s="344">
        <f t="shared" si="7"/>
        <v>0</v>
      </c>
      <c r="E10" s="344">
        <f t="shared" si="7"/>
        <v>5331430304</v>
      </c>
      <c r="F10" s="175">
        <f t="shared" si="7"/>
        <v>10176865038</v>
      </c>
      <c r="G10" s="345">
        <f t="shared" si="7"/>
        <v>10176865038</v>
      </c>
      <c r="H10" s="344">
        <f t="shared" si="7"/>
        <v>0</v>
      </c>
      <c r="I10" s="346">
        <f t="shared" si="7"/>
        <v>10176865038</v>
      </c>
      <c r="J10" s="174">
        <f t="shared" si="7"/>
        <v>10176865038</v>
      </c>
      <c r="K10" s="344">
        <f t="shared" si="7"/>
        <v>0</v>
      </c>
      <c r="L10" s="175">
        <f t="shared" si="7"/>
        <v>10176865038</v>
      </c>
      <c r="M10" s="174">
        <f t="shared" si="7"/>
        <v>0</v>
      </c>
      <c r="N10" s="175">
        <f t="shared" si="7"/>
        <v>0</v>
      </c>
      <c r="O10" s="13"/>
      <c r="P10" s="174">
        <f>SUM(P12:P15)</f>
        <v>0</v>
      </c>
      <c r="Q10" s="175">
        <f>SUM(Q12:Q15)</f>
        <v>0</v>
      </c>
      <c r="S10" s="347" t="str">
        <f>+IF(NOVIEMBRE!S10=0,"",NOVIEMBRE!S10)</f>
        <v>A</v>
      </c>
      <c r="T10" s="659" t="str">
        <f>+IF(NOVIEMBRE!T10=0,"",NOVIEMBRE!T10)</f>
        <v>GASTOS DE FUNCIONAMIENTO</v>
      </c>
      <c r="U10" s="348">
        <f>U12+U110+U170</f>
        <v>50109343517</v>
      </c>
      <c r="V10" s="349">
        <f t="shared" ref="V10:AJ10" si="8">V12+V110+V170</f>
        <v>-5470317789</v>
      </c>
      <c r="W10" s="349">
        <f t="shared" si="8"/>
        <v>8011601711</v>
      </c>
      <c r="X10" s="352">
        <f t="shared" si="8"/>
        <v>52650627439</v>
      </c>
      <c r="Y10" s="351">
        <f t="shared" si="8"/>
        <v>47528681732</v>
      </c>
      <c r="Z10" s="349">
        <f t="shared" si="8"/>
        <v>-292617330</v>
      </c>
      <c r="AA10" s="352">
        <f t="shared" si="8"/>
        <v>47236064402</v>
      </c>
      <c r="AB10" s="351">
        <f t="shared" si="8"/>
        <v>43191653333</v>
      </c>
      <c r="AC10" s="349">
        <f t="shared" si="8"/>
        <v>4044411069</v>
      </c>
      <c r="AD10" s="352">
        <f t="shared" si="8"/>
        <v>47236064402</v>
      </c>
      <c r="AE10" s="351">
        <f t="shared" si="8"/>
        <v>34505200441</v>
      </c>
      <c r="AF10" s="349">
        <f t="shared" si="8"/>
        <v>5044736072</v>
      </c>
      <c r="AG10" s="352">
        <f t="shared" si="8"/>
        <v>39549936513</v>
      </c>
      <c r="AH10" s="351">
        <f t="shared" si="8"/>
        <v>5414563037</v>
      </c>
      <c r="AI10" s="349">
        <f t="shared" si="8"/>
        <v>5414563037</v>
      </c>
      <c r="AJ10" s="350">
        <f t="shared" si="8"/>
        <v>13100690926</v>
      </c>
      <c r="AL10" s="353">
        <f>AL12+AL110+AL170</f>
        <v>0</v>
      </c>
      <c r="AM10" s="354">
        <f>AM12+AM110+AM170</f>
        <v>860000000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66195607027</v>
      </c>
      <c r="BD10" s="74">
        <f>BD11+BD12+BD13+BD14+BD16+BD17+BD15</f>
        <v>76176013881</v>
      </c>
      <c r="BE10" s="75">
        <f>BE11+BE12+BE13+BE14+BE16+BE17+BE15</f>
        <v>8167164370</v>
      </c>
      <c r="BF10" s="53">
        <f>+BE10+NOVIEMBRE!BE10+OCTUBRE!BE10+SEPTIEMBRE!BF10</f>
        <v>37803076277.07</v>
      </c>
      <c r="BG10" s="68" t="s">
        <v>66</v>
      </c>
      <c r="BH10" s="81">
        <f t="shared" si="6"/>
        <v>12493134256</v>
      </c>
      <c r="BI10" s="81">
        <f t="shared" si="6"/>
        <v>10913925467</v>
      </c>
      <c r="BJ10" s="81">
        <f t="shared" si="6"/>
        <v>10913925467</v>
      </c>
      <c r="BK10" s="81">
        <f t="shared" si="6"/>
        <v>1507012700</v>
      </c>
      <c r="BL10" s="40">
        <f>+BK10+NOVIEMBRE!BK10+OCTUBRE!BK10+SEPTIEMBRE!BL10</f>
        <v>8816392131</v>
      </c>
      <c r="BM10" s="134" t="s">
        <v>425</v>
      </c>
      <c r="BN10" s="83">
        <f>X17+X66</f>
        <v>3409004812</v>
      </c>
      <c r="BO10" s="186">
        <f>AA17+AA66</f>
        <v>3396964884</v>
      </c>
      <c r="BP10" s="81">
        <f>AD17+AD66</f>
        <v>3396964884</v>
      </c>
      <c r="BQ10" s="196">
        <f>AF17+AF66</f>
        <v>297491343</v>
      </c>
      <c r="BR10" s="118">
        <f>+BQ10+NOVIEMBRE!BQ10+OCTUBRE!BQ10+SEPTIEMBRE!BQ10+AGOSTO!BQ10+JULIO!BQ10+JUNIO!BQ10+MAYO!BQ10+ABRIL!BQ10+MARZO!BQ10+FEBRERO!BQ10+ENERO!BQ10</f>
        <v>3395489357</v>
      </c>
    </row>
    <row r="11" spans="1:70"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222386275</v>
      </c>
      <c r="AR11" s="12">
        <f>I88</f>
        <v>222380129</v>
      </c>
      <c r="AS11" s="12">
        <f>L88</f>
        <v>222380129</v>
      </c>
      <c r="AT11" s="361">
        <f>AO2/12</f>
        <v>1</v>
      </c>
      <c r="AU11" s="340">
        <f t="shared" si="0"/>
        <v>0.99997236340237272</v>
      </c>
      <c r="AV11" s="340">
        <f t="shared" si="1"/>
        <v>0.99997236340237272</v>
      </c>
      <c r="AW11" s="341">
        <f>I88</f>
        <v>222380129</v>
      </c>
      <c r="AX11" s="341">
        <f>L88</f>
        <v>222380129</v>
      </c>
      <c r="AY11" s="341">
        <f t="shared" si="2"/>
        <v>-6146</v>
      </c>
      <c r="AZ11" s="342">
        <f t="shared" si="3"/>
        <v>-6146</v>
      </c>
      <c r="BB11" s="355" t="s">
        <v>414</v>
      </c>
      <c r="BC11" s="73">
        <f>F26</f>
        <v>32167564656</v>
      </c>
      <c r="BD11" s="74">
        <f>I26</f>
        <v>39839659571</v>
      </c>
      <c r="BE11" s="75">
        <f>K26</f>
        <v>3129359344</v>
      </c>
      <c r="BF11" s="53">
        <f>+BE11+NOVIEMBRE!BE11+OCTUBRE!BE11+SEPTIEMBRE!BF11</f>
        <v>20278587744</v>
      </c>
      <c r="BG11" s="68" t="s">
        <v>67</v>
      </c>
      <c r="BH11" s="84">
        <f>BN22</f>
        <v>1292354144</v>
      </c>
      <c r="BI11" s="84">
        <f>BO22</f>
        <v>1070559934</v>
      </c>
      <c r="BJ11" s="84">
        <f>BP22</f>
        <v>1070559934</v>
      </c>
      <c r="BK11" s="84">
        <f>BQ22</f>
        <v>87720340</v>
      </c>
      <c r="BL11" s="40">
        <f>+BK11+NOVIEMBRE!BK11+OCTUBRE!BK11+SEPTIEMBRE!BL11</f>
        <v>1059941756</v>
      </c>
      <c r="BM11" s="135" t="s">
        <v>426</v>
      </c>
      <c r="BN11" s="86">
        <f>X18+X67</f>
        <v>276902465</v>
      </c>
      <c r="BO11" s="187">
        <f>AA18+AA67</f>
        <v>155115591</v>
      </c>
      <c r="BP11" s="84">
        <f>AD18+AD67</f>
        <v>155115591</v>
      </c>
      <c r="BQ11" s="197">
        <f>AF18+AF67</f>
        <v>26467522</v>
      </c>
      <c r="BR11" s="118">
        <f>+BQ11+NOVIEMBRE!BQ11+OCTUBRE!BQ11+SEPTIEMBRE!BQ11+AGOSTO!BQ11+JULIO!BQ11+JUNIO!BQ11+MAYO!BQ11+ABRIL!BQ11+MARZO!BQ11+FEBRERO!BQ11+ENERO!BQ11</f>
        <v>154944960</v>
      </c>
    </row>
    <row r="12" spans="1:70" s="9" customFormat="1" ht="36.75" customHeight="1">
      <c r="A12" s="593">
        <f>+IF(NOVIEMBRE!A12=0,"",NOVIEMBRE!A12)</f>
        <v>1001</v>
      </c>
      <c r="B12" s="621" t="str">
        <f>+IF(NOVIEMBRE!B12=0,"",NOVIEMBRE!B12)</f>
        <v>Bienestar Social (Caja, Bancos, Inversiones Tempor.) a Dic-31-2018</v>
      </c>
      <c r="C12" s="655">
        <f>+ENERO!C12</f>
        <v>0</v>
      </c>
      <c r="D12" s="363">
        <f>NOVIEMBRE!D12+DICIEMBRE!P12</f>
        <v>0</v>
      </c>
      <c r="E12" s="363">
        <f>NOVIEMBRE!E12+DICIEMBRE!Q12</f>
        <v>0</v>
      </c>
      <c r="F12" s="143">
        <f>SUM(C12:E12)</f>
        <v>0</v>
      </c>
      <c r="G12" s="216">
        <f>NOVIEMBRE!I12</f>
        <v>0</v>
      </c>
      <c r="H12" s="364">
        <v>0</v>
      </c>
      <c r="I12" s="143">
        <f>SUM(G12:H12)</f>
        <v>0</v>
      </c>
      <c r="J12" s="216">
        <f>NOVIEMBRE!L12</f>
        <v>0</v>
      </c>
      <c r="K12" s="131">
        <v>0</v>
      </c>
      <c r="L12" s="143">
        <f>SUM(J12:K12)</f>
        <v>0</v>
      </c>
      <c r="M12" s="216">
        <f>F12-I12</f>
        <v>0</v>
      </c>
      <c r="N12" s="143">
        <f>F12-L12</f>
        <v>0</v>
      </c>
      <c r="O12" s="284"/>
      <c r="P12" s="362">
        <v>0</v>
      </c>
      <c r="Q12" s="365">
        <v>0</v>
      </c>
      <c r="S12" s="685">
        <f>+IF(NOVIEMBRE!S12=0,"",NOVIEMBRE!S12)</f>
        <v>1000000</v>
      </c>
      <c r="T12" s="661" t="str">
        <f>+IF(NOVIEMBRE!T12=0,"",NOVIEMBRE!T12)</f>
        <v>GASTOS DE PERSONAL</v>
      </c>
      <c r="U12" s="366">
        <f t="shared" ref="U12:AJ12" si="9">U14+U63</f>
        <v>36893269846</v>
      </c>
      <c r="V12" s="367">
        <f t="shared" si="9"/>
        <v>-4454317789</v>
      </c>
      <c r="W12" s="367">
        <f t="shared" si="9"/>
        <v>3601985077</v>
      </c>
      <c r="X12" s="368">
        <f t="shared" si="9"/>
        <v>36040937134</v>
      </c>
      <c r="Y12" s="353">
        <f t="shared" si="9"/>
        <v>33603460924</v>
      </c>
      <c r="Z12" s="367">
        <f t="shared" si="9"/>
        <v>-570329751</v>
      </c>
      <c r="AA12" s="368">
        <f t="shared" si="9"/>
        <v>33033131173</v>
      </c>
      <c r="AB12" s="353">
        <f t="shared" si="9"/>
        <v>30797594433</v>
      </c>
      <c r="AC12" s="367">
        <f t="shared" si="9"/>
        <v>2235536740</v>
      </c>
      <c r="AD12" s="368">
        <f t="shared" si="9"/>
        <v>33033131173</v>
      </c>
      <c r="AE12" s="353">
        <f t="shared" si="9"/>
        <v>24037510010</v>
      </c>
      <c r="AF12" s="367">
        <f t="shared" si="9"/>
        <v>3417644788</v>
      </c>
      <c r="AG12" s="368">
        <f t="shared" si="9"/>
        <v>27455154798</v>
      </c>
      <c r="AH12" s="353">
        <f t="shared" si="9"/>
        <v>3007805961</v>
      </c>
      <c r="AI12" s="367">
        <f t="shared" si="9"/>
        <v>3007805961</v>
      </c>
      <c r="AJ12" s="354">
        <f t="shared" si="9"/>
        <v>8585782336</v>
      </c>
      <c r="AK12" s="10"/>
      <c r="AL12" s="369">
        <f>AL14+AL63</f>
        <v>0</v>
      </c>
      <c r="AM12" s="370">
        <f>AM14+AM63</f>
        <v>430000000</v>
      </c>
      <c r="AO12" s="360"/>
      <c r="AP12" s="518" t="s">
        <v>523</v>
      </c>
      <c r="AQ12" s="12">
        <f>F89</f>
        <v>450000000</v>
      </c>
      <c r="AR12" s="12">
        <f>I89</f>
        <v>450000000</v>
      </c>
      <c r="AS12" s="12">
        <f>L89</f>
        <v>450000000</v>
      </c>
      <c r="AT12" s="13"/>
      <c r="AU12" s="340">
        <f t="shared" si="0"/>
        <v>1</v>
      </c>
      <c r="AV12" s="340">
        <f t="shared" si="1"/>
        <v>1</v>
      </c>
      <c r="AW12" s="341">
        <f>I89</f>
        <v>450000000</v>
      </c>
      <c r="AX12" s="341">
        <f>L89</f>
        <v>450000000</v>
      </c>
      <c r="AY12" s="341">
        <f t="shared" si="2"/>
        <v>0</v>
      </c>
      <c r="AZ12" s="342">
        <f t="shared" si="3"/>
        <v>0</v>
      </c>
      <c r="BB12" s="355" t="s">
        <v>415</v>
      </c>
      <c r="BC12" s="73">
        <f>F23</f>
        <v>3087894380</v>
      </c>
      <c r="BD12" s="74">
        <f>I23</f>
        <v>3623261874</v>
      </c>
      <c r="BE12" s="75">
        <f>K23</f>
        <v>494568708</v>
      </c>
      <c r="BF12" s="53">
        <f>+BE12+NOVIEMBRE!BE12+OCTUBRE!BE12+SEPTIEMBRE!BF12</f>
        <v>1679867029</v>
      </c>
      <c r="BG12" s="371" t="s">
        <v>383</v>
      </c>
      <c r="BH12" s="84">
        <f>BN25</f>
        <v>21405937973</v>
      </c>
      <c r="BI12" s="84">
        <f>BO25</f>
        <v>20087100954</v>
      </c>
      <c r="BJ12" s="84">
        <f>BP25</f>
        <v>20087100954</v>
      </c>
      <c r="BK12" s="84">
        <f>BQ25</f>
        <v>3355981646</v>
      </c>
      <c r="BL12" s="40">
        <f>+BK12+NOVIEMBRE!BK12+OCTUBRE!BK12+SEPTIEMBRE!BL12</f>
        <v>14980149540</v>
      </c>
      <c r="BM12" s="136" t="s">
        <v>427</v>
      </c>
      <c r="BN12" s="86">
        <f>X16+X65-X81-X33-BN10-BN11</f>
        <v>1222778226</v>
      </c>
      <c r="BO12" s="187">
        <f>AA16+AA65-AA81-AA33-BO10-BO11</f>
        <v>732801705</v>
      </c>
      <c r="BP12" s="84">
        <f>AD16+AD65-AD81-AD33-BP10-BP11</f>
        <v>732801705</v>
      </c>
      <c r="BQ12" s="197">
        <f>AF16+AF65-AF81-AF33-BQ10-BQ11</f>
        <v>38614154</v>
      </c>
      <c r="BR12" s="118">
        <f>+BQ12+NOVIEMBRE!BQ12+OCTUBRE!BQ12+SEPTIEMBRE!BQ12+AGOSTO!BQ12+JULIO!BQ12+JUNIO!BQ12+MAYO!BQ12+ABRIL!BQ12+MARZO!BQ12+FEBRERO!BQ12+ENERO!BQ12</f>
        <v>727609356</v>
      </c>
    </row>
    <row r="13" spans="1:70" s="9" customFormat="1" ht="24.95" customHeight="1">
      <c r="A13" s="593">
        <f>+IF(NOVIEMBRE!A13=0,"",NOVIEMBRE!A13)</f>
        <v>1002</v>
      </c>
      <c r="B13" s="621" t="str">
        <f>+IF(NOVIEMBRE!B13=0,"",NOVIEMBRE!B13)</f>
        <v>Fondo Vivienda (Caja, Bancos, Inversiones Tempor.) a Dic-31-2018</v>
      </c>
      <c r="C13" s="655">
        <f>+ENERO!C13</f>
        <v>0</v>
      </c>
      <c r="D13" s="363">
        <f>NOVIEMBRE!D13+DICIEMBRE!P13</f>
        <v>0</v>
      </c>
      <c r="E13" s="363">
        <f>NOVIEMBRE!E13+DICIEMBRE!Q13</f>
        <v>0</v>
      </c>
      <c r="F13" s="143">
        <f>SUM(C13:E13)</f>
        <v>0</v>
      </c>
      <c r="G13" s="216">
        <f>NOVIEMBRE!I13</f>
        <v>0</v>
      </c>
      <c r="H13" s="364">
        <v>0</v>
      </c>
      <c r="I13" s="143">
        <f>SUM(G13:H13)</f>
        <v>0</v>
      </c>
      <c r="J13" s="216">
        <f>NOVIEMBRE!L13</f>
        <v>0</v>
      </c>
      <c r="K13" s="131">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73">
        <f>+F30+F33+F36+F38+F39+F40</f>
        <v>8952361140</v>
      </c>
      <c r="BD13" s="74">
        <f>+I30+I33+I36+I38+I39+I40</f>
        <v>14022736842</v>
      </c>
      <c r="BE13" s="75">
        <f>+K30+K33+K36+K38+K39+K40</f>
        <v>4171406202</v>
      </c>
      <c r="BF13" s="53">
        <f>+BE13+NOVIEMBRE!BE13+OCTUBRE!BE13+SEPTIEMBRE!BF13</f>
        <v>6364599456</v>
      </c>
      <c r="BG13" s="91" t="s">
        <v>70</v>
      </c>
      <c r="BH13" s="84">
        <f t="shared" ref="BH13:BK15" si="10">BN29</f>
        <v>48514618396</v>
      </c>
      <c r="BI13" s="84">
        <f t="shared" si="10"/>
        <v>17094965744</v>
      </c>
      <c r="BJ13" s="84">
        <f t="shared" si="10"/>
        <v>17094965744</v>
      </c>
      <c r="BK13" s="84">
        <f t="shared" si="10"/>
        <v>3007394421</v>
      </c>
      <c r="BL13" s="40">
        <f>+BK13+NOVIEMBRE!BK13+OCTUBRE!BK13+SEPTIEMBRE!BL13</f>
        <v>15830181639</v>
      </c>
      <c r="BM13" s="139" t="s">
        <v>428</v>
      </c>
      <c r="BN13" s="83">
        <f>X43-X55+X57-X61+X90-X102+X104-X108</f>
        <v>1756112216</v>
      </c>
      <c r="BO13" s="186">
        <f>AA43-AA55+AA57-AA61+AA90-AA102+AA104-AA108</f>
        <v>1216346137</v>
      </c>
      <c r="BP13" s="81">
        <f>AD43-AD55+AD57-AD61+AD90-AD102+AD104-AD108</f>
        <v>1216346137</v>
      </c>
      <c r="BQ13" s="196">
        <f>AF43-AF55+AF57-AF61+AF90-AF102+AF104-AF108</f>
        <v>211812851</v>
      </c>
      <c r="BR13" s="118">
        <f>+BQ13+NOVIEMBRE!BQ13+OCTUBRE!BQ13+SEPTIEMBRE!BQ13+AGOSTO!BQ13+JULIO!BQ13+JUNIO!BQ13+MAYO!BQ13+ABRIL!BQ13+MARZO!BQ13+FEBRERO!BQ13+ENERO!BQ13</f>
        <v>1216346137</v>
      </c>
    </row>
    <row r="14" spans="1:70" s="9" customFormat="1" ht="24.95" customHeight="1">
      <c r="A14" s="593">
        <f>+IF(NOVIEMBRE!A14=0,"",NOVIEMBRE!A14)</f>
        <v>1003</v>
      </c>
      <c r="B14" s="621" t="str">
        <f>+IF(NOVIEMBRE!B14=0,"",NOVIEMBRE!B14)</f>
        <v>Fondos Comunes y Especiales (Caja, Bancos, Invers. Tempor.) a Dic-31-2018</v>
      </c>
      <c r="C14" s="655">
        <f>+ENERO!C14</f>
        <v>4565434734</v>
      </c>
      <c r="D14" s="363">
        <f>NOVIEMBRE!D14+DICIEMBRE!P14</f>
        <v>0</v>
      </c>
      <c r="E14" s="363">
        <f>NOVIEMBRE!E14+DICIEMBRE!Q14</f>
        <v>5318248230</v>
      </c>
      <c r="F14" s="143">
        <f>SUM(C14:E14)</f>
        <v>9883682964</v>
      </c>
      <c r="G14" s="216">
        <f>NOVIEMBRE!I14</f>
        <v>9883682964</v>
      </c>
      <c r="H14" s="364">
        <v>0</v>
      </c>
      <c r="I14" s="143">
        <f>SUM(G14:H14)</f>
        <v>9883682964</v>
      </c>
      <c r="J14" s="216">
        <f>NOVIEMBRE!L14</f>
        <v>9883682964</v>
      </c>
      <c r="K14" s="131">
        <v>0</v>
      </c>
      <c r="L14" s="143">
        <f>SUM(J14:K14)</f>
        <v>9883682964</v>
      </c>
      <c r="M14" s="216">
        <f>F14-I14</f>
        <v>0</v>
      </c>
      <c r="N14" s="143">
        <f>F14-L14</f>
        <v>0</v>
      </c>
      <c r="O14" s="372"/>
      <c r="P14" s="362">
        <v>0</v>
      </c>
      <c r="Q14" s="365">
        <v>0</v>
      </c>
      <c r="S14" s="686">
        <f>+IF(NOVIEMBRE!S14=0,"",NOVIEMBRE!S14)</f>
        <v>1010000</v>
      </c>
      <c r="T14" s="662" t="str">
        <f>+IF(NOVIEMBRE!T14=0,"",NOVIEMBRE!T14)</f>
        <v>Gastos de Administración</v>
      </c>
      <c r="U14" s="132">
        <f t="shared" ref="U14:AJ14" si="11">U16+U35+U43+U57</f>
        <v>6899222078</v>
      </c>
      <c r="V14" s="122">
        <f t="shared" si="11"/>
        <v>-478979942</v>
      </c>
      <c r="W14" s="122">
        <f t="shared" si="11"/>
        <v>592200000</v>
      </c>
      <c r="X14" s="129">
        <f t="shared" si="11"/>
        <v>7012442136</v>
      </c>
      <c r="Y14" s="128">
        <f t="shared" si="11"/>
        <v>6611903104</v>
      </c>
      <c r="Z14" s="122">
        <f t="shared" si="11"/>
        <v>126252474</v>
      </c>
      <c r="AA14" s="129">
        <f t="shared" si="11"/>
        <v>6738155578</v>
      </c>
      <c r="AB14" s="128">
        <f t="shared" si="11"/>
        <v>6198740283</v>
      </c>
      <c r="AC14" s="122">
        <f t="shared" si="11"/>
        <v>539415295</v>
      </c>
      <c r="AD14" s="129">
        <f t="shared" si="11"/>
        <v>6738155578</v>
      </c>
      <c r="AE14" s="128">
        <f t="shared" si="11"/>
        <v>5653462113</v>
      </c>
      <c r="AF14" s="122">
        <f t="shared" si="11"/>
        <v>582470003</v>
      </c>
      <c r="AG14" s="129">
        <f t="shared" si="11"/>
        <v>6235932116</v>
      </c>
      <c r="AH14" s="128">
        <f t="shared" si="11"/>
        <v>274286558</v>
      </c>
      <c r="AI14" s="122">
        <f t="shared" si="11"/>
        <v>274286558</v>
      </c>
      <c r="AJ14" s="130">
        <f t="shared" si="11"/>
        <v>776510020</v>
      </c>
      <c r="AK14" s="10"/>
      <c r="AL14" s="128">
        <f>AL16+AL35+AL43+AL57</f>
        <v>-10000000</v>
      </c>
      <c r="AM14" s="130">
        <f>AM16+AM35+AM43+AM57</f>
        <v>0</v>
      </c>
      <c r="AO14" s="21"/>
      <c r="AP14" s="11" t="s">
        <v>73</v>
      </c>
      <c r="AQ14" s="12">
        <f>F19-AQ7-AQ8-AQ9-AQ10-AQ11-AQ12-AQ13</f>
        <v>24000334385</v>
      </c>
      <c r="AR14" s="12">
        <f>I19-AR7-AR8-AR9-AR10-AR11-AR12-AR13</f>
        <v>20724712849</v>
      </c>
      <c r="AS14" s="12">
        <f>L19-AS7-AS8-AS9-AS10-AS11-AS12-AS13</f>
        <v>11640914698.760002</v>
      </c>
      <c r="AT14" s="372"/>
      <c r="AU14" s="340">
        <f t="shared" si="0"/>
        <v>0.8635176709018173</v>
      </c>
      <c r="AV14" s="340">
        <f t="shared" si="1"/>
        <v>0.48503135464793656</v>
      </c>
      <c r="AW14" s="341">
        <f>(I41+I46+I49+I52+I55+I58+I61+I64+I67+I70+I73+I78+I81+I82+I83+I85+I94+I104)/AO$2*12+I47+I50+I53+I56+I59+I62+I65+I68+I71+I74</f>
        <v>60007929910</v>
      </c>
      <c r="AX14" s="341">
        <f>(L41+L46+L49+L52+L55+L58+L61+L64+L67+L70+L73+L78+L81+L82+L83+L85+L94+L104)/AO$2*12+L47+L50+L53+L56+L59+L62+L65+L68+L71+L74</f>
        <v>50869360427.760002</v>
      </c>
      <c r="AY14" s="341">
        <f t="shared" si="2"/>
        <v>36007595525</v>
      </c>
      <c r="AZ14" s="342">
        <f t="shared" si="3"/>
        <v>26869026042.760002</v>
      </c>
      <c r="BB14" s="373" t="s">
        <v>417</v>
      </c>
      <c r="BC14" s="92">
        <f>+F64</f>
        <v>8371510292</v>
      </c>
      <c r="BD14" s="93">
        <f>+I64</f>
        <v>5795212204</v>
      </c>
      <c r="BE14" s="94">
        <f>K64</f>
        <v>309448188</v>
      </c>
      <c r="BF14" s="53">
        <f>+BE14+NOVIEMBRE!BE14+OCTUBRE!BE14+SEPTIEMBRE!BF14</f>
        <v>3136394531.0699997</v>
      </c>
      <c r="BG14" s="91" t="s">
        <v>74</v>
      </c>
      <c r="BH14" s="81">
        <f t="shared" si="10"/>
        <v>247344980</v>
      </c>
      <c r="BI14" s="81">
        <f t="shared" si="10"/>
        <v>226892532</v>
      </c>
      <c r="BJ14" s="81">
        <f t="shared" si="10"/>
        <v>226892532</v>
      </c>
      <c r="BK14" s="81">
        <f t="shared" si="10"/>
        <v>0</v>
      </c>
      <c r="BL14" s="40">
        <f>+BK14+NOVIEMBRE!BK14+OCTUBRE!BK14+SEPTIEMBRE!BL14</f>
        <v>226892532</v>
      </c>
      <c r="BM14" s="138" t="s">
        <v>424</v>
      </c>
      <c r="BN14" s="86">
        <f>X35-X41+X83-X88</f>
        <v>23374156386</v>
      </c>
      <c r="BO14" s="84">
        <f>AA35-AA41+AA83-AA88</f>
        <v>21769803014</v>
      </c>
      <c r="BP14" s="84">
        <f>AD35-AD41+AD83-AD88</f>
        <v>21769803014</v>
      </c>
      <c r="BQ14" s="197">
        <f>AF35-AF41+AF83-AF88</f>
        <v>2797918424</v>
      </c>
      <c r="BR14" s="118">
        <f>+BQ14+NOVIEMBRE!BQ14+OCTUBRE!BQ14+SEPTIEMBRE!BQ14+AGOSTO!BQ14+JULIO!BQ14+JUNIO!BQ14+MAYO!BQ14+ABRIL!BQ14+MARZO!BQ14+FEBRERO!BQ14+ENERO!BQ14</f>
        <v>16198665146</v>
      </c>
    </row>
    <row r="15" spans="1:70" s="9" customFormat="1" ht="24.95" customHeight="1" thickBot="1">
      <c r="A15" s="594">
        <f>+IF(NOVIEMBRE!A15=0,"",NOVIEMBRE!A15)</f>
        <v>1004</v>
      </c>
      <c r="B15" s="621" t="str">
        <f>+IF(NOVIEMBRE!B15=0,"",NOVIEMBRE!B15)</f>
        <v>Cesantias Ley 50/1990 a Dic-31-2018</v>
      </c>
      <c r="C15" s="759">
        <f>+ENERO!C15</f>
        <v>280000000</v>
      </c>
      <c r="D15" s="375">
        <f>NOVIEMBRE!D15+DICIEMBRE!P15</f>
        <v>0</v>
      </c>
      <c r="E15" s="375">
        <f>NOVIEMBRE!E15+DICIEMBRE!Q15</f>
        <v>13182074</v>
      </c>
      <c r="F15" s="376">
        <f>SUM(C15:E15)</f>
        <v>293182074</v>
      </c>
      <c r="G15" s="377">
        <f>NOVIEMBRE!I15</f>
        <v>293182074</v>
      </c>
      <c r="H15" s="378">
        <v>0</v>
      </c>
      <c r="I15" s="376">
        <f>SUM(G15:H15)</f>
        <v>293182074</v>
      </c>
      <c r="J15" s="377">
        <f>NOVIEMBRE!L15</f>
        <v>293182074</v>
      </c>
      <c r="K15" s="165">
        <v>0</v>
      </c>
      <c r="L15" s="376">
        <f>SUM(J15:K15)</f>
        <v>293182074</v>
      </c>
      <c r="M15" s="377">
        <f>F15-I15</f>
        <v>0</v>
      </c>
      <c r="N15" s="376">
        <f>F15-L15</f>
        <v>0</v>
      </c>
      <c r="O15" s="372"/>
      <c r="P15" s="374">
        <v>0</v>
      </c>
      <c r="Q15" s="379">
        <v>0</v>
      </c>
      <c r="S15" s="356" t="str">
        <f>+IF(NOVIEMBRE!S15=0,"",NOVIEMBRE!S15)</f>
        <v/>
      </c>
      <c r="T15" s="678" t="str">
        <f>+IF(NOVIEMBRE!T15=0,"",NOVIEMBRE!T15)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812450293</v>
      </c>
      <c r="AR15" s="12">
        <f>I113</f>
        <v>799938102</v>
      </c>
      <c r="AS15" s="12">
        <f>L113</f>
        <v>799938102</v>
      </c>
      <c r="AT15" s="13"/>
      <c r="AU15" s="332">
        <f t="shared" si="0"/>
        <v>0.9845994381344878</v>
      </c>
      <c r="AV15" s="340">
        <f t="shared" si="1"/>
        <v>0.9845994381344878</v>
      </c>
      <c r="AW15" s="12">
        <f>+AR15</f>
        <v>799938102</v>
      </c>
      <c r="AX15" s="12">
        <f>+AS15</f>
        <v>799938102</v>
      </c>
      <c r="AY15" s="12">
        <f t="shared" si="2"/>
        <v>-12512191</v>
      </c>
      <c r="AZ15" s="333">
        <f t="shared" si="3"/>
        <v>-12512191</v>
      </c>
      <c r="BA15" s="372"/>
      <c r="BB15" s="373" t="s">
        <v>77</v>
      </c>
      <c r="BC15" s="92">
        <f>F46+F49</f>
        <v>130489617</v>
      </c>
      <c r="BD15" s="93">
        <f>I46+I49</f>
        <v>1156259631</v>
      </c>
      <c r="BE15" s="94">
        <f>K46+K49</f>
        <v>0</v>
      </c>
      <c r="BF15" s="53">
        <f>+BE15+NOVIEMBRE!BE15+OCTUBRE!BE15+SEPTIEMBRE!BF15</f>
        <v>230100</v>
      </c>
      <c r="BG15" s="91" t="s">
        <v>78</v>
      </c>
      <c r="BH15" s="81">
        <f t="shared" si="10"/>
        <v>23262771254</v>
      </c>
      <c r="BI15" s="81">
        <f t="shared" si="10"/>
        <v>19428711890</v>
      </c>
      <c r="BJ15" s="81">
        <f t="shared" si="10"/>
        <v>19428711890</v>
      </c>
      <c r="BK15" s="81">
        <f t="shared" si="10"/>
        <v>766504097</v>
      </c>
      <c r="BL15" s="40">
        <f>+BK15+NOVIEMBRE!BK15+OCTUBRE!BK15+SEPTIEMBRE!BL15</f>
        <v>19428711890</v>
      </c>
      <c r="BM15" s="71" t="s">
        <v>66</v>
      </c>
      <c r="BN15" s="83">
        <f>SUM(BN16:BN21)</f>
        <v>12493134256</v>
      </c>
      <c r="BO15" s="81">
        <f>SUM(BO16:BO21)</f>
        <v>10913925467</v>
      </c>
      <c r="BP15" s="81">
        <f>SUM(BP16:BP21)</f>
        <v>10913925467</v>
      </c>
      <c r="BQ15" s="196">
        <f>SUM(BQ16:BQ21)</f>
        <v>1507012700</v>
      </c>
      <c r="BR15" s="118">
        <f>SUM(BR16:BR21)</f>
        <v>8816392131</v>
      </c>
    </row>
    <row r="16" spans="1:70" s="9" customFormat="1" ht="24.95" customHeight="1" thickBot="1">
      <c r="A16" s="713" t="str">
        <f>+IF(NOVIEMBRE!A16=0,"",NOVIEMBRE!A16)</f>
        <v/>
      </c>
      <c r="B16" s="622" t="str">
        <f>+IF(NOVIEMBRE!B16=0,"",NOVIEMBRE!B16)</f>
        <v/>
      </c>
      <c r="C16" s="380"/>
      <c r="D16" s="380"/>
      <c r="E16" s="380"/>
      <c r="F16" s="380"/>
      <c r="G16" s="380"/>
      <c r="H16" s="380"/>
      <c r="I16" s="380"/>
      <c r="J16" s="380"/>
      <c r="K16" s="380"/>
      <c r="L16" s="380"/>
      <c r="M16" s="380"/>
      <c r="N16" s="381"/>
      <c r="O16" s="372"/>
      <c r="P16" s="382"/>
      <c r="Q16" s="383"/>
      <c r="S16" s="687">
        <f>+IF(NOVIEMBRE!S16=0,"",NOVIEMBRE!S16)</f>
        <v>1010100</v>
      </c>
      <c r="T16" s="663" t="str">
        <f>+IF(NOVIEMBRE!T16=0,"",NOVIEMBRE!T16)</f>
        <v>Servicios Personales Asociados a Nómina</v>
      </c>
      <c r="U16" s="132">
        <f t="shared" ref="U16:AJ16" si="12">SUM(U17:U20)+U33</f>
        <v>1868719642</v>
      </c>
      <c r="V16" s="122">
        <f t="shared" si="12"/>
        <v>-325000000</v>
      </c>
      <c r="W16" s="122">
        <f t="shared" si="12"/>
        <v>120000000</v>
      </c>
      <c r="X16" s="129">
        <f t="shared" si="12"/>
        <v>1663719642</v>
      </c>
      <c r="Y16" s="128">
        <f t="shared" si="12"/>
        <v>1442109257</v>
      </c>
      <c r="Z16" s="122">
        <f t="shared" si="12"/>
        <v>141208213</v>
      </c>
      <c r="AA16" s="129">
        <f t="shared" si="12"/>
        <v>1583317470</v>
      </c>
      <c r="AB16" s="128">
        <f t="shared" si="12"/>
        <v>1442109257</v>
      </c>
      <c r="AC16" s="122">
        <f t="shared" si="12"/>
        <v>141208213</v>
      </c>
      <c r="AD16" s="129">
        <f t="shared" si="12"/>
        <v>1583317470</v>
      </c>
      <c r="AE16" s="128">
        <f t="shared" si="12"/>
        <v>1442046208</v>
      </c>
      <c r="AF16" s="122">
        <f t="shared" si="12"/>
        <v>139795735</v>
      </c>
      <c r="AG16" s="129">
        <f t="shared" si="12"/>
        <v>1581841943</v>
      </c>
      <c r="AH16" s="128">
        <f t="shared" si="12"/>
        <v>80402172</v>
      </c>
      <c r="AI16" s="122">
        <f t="shared" si="12"/>
        <v>80402172</v>
      </c>
      <c r="AJ16" s="130">
        <f t="shared" si="12"/>
        <v>81877699</v>
      </c>
      <c r="AK16" s="10"/>
      <c r="AL16" s="128">
        <f>SUM(AL17:AL20)+AL33</f>
        <v>-10000000</v>
      </c>
      <c r="AM16" s="130">
        <f>SUM(AM17:AM20)+AM33</f>
        <v>0</v>
      </c>
      <c r="AO16" s="21"/>
      <c r="AP16" s="384" t="s">
        <v>81</v>
      </c>
      <c r="AQ16" s="385">
        <f>F10</f>
        <v>10176865038</v>
      </c>
      <c r="AR16" s="385">
        <f>I10</f>
        <v>10176865038</v>
      </c>
      <c r="AS16" s="385">
        <f>L10</f>
        <v>10176865038</v>
      </c>
      <c r="AT16" s="372"/>
      <c r="AU16" s="386">
        <f t="shared" si="0"/>
        <v>1</v>
      </c>
      <c r="AV16" s="386">
        <f t="shared" si="1"/>
        <v>1</v>
      </c>
      <c r="AW16" s="385">
        <f>+AR16</f>
        <v>10176865038</v>
      </c>
      <c r="AX16" s="385">
        <f>+AS16</f>
        <v>10176865038</v>
      </c>
      <c r="AY16" s="12">
        <f t="shared" si="2"/>
        <v>0</v>
      </c>
      <c r="AZ16" s="387">
        <f t="shared" si="3"/>
        <v>0</v>
      </c>
      <c r="BA16" s="372"/>
      <c r="BB16" s="355" t="s">
        <v>418</v>
      </c>
      <c r="BC16" s="73">
        <f>F43</f>
        <v>0</v>
      </c>
      <c r="BD16" s="74">
        <f>I43</f>
        <v>0</v>
      </c>
      <c r="BE16" s="75">
        <f>K43</f>
        <v>0</v>
      </c>
      <c r="BF16" s="53">
        <f>+BE16+NOVIEMBRE!BE16+OCTUBRE!BE16+SEPTIEMBRE!BF16</f>
        <v>0</v>
      </c>
      <c r="BG16" s="91" t="s">
        <v>82</v>
      </c>
      <c r="BH16" s="96">
        <f>BH7+BH12+BH13+BH14+BH15</f>
        <v>137255115108</v>
      </c>
      <c r="BI16" s="96">
        <f>BI7+BI12+BI13+BI14+BI15</f>
        <v>96093187852</v>
      </c>
      <c r="BJ16" s="96">
        <f>BJ7+BJ12+BJ13+BJ14+BJ15</f>
        <v>96093187852</v>
      </c>
      <c r="BK16" s="96">
        <f>BK7+BK12+BK13+BK14+BK15</f>
        <v>12096917498</v>
      </c>
      <c r="BL16" s="40">
        <f>+BK16+NOVIEMBRE!BK16+OCTUBRE!BK16+SEPTIEMBRE!BL16</f>
        <v>82035324444</v>
      </c>
      <c r="BM16" s="137" t="s">
        <v>83</v>
      </c>
      <c r="BN16" s="83">
        <f>X114-X121+X147-X148-X153</f>
        <v>2257314729</v>
      </c>
      <c r="BO16" s="81">
        <f>AA114-AA121+AA147-AA148-AA153</f>
        <v>1699482988</v>
      </c>
      <c r="BP16" s="81">
        <f>AD114-AD121+AD147-AD148-AD153</f>
        <v>1699482988</v>
      </c>
      <c r="BQ16" s="82">
        <f>AF114-AF121+AF147-AF148-AF153</f>
        <v>314491444</v>
      </c>
      <c r="BR16" s="118">
        <f>+BQ16+NOVIEMBRE!BQ16+OCTUBRE!BQ16+SEPTIEMBRE!BQ16+AGOSTO!BQ16+JULIO!BQ16+JUNIO!BQ16+MAYO!BQ16+ABRIL!BQ16+MARZO!BQ16+FEBRERO!BQ16+ENERO!BQ16</f>
        <v>1305845584</v>
      </c>
    </row>
    <row r="17" spans="1:249" s="372" customFormat="1" ht="24.95" customHeight="1" thickBot="1">
      <c r="A17" s="712">
        <f>+IF(NOVIEMBRE!A17=0,"",NOVIEMBRE!A17)</f>
        <v>11</v>
      </c>
      <c r="B17" s="623" t="str">
        <f>+IF(NOVIEMBRE!B17=0,"",NOVIEMBRE!B17)</f>
        <v>INGRESOS  CORRIENTES</v>
      </c>
      <c r="C17" s="324">
        <f>C19+C94+C104</f>
        <v>61374630552</v>
      </c>
      <c r="D17" s="321">
        <f t="shared" ref="D17:Q17" si="13">D19+D94+D104</f>
        <v>0</v>
      </c>
      <c r="E17" s="321">
        <f t="shared" si="13"/>
        <v>64891169225</v>
      </c>
      <c r="F17" s="321">
        <f t="shared" si="13"/>
        <v>126265799777</v>
      </c>
      <c r="G17" s="321">
        <f t="shared" si="13"/>
        <v>105237552781</v>
      </c>
      <c r="H17" s="321">
        <f t="shared" si="13"/>
        <v>31958538246</v>
      </c>
      <c r="I17" s="321">
        <f t="shared" si="13"/>
        <v>137196091027</v>
      </c>
      <c r="J17" s="321">
        <f t="shared" si="13"/>
        <v>68421375449.760002</v>
      </c>
      <c r="K17" s="321">
        <f t="shared" si="13"/>
        <v>30347006641</v>
      </c>
      <c r="L17" s="321">
        <f t="shared" si="13"/>
        <v>98768382090.76001</v>
      </c>
      <c r="M17" s="321">
        <f t="shared" si="13"/>
        <v>-10930291250</v>
      </c>
      <c r="N17" s="322">
        <f t="shared" si="13"/>
        <v>27497417686.240002</v>
      </c>
      <c r="P17" s="174">
        <f t="shared" si="13"/>
        <v>0</v>
      </c>
      <c r="Q17" s="175">
        <f t="shared" si="13"/>
        <v>20622163625</v>
      </c>
      <c r="R17" s="9"/>
      <c r="S17" s="688">
        <f>+IF(NOVIEMBRE!S17=0,"",NOVIEMBRE!S17)</f>
        <v>1010101</v>
      </c>
      <c r="T17" s="664" t="str">
        <f>+IF(NOVIEMBRE!T17=0,"",NOVIEMBRE!T17)</f>
        <v>Sueldos del Personal de nómina</v>
      </c>
      <c r="U17" s="27">
        <f>+ENERO!U17</f>
        <v>1519896974</v>
      </c>
      <c r="V17" s="15">
        <f>NOVIEMBRE!V17+DICIEMBRE!AL17</f>
        <v>-210000000</v>
      </c>
      <c r="W17" s="15">
        <f>NOVIEMBRE!W17+DICIEMBRE!AM17</f>
        <v>0</v>
      </c>
      <c r="X17" s="18">
        <f>SUM(U17:W17)</f>
        <v>1309896974</v>
      </c>
      <c r="Y17" s="19">
        <f>NOVIEMBRE!AA17</f>
        <v>1184427911</v>
      </c>
      <c r="Z17" s="364">
        <v>114874161</v>
      </c>
      <c r="AA17" s="18">
        <f>SUM(Y17:Z17)</f>
        <v>1299302072</v>
      </c>
      <c r="AB17" s="19">
        <f>NOVIEMBRE!AD17</f>
        <v>1184427911</v>
      </c>
      <c r="AC17" s="364">
        <v>114874161</v>
      </c>
      <c r="AD17" s="18">
        <f>SUM(AB17:AC17)</f>
        <v>1299302072</v>
      </c>
      <c r="AE17" s="19">
        <f>NOVIEMBRE!AG17</f>
        <v>1184390832</v>
      </c>
      <c r="AF17" s="364">
        <v>113435713</v>
      </c>
      <c r="AG17" s="18">
        <f>SUM(AE17:AF17)</f>
        <v>1297826545</v>
      </c>
      <c r="AH17" s="19">
        <f>X17-AA17</f>
        <v>10594902</v>
      </c>
      <c r="AI17" s="15">
        <f>X17-AD17</f>
        <v>10594902</v>
      </c>
      <c r="AJ17" s="16">
        <f>X17-AG17</f>
        <v>12070429</v>
      </c>
      <c r="AK17" s="9"/>
      <c r="AL17" s="362">
        <v>-10000000</v>
      </c>
      <c r="AM17" s="365">
        <v>0</v>
      </c>
      <c r="AN17" s="9"/>
      <c r="AO17" s="339"/>
      <c r="AP17" s="389" t="s">
        <v>85</v>
      </c>
      <c r="AQ17" s="390">
        <f>SUM(AQ7:AQ16)</f>
        <v>97621536067</v>
      </c>
      <c r="AR17" s="391">
        <f>SUM(AR7:AR16)</f>
        <v>109562057235</v>
      </c>
      <c r="AS17" s="392">
        <f>SUM(AS7:AS16)</f>
        <v>71189119630.76001</v>
      </c>
      <c r="AT17" s="393"/>
      <c r="AU17" s="391">
        <f t="shared" si="0"/>
        <v>1.1223144159481873</v>
      </c>
      <c r="AV17" s="391">
        <f t="shared" si="1"/>
        <v>0.72923580696273016</v>
      </c>
      <c r="AW17" s="394">
        <f>SUM(AX7:AX16)</f>
        <v>110417565359.76001</v>
      </c>
      <c r="AX17" s="394">
        <f>SUM(AX7:AX16)</f>
        <v>110417565359.76001</v>
      </c>
      <c r="AY17" s="394">
        <f>SUM(AY7:AY16)</f>
        <v>51223738229</v>
      </c>
      <c r="AZ17" s="395">
        <f>SUM(AZ7:AZ16)</f>
        <v>12796029292.760002</v>
      </c>
      <c r="BA17" s="9"/>
      <c r="BB17" s="355" t="s">
        <v>419</v>
      </c>
      <c r="BC17" s="73">
        <f>F41+F52+F55+F58+F61+F67+F70+F73+F76+F79+F82+F86+F87+F88+F89+F90+F91</f>
        <v>13485786942</v>
      </c>
      <c r="BD17" s="74">
        <f>I41+I52+I55+I58+I61+I67+I70+I73+I76+I79+I82+I86+I87+I88+I89+I90+I91</f>
        <v>11738883759</v>
      </c>
      <c r="BE17" s="75">
        <f>K41+K52+K55+K58+K61+K67+K70+K73+K76+K79+K82+K86+K87+K88+K89+K90+K91</f>
        <v>62381928</v>
      </c>
      <c r="BF17" s="53">
        <f>+BE17+NOVIEMBRE!BE17+OCTUBRE!BE17+SEPTIEMBRE!BF17</f>
        <v>6343397417</v>
      </c>
      <c r="BG17" s="98" t="s">
        <v>86</v>
      </c>
      <c r="BH17" s="99">
        <f>BC23-BH16</f>
        <v>-137255115108</v>
      </c>
      <c r="BI17" s="99"/>
      <c r="BJ17" s="99"/>
      <c r="BK17" s="99"/>
      <c r="BL17" s="40">
        <f>+BK17+NOVIEMBRE!BK17+OCTUBRE!BK17+SEPTIEMBRE!BL17</f>
        <v>0</v>
      </c>
      <c r="BM17" s="137" t="s">
        <v>434</v>
      </c>
      <c r="BN17" s="83">
        <f>X123-X126-X139+X155-X156-X167-X168</f>
        <v>5204712263</v>
      </c>
      <c r="BO17" s="81">
        <f>AA123-AA126-AA139+AA155-AA156-AA167-AA168</f>
        <v>4811641438</v>
      </c>
      <c r="BP17" s="81">
        <f>AD123-AD126-AD139+AD155-AD156-AD167-AD168</f>
        <v>4811641438</v>
      </c>
      <c r="BQ17" s="82">
        <f>AF123-AF126-AF139+AF155-AF156-AF167-AF168</f>
        <v>646991821</v>
      </c>
      <c r="BR17" s="118">
        <f>+BQ17+NOVIEMBRE!BQ17+OCTUBRE!BQ17+SEPTIEMBRE!BQ17+AGOSTO!BQ17+JULIO!BQ17+JUNIO!BQ17+MAYO!BQ17+ABRIL!BQ17+MARZO!BQ17+FEBRERO!BQ17+ENERO!BQ17</f>
        <v>3721001115</v>
      </c>
    </row>
    <row r="18" spans="1:249" s="9" customFormat="1" ht="24.95" customHeight="1" thickBot="1">
      <c r="A18" s="593" t="str">
        <f>+IF(NOVIEMBRE!A18=0,"",NOVIEMBRE!A18)</f>
        <v/>
      </c>
      <c r="B18" s="624" t="str">
        <f>+IF(NOVIEMBRE!B18=0,"",NOVIEMBRE!B18)</f>
        <v/>
      </c>
      <c r="C18" s="284"/>
      <c r="D18" s="284"/>
      <c r="E18" s="284"/>
      <c r="F18" s="284"/>
      <c r="G18" s="284"/>
      <c r="H18" s="284"/>
      <c r="I18" s="284"/>
      <c r="J18" s="284"/>
      <c r="K18" s="284"/>
      <c r="L18" s="284"/>
      <c r="M18" s="284"/>
      <c r="N18" s="453"/>
      <c r="P18" s="397"/>
      <c r="Q18" s="396"/>
      <c r="S18" s="688">
        <f>+IF(NOVIEMBRE!S18=0,"",NOVIEMBRE!S18)</f>
        <v>1010102</v>
      </c>
      <c r="T18" s="664" t="str">
        <f>+IF(NOVIEMBRE!T18=0,"",NOVIEMBRE!T18)</f>
        <v>Horas Extras,Dominic.,Festivos y Rec. Nocturnos</v>
      </c>
      <c r="U18" s="27">
        <f>+ENERO!U18</f>
        <v>7017105</v>
      </c>
      <c r="V18" s="15">
        <f>NOVIEMBRE!V18+DICIEMBRE!AL18</f>
        <v>5000000</v>
      </c>
      <c r="W18" s="15">
        <f>NOVIEMBRE!W18+DICIEMBRE!AM18</f>
        <v>0</v>
      </c>
      <c r="X18" s="18">
        <f>SUM(U18:W18)</f>
        <v>12017105</v>
      </c>
      <c r="Y18" s="19">
        <f>NOVIEMBRE!AA18</f>
        <v>9764463</v>
      </c>
      <c r="Z18" s="364">
        <v>1010410</v>
      </c>
      <c r="AA18" s="18">
        <f>SUM(Y18:Z18)</f>
        <v>10774873</v>
      </c>
      <c r="AB18" s="19">
        <f>NOVIEMBRE!AD18</f>
        <v>9764463</v>
      </c>
      <c r="AC18" s="364">
        <v>1010410</v>
      </c>
      <c r="AD18" s="18">
        <f>SUM(AB18:AC18)</f>
        <v>10774873</v>
      </c>
      <c r="AE18" s="19">
        <f>NOVIEMBRE!AG18</f>
        <v>9764463</v>
      </c>
      <c r="AF18" s="364">
        <v>1010410</v>
      </c>
      <c r="AG18" s="18">
        <f>SUM(AE18:AF18)</f>
        <v>10774873</v>
      </c>
      <c r="AH18" s="19">
        <f>X18-AA18</f>
        <v>1242232</v>
      </c>
      <c r="AI18" s="15">
        <f>X18-AD18</f>
        <v>1242232</v>
      </c>
      <c r="AJ18" s="16">
        <f>X18-AG18</f>
        <v>1242232</v>
      </c>
      <c r="AL18" s="362">
        <v>0</v>
      </c>
      <c r="AM18" s="365">
        <v>0</v>
      </c>
      <c r="AO18" s="21"/>
      <c r="AP18" s="284" t="s">
        <v>51</v>
      </c>
      <c r="AQ18" s="284"/>
      <c r="AR18" s="284"/>
      <c r="AS18" s="284"/>
      <c r="AT18" s="284"/>
      <c r="AU18" s="284"/>
      <c r="AV18" s="284"/>
      <c r="AW18" s="284"/>
      <c r="AX18" s="284"/>
      <c r="AY18" s="284"/>
      <c r="AZ18" s="284"/>
      <c r="BA18" s="372"/>
      <c r="BB18" s="373" t="s">
        <v>420</v>
      </c>
      <c r="BC18" s="73">
        <f>+F95+F96+F97+F99</f>
        <v>39533200978</v>
      </c>
      <c r="BD18" s="74">
        <f>+I95+I96+I97+I99</f>
        <v>38482262756</v>
      </c>
      <c r="BE18" s="75">
        <f>+K95+K96+K97+K99</f>
        <v>20200000000</v>
      </c>
      <c r="BF18" s="53">
        <f>+BE18+NOVIEMBRE!BE18+OCTUBRE!BE18+SEPTIEMBRE!BF18</f>
        <v>38482262756</v>
      </c>
      <c r="BM18" s="137" t="s">
        <v>87</v>
      </c>
      <c r="BN18" s="83">
        <f>X148+X156</f>
        <v>3764025000</v>
      </c>
      <c r="BO18" s="81">
        <f>AA148+AA156</f>
        <v>3410144373</v>
      </c>
      <c r="BP18" s="81">
        <f>AD148+AD156</f>
        <v>3410144373</v>
      </c>
      <c r="BQ18" s="82">
        <f>AF148+AF156</f>
        <v>456501702</v>
      </c>
      <c r="BR18" s="118">
        <f>+BQ18+NOVIEMBRE!BQ18+OCTUBRE!BQ18+SEPTIEMBRE!BQ18+AGOSTO!BQ18+JULIO!BQ18+JUNIO!BQ18+MAYO!BQ18+ABRIL!BQ18+MARZO!BQ18+FEBRERO!BQ18+ENERO!BQ18</f>
        <v>2856228644</v>
      </c>
    </row>
    <row r="19" spans="1:249" s="9" customFormat="1" ht="24.95" customHeight="1" thickBot="1">
      <c r="A19" s="714">
        <f>+IF(NOVIEMBRE!A19=0,"",NOVIEMBRE!A19)</f>
        <v>113</v>
      </c>
      <c r="B19" s="625" t="str">
        <f>+IF(NOVIEMBRE!B19=0,"",NOVIEMBRE!B19)</f>
        <v>VENTA DE SERVICIOS</v>
      </c>
      <c r="C19" s="324">
        <f t="shared" ref="C19:N19" si="14">C21+C85</f>
        <v>53293559356</v>
      </c>
      <c r="D19" s="321">
        <f t="shared" si="14"/>
        <v>0</v>
      </c>
      <c r="E19" s="321">
        <f t="shared" si="14"/>
        <v>33338661380</v>
      </c>
      <c r="F19" s="322">
        <f t="shared" si="14"/>
        <v>86632220736</v>
      </c>
      <c r="G19" s="324">
        <f t="shared" si="14"/>
        <v>86829811209</v>
      </c>
      <c r="H19" s="321">
        <f t="shared" si="14"/>
        <v>11755442886</v>
      </c>
      <c r="I19" s="322">
        <f t="shared" si="14"/>
        <v>98585254095</v>
      </c>
      <c r="J19" s="324">
        <f t="shared" si="14"/>
        <v>50072525615.760002</v>
      </c>
      <c r="K19" s="321">
        <f t="shared" si="14"/>
        <v>10139790875</v>
      </c>
      <c r="L19" s="322">
        <f t="shared" si="14"/>
        <v>60212316490.760002</v>
      </c>
      <c r="M19" s="324">
        <f t="shared" si="14"/>
        <v>-11953033359</v>
      </c>
      <c r="N19" s="322">
        <f t="shared" si="14"/>
        <v>26419904245.240002</v>
      </c>
      <c r="O19" s="372"/>
      <c r="P19" s="43">
        <f>P21+P85</f>
        <v>0</v>
      </c>
      <c r="Q19" s="45">
        <f>Q21+Q85</f>
        <v>2587163625</v>
      </c>
      <c r="S19" s="688">
        <f>+IF(NOVIEMBRE!S19=0,"",NOVIEMBRE!S19)</f>
        <v>1010103</v>
      </c>
      <c r="T19" s="664" t="str">
        <f>+IF(NOVIEMBRE!T19=0,"",NOVIEMBRE!T19)</f>
        <v>Prima Técnica</v>
      </c>
      <c r="U19" s="27">
        <f>+ENERO!U19</f>
        <v>0</v>
      </c>
      <c r="V19" s="15">
        <f>NOVIEMBRE!V19+DICIEMBRE!AL19</f>
        <v>0</v>
      </c>
      <c r="W19" s="15">
        <f>NOVIEMBRE!W19+DICIEMBRE!AM19</f>
        <v>0</v>
      </c>
      <c r="X19" s="18">
        <f>SUM(U19:W19)</f>
        <v>0</v>
      </c>
      <c r="Y19" s="19">
        <f>NOVIEMBRE!AA19</f>
        <v>0</v>
      </c>
      <c r="Z19" s="364">
        <v>0</v>
      </c>
      <c r="AA19" s="18">
        <f>SUM(Y19:Z19)</f>
        <v>0</v>
      </c>
      <c r="AB19" s="19">
        <f>NOVIEMBRE!AD19</f>
        <v>0</v>
      </c>
      <c r="AC19" s="364">
        <v>0</v>
      </c>
      <c r="AD19" s="18">
        <f>SUM(AB19:AC19)</f>
        <v>0</v>
      </c>
      <c r="AE19" s="19">
        <f>NOVIEMBRE!AG19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08" t="str">
        <f>+CONCATENATE("PROYECCION A DICIEMBRE 31 DEL ",N3)</f>
        <v>PROYECCION A DICIEMBRE 31 DEL 2019</v>
      </c>
      <c r="AX19" s="909"/>
      <c r="AY19" s="909"/>
      <c r="AZ19" s="910"/>
      <c r="BA19" s="372"/>
      <c r="BB19" s="404" t="s">
        <v>93</v>
      </c>
      <c r="BC19" s="604">
        <f>+F105+F106+F107+F108+F109+F110+F98+F100+F101</f>
        <v>100378063</v>
      </c>
      <c r="BD19" s="93">
        <f>+I105+I106+I107+I108+I109+I110+I98+I100+I101</f>
        <v>125956176</v>
      </c>
      <c r="BE19" s="94">
        <f>+K105+K106+K107+K108+K109+K110+K98+K100+K101</f>
        <v>4597766</v>
      </c>
      <c r="BF19" s="53">
        <f>+BE19+NOVIEMBRE!BE19+OCTUBRE!BE19+SEPTIEMBRE!BF19</f>
        <v>71184844</v>
      </c>
      <c r="BG19" s="372"/>
      <c r="BH19" s="372">
        <f>BN33</f>
        <v>0</v>
      </c>
      <c r="BI19" s="372"/>
      <c r="BJ19" s="372"/>
      <c r="BK19" s="372"/>
      <c r="BM19" s="137" t="s">
        <v>94</v>
      </c>
      <c r="BN19" s="83">
        <f>X126+X167</f>
        <v>740000000</v>
      </c>
      <c r="BO19" s="81">
        <f>AA126+AA167</f>
        <v>729769808</v>
      </c>
      <c r="BP19" s="81">
        <f>AD126+AD167</f>
        <v>729769808</v>
      </c>
      <c r="BQ19" s="82">
        <f>AF126+AF167</f>
        <v>73454452</v>
      </c>
      <c r="BR19" s="118">
        <f>+BQ19+NOVIEMBRE!BQ19+OCTUBRE!BQ19+SEPTIEMBRE!BQ19+AGOSTO!BQ19+JULIO!BQ19+JUNIO!BQ19+MAYO!BQ19+ABRIL!BQ19+MARZO!BQ19+FEBRERO!BQ19+ENERO!BQ19</f>
        <v>670429928</v>
      </c>
    </row>
    <row r="20" spans="1:249" s="412" customFormat="1" ht="24.95" customHeight="1" thickBot="1">
      <c r="A20" s="593" t="str">
        <f>+IF(NOVIEMBRE!A20=0,"",NOVIEMBRE!A20)</f>
        <v/>
      </c>
      <c r="B20" s="626" t="str">
        <f>+IF(NOVIEMBRE!B20=0,"",NOVIEMBRE!B20)</f>
        <v/>
      </c>
      <c r="C20" s="284"/>
      <c r="D20" s="284"/>
      <c r="E20" s="284"/>
      <c r="F20" s="284"/>
      <c r="G20" s="284"/>
      <c r="H20" s="284"/>
      <c r="I20" s="284"/>
      <c r="J20" s="284"/>
      <c r="K20" s="284"/>
      <c r="L20" s="284"/>
      <c r="M20" s="284"/>
      <c r="N20" s="453"/>
      <c r="O20" s="9"/>
      <c r="P20" s="397"/>
      <c r="Q20" s="396"/>
      <c r="R20" s="9"/>
      <c r="S20" s="688">
        <f>+IF(NOVIEMBRE!S20=0,"",NOVIEMBRE!S20)</f>
        <v>1010104</v>
      </c>
      <c r="T20" s="664" t="str">
        <f>+IF(NOVIEMBRE!T20=0,"",NOVIEMBRE!T20)</f>
        <v>Otros</v>
      </c>
      <c r="U20" s="27">
        <f t="shared" ref="U20:AJ20" si="15">SUM(U21:U32)</f>
        <v>341805563</v>
      </c>
      <c r="V20" s="15">
        <f t="shared" si="15"/>
        <v>0</v>
      </c>
      <c r="W20" s="15">
        <f t="shared" si="15"/>
        <v>0</v>
      </c>
      <c r="X20" s="18">
        <f t="shared" si="15"/>
        <v>341805563</v>
      </c>
      <c r="Y20" s="19">
        <f t="shared" si="15"/>
        <v>247916883</v>
      </c>
      <c r="Z20" s="142">
        <f t="shared" si="15"/>
        <v>25323642</v>
      </c>
      <c r="AA20" s="18">
        <f t="shared" si="15"/>
        <v>273240525</v>
      </c>
      <c r="AB20" s="19">
        <f t="shared" si="15"/>
        <v>247916883</v>
      </c>
      <c r="AC20" s="142">
        <f t="shared" si="15"/>
        <v>25323642</v>
      </c>
      <c r="AD20" s="18">
        <f t="shared" si="15"/>
        <v>273240525</v>
      </c>
      <c r="AE20" s="19">
        <f t="shared" si="15"/>
        <v>247890913</v>
      </c>
      <c r="AF20" s="142">
        <f t="shared" si="15"/>
        <v>25349612</v>
      </c>
      <c r="AG20" s="18">
        <f t="shared" si="15"/>
        <v>273240525</v>
      </c>
      <c r="AH20" s="19">
        <f t="shared" si="15"/>
        <v>68565038</v>
      </c>
      <c r="AI20" s="15">
        <f t="shared" si="15"/>
        <v>68565038</v>
      </c>
      <c r="AJ20" s="16">
        <f t="shared" si="15"/>
        <v>68565038</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812450293</v>
      </c>
      <c r="BD20" s="66">
        <f>+I115+I117+I119+I120+I121+I123+I124</f>
        <v>799938102</v>
      </c>
      <c r="BE20" s="67">
        <f>+K115+K117+K119+K120+K121+K123+K124</f>
        <v>21433027</v>
      </c>
      <c r="BF20" s="53">
        <f>+BE20+NOVIEMBRE!BE20+OCTUBRE!BE20+SEPTIEMBRE!BF20</f>
        <v>799938102</v>
      </c>
      <c r="BG20" s="372"/>
      <c r="BH20" s="372">
        <f>BH19-BH16</f>
        <v>-137255115108</v>
      </c>
      <c r="BI20" s="372"/>
      <c r="BJ20" s="372"/>
      <c r="BK20" s="372"/>
      <c r="BL20" s="372"/>
      <c r="BM20" s="139" t="s">
        <v>429</v>
      </c>
      <c r="BN20" s="83">
        <f>+X141-X143</f>
        <v>527082264</v>
      </c>
      <c r="BO20" s="81">
        <f>+AA141-AA143</f>
        <v>262886860</v>
      </c>
      <c r="BP20" s="81">
        <f>+AD141-AD143</f>
        <v>262886860</v>
      </c>
      <c r="BQ20" s="82">
        <f>+AF141-AF143</f>
        <v>15573281</v>
      </c>
      <c r="BR20" s="118">
        <f>+BQ20+NOVIEMBRE!BQ20+OCTUBRE!BQ20+SEPTIEMBRE!BQ20+AGOSTO!BQ20+JULIO!BQ20+JUNIO!BQ20+MAYO!BQ20+ABRIL!BQ20+MARZO!BQ20+FEBRERO!BQ20+ENERO!BQ20</f>
        <v>262886860</v>
      </c>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row>
    <row r="21" spans="1:249" s="412" customFormat="1" ht="24.95" customHeight="1" thickBot="1">
      <c r="A21" s="715">
        <f>+IF(NOVIEMBRE!A21=0,"",NOVIEMBRE!A21)</f>
        <v>11301</v>
      </c>
      <c r="B21" s="627" t="str">
        <f>+IF(NOVIEMBRE!B21=0,"",NOVIEMBRE!B21)</f>
        <v>Venta de Servicios de Salud</v>
      </c>
      <c r="C21" s="174">
        <f t="shared" ref="C21:N21" si="16">C22+C25+C28+C41+C42+C45+C48+C51+C54+C57+C60+C63+C66+C69+C72+C75+C78+C81</f>
        <v>53293559356</v>
      </c>
      <c r="D21" s="344">
        <f t="shared" si="16"/>
        <v>0</v>
      </c>
      <c r="E21" s="344">
        <f t="shared" si="16"/>
        <v>19790218195</v>
      </c>
      <c r="F21" s="344">
        <f t="shared" si="16"/>
        <v>73083777551</v>
      </c>
      <c r="G21" s="344">
        <f t="shared" si="16"/>
        <v>77614642925</v>
      </c>
      <c r="H21" s="344">
        <f t="shared" si="16"/>
        <v>9271794220</v>
      </c>
      <c r="I21" s="344">
        <f t="shared" si="16"/>
        <v>86886437145</v>
      </c>
      <c r="J21" s="344">
        <f t="shared" si="16"/>
        <v>43568458636.760002</v>
      </c>
      <c r="K21" s="344">
        <f t="shared" si="16"/>
        <v>10139790875</v>
      </c>
      <c r="L21" s="344">
        <f t="shared" si="16"/>
        <v>53708249511.760002</v>
      </c>
      <c r="M21" s="344">
        <f t="shared" si="16"/>
        <v>-13802659594</v>
      </c>
      <c r="N21" s="175">
        <f t="shared" si="16"/>
        <v>19375528039.240002</v>
      </c>
      <c r="O21" s="372"/>
      <c r="P21" s="43">
        <f>P22+P25+P28+P41+P42+P45+P48+P51+P54+P57+P60+P63+P66+P69+P72+P75+P78+P81</f>
        <v>0</v>
      </c>
      <c r="Q21" s="45">
        <f>Q22+Q25+Q28+Q41+Q42+Q45+Q48+Q51+Q54+Q57+Q60+Q63+Q66+Q69+Q72+Q75+Q78+Q81</f>
        <v>2089282715</v>
      </c>
      <c r="R21" s="9"/>
      <c r="S21" s="689" t="str">
        <f>+IF(NOVIEMBRE!S21=0,"",NOVIEMBRE!S21)</f>
        <v>1010104-1</v>
      </c>
      <c r="T21" s="665" t="str">
        <f>+IF(NOVIEMBRE!T21=0,"",NOVIEMBRE!T21)</f>
        <v xml:space="preserve">Prima de Navidad </v>
      </c>
      <c r="U21" s="27">
        <f>+ENERO!U21</f>
        <v>142096948</v>
      </c>
      <c r="V21" s="15">
        <f>NOVIEMBRE!V21+DICIEMBRE!AL21</f>
        <v>0</v>
      </c>
      <c r="W21" s="15">
        <f>NOVIEMBRE!W21+DICIEMBRE!AM21</f>
        <v>0</v>
      </c>
      <c r="X21" s="18">
        <f t="shared" ref="X21:X33" si="17">SUM(U21:W21)</f>
        <v>142096948</v>
      </c>
      <c r="Y21" s="19">
        <f>NOVIEMBRE!AA21</f>
        <v>117003405</v>
      </c>
      <c r="Z21" s="364">
        <v>0</v>
      </c>
      <c r="AA21" s="18">
        <f t="shared" ref="AA21:AA33" si="18">SUM(Y21:Z21)</f>
        <v>117003405</v>
      </c>
      <c r="AB21" s="19">
        <f>NOVIEMBRE!AD21</f>
        <v>117003405</v>
      </c>
      <c r="AC21" s="364">
        <v>0</v>
      </c>
      <c r="AD21" s="18">
        <f t="shared" ref="AD21:AD33" si="19">SUM(AB21:AC21)</f>
        <v>117003405</v>
      </c>
      <c r="AE21" s="19">
        <f>NOVIEMBRE!AG21</f>
        <v>117001491</v>
      </c>
      <c r="AF21" s="364">
        <v>1914</v>
      </c>
      <c r="AG21" s="18">
        <f t="shared" ref="AG21:AG33" si="20">SUM(AE21:AF21)</f>
        <v>117003405</v>
      </c>
      <c r="AH21" s="19">
        <f t="shared" ref="AH21:AH33" si="21">X21-AA21</f>
        <v>25093543</v>
      </c>
      <c r="AI21" s="15">
        <f t="shared" ref="AI21:AI33" si="22">X21-AD21</f>
        <v>25093543</v>
      </c>
      <c r="AJ21" s="16">
        <f t="shared" ref="AJ21:AJ33" si="23">X21-AG21</f>
        <v>25093543</v>
      </c>
      <c r="AK21" s="9"/>
      <c r="AL21" s="362">
        <v>0</v>
      </c>
      <c r="AM21" s="365">
        <v>0</v>
      </c>
      <c r="AN21" s="9"/>
      <c r="AO21" s="339"/>
      <c r="AP21" s="413"/>
      <c r="AQ21" s="414"/>
      <c r="AR21" s="415" t="str">
        <f>AR6</f>
        <v>DICIEMBRE</v>
      </c>
      <c r="AS21" s="416" t="str">
        <f>AR6</f>
        <v>DICIEMBRE</v>
      </c>
      <c r="AT21" s="415" t="str">
        <f>AR6</f>
        <v>DICIEMBRE</v>
      </c>
      <c r="AU21" s="415" t="s">
        <v>44</v>
      </c>
      <c r="AV21" s="415" t="s">
        <v>22</v>
      </c>
      <c r="AW21" s="417"/>
      <c r="AX21" s="417"/>
      <c r="AY21" s="415" t="s">
        <v>44</v>
      </c>
      <c r="AZ21" s="418" t="s">
        <v>22</v>
      </c>
      <c r="BA21" s="9"/>
      <c r="BB21" s="101" t="s">
        <v>422</v>
      </c>
      <c r="BC21" s="65">
        <f>SUMIF($B8:B122,$B24,F8:F122)+F122</f>
        <v>20436613709</v>
      </c>
      <c r="BD21" s="66">
        <f>SUMIF($B8:B122,$B24,I8:I122)+I122</f>
        <v>22411858214</v>
      </c>
      <c r="BE21" s="67">
        <f>SUMIF($B8:B122,$B24,K8:K122)+K122</f>
        <v>1975244505</v>
      </c>
      <c r="BF21" s="53">
        <f>+BE21+NOVIEMBRE!BE21+OCTUBRE!BE21+SEPTIEMBRE!BF21</f>
        <v>22411858213.690002</v>
      </c>
      <c r="BG21" s="372"/>
      <c r="BH21" s="372"/>
      <c r="BI21" s="372"/>
      <c r="BJ21" s="372"/>
      <c r="BK21" s="372"/>
      <c r="BL21" s="372"/>
      <c r="BM21" s="137" t="s">
        <v>99</v>
      </c>
      <c r="BN21" s="83">
        <v>0</v>
      </c>
      <c r="BO21" s="81">
        <v>0</v>
      </c>
      <c r="BP21" s="81">
        <v>0</v>
      </c>
      <c r="BQ21" s="196">
        <v>0</v>
      </c>
      <c r="BR21" s="118">
        <f>+BQ21+NOVIEMBRE!BQ21+OCTUBRE!BQ21+SEPTIEMBRE!BQ21+AGOSTO!BQ21+JULIO!BQ21+JUNIO!BQ21+MAYO!BQ21+ABRIL!BQ21+MARZO!BQ21+FEBRERO!BQ21+ENERO!BQ21</f>
        <v>0</v>
      </c>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row>
    <row r="22" spans="1:249" s="9" customFormat="1" ht="24.95" customHeight="1" thickBot="1">
      <c r="A22" s="714">
        <f>+IF(NOVIEMBRE!A22=0,"",NOVIEMBRE!A22)</f>
        <v>1130101</v>
      </c>
      <c r="B22" s="628" t="str">
        <f>+IF(NOVIEMBRE!B22=0,"",NOVIEMBRE!B22)</f>
        <v>EPS - REGIMEN CONTRIBUTIVO</v>
      </c>
      <c r="C22" s="43">
        <f t="shared" ref="C22:N22" si="24">SUM(C23:C24)</f>
        <v>3087894380</v>
      </c>
      <c r="D22" s="44">
        <f t="shared" si="24"/>
        <v>0</v>
      </c>
      <c r="E22" s="44">
        <f t="shared" si="24"/>
        <v>853933642</v>
      </c>
      <c r="F22" s="44">
        <f t="shared" si="24"/>
        <v>3941828022</v>
      </c>
      <c r="G22" s="44">
        <f t="shared" si="24"/>
        <v>4006291408</v>
      </c>
      <c r="H22" s="44">
        <f t="shared" si="24"/>
        <v>509652626</v>
      </c>
      <c r="I22" s="44">
        <f t="shared" si="24"/>
        <v>4515944034</v>
      </c>
      <c r="J22" s="44">
        <f t="shared" si="24"/>
        <v>2039231963</v>
      </c>
      <c r="K22" s="44">
        <f t="shared" si="24"/>
        <v>533317226</v>
      </c>
      <c r="L22" s="44">
        <f t="shared" si="24"/>
        <v>2572549189</v>
      </c>
      <c r="M22" s="44">
        <f t="shared" si="24"/>
        <v>-574116012</v>
      </c>
      <c r="N22" s="45">
        <f t="shared" si="24"/>
        <v>1369278833</v>
      </c>
      <c r="P22" s="43">
        <f>SUM(P23:P24)</f>
        <v>0</v>
      </c>
      <c r="Q22" s="45">
        <f>SUM(Q23:Q24)</f>
        <v>19393743</v>
      </c>
      <c r="S22" s="689" t="str">
        <f>+IF(NOVIEMBRE!S22=0,"",NOVIEMBRE!S22)</f>
        <v>1010104-2</v>
      </c>
      <c r="T22" s="665" t="str">
        <f>+IF(NOVIEMBRE!T22=0,"",NOVIEMBRE!T22)</f>
        <v>Prima de Vacaciones</v>
      </c>
      <c r="U22" s="27">
        <f>+ENERO!U22</f>
        <v>72708845</v>
      </c>
      <c r="V22" s="15">
        <f>NOVIEMBRE!V22+DICIEMBRE!AL22</f>
        <v>0</v>
      </c>
      <c r="W22" s="15">
        <f>NOVIEMBRE!W22+DICIEMBRE!AM22</f>
        <v>0</v>
      </c>
      <c r="X22" s="18">
        <f t="shared" si="17"/>
        <v>72708845</v>
      </c>
      <c r="Y22" s="19">
        <f>NOVIEMBRE!AA22</f>
        <v>35041950</v>
      </c>
      <c r="Z22" s="364">
        <v>21857237</v>
      </c>
      <c r="AA22" s="18">
        <f t="shared" si="18"/>
        <v>56899187</v>
      </c>
      <c r="AB22" s="19">
        <f>NOVIEMBRE!AD22</f>
        <v>35041950</v>
      </c>
      <c r="AC22" s="364">
        <v>21857237</v>
      </c>
      <c r="AD22" s="18">
        <f t="shared" si="19"/>
        <v>56899187</v>
      </c>
      <c r="AE22" s="19">
        <f>NOVIEMBRE!AG22</f>
        <v>35033497</v>
      </c>
      <c r="AF22" s="364">
        <v>21865690</v>
      </c>
      <c r="AG22" s="18">
        <f t="shared" si="20"/>
        <v>56899187</v>
      </c>
      <c r="AH22" s="19">
        <f t="shared" si="21"/>
        <v>15809658</v>
      </c>
      <c r="AI22" s="15">
        <f t="shared" si="22"/>
        <v>15809658</v>
      </c>
      <c r="AJ22" s="16">
        <f t="shared" si="23"/>
        <v>15809658</v>
      </c>
      <c r="AL22" s="362">
        <v>0</v>
      </c>
      <c r="AM22" s="365">
        <v>0</v>
      </c>
      <c r="AO22" s="21"/>
      <c r="AP22" s="419" t="s">
        <v>104</v>
      </c>
      <c r="AQ22" s="420">
        <f>X17+X66</f>
        <v>3409004812</v>
      </c>
      <c r="AR22" s="420">
        <f>AD17+AD66</f>
        <v>3396964884</v>
      </c>
      <c r="AS22" s="420">
        <f>AG17+AG66</f>
        <v>3395489357</v>
      </c>
      <c r="AT22" s="421"/>
      <c r="AU22" s="422">
        <f t="shared" ref="AU22:AU32" si="25">IF(AQ22=0," ",AR22/AQ22)</f>
        <v>0.99646819859050406</v>
      </c>
      <c r="AV22" s="422">
        <f t="shared" ref="AV22:AV32" si="26">IF(AQ22=0," ",AS22/AQ22)</f>
        <v>0.99603536640593049</v>
      </c>
      <c r="AW22" s="423">
        <f>AR22/$AO$2*12</f>
        <v>3396964884</v>
      </c>
      <c r="AX22" s="423">
        <f>AS22/$AO$2*12</f>
        <v>3395489357</v>
      </c>
      <c r="AY22" s="423">
        <f t="shared" ref="AY22:AY31" si="27">AW22-AQ22</f>
        <v>-12039928</v>
      </c>
      <c r="AZ22" s="424">
        <f t="shared" ref="AZ22:AZ31" si="28">AQ22-AX22</f>
        <v>13515455</v>
      </c>
      <c r="BA22" s="372"/>
      <c r="BB22" s="102" t="s">
        <v>109</v>
      </c>
      <c r="BC22" s="103">
        <f>BC7+BC8+BC20+BC21</f>
        <v>137255115108</v>
      </c>
      <c r="BD22" s="104">
        <f>BD7+BD8+BD20+BD21</f>
        <v>148172894167</v>
      </c>
      <c r="BE22" s="105">
        <f>BE7+BE8+BE20+BE21</f>
        <v>30368439668</v>
      </c>
      <c r="BF22" s="53">
        <f>+BE22+NOVIEMBRE!BE22+OCTUBRE!BE22+SEPTIEMBRE!BF22</f>
        <v>109745185230.76001</v>
      </c>
      <c r="BG22" s="372"/>
      <c r="BH22" s="372"/>
      <c r="BI22" s="372"/>
      <c r="BJ22" s="372"/>
      <c r="BK22" s="372"/>
      <c r="BM22" s="71" t="s">
        <v>67</v>
      </c>
      <c r="BN22" s="83">
        <f>BN23+BN24</f>
        <v>1292354144</v>
      </c>
      <c r="BO22" s="81">
        <f>BO23+BO24</f>
        <v>1070559934</v>
      </c>
      <c r="BP22" s="81">
        <f>BP23+BP24</f>
        <v>1070559934</v>
      </c>
      <c r="BQ22" s="196">
        <f>BQ23+BQ24</f>
        <v>87720340</v>
      </c>
      <c r="BR22" s="118">
        <f>BR23+BR24</f>
        <v>1059941756</v>
      </c>
    </row>
    <row r="23" spans="1:249" s="412" customFormat="1" ht="24.95" customHeight="1">
      <c r="A23" s="593" t="str">
        <f>+IF(NOVIEMBRE!A23=0,"",NOVIEMBRE!A23)</f>
        <v>1130101-1</v>
      </c>
      <c r="B23" s="629" t="str">
        <f>+CONCATENATE("Vigencia ",INSTRUCCIONES!$F$3)</f>
        <v>Vigencia 2019</v>
      </c>
      <c r="C23" s="655">
        <f>+ENERO!C23</f>
        <v>3087894380</v>
      </c>
      <c r="D23" s="363">
        <f>NOVIEMBRE!D23+DICIEMBRE!P23</f>
        <v>0</v>
      </c>
      <c r="E23" s="363">
        <f>NOVIEMBRE!E23+DICIEMBRE!Q23</f>
        <v>0</v>
      </c>
      <c r="F23" s="363">
        <f>SUM(C23:E23)</f>
        <v>3087894380</v>
      </c>
      <c r="G23" s="363">
        <f>NOVIEMBRE!I23</f>
        <v>3152357766</v>
      </c>
      <c r="H23" s="364">
        <v>470904108</v>
      </c>
      <c r="I23" s="363">
        <f>SUM(G23:H23)</f>
        <v>3623261874</v>
      </c>
      <c r="J23" s="363">
        <f>NOVIEMBRE!L23</f>
        <v>1185298321</v>
      </c>
      <c r="K23" s="364">
        <v>494568708</v>
      </c>
      <c r="L23" s="363">
        <f>SUM(J23:K23)</f>
        <v>1679867029</v>
      </c>
      <c r="M23" s="363">
        <f>F23-I23</f>
        <v>-535367494</v>
      </c>
      <c r="N23" s="143">
        <f>F23-L23</f>
        <v>1408027351</v>
      </c>
      <c r="O23" s="9"/>
      <c r="P23" s="362">
        <v>0</v>
      </c>
      <c r="Q23" s="365">
        <v>0</v>
      </c>
      <c r="R23" s="9"/>
      <c r="S23" s="689" t="str">
        <f>+IF(NOVIEMBRE!S23=0,"",NOVIEMBRE!S23)</f>
        <v>1010104-3</v>
      </c>
      <c r="T23" s="665" t="str">
        <f>+IF(NOVIEMBRE!T23=0,"",NOVIEMBRE!T23)</f>
        <v>Bonificación  por servicios prestados</v>
      </c>
      <c r="U23" s="27">
        <f>+ENERO!U23</f>
        <v>44330324</v>
      </c>
      <c r="V23" s="15">
        <f>NOVIEMBRE!V23+DICIEMBRE!AL23</f>
        <v>0</v>
      </c>
      <c r="W23" s="15">
        <f>NOVIEMBRE!W23+DICIEMBRE!AM23</f>
        <v>0</v>
      </c>
      <c r="X23" s="18">
        <f t="shared" si="17"/>
        <v>44330324</v>
      </c>
      <c r="Y23" s="19">
        <f>NOVIEMBRE!AA23</f>
        <v>36781260</v>
      </c>
      <c r="Z23" s="364">
        <v>646387</v>
      </c>
      <c r="AA23" s="18">
        <f t="shared" si="18"/>
        <v>37427647</v>
      </c>
      <c r="AB23" s="19">
        <f>NOVIEMBRE!AD23</f>
        <v>36781260</v>
      </c>
      <c r="AC23" s="364">
        <v>646387</v>
      </c>
      <c r="AD23" s="18">
        <f t="shared" si="19"/>
        <v>37427647</v>
      </c>
      <c r="AE23" s="19">
        <f>NOVIEMBRE!AG23</f>
        <v>36775907</v>
      </c>
      <c r="AF23" s="364">
        <v>651740</v>
      </c>
      <c r="AG23" s="18">
        <f t="shared" si="20"/>
        <v>37427647</v>
      </c>
      <c r="AH23" s="19">
        <f t="shared" si="21"/>
        <v>6902677</v>
      </c>
      <c r="AI23" s="15">
        <f t="shared" si="22"/>
        <v>6902677</v>
      </c>
      <c r="AJ23" s="16">
        <f t="shared" si="23"/>
        <v>6902677</v>
      </c>
      <c r="AK23" s="9"/>
      <c r="AL23" s="362">
        <v>0</v>
      </c>
      <c r="AM23" s="365">
        <v>0</v>
      </c>
      <c r="AN23" s="9"/>
      <c r="AO23" s="360"/>
      <c r="AP23" s="425" t="s">
        <v>108</v>
      </c>
      <c r="AQ23" s="426">
        <f>X16+X65-AQ22</f>
        <v>1499680691</v>
      </c>
      <c r="AR23" s="426">
        <f>AD16+AD65-AR22</f>
        <v>887917296</v>
      </c>
      <c r="AS23" s="426">
        <f>AG16+AG65-AS22</f>
        <v>882554316</v>
      </c>
      <c r="AT23" s="317"/>
      <c r="AU23" s="332">
        <f t="shared" si="25"/>
        <v>0.59207089971127724</v>
      </c>
      <c r="AV23" s="332">
        <f t="shared" si="26"/>
        <v>0.58849481846132534</v>
      </c>
      <c r="AW23" s="426">
        <f>(AR23-AD21-AD22-AD23-AD25-AD30-AD33-AD70-AD71-AD72-AD74-AD78-AD81)/$AO$2*12+AX22/12*2.5+AD30+AD33+AD78+AD81</f>
        <v>1027856408.0416667</v>
      </c>
      <c r="AX23" s="426">
        <f>(AS23-AG21-AG22-AG23-AG25-AG30-AG33-AG70-AG71-AG72-AG74-AG78-AG81)/$AO$2*12+AX22/12*2.5+AG30+AG33+AG78+AG81</f>
        <v>1025019231.0416667</v>
      </c>
      <c r="AY23" s="426">
        <f t="shared" si="27"/>
        <v>-471824282.95833325</v>
      </c>
      <c r="AZ23" s="46">
        <f t="shared" si="28"/>
        <v>474661459.95833325</v>
      </c>
      <c r="BA23" s="372"/>
      <c r="BF23" s="372"/>
      <c r="BG23" s="372"/>
      <c r="BH23" s="372"/>
      <c r="BI23" s="372"/>
      <c r="BJ23" s="372"/>
      <c r="BK23" s="372"/>
      <c r="BL23" s="372"/>
      <c r="BM23" s="137" t="s">
        <v>105</v>
      </c>
      <c r="BN23" s="83">
        <f>X177</f>
        <v>965336472</v>
      </c>
      <c r="BO23" s="81">
        <f>AA177</f>
        <v>869728434</v>
      </c>
      <c r="BP23" s="81">
        <f>AD177</f>
        <v>869728434</v>
      </c>
      <c r="BQ23" s="196">
        <f>AF177</f>
        <v>68737907</v>
      </c>
      <c r="BR23" s="118">
        <f>+BQ23+NOVIEMBRE!BQ23+OCTUBRE!BQ23+SEPTIEMBRE!BQ23+AGOSTO!BQ23+JULIO!BQ23+JUNIO!BQ23+MAYO!BQ23+ABRIL!BQ23+MARZO!BQ23+FEBRERO!BQ23+ENERO!BQ23</f>
        <v>868556224</v>
      </c>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row>
    <row r="24" spans="1:249" s="412" customFormat="1" ht="24.95" customHeight="1">
      <c r="A24" s="593" t="str">
        <f>+IF(NOVIEMBRE!A24=0,"",NOVIEMBRE!A24)</f>
        <v>1130101-2</v>
      </c>
      <c r="B24" s="629" t="str">
        <f>+IF(NOVIEMBRE!B24=0,"",NOVIEMBRE!B24)</f>
        <v>Vigencia Anterior</v>
      </c>
      <c r="C24" s="655">
        <f>+ENERO!C24</f>
        <v>0</v>
      </c>
      <c r="D24" s="363">
        <f>NOVIEMBRE!D24+DICIEMBRE!P24</f>
        <v>0</v>
      </c>
      <c r="E24" s="363">
        <f>NOVIEMBRE!E24+DICIEMBRE!Q24</f>
        <v>853933642</v>
      </c>
      <c r="F24" s="363">
        <f>SUM(C24:E24)</f>
        <v>853933642</v>
      </c>
      <c r="G24" s="363">
        <f>NOVIEMBRE!I24</f>
        <v>853933642</v>
      </c>
      <c r="H24" s="364">
        <v>38748518</v>
      </c>
      <c r="I24" s="363">
        <f>SUM(G24:H24)</f>
        <v>892682160</v>
      </c>
      <c r="J24" s="363">
        <f>NOVIEMBRE!L24</f>
        <v>853933642</v>
      </c>
      <c r="K24" s="364">
        <v>38748518</v>
      </c>
      <c r="L24" s="363">
        <f>SUM(J24:K24)</f>
        <v>892682160</v>
      </c>
      <c r="M24" s="363">
        <f>F24-I24</f>
        <v>-38748518</v>
      </c>
      <c r="N24" s="143">
        <f>F24-L24</f>
        <v>-38748518</v>
      </c>
      <c r="O24" s="372"/>
      <c r="P24" s="362">
        <v>0</v>
      </c>
      <c r="Q24" s="365">
        <v>19393743</v>
      </c>
      <c r="R24" s="9"/>
      <c r="S24" s="689" t="str">
        <f>+IF(NOVIEMBRE!S24=0,"",NOVIEMBRE!S24)</f>
        <v>1010104-4</v>
      </c>
      <c r="T24" s="665" t="str">
        <f>+IF(NOVIEMBRE!T24=0,"",NOVIEMBRE!T24)</f>
        <v>Prima de Servicios</v>
      </c>
      <c r="U24" s="27">
        <f>+ENERO!U24</f>
        <v>67115850</v>
      </c>
      <c r="V24" s="15">
        <f>NOVIEMBRE!V24+DICIEMBRE!AL24</f>
        <v>0</v>
      </c>
      <c r="W24" s="15">
        <f>NOVIEMBRE!W24+DICIEMBRE!AM24</f>
        <v>0</v>
      </c>
      <c r="X24" s="18">
        <f t="shared" si="17"/>
        <v>67115850</v>
      </c>
      <c r="Y24" s="19">
        <f>NOVIEMBRE!AA24</f>
        <v>53408792</v>
      </c>
      <c r="Z24" s="364">
        <v>0</v>
      </c>
      <c r="AA24" s="18">
        <f t="shared" si="18"/>
        <v>53408792</v>
      </c>
      <c r="AB24" s="19">
        <f>NOVIEMBRE!AD24</f>
        <v>53408792</v>
      </c>
      <c r="AC24" s="364">
        <v>0</v>
      </c>
      <c r="AD24" s="18">
        <f t="shared" si="19"/>
        <v>53408792</v>
      </c>
      <c r="AE24" s="19">
        <f>NOVIEMBRE!AG24</f>
        <v>53399562</v>
      </c>
      <c r="AF24" s="364">
        <v>9230</v>
      </c>
      <c r="AG24" s="18">
        <f t="shared" si="20"/>
        <v>53408792</v>
      </c>
      <c r="AH24" s="19">
        <f t="shared" si="21"/>
        <v>13707058</v>
      </c>
      <c r="AI24" s="15">
        <f t="shared" si="22"/>
        <v>13707058</v>
      </c>
      <c r="AJ24" s="16">
        <f t="shared" si="23"/>
        <v>13707058</v>
      </c>
      <c r="AK24" s="9"/>
      <c r="AL24" s="362">
        <v>0</v>
      </c>
      <c r="AM24" s="365">
        <v>0</v>
      </c>
      <c r="AN24" s="9"/>
      <c r="AO24" s="360"/>
      <c r="AP24" s="405" t="s">
        <v>113</v>
      </c>
      <c r="AQ24" s="421">
        <f>X35+X83</f>
        <v>29082957341</v>
      </c>
      <c r="AR24" s="421">
        <f>AD35+AD83</f>
        <v>27238720782</v>
      </c>
      <c r="AS24" s="421">
        <f>AG35+AG83</f>
        <v>21667582914</v>
      </c>
      <c r="AT24" s="421"/>
      <c r="AU24" s="363">
        <f t="shared" si="25"/>
        <v>0.93658703489551698</v>
      </c>
      <c r="AV24" s="363">
        <f t="shared" si="26"/>
        <v>0.74502680934218135</v>
      </c>
      <c r="AW24" s="363">
        <f>(AR24-AD41-AD88)/$AO$2*12+AD41+AD88</f>
        <v>27238720782</v>
      </c>
      <c r="AX24" s="363">
        <f>(AS24-AG41-AG88)/$AO$2*12+AG41+AG88</f>
        <v>21667582914</v>
      </c>
      <c r="AY24" s="363">
        <f t="shared" si="27"/>
        <v>-1844236559</v>
      </c>
      <c r="AZ24" s="143">
        <f t="shared" si="28"/>
        <v>7415374427</v>
      </c>
      <c r="BA24" s="9"/>
      <c r="BB24" s="427"/>
      <c r="BC24" s="372"/>
      <c r="BD24" s="372"/>
      <c r="BE24" s="372"/>
      <c r="BF24" s="372"/>
      <c r="BG24" s="372"/>
      <c r="BH24" s="372"/>
      <c r="BI24" s="372"/>
      <c r="BJ24" s="372"/>
      <c r="BK24" s="372"/>
      <c r="BL24" s="372"/>
      <c r="BM24" s="137" t="s">
        <v>110</v>
      </c>
      <c r="BN24" s="83">
        <f>X170-X177-X174-X183-X191</f>
        <v>327017672</v>
      </c>
      <c r="BO24" s="81">
        <f>AA170-AA177-AA174-AA183-AA191</f>
        <v>200831500</v>
      </c>
      <c r="BP24" s="81">
        <f>AD170-AD177-AD174-AD183-AD191</f>
        <v>200831500</v>
      </c>
      <c r="BQ24" s="196">
        <f>AF170-AF177-AF174-AF183-AF191</f>
        <v>18982433</v>
      </c>
      <c r="BR24" s="118">
        <f>+BQ24+NOVIEMBRE!BQ24+OCTUBRE!BQ24+SEPTIEMBRE!BQ24+AGOSTO!BQ24+JULIO!BQ24+JUNIO!BQ24+MAYO!BQ24+ABRIL!BQ24+MARZO!BQ24+FEBRERO!BQ24+ENERO!BQ24</f>
        <v>191385532</v>
      </c>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row>
    <row r="25" spans="1:249" s="372" customFormat="1" ht="24.95" customHeight="1">
      <c r="A25" s="714">
        <f>+IF(NOVIEMBRE!A25=0,"",NOVIEMBRE!A25)</f>
        <v>1130102</v>
      </c>
      <c r="B25" s="628" t="str">
        <f>+IF(NOVIEMBRE!B25=0,"",NOVIEMBRE!B25)</f>
        <v>ARS - REGIMEN SUBSIDIADO</v>
      </c>
      <c r="C25" s="43">
        <f t="shared" ref="C25:N25" si="29">SUM(C26:C27)</f>
        <v>32167564656</v>
      </c>
      <c r="D25" s="44">
        <f t="shared" si="29"/>
        <v>0</v>
      </c>
      <c r="E25" s="44">
        <f t="shared" si="29"/>
        <v>11645670659</v>
      </c>
      <c r="F25" s="44">
        <f t="shared" si="29"/>
        <v>43813235315</v>
      </c>
      <c r="G25" s="44">
        <f t="shared" si="29"/>
        <v>48084280632</v>
      </c>
      <c r="H25" s="44">
        <f t="shared" si="29"/>
        <v>5322221780</v>
      </c>
      <c r="I25" s="44">
        <f t="shared" si="29"/>
        <v>53406502412</v>
      </c>
      <c r="J25" s="44">
        <f t="shared" si="29"/>
        <v>28794899059</v>
      </c>
      <c r="K25" s="44">
        <f t="shared" si="29"/>
        <v>5050531526</v>
      </c>
      <c r="L25" s="44">
        <f t="shared" si="29"/>
        <v>33845430585</v>
      </c>
      <c r="M25" s="44">
        <f t="shared" si="29"/>
        <v>-9593267097</v>
      </c>
      <c r="N25" s="45">
        <f t="shared" si="29"/>
        <v>9967804730</v>
      </c>
      <c r="P25" s="43">
        <f>SUM(P26:P27)</f>
        <v>0</v>
      </c>
      <c r="Q25" s="45">
        <f>SUM(Q26:Q27)</f>
        <v>2013156475</v>
      </c>
      <c r="R25" s="9"/>
      <c r="S25" s="689" t="str">
        <f>+IF(NOVIEMBRE!S25=0,"",NOVIEMBRE!S25)</f>
        <v>1010104-5</v>
      </c>
      <c r="T25" s="665" t="str">
        <f>+IF(NOVIEMBRE!T25=0,"",NOVIEMBRE!T25)</f>
        <v>Bonificación Convencional</v>
      </c>
      <c r="U25" s="27">
        <f>+ENERO!U25</f>
        <v>0</v>
      </c>
      <c r="V25" s="15">
        <f>NOVIEMBRE!V25+DICIEMBRE!AL25</f>
        <v>0</v>
      </c>
      <c r="W25" s="15">
        <f>NOVIEMBRE!W25+DICIEMBRE!AM25</f>
        <v>0</v>
      </c>
      <c r="X25" s="18">
        <f t="shared" si="17"/>
        <v>0</v>
      </c>
      <c r="Y25" s="19">
        <f>NOVIEMBRE!AA25</f>
        <v>0</v>
      </c>
      <c r="Z25" s="364">
        <v>0</v>
      </c>
      <c r="AA25" s="18">
        <f t="shared" si="18"/>
        <v>0</v>
      </c>
      <c r="AB25" s="19">
        <f>NOVIEMBRE!AD25</f>
        <v>0</v>
      </c>
      <c r="AC25" s="364">
        <v>0</v>
      </c>
      <c r="AD25" s="18">
        <f t="shared" si="19"/>
        <v>0</v>
      </c>
      <c r="AE25" s="19">
        <f>NOVIEMBRE!AG25</f>
        <v>0</v>
      </c>
      <c r="AF25" s="364">
        <v>0</v>
      </c>
      <c r="AG25" s="18">
        <f t="shared" si="20"/>
        <v>0</v>
      </c>
      <c r="AH25" s="19">
        <f t="shared" si="21"/>
        <v>0</v>
      </c>
      <c r="AI25" s="15">
        <f t="shared" si="22"/>
        <v>0</v>
      </c>
      <c r="AJ25" s="16">
        <f t="shared" si="23"/>
        <v>0</v>
      </c>
      <c r="AK25" s="9"/>
      <c r="AL25" s="362">
        <v>0</v>
      </c>
      <c r="AM25" s="365">
        <v>0</v>
      </c>
      <c r="AN25" s="9"/>
      <c r="AO25" s="21"/>
      <c r="AP25" s="428" t="s">
        <v>116</v>
      </c>
      <c r="AQ25" s="363">
        <f>X43+X57+X90+X104</f>
        <v>2049294290</v>
      </c>
      <c r="AR25" s="363">
        <f>AD43+AD57+AD90+AD104</f>
        <v>1509528211</v>
      </c>
      <c r="AS25" s="363">
        <f>AG43+AG57+AG90+AG104</f>
        <v>1509528211</v>
      </c>
      <c r="AT25" s="421"/>
      <c r="AU25" s="363">
        <f t="shared" si="25"/>
        <v>0.73660880155968234</v>
      </c>
      <c r="AV25" s="363">
        <f t="shared" si="26"/>
        <v>0.73660880155968234</v>
      </c>
      <c r="AW25" s="363">
        <f>(AR25-AD55-AD61-AD102-AD108)/$AO$2*12+AD55+AD61+AD102+AD108</f>
        <v>1509528211</v>
      </c>
      <c r="AX25" s="363">
        <f>(AS25-AG55-AG61-AG102-AG108)/$AO$2*12+AG55+AG61+AG102+AG108</f>
        <v>1509528211</v>
      </c>
      <c r="AY25" s="363">
        <f t="shared" si="27"/>
        <v>-539766079</v>
      </c>
      <c r="AZ25" s="143">
        <f t="shared" si="28"/>
        <v>539766079</v>
      </c>
      <c r="BM25" s="140" t="s">
        <v>430</v>
      </c>
      <c r="BN25" s="106">
        <f>+SUM(BN26:BN28)</f>
        <v>21405937973</v>
      </c>
      <c r="BO25" s="107">
        <f>+SUM(BO26:BO28)</f>
        <v>20087100954</v>
      </c>
      <c r="BP25" s="107">
        <f>+SUM(BP26:BP28)</f>
        <v>20087100954</v>
      </c>
      <c r="BQ25" s="198">
        <f>+SUM(BQ26:BQ28)</f>
        <v>3355981646</v>
      </c>
      <c r="BR25" s="118">
        <f>+SUM(BR26:BR28)</f>
        <v>14980149540</v>
      </c>
    </row>
    <row r="26" spans="1:249" s="9" customFormat="1" ht="24.95" customHeight="1">
      <c r="A26" s="593" t="str">
        <f>+IF(NOVIEMBRE!A26=0,"",NOVIEMBRE!A26)</f>
        <v>1130102-1</v>
      </c>
      <c r="B26" s="629" t="str">
        <f>+CONCATENATE("Vigencia ",INSTRUCCIONES!$F$3)</f>
        <v>Vigencia 2019</v>
      </c>
      <c r="C26" s="655">
        <f>+ENERO!C26</f>
        <v>32167564656</v>
      </c>
      <c r="D26" s="363">
        <f>NOVIEMBRE!D26+DICIEMBRE!P26</f>
        <v>0</v>
      </c>
      <c r="E26" s="363">
        <f>NOVIEMBRE!E26+DICIEMBRE!Q26</f>
        <v>0</v>
      </c>
      <c r="F26" s="363">
        <f>SUM(C26:E26)</f>
        <v>32167564656</v>
      </c>
      <c r="G26" s="363">
        <f>NOVIEMBRE!I26</f>
        <v>36438609973</v>
      </c>
      <c r="H26" s="364">
        <v>3401049598</v>
      </c>
      <c r="I26" s="363">
        <f>SUM(G26:H26)</f>
        <v>39839659571</v>
      </c>
      <c r="J26" s="363">
        <f>NOVIEMBRE!L26</f>
        <v>17149228400</v>
      </c>
      <c r="K26" s="364">
        <v>3129359344</v>
      </c>
      <c r="L26" s="363">
        <f>SUM(J26:K26)</f>
        <v>20278587744</v>
      </c>
      <c r="M26" s="363">
        <f>F26-I26</f>
        <v>-7672094915</v>
      </c>
      <c r="N26" s="143">
        <f>F26-L26</f>
        <v>11888976912</v>
      </c>
      <c r="P26" s="362">
        <v>0</v>
      </c>
      <c r="Q26" s="365">
        <v>0</v>
      </c>
      <c r="S26" s="689" t="str">
        <f>+IF(NOVIEMBRE!S26=0,"",NOVIEMBRE!S26)</f>
        <v>1010104-6</v>
      </c>
      <c r="T26" s="665" t="str">
        <f>+IF(NOVIEMBRE!T26=0,"",NOVIEMBRE!T26)</f>
        <v>Auxilio de Transporte</v>
      </c>
      <c r="U26" s="27">
        <f>+ENERO!U26</f>
        <v>7017105</v>
      </c>
      <c r="V26" s="15">
        <f>NOVIEMBRE!V26+DICIEMBRE!AL26</f>
        <v>0</v>
      </c>
      <c r="W26" s="15">
        <f>NOVIEMBRE!W26+DICIEMBRE!AM26</f>
        <v>0</v>
      </c>
      <c r="X26" s="18">
        <f t="shared" si="17"/>
        <v>7017105</v>
      </c>
      <c r="Y26" s="19">
        <f>NOVIEMBRE!AA26</f>
        <v>986492</v>
      </c>
      <c r="Z26" s="364">
        <v>97032</v>
      </c>
      <c r="AA26" s="18">
        <f t="shared" si="18"/>
        <v>1083524</v>
      </c>
      <c r="AB26" s="19">
        <f>NOVIEMBRE!AD26</f>
        <v>986492</v>
      </c>
      <c r="AC26" s="364">
        <v>97032</v>
      </c>
      <c r="AD26" s="18">
        <f t="shared" si="19"/>
        <v>1083524</v>
      </c>
      <c r="AE26" s="19">
        <f>NOVIEMBRE!AG26</f>
        <v>986492</v>
      </c>
      <c r="AF26" s="364">
        <v>97032</v>
      </c>
      <c r="AG26" s="18">
        <f t="shared" si="20"/>
        <v>1083524</v>
      </c>
      <c r="AH26" s="19">
        <f t="shared" si="21"/>
        <v>5933581</v>
      </c>
      <c r="AI26" s="15">
        <f t="shared" si="22"/>
        <v>5933581</v>
      </c>
      <c r="AJ26" s="16">
        <f t="shared" si="23"/>
        <v>5933581</v>
      </c>
      <c r="AL26" s="362">
        <v>0</v>
      </c>
      <c r="AM26" s="365">
        <v>0</v>
      </c>
      <c r="AO26" s="21"/>
      <c r="AP26" s="429" t="s">
        <v>120</v>
      </c>
      <c r="AQ26" s="317">
        <f>X110</f>
        <v>15317336161</v>
      </c>
      <c r="AR26" s="317">
        <f>AD110</f>
        <v>13132373295</v>
      </c>
      <c r="AS26" s="317">
        <f>AG110</f>
        <v>11034839959</v>
      </c>
      <c r="AT26" s="361">
        <f>AO2/12</f>
        <v>1</v>
      </c>
      <c r="AU26" s="332">
        <f t="shared" si="25"/>
        <v>0.85735359967073066</v>
      </c>
      <c r="AV26" s="332">
        <f t="shared" si="26"/>
        <v>0.7204150802080187</v>
      </c>
      <c r="AW26" s="426">
        <f>(AR26-AD121-AD139-AD143-AD153-AD168)/$AO$2*12+AD121+AD139+AD143+AD153+AD168</f>
        <v>13132373295</v>
      </c>
      <c r="AX26" s="426">
        <f>(AS26-AG121-AG139-AG143-AG153-AG168)/$AO$2*12+AG121+AG139+AG143+AG153+AG168</f>
        <v>11034839959</v>
      </c>
      <c r="AY26" s="426">
        <f t="shared" si="27"/>
        <v>-2184962866</v>
      </c>
      <c r="AZ26" s="46">
        <f t="shared" si="28"/>
        <v>4282496202</v>
      </c>
      <c r="BA26" s="372"/>
      <c r="BB26" s="372"/>
      <c r="BC26" s="372"/>
      <c r="BD26" s="372"/>
      <c r="BE26" s="372"/>
      <c r="BF26" s="372"/>
      <c r="BG26" s="372"/>
      <c r="BH26" s="372"/>
      <c r="BI26" s="372"/>
      <c r="BJ26" s="372"/>
      <c r="BK26" s="372"/>
      <c r="BM26" s="109" t="s">
        <v>431</v>
      </c>
      <c r="BN26" s="86">
        <f>+X198+X212</f>
        <v>9548493614</v>
      </c>
      <c r="BO26" s="84">
        <f>+AA198+AA212</f>
        <v>8882995290</v>
      </c>
      <c r="BP26" s="84">
        <f>+AD198+AD212</f>
        <v>8882995290</v>
      </c>
      <c r="BQ26" s="197">
        <f>+AF198+AF212</f>
        <v>1624569142</v>
      </c>
      <c r="BR26" s="118">
        <f>+BQ26+NOVIEMBRE!BQ26+OCTUBRE!BQ26+SEPTIEMBRE!BQ26+AGOSTO!BQ26+JULIO!BQ26+JUNIO!BQ26+MAYO!BQ26+ABRIL!BQ26+MARZO!BQ26+FEBRERO!BQ26+ENERO!BQ26</f>
        <v>6088383073</v>
      </c>
    </row>
    <row r="27" spans="1:249" s="412" customFormat="1" ht="24.95" customHeight="1">
      <c r="A27" s="593" t="str">
        <f>+IF(NOVIEMBRE!A27=0,"",NOVIEMBRE!A27)</f>
        <v>1130102-2</v>
      </c>
      <c r="B27" s="629" t="str">
        <f>+IF(NOVIEMBRE!B27=0,"",NOVIEMBRE!B27)</f>
        <v>Vigencia Anterior</v>
      </c>
      <c r="C27" s="655">
        <f>+ENERO!C27</f>
        <v>0</v>
      </c>
      <c r="D27" s="363">
        <f>NOVIEMBRE!D27+DICIEMBRE!P27</f>
        <v>0</v>
      </c>
      <c r="E27" s="363">
        <f>NOVIEMBRE!E27+DICIEMBRE!Q27</f>
        <v>11645670659</v>
      </c>
      <c r="F27" s="363">
        <f>SUM(C27:E27)</f>
        <v>11645670659</v>
      </c>
      <c r="G27" s="363">
        <f>NOVIEMBRE!I27</f>
        <v>11645670659</v>
      </c>
      <c r="H27" s="364">
        <v>1921172182</v>
      </c>
      <c r="I27" s="363">
        <f>SUM(G27:H27)</f>
        <v>13566842841</v>
      </c>
      <c r="J27" s="363">
        <f>NOVIEMBRE!L27</f>
        <v>11645670659</v>
      </c>
      <c r="K27" s="364">
        <v>1921172182</v>
      </c>
      <c r="L27" s="363">
        <f>SUM(J27:K27)</f>
        <v>13566842841</v>
      </c>
      <c r="M27" s="363">
        <f>F27-I27</f>
        <v>-1921172182</v>
      </c>
      <c r="N27" s="143">
        <f>F27-L27</f>
        <v>-1921172182</v>
      </c>
      <c r="O27" s="372"/>
      <c r="P27" s="362">
        <v>0</v>
      </c>
      <c r="Q27" s="365">
        <v>2013156475</v>
      </c>
      <c r="R27" s="9"/>
      <c r="S27" s="689" t="str">
        <f>+IF(NOVIEMBRE!S27=0,"",NOVIEMBRE!S27)</f>
        <v>1010104-7</v>
      </c>
      <c r="T27" s="665" t="str">
        <f>+IF(NOVIEMBRE!T27=0,"",NOVIEMBRE!T27)</f>
        <v>Auxilio de Alimentación</v>
      </c>
      <c r="U27" s="27">
        <f>+ENERO!U27</f>
        <v>92622</v>
      </c>
      <c r="V27" s="15">
        <f>NOVIEMBRE!V27+DICIEMBRE!AL27</f>
        <v>0</v>
      </c>
      <c r="W27" s="15">
        <f>NOVIEMBRE!W27+DICIEMBRE!AM27</f>
        <v>0</v>
      </c>
      <c r="X27" s="18">
        <f t="shared" si="17"/>
        <v>92622</v>
      </c>
      <c r="Y27" s="19">
        <f>NOVIEMBRE!AA27</f>
        <v>0</v>
      </c>
      <c r="Z27" s="364">
        <v>0</v>
      </c>
      <c r="AA27" s="18">
        <f t="shared" si="18"/>
        <v>0</v>
      </c>
      <c r="AB27" s="19">
        <f>NOVIEMBRE!AD27</f>
        <v>0</v>
      </c>
      <c r="AC27" s="364">
        <v>0</v>
      </c>
      <c r="AD27" s="18">
        <f t="shared" si="19"/>
        <v>0</v>
      </c>
      <c r="AE27" s="19">
        <f>NOVIEMBRE!AG27</f>
        <v>0</v>
      </c>
      <c r="AF27" s="364">
        <v>0</v>
      </c>
      <c r="AG27" s="18">
        <f t="shared" si="20"/>
        <v>0</v>
      </c>
      <c r="AH27" s="19">
        <f t="shared" si="21"/>
        <v>92622</v>
      </c>
      <c r="AI27" s="15">
        <f t="shared" si="22"/>
        <v>92622</v>
      </c>
      <c r="AJ27" s="16">
        <f t="shared" si="23"/>
        <v>92622</v>
      </c>
      <c r="AK27" s="9"/>
      <c r="AL27" s="362">
        <v>0</v>
      </c>
      <c r="AM27" s="365">
        <v>0</v>
      </c>
      <c r="AN27" s="9"/>
      <c r="AO27" s="339"/>
      <c r="AP27" s="428" t="s">
        <v>123</v>
      </c>
      <c r="AQ27" s="363">
        <f>X170</f>
        <v>1292354144</v>
      </c>
      <c r="AR27" s="363">
        <f>AD170</f>
        <v>1070559934</v>
      </c>
      <c r="AS27" s="363">
        <f>AG170</f>
        <v>1059941756</v>
      </c>
      <c r="AT27" s="421"/>
      <c r="AU27" s="363">
        <f t="shared" si="25"/>
        <v>0.82837969682712609</v>
      </c>
      <c r="AV27" s="363">
        <f t="shared" si="26"/>
        <v>0.82016354489284637</v>
      </c>
      <c r="AW27" s="363">
        <f>(AR27-AD174-AD183-AD191)/$AO$2*12+AD174+AD183+AD191</f>
        <v>1070559934</v>
      </c>
      <c r="AX27" s="363">
        <f>(AS27-AG174-AG183-AG191)/$AO$2*12+AG174+AG183+AG191</f>
        <v>1059941756</v>
      </c>
      <c r="AY27" s="363">
        <f t="shared" si="27"/>
        <v>-221794210</v>
      </c>
      <c r="AZ27" s="143">
        <f t="shared" si="28"/>
        <v>232412388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197">
        <f>+AF209-AF212-AF218</f>
        <v>0</v>
      </c>
      <c r="BR27" s="118">
        <f>+BQ27+NOVIEMBRE!BQ27+OCTUBRE!BQ27+SEPTIEMBRE!BQ27+AGOSTO!BQ27+JULIO!BQ27+JUNIO!BQ27+MAYO!BQ27+ABRIL!BQ27+MARZO!BQ27+FEBRERO!BQ27+ENERO!BQ27</f>
        <v>0</v>
      </c>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row>
    <row r="28" spans="1:249" s="412" customFormat="1" ht="24.95" customHeight="1">
      <c r="A28" s="714">
        <f>+IF(NOVIEMBRE!A28=0,"",NOVIEMBRE!A28)</f>
        <v>1130103</v>
      </c>
      <c r="B28" s="605" t="str">
        <f>+IF(NOVIEMBRE!B28=0,"",NOVIEMBRE!B28)</f>
        <v>SUBSIDIO A LA OFERTA- ATENCION PERSONAS POBRES NO CUBIERTOS CON SUBSIDIO A LA DEMANDA</v>
      </c>
      <c r="C28" s="43">
        <f>C29+C32+C35+C38+C39+C40</f>
        <v>8952361140</v>
      </c>
      <c r="D28" s="44">
        <f>+D29+D32+D35+D38+D39+D40</f>
        <v>0</v>
      </c>
      <c r="E28" s="44">
        <f>+E29+E32+E35+E38+E39+E40</f>
        <v>4897934072</v>
      </c>
      <c r="F28" s="44">
        <f>+F29+F32+F35+F38+F39+F40</f>
        <v>13850295212</v>
      </c>
      <c r="G28" s="44">
        <f t="shared" ref="G28:N28" si="30">G29+G32+G35+G38+G39+G40</f>
        <v>16519877535</v>
      </c>
      <c r="H28" s="44">
        <f t="shared" si="30"/>
        <v>2400798899</v>
      </c>
      <c r="I28" s="44">
        <f t="shared" si="30"/>
        <v>18920676434</v>
      </c>
      <c r="J28" s="44">
        <f t="shared" si="30"/>
        <v>7091127326</v>
      </c>
      <c r="K28" s="44">
        <f t="shared" si="30"/>
        <v>4171411722</v>
      </c>
      <c r="L28" s="44">
        <f t="shared" si="30"/>
        <v>11262539048</v>
      </c>
      <c r="M28" s="44">
        <f t="shared" si="30"/>
        <v>-5070381222</v>
      </c>
      <c r="N28" s="45">
        <f t="shared" si="30"/>
        <v>2587756164</v>
      </c>
      <c r="O28" s="372"/>
      <c r="P28" s="43">
        <f>P29+P32+P35+P38+P39+P940</f>
        <v>0</v>
      </c>
      <c r="Q28" s="45">
        <f>Q29+Q32+Q35+Q38+Q39+Q40</f>
        <v>1408256</v>
      </c>
      <c r="R28" s="9"/>
      <c r="S28" s="689" t="str">
        <f>+IF(NOVIEMBRE!S28=0,"",NOVIEMBRE!S28)</f>
        <v>1010104-8</v>
      </c>
      <c r="T28" s="665" t="str">
        <f>+IF(NOVIEMBRE!T28=0,"",NOVIEMBRE!T28)</f>
        <v>Indemnizaciones por Vacaciones o Supresión de Cargos por Reestructuración</v>
      </c>
      <c r="U28" s="27">
        <f>+ENERO!U28</f>
        <v>0</v>
      </c>
      <c r="V28" s="15">
        <f>NOVIEMBRE!V28+DICIEMBRE!AL28</f>
        <v>0</v>
      </c>
      <c r="W28" s="15">
        <f>NOVIEMBRE!W28+DICIEMBRE!AM28</f>
        <v>0</v>
      </c>
      <c r="X28" s="18">
        <f t="shared" si="17"/>
        <v>0</v>
      </c>
      <c r="Y28" s="19">
        <f>NOVIEMBRE!AA28</f>
        <v>0</v>
      </c>
      <c r="Z28" s="364">
        <v>0</v>
      </c>
      <c r="AA28" s="18">
        <f t="shared" si="18"/>
        <v>0</v>
      </c>
      <c r="AB28" s="19">
        <f>NOVIEMBRE!AD28</f>
        <v>0</v>
      </c>
      <c r="AC28" s="364">
        <v>0</v>
      </c>
      <c r="AD28" s="18">
        <f t="shared" si="19"/>
        <v>0</v>
      </c>
      <c r="AE28" s="19">
        <f>NOVIEMBRE!AG28</f>
        <v>0</v>
      </c>
      <c r="AF28" s="364">
        <v>0</v>
      </c>
      <c r="AG28" s="18">
        <f t="shared" si="20"/>
        <v>0</v>
      </c>
      <c r="AH28" s="19">
        <f t="shared" si="21"/>
        <v>0</v>
      </c>
      <c r="AI28" s="15">
        <f t="shared" si="22"/>
        <v>0</v>
      </c>
      <c r="AJ28" s="16">
        <f t="shared" si="23"/>
        <v>0</v>
      </c>
      <c r="AK28" s="9"/>
      <c r="AL28" s="362">
        <v>0</v>
      </c>
      <c r="AM28" s="365">
        <v>0</v>
      </c>
      <c r="AN28" s="9"/>
      <c r="AO28" s="339"/>
      <c r="AP28" s="777" t="s">
        <v>566</v>
      </c>
      <c r="AQ28" s="363">
        <f>X195</f>
        <v>30306889326</v>
      </c>
      <c r="AR28" s="363">
        <f>AD195</f>
        <v>27687599767</v>
      </c>
      <c r="AS28" s="363">
        <f>AG195</f>
        <v>22580648353</v>
      </c>
      <c r="AT28" s="421"/>
      <c r="AU28" s="363">
        <f t="shared" si="25"/>
        <v>0.91357445065294329</v>
      </c>
      <c r="AV28" s="363">
        <f t="shared" si="26"/>
        <v>0.74506651309899596</v>
      </c>
      <c r="AW28" s="363">
        <f>(AR28-AD207)/$AO$2*12+AD207</f>
        <v>27687599767</v>
      </c>
      <c r="AX28" s="363">
        <f>(AS28-AG207)/$AO$2*12+AG207</f>
        <v>22580648353</v>
      </c>
      <c r="AY28" s="363">
        <f t="shared" si="27"/>
        <v>-2619289559</v>
      </c>
      <c r="AZ28" s="143">
        <f t="shared" si="28"/>
        <v>7726240973</v>
      </c>
      <c r="BA28" s="372"/>
      <c r="BB28" s="372"/>
      <c r="BC28" s="372"/>
      <c r="BD28" s="372"/>
      <c r="BE28" s="372"/>
      <c r="BF28" s="372"/>
      <c r="BG28" s="372"/>
      <c r="BH28" s="372"/>
      <c r="BI28" s="372"/>
      <c r="BJ28" s="372"/>
      <c r="BK28" s="372"/>
      <c r="BL28" s="372"/>
      <c r="BM28" s="71" t="s">
        <v>433</v>
      </c>
      <c r="BN28" s="83">
        <f>+X196-X198-X207</f>
        <v>11857444359</v>
      </c>
      <c r="BO28" s="81">
        <f>+AA196-AA198-AA207</f>
        <v>11204105664</v>
      </c>
      <c r="BP28" s="81">
        <f>+AD196-AD198-AD207</f>
        <v>11204105664</v>
      </c>
      <c r="BQ28" s="196">
        <f>+AF196-AF198-AF207</f>
        <v>1731412504</v>
      </c>
      <c r="BR28" s="118">
        <f>+BQ28+NOVIEMBRE!BQ28+OCTUBRE!BQ28+SEPTIEMBRE!BQ28+AGOSTO!BQ28+JULIO!BQ28+JUNIO!BQ28+MAYO!BQ28+ABRIL!BQ28+MARZO!BQ28+FEBRERO!BQ28+ENERO!BQ28</f>
        <v>8891766467</v>
      </c>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row>
    <row r="29" spans="1:249" s="9" customFormat="1" ht="24.95" customHeight="1">
      <c r="A29" s="593" t="str">
        <f>+IF(NOVIEMBRE!A29=0,"",NOVIEMBRE!A29)</f>
        <v>1130103-1</v>
      </c>
      <c r="B29" s="630" t="str">
        <f>+IF(NOVIEMBRE!B29=0,"",NOVIEMBRE!B29)</f>
        <v>Prestación de Servicios de salud  1er Nivel</v>
      </c>
      <c r="C29" s="19">
        <f t="shared" ref="C29:N29" si="31">SUM(C30:C31)</f>
        <v>0</v>
      </c>
      <c r="D29" s="15">
        <f t="shared" si="31"/>
        <v>0</v>
      </c>
      <c r="E29" s="15">
        <f t="shared" si="31"/>
        <v>0</v>
      </c>
      <c r="F29" s="15">
        <f t="shared" si="31"/>
        <v>0</v>
      </c>
      <c r="G29" s="15">
        <f t="shared" si="31"/>
        <v>0</v>
      </c>
      <c r="H29" s="15">
        <f t="shared" si="31"/>
        <v>0</v>
      </c>
      <c r="I29" s="15">
        <f t="shared" si="31"/>
        <v>0</v>
      </c>
      <c r="J29" s="15">
        <f t="shared" si="31"/>
        <v>0</v>
      </c>
      <c r="K29" s="15">
        <f t="shared" si="31"/>
        <v>0</v>
      </c>
      <c r="L29" s="15">
        <f t="shared" si="31"/>
        <v>0</v>
      </c>
      <c r="M29" s="15">
        <f t="shared" si="31"/>
        <v>0</v>
      </c>
      <c r="N29" s="16">
        <f t="shared" si="31"/>
        <v>0</v>
      </c>
      <c r="O29" s="372"/>
      <c r="P29" s="144">
        <f>SUM(P30:P31)</f>
        <v>0</v>
      </c>
      <c r="Q29" s="145">
        <f>SUM(Q30:Q31)</f>
        <v>0</v>
      </c>
      <c r="S29" s="689" t="str">
        <f>+IF(NOVIEMBRE!S29=0,"",NOVIEMBRE!S29)</f>
        <v>1010104-9</v>
      </c>
      <c r="T29" s="665" t="str">
        <f>+IF(NOVIEMBRE!T29=0,"",NOVIEMBRE!T29)</f>
        <v>Bonificación Especial por Recreación</v>
      </c>
      <c r="U29" s="27">
        <f>+ENERO!U29</f>
        <v>8443869</v>
      </c>
      <c r="V29" s="15">
        <f>NOVIEMBRE!V29+DICIEMBRE!AL29</f>
        <v>0</v>
      </c>
      <c r="W29" s="15">
        <f>NOVIEMBRE!W29+DICIEMBRE!AM29</f>
        <v>0</v>
      </c>
      <c r="X29" s="18">
        <f t="shared" si="17"/>
        <v>8443869</v>
      </c>
      <c r="Y29" s="19">
        <f>NOVIEMBRE!AA29</f>
        <v>4694984</v>
      </c>
      <c r="Z29" s="364">
        <v>2722986</v>
      </c>
      <c r="AA29" s="18">
        <f t="shared" si="18"/>
        <v>7417970</v>
      </c>
      <c r="AB29" s="19">
        <f>NOVIEMBRE!AD29</f>
        <v>4694984</v>
      </c>
      <c r="AC29" s="364">
        <v>2722986</v>
      </c>
      <c r="AD29" s="18">
        <f t="shared" si="19"/>
        <v>7417970</v>
      </c>
      <c r="AE29" s="19">
        <f>NOVIEMBRE!AG29</f>
        <v>4693964</v>
      </c>
      <c r="AF29" s="364">
        <v>2724006</v>
      </c>
      <c r="AG29" s="18">
        <f t="shared" si="20"/>
        <v>7417970</v>
      </c>
      <c r="AH29" s="19">
        <f t="shared" si="21"/>
        <v>1025899</v>
      </c>
      <c r="AI29" s="15">
        <f t="shared" si="22"/>
        <v>1025899</v>
      </c>
      <c r="AJ29" s="16">
        <f t="shared" si="23"/>
        <v>1025899</v>
      </c>
      <c r="AL29" s="362">
        <v>0</v>
      </c>
      <c r="AM29" s="365">
        <v>0</v>
      </c>
      <c r="AO29" s="21"/>
      <c r="AP29" s="777" t="s">
        <v>565</v>
      </c>
      <c r="AQ29" s="363">
        <f>X209</f>
        <v>0</v>
      </c>
      <c r="AR29" s="363">
        <f>AD209</f>
        <v>0</v>
      </c>
      <c r="AS29" s="363">
        <f>AG209</f>
        <v>0</v>
      </c>
      <c r="AT29" s="317"/>
      <c r="AU29" s="332" t="str">
        <f t="shared" si="25"/>
        <v xml:space="preserve"> </v>
      </c>
      <c r="AV29" s="332" t="str">
        <f t="shared" si="26"/>
        <v xml:space="preserve"> </v>
      </c>
      <c r="AW29" s="426">
        <f>(AR29-AD218)/$AO$2*12+AD218</f>
        <v>0</v>
      </c>
      <c r="AX29" s="426">
        <f>(AS29-AG218)/$AO$2*12+AG218</f>
        <v>0</v>
      </c>
      <c r="AY29" s="426">
        <f t="shared" si="27"/>
        <v>0</v>
      </c>
      <c r="AZ29" s="46">
        <f t="shared" si="28"/>
        <v>0</v>
      </c>
      <c r="BA29" s="372"/>
      <c r="BB29" s="412"/>
      <c r="BC29" s="412"/>
      <c r="BD29" s="412"/>
      <c r="BE29" s="412"/>
      <c r="BF29" s="412"/>
      <c r="BG29" s="372"/>
      <c r="BH29" s="372"/>
      <c r="BI29" s="372"/>
      <c r="BJ29" s="372"/>
      <c r="BK29" s="372"/>
      <c r="BM29" s="110" t="s">
        <v>70</v>
      </c>
      <c r="BN29" s="106">
        <f>X232-X256-X241</f>
        <v>48514618396</v>
      </c>
      <c r="BO29" s="107">
        <f>AA232-AA256-AA241</f>
        <v>17094965744</v>
      </c>
      <c r="BP29" s="107">
        <f>AD232-AD256-AD241</f>
        <v>17094965744</v>
      </c>
      <c r="BQ29" s="198">
        <f>AF232-AF256-AF241</f>
        <v>3007394421</v>
      </c>
      <c r="BR29" s="118">
        <f>+BQ29+NOVIEMBRE!BQ29+OCTUBRE!BQ29+SEPTIEMBRE!BQ29+AGOSTO!BQ29+JULIO!BQ29+JUNIO!BQ29+MAYO!BQ29+ABRIL!BQ29+MARZO!BQ29+FEBRERO!BQ29+ENERO!BQ29</f>
        <v>15830181639</v>
      </c>
    </row>
    <row r="30" spans="1:249" s="412" customFormat="1" ht="24.95" customHeight="1">
      <c r="A30" s="593" t="str">
        <f>+IF(NOVIEMBRE!A30=0,"",NOVIEMBRE!A30)</f>
        <v>1130103-1-1</v>
      </c>
      <c r="B30" s="629" t="str">
        <f>+CONCATENATE("Vigencia ",INSTRUCCIONES!$F$3)</f>
        <v>Vigencia 2019</v>
      </c>
      <c r="C30" s="655">
        <f>+ENERO!C30</f>
        <v>0</v>
      </c>
      <c r="D30" s="363">
        <f>NOVIEMBRE!D30+DICIEMBRE!P30</f>
        <v>0</v>
      </c>
      <c r="E30" s="363">
        <f>NOVIEMBRE!E30+DICIEMBRE!Q30</f>
        <v>0</v>
      </c>
      <c r="F30" s="363">
        <f>SUM(C30:E30)</f>
        <v>0</v>
      </c>
      <c r="G30" s="363">
        <f>NOVIEMBRE!I30</f>
        <v>0</v>
      </c>
      <c r="H30" s="364">
        <v>0</v>
      </c>
      <c r="I30" s="363">
        <f>SUM(G30:H30)</f>
        <v>0</v>
      </c>
      <c r="J30" s="363">
        <f>NOVIEMBRE!L30</f>
        <v>0</v>
      </c>
      <c r="K30" s="364">
        <v>0</v>
      </c>
      <c r="L30" s="363">
        <f>SUM(J30:K30)</f>
        <v>0</v>
      </c>
      <c r="M30" s="363">
        <f>F30-I30</f>
        <v>0</v>
      </c>
      <c r="N30" s="143">
        <f>F30-L30</f>
        <v>0</v>
      </c>
      <c r="O30" s="9"/>
      <c r="P30" s="362">
        <v>0</v>
      </c>
      <c r="Q30" s="365">
        <v>0</v>
      </c>
      <c r="R30" s="9"/>
      <c r="S30" s="689" t="str">
        <f>+IF(NOVIEMBRE!S30=0,"",NOVIEMBRE!S30)</f>
        <v>1010104-10</v>
      </c>
      <c r="T30" s="665" t="str">
        <f>+IF(NOVIEMBRE!T30=0,"",NOVIEMBRE!T30)</f>
        <v>Gastos de Representación</v>
      </c>
      <c r="U30" s="27">
        <f>+ENERO!U30</f>
        <v>0</v>
      </c>
      <c r="V30" s="15">
        <f>NOVIEMBRE!V30+DICIEMBRE!AL30</f>
        <v>0</v>
      </c>
      <c r="W30" s="15">
        <f>NOVIEMBRE!W30+DICIEMBRE!AM30</f>
        <v>0</v>
      </c>
      <c r="X30" s="18">
        <f t="shared" si="17"/>
        <v>0</v>
      </c>
      <c r="Y30" s="19">
        <f>NOVIEMBRE!AA30</f>
        <v>0</v>
      </c>
      <c r="Z30" s="364">
        <v>0</v>
      </c>
      <c r="AA30" s="18">
        <f t="shared" si="18"/>
        <v>0</v>
      </c>
      <c r="AB30" s="19">
        <f>NOVIEMBRE!AD30</f>
        <v>0</v>
      </c>
      <c r="AC30" s="364">
        <v>0</v>
      </c>
      <c r="AD30" s="18">
        <f t="shared" si="19"/>
        <v>0</v>
      </c>
      <c r="AE30" s="19">
        <f>NOVIEMBRE!AG30</f>
        <v>0</v>
      </c>
      <c r="AF30" s="364">
        <v>0</v>
      </c>
      <c r="AG30" s="18">
        <f t="shared" si="20"/>
        <v>0</v>
      </c>
      <c r="AH30" s="19">
        <f t="shared" si="21"/>
        <v>0</v>
      </c>
      <c r="AI30" s="15">
        <f t="shared" si="22"/>
        <v>0</v>
      </c>
      <c r="AJ30" s="16">
        <f t="shared" si="23"/>
        <v>0</v>
      </c>
      <c r="AK30" s="9"/>
      <c r="AL30" s="362">
        <v>0</v>
      </c>
      <c r="AM30" s="365">
        <v>0</v>
      </c>
      <c r="AN30" s="9"/>
      <c r="AO30" s="360" t="s">
        <v>51</v>
      </c>
      <c r="AP30" s="428" t="s">
        <v>130</v>
      </c>
      <c r="AQ30" s="363">
        <f>X220+X232</f>
        <v>54297598343</v>
      </c>
      <c r="AR30" s="363">
        <f>AD220+AD232</f>
        <v>21169523683</v>
      </c>
      <c r="AS30" s="363">
        <f>AG220+AG232</f>
        <v>19904739578</v>
      </c>
      <c r="AT30" s="421"/>
      <c r="AU30" s="363">
        <f t="shared" si="25"/>
        <v>0.38987955874717167</v>
      </c>
      <c r="AV30" s="363">
        <f t="shared" si="26"/>
        <v>0.36658600353299242</v>
      </c>
      <c r="AW30" s="363">
        <f>(AR30-AD225-AD230-AD241-AD256)/$AO$2*12+AD225+AD230+AD241+AD256</f>
        <v>21169523683</v>
      </c>
      <c r="AX30" s="363">
        <f>(AS30-AG225-AG230-AG241-AG256)/$AO$2*12+AG225+AG230+AG241+AG256</f>
        <v>19904739578</v>
      </c>
      <c r="AY30" s="363">
        <f t="shared" si="27"/>
        <v>-33128074660</v>
      </c>
      <c r="AZ30" s="143">
        <f t="shared" si="28"/>
        <v>34392858765</v>
      </c>
      <c r="BA30" s="372"/>
      <c r="BG30" s="372"/>
      <c r="BH30" s="372"/>
      <c r="BI30" s="372"/>
      <c r="BJ30" s="372"/>
      <c r="BK30" s="372"/>
      <c r="BL30" s="372"/>
      <c r="BM30" s="110" t="s">
        <v>74</v>
      </c>
      <c r="BN30" s="106">
        <f>X220-X225-X230</f>
        <v>247344980</v>
      </c>
      <c r="BO30" s="107">
        <f>AA220-AA225-AA230</f>
        <v>226892532</v>
      </c>
      <c r="BP30" s="107">
        <f>AD220-AD225-AD230</f>
        <v>226892532</v>
      </c>
      <c r="BQ30" s="198">
        <f>AF220-AF225-AF230</f>
        <v>0</v>
      </c>
      <c r="BR30" s="118">
        <f>+BQ30+NOVIEMBRE!BQ30+OCTUBRE!BQ30+SEPTIEMBRE!BQ30+AGOSTO!BQ30+JULIO!BQ30+JUNIO!BQ30+MAYO!BQ30+ABRIL!BQ30+MARZO!BQ30+FEBRERO!BQ30+ENERO!BQ30</f>
        <v>226892532</v>
      </c>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row>
    <row r="31" spans="1:249" s="412" customFormat="1" ht="24.95" customHeight="1">
      <c r="A31" s="593" t="str">
        <f>+IF(NOVIEMBRE!A31=0,"",NOVIEMBRE!A31)</f>
        <v>1130103-1-2</v>
      </c>
      <c r="B31" s="629" t="str">
        <f>+IF(NOVIEMBRE!B31=0,"",NOVIEMBRE!B31)</f>
        <v>Vigencia Anterior</v>
      </c>
      <c r="C31" s="655">
        <f>+ENERO!C31</f>
        <v>0</v>
      </c>
      <c r="D31" s="363">
        <f>NOVIEMBRE!D31+DICIEMBRE!P31</f>
        <v>0</v>
      </c>
      <c r="E31" s="363">
        <f>NOVIEMBRE!E31+DICIEMBRE!Q31</f>
        <v>0</v>
      </c>
      <c r="F31" s="363">
        <f>SUM(C31:E31)</f>
        <v>0</v>
      </c>
      <c r="G31" s="363">
        <f>NOVIEMBRE!I31</f>
        <v>0</v>
      </c>
      <c r="H31" s="364">
        <v>0</v>
      </c>
      <c r="I31" s="363">
        <f>SUM(G31:H31)</f>
        <v>0</v>
      </c>
      <c r="J31" s="363">
        <f>NOVIEMBRE!L31</f>
        <v>0</v>
      </c>
      <c r="K31" s="364">
        <v>0</v>
      </c>
      <c r="L31" s="363">
        <f>SUM(J31:K31)</f>
        <v>0</v>
      </c>
      <c r="M31" s="363">
        <f>F31-I31</f>
        <v>0</v>
      </c>
      <c r="N31" s="143">
        <f>F31-L31</f>
        <v>0</v>
      </c>
      <c r="O31" s="372"/>
      <c r="P31" s="362">
        <v>0</v>
      </c>
      <c r="Q31" s="365">
        <v>0</v>
      </c>
      <c r="R31" s="9"/>
      <c r="S31" s="689" t="str">
        <f>+IF(NOVIEMBRE!S31=0,"",NOVIEMBRE!S31)</f>
        <v>1010104-11</v>
      </c>
      <c r="T31" s="665" t="str">
        <f>+IF(NOVIEMBRE!T31=0,"",NOVIEMBRE!T31)</f>
        <v/>
      </c>
      <c r="U31" s="27">
        <f>+ENERO!U31</f>
        <v>0</v>
      </c>
      <c r="V31" s="15">
        <f>NOVIEMBRE!V31+DICIEMBRE!AL31</f>
        <v>0</v>
      </c>
      <c r="W31" s="15">
        <f>NOVIEMBRE!W31+DICIEMBRE!AM31</f>
        <v>0</v>
      </c>
      <c r="X31" s="18">
        <f t="shared" si="17"/>
        <v>0</v>
      </c>
      <c r="Y31" s="19">
        <f>NOVIEMBRE!AA31</f>
        <v>0</v>
      </c>
      <c r="Z31" s="364">
        <v>0</v>
      </c>
      <c r="AA31" s="18">
        <f t="shared" si="18"/>
        <v>0</v>
      </c>
      <c r="AB31" s="19">
        <f>NOVIEMBRE!AD31</f>
        <v>0</v>
      </c>
      <c r="AC31" s="364">
        <v>0</v>
      </c>
      <c r="AD31" s="18">
        <f t="shared" si="19"/>
        <v>0</v>
      </c>
      <c r="AE31" s="19">
        <f>NOVIEMBRE!AG31</f>
        <v>0</v>
      </c>
      <c r="AF31" s="364">
        <v>0</v>
      </c>
      <c r="AG31" s="18">
        <f t="shared" si="20"/>
        <v>0</v>
      </c>
      <c r="AH31" s="19">
        <f t="shared" si="21"/>
        <v>0</v>
      </c>
      <c r="AI31" s="15">
        <f t="shared" si="22"/>
        <v>0</v>
      </c>
      <c r="AJ31" s="16">
        <f t="shared" si="23"/>
        <v>0</v>
      </c>
      <c r="AK31" s="9"/>
      <c r="AL31" s="362">
        <v>0</v>
      </c>
      <c r="AM31" s="365">
        <v>0</v>
      </c>
      <c r="AN31" s="9"/>
      <c r="AO31" s="339"/>
      <c r="AP31" s="405" t="s">
        <v>133</v>
      </c>
      <c r="AQ31" s="421">
        <f>X258</f>
        <v>0</v>
      </c>
      <c r="AR31" s="421">
        <f>AD258</f>
        <v>13651997378.76001</v>
      </c>
      <c r="AS31" s="421">
        <f>AG258</f>
        <v>-82035324444</v>
      </c>
      <c r="AT31" s="421"/>
      <c r="AU31" s="363" t="str">
        <f t="shared" si="25"/>
        <v xml:space="preserve"> </v>
      </c>
      <c r="AV31" s="363" t="str">
        <f t="shared" si="26"/>
        <v xml:space="preserve"> </v>
      </c>
      <c r="AW31" s="363">
        <f>AQ31</f>
        <v>0</v>
      </c>
      <c r="AX31" s="363">
        <f>AQ31</f>
        <v>0</v>
      </c>
      <c r="AY31" s="363">
        <f t="shared" si="27"/>
        <v>0</v>
      </c>
      <c r="AZ31" s="143">
        <f t="shared" si="28"/>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23262771254</v>
      </c>
      <c r="BO31" s="107">
        <f>AA33+AA41+AA55+AA61+AA81+AA88+AA102+AA108+AA121+AA139+AA143+AA153+AA168+AA174+AA183+AA191+AA207+AA218+AA230+AA241+AA256+AA225</f>
        <v>19428711890</v>
      </c>
      <c r="BP31" s="107">
        <f>AD33+AD41+AD55+AD61+AD81+AD88+AD102+AD108+AD121+AD139+AD143+AD153+AD168+AD174+AD183+AD191+AD207+AD218+AD230+AD241+AD256+AD225</f>
        <v>19428711890</v>
      </c>
      <c r="BQ31" s="198">
        <f>AF33+AF41+AF55+AF61+AF81+AF88+AF102+AF108+AF121+AF139+AF143+AF153+AF168+AF174+AF183+AF191+AF207+AF218+AF230+AF241+AF256+AF225</f>
        <v>766504097</v>
      </c>
      <c r="BR31" s="118">
        <f>+BQ31+NOVIEMBRE!BQ31+OCTUBRE!BQ31+SEPTIEMBRE!BQ31+AGOSTO!BQ31+JULIO!BQ31+JUNIO!BQ31+MAYO!BQ31+ABRIL!BQ31+MARZO!BQ31+FEBRERO!BQ31+ENERO!BQ31</f>
        <v>19428711890</v>
      </c>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row>
    <row r="32" spans="1:249" s="9" customFormat="1" ht="24.95" customHeight="1" thickBot="1">
      <c r="A32" s="593" t="str">
        <f>+IF(NOVIEMBRE!A32=0,"",NOVIEMBRE!A32)</f>
        <v>1130103-2</v>
      </c>
      <c r="B32" s="630" t="str">
        <f>+IF(NOVIEMBRE!B32=0,"",NOVIEMBRE!B32)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72"/>
      <c r="P32" s="144">
        <f>SUM(P33:P34)</f>
        <v>0</v>
      </c>
      <c r="Q32" s="145">
        <f>SUM(Q33:Q34)</f>
        <v>0</v>
      </c>
      <c r="S32" s="689" t="str">
        <f>+IF(NOVIEMBRE!S32=0,"",NOVIEMBRE!S32)</f>
        <v>1010104-12</v>
      </c>
      <c r="T32" s="665" t="str">
        <f>+IF(NOVIEMBRE!T32=0,"",NOVIEMBRE!T32)</f>
        <v/>
      </c>
      <c r="U32" s="27">
        <f>+ENERO!U32</f>
        <v>0</v>
      </c>
      <c r="V32" s="15">
        <f>NOVIEMBRE!V32+DICIEMBRE!AL32</f>
        <v>0</v>
      </c>
      <c r="W32" s="15">
        <f>NOVIEMBRE!W32+DICIEMBRE!AM32</f>
        <v>0</v>
      </c>
      <c r="X32" s="18">
        <f t="shared" si="17"/>
        <v>0</v>
      </c>
      <c r="Y32" s="19">
        <f>NOVIEMBRE!AA32</f>
        <v>0</v>
      </c>
      <c r="Z32" s="364">
        <v>0</v>
      </c>
      <c r="AA32" s="18">
        <f t="shared" si="18"/>
        <v>0</v>
      </c>
      <c r="AB32" s="19">
        <f>NOVIEMBRE!AD32</f>
        <v>0</v>
      </c>
      <c r="AC32" s="364">
        <v>0</v>
      </c>
      <c r="AD32" s="18">
        <f t="shared" si="19"/>
        <v>0</v>
      </c>
      <c r="AE32" s="19">
        <f>NOVIEMBRE!AG32</f>
        <v>0</v>
      </c>
      <c r="AF32" s="364">
        <v>0</v>
      </c>
      <c r="AG32" s="18">
        <f t="shared" si="20"/>
        <v>0</v>
      </c>
      <c r="AH32" s="19">
        <f t="shared" si="21"/>
        <v>0</v>
      </c>
      <c r="AI32" s="15">
        <f t="shared" si="22"/>
        <v>0</v>
      </c>
      <c r="AJ32" s="16">
        <f t="shared" si="23"/>
        <v>0</v>
      </c>
      <c r="AL32" s="362">
        <v>0</v>
      </c>
      <c r="AM32" s="365">
        <v>0</v>
      </c>
      <c r="AO32" s="21"/>
      <c r="AP32" s="430" t="s">
        <v>138</v>
      </c>
      <c r="AQ32" s="385">
        <f>SUM(AQ22:AQ31)</f>
        <v>137255115108</v>
      </c>
      <c r="AR32" s="385">
        <f>SUM(AR22:AR31)</f>
        <v>109745185230.76001</v>
      </c>
      <c r="AS32" s="385">
        <f>SUM(AS22:AS31)</f>
        <v>0</v>
      </c>
      <c r="AT32" s="431"/>
      <c r="AU32" s="432">
        <f t="shared" si="25"/>
        <v>0.79957082214682029</v>
      </c>
      <c r="AV32" s="432">
        <f t="shared" si="26"/>
        <v>0</v>
      </c>
      <c r="AW32" s="341">
        <f>SUM(AW22:AW31)</f>
        <v>96233126964.041672</v>
      </c>
      <c r="AX32" s="341">
        <f>SUM(AX22:AX31)</f>
        <v>82177789359.041672</v>
      </c>
      <c r="AY32" s="341">
        <f>SUM(AY22:AY31)</f>
        <v>-41021988143.958336</v>
      </c>
      <c r="AZ32" s="342">
        <f>SUM(AZ22:AZ31)</f>
        <v>55077325748.958328</v>
      </c>
      <c r="BA32" s="372"/>
      <c r="BB32" s="412"/>
      <c r="BC32" s="412"/>
      <c r="BD32" s="412"/>
      <c r="BE32" s="412"/>
      <c r="BF32" s="412"/>
      <c r="BG32" s="372"/>
      <c r="BH32" s="372"/>
      <c r="BI32" s="372"/>
      <c r="BJ32" s="372"/>
      <c r="BK32" s="372"/>
      <c r="BM32" s="110" t="s">
        <v>134</v>
      </c>
      <c r="BN32" s="106">
        <f>+BN7+BN25+BN29+BN30+BN31</f>
        <v>137255115108</v>
      </c>
      <c r="BO32" s="107">
        <f>+BO7+BO25+BO29+BO30+BO31</f>
        <v>96093187852</v>
      </c>
      <c r="BP32" s="107">
        <f>+BP7+BP25+BP29+BP30+BP31</f>
        <v>96093187852</v>
      </c>
      <c r="BQ32" s="108">
        <f>+BQ7+BQ25+BQ29+BQ30+BQ31</f>
        <v>12096917498</v>
      </c>
      <c r="BR32" s="118">
        <f>+BQ32+NOVIEMBRE!BQ32+OCTUBRE!BQ32+SEPTIEMBRE!BQ32+AGOSTO!BQ32+JULIO!BQ32+JUNIO!BQ32+MAYO!BQ32+ABRIL!BQ32+MARZO!BQ32+FEBRERO!BQ32+ENERO!BQ32</f>
        <v>82035324444</v>
      </c>
    </row>
    <row r="33" spans="1:249" s="412" customFormat="1" ht="24.95" customHeight="1" thickBot="1">
      <c r="A33" s="593" t="str">
        <f>+IF(NOVIEMBRE!A33=0,"",NOVIEMBRE!A33)</f>
        <v>1130103-2-1</v>
      </c>
      <c r="B33" s="629" t="str">
        <f>+CONCATENATE("Vigencia ",INSTRUCCIONES!$F$3)</f>
        <v>Vigencia 2019</v>
      </c>
      <c r="C33" s="655">
        <f>+ENERO!C33</f>
        <v>0</v>
      </c>
      <c r="D33" s="363">
        <f>NOVIEMBRE!D33+DICIEMBRE!P33</f>
        <v>0</v>
      </c>
      <c r="E33" s="363">
        <f>NOVIEMBRE!E33+DICIEMBRE!Q33</f>
        <v>0</v>
      </c>
      <c r="F33" s="363">
        <f>SUM(C33:E33)</f>
        <v>0</v>
      </c>
      <c r="G33" s="363">
        <f>NOVIEMBRE!I33</f>
        <v>0</v>
      </c>
      <c r="H33" s="364">
        <v>0</v>
      </c>
      <c r="I33" s="363">
        <f>SUM(G33:H33)</f>
        <v>0</v>
      </c>
      <c r="J33" s="363">
        <f>NOVIEMBRE!L33</f>
        <v>0</v>
      </c>
      <c r="K33" s="364">
        <v>0</v>
      </c>
      <c r="L33" s="363">
        <f>SUM(J33:K33)</f>
        <v>0</v>
      </c>
      <c r="M33" s="363">
        <f>F33-I33</f>
        <v>0</v>
      </c>
      <c r="N33" s="143">
        <f>F33-L33</f>
        <v>0</v>
      </c>
      <c r="O33" s="9"/>
      <c r="P33" s="362">
        <v>0</v>
      </c>
      <c r="Q33" s="365">
        <v>0</v>
      </c>
      <c r="R33" s="9"/>
      <c r="S33" s="688">
        <f>+IF(NOVIEMBRE!S33=0,"",NOVIEMBRE!S33)</f>
        <v>1010199</v>
      </c>
      <c r="T33" s="664" t="str">
        <f>+IF(NOVIEMBRE!T33=0,"",NOVIEMBRE!T33)</f>
        <v>Vigencias Anteriores</v>
      </c>
      <c r="U33" s="27">
        <f>+ENERO!U33</f>
        <v>0</v>
      </c>
      <c r="V33" s="15">
        <f>NOVIEMBRE!V33+DICIEMBRE!AL33</f>
        <v>-120000000</v>
      </c>
      <c r="W33" s="15">
        <f>NOVIEMBRE!W33+DICIEMBRE!AM33</f>
        <v>120000000</v>
      </c>
      <c r="X33" s="18">
        <f t="shared" si="17"/>
        <v>0</v>
      </c>
      <c r="Y33" s="19">
        <f>NOVIEMBRE!AA33</f>
        <v>0</v>
      </c>
      <c r="Z33" s="364">
        <v>0</v>
      </c>
      <c r="AA33" s="18">
        <f t="shared" si="18"/>
        <v>0</v>
      </c>
      <c r="AB33" s="19">
        <f>NOVIEMBRE!AD33</f>
        <v>0</v>
      </c>
      <c r="AC33" s="364">
        <v>0</v>
      </c>
      <c r="AD33" s="18">
        <f t="shared" si="19"/>
        <v>0</v>
      </c>
      <c r="AE33" s="19">
        <f>NOVIEMBRE!AG33</f>
        <v>0</v>
      </c>
      <c r="AF33" s="364">
        <v>0</v>
      </c>
      <c r="AG33" s="18">
        <f t="shared" si="20"/>
        <v>0</v>
      </c>
      <c r="AH33" s="19">
        <f t="shared" si="21"/>
        <v>0</v>
      </c>
      <c r="AI33" s="15">
        <f t="shared" si="22"/>
        <v>0</v>
      </c>
      <c r="AJ33" s="16">
        <f t="shared" si="23"/>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52079706315</v>
      </c>
      <c r="BP33" s="113">
        <f>AD258</f>
        <v>13651997378.76001</v>
      </c>
      <c r="BQ33" s="114">
        <f>AF258</f>
        <v>15413012379.240002</v>
      </c>
      <c r="BR33" s="118"/>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row>
    <row r="34" spans="1:249" s="412" customFormat="1" ht="24.95" customHeight="1" thickBot="1">
      <c r="A34" s="593" t="str">
        <f>+IF(NOVIEMBRE!A34=0,"",NOVIEMBRE!A34)</f>
        <v>1130103-2-2</v>
      </c>
      <c r="B34" s="629" t="str">
        <f>+IF(NOVIEMBRE!B34=0,"",NOVIEMBRE!B34)</f>
        <v>Vigencia Anterior</v>
      </c>
      <c r="C34" s="655">
        <f>+ENERO!C34</f>
        <v>0</v>
      </c>
      <c r="D34" s="363">
        <f>NOVIEMBRE!D34+DICIEMBRE!P34</f>
        <v>0</v>
      </c>
      <c r="E34" s="363">
        <f>NOVIEMBRE!E34+DICIEMBRE!Q34</f>
        <v>0</v>
      </c>
      <c r="F34" s="363">
        <f>SUM(C34:E34)</f>
        <v>0</v>
      </c>
      <c r="G34" s="363">
        <f>NOVIEMBRE!I34</f>
        <v>0</v>
      </c>
      <c r="H34" s="364">
        <v>0</v>
      </c>
      <c r="I34" s="363">
        <f>SUM(G34:H34)</f>
        <v>0</v>
      </c>
      <c r="J34" s="363">
        <f>NOVIEMBRE!L34</f>
        <v>0</v>
      </c>
      <c r="K34" s="364">
        <v>0</v>
      </c>
      <c r="L34" s="363">
        <f>SUM(J34:K34)</f>
        <v>0</v>
      </c>
      <c r="M34" s="363">
        <f>F34-I34</f>
        <v>0</v>
      </c>
      <c r="N34" s="143">
        <f>F34-L34</f>
        <v>0</v>
      </c>
      <c r="O34" s="372"/>
      <c r="P34" s="362">
        <v>0</v>
      </c>
      <c r="Q34" s="365">
        <v>0</v>
      </c>
      <c r="R34" s="9"/>
      <c r="S34" s="356" t="str">
        <f>+IF(NOVIEMBRE!S34=0,"",NOVIEMBRE!S34)</f>
        <v/>
      </c>
      <c r="T34" s="678" t="str">
        <f>+IF(NOVIEMBRE!T34=0,"",NOVIEMBRE!T34)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30"/>
      <c r="BR34" s="9"/>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row>
    <row r="35" spans="1:249" s="372" customFormat="1" ht="24.95" customHeight="1" thickBot="1">
      <c r="A35" s="593" t="str">
        <f>+IF(NOVIEMBRE!A35=0,"",NOVIEMBRE!A35)</f>
        <v>1130103-3</v>
      </c>
      <c r="B35" s="630" t="str">
        <f>+IF(NOVIEMBRE!B35=0,"",NOVIEMBRE!B35)</f>
        <v>Prestación de Servicios de salud  3o. Nivel</v>
      </c>
      <c r="C35" s="19">
        <f t="shared" ref="C35:N35" si="33">SUM(C36:C37)</f>
        <v>7627600802</v>
      </c>
      <c r="D35" s="15">
        <f t="shared" si="33"/>
        <v>0</v>
      </c>
      <c r="E35" s="15">
        <f t="shared" si="33"/>
        <v>4897934072</v>
      </c>
      <c r="F35" s="15">
        <f t="shared" si="33"/>
        <v>12525534874</v>
      </c>
      <c r="G35" s="15">
        <f t="shared" si="33"/>
        <v>15415910585</v>
      </c>
      <c r="H35" s="15">
        <f t="shared" si="33"/>
        <v>2180005511</v>
      </c>
      <c r="I35" s="15">
        <f t="shared" si="33"/>
        <v>17595916096</v>
      </c>
      <c r="J35" s="15">
        <f t="shared" si="33"/>
        <v>5987160376</v>
      </c>
      <c r="K35" s="15">
        <f t="shared" si="33"/>
        <v>3950618334</v>
      </c>
      <c r="L35" s="15">
        <f t="shared" si="33"/>
        <v>9937778710</v>
      </c>
      <c r="M35" s="15">
        <f t="shared" si="33"/>
        <v>-5070381222</v>
      </c>
      <c r="N35" s="16">
        <f t="shared" si="33"/>
        <v>2587756164</v>
      </c>
      <c r="P35" s="144">
        <f>SUM(P36:P37)</f>
        <v>0</v>
      </c>
      <c r="Q35" s="145">
        <f>SUM(Q36:Q37)</f>
        <v>1408256</v>
      </c>
      <c r="R35" s="9"/>
      <c r="S35" s="687">
        <f>+IF(NOVIEMBRE!S35=0,"",NOVIEMBRE!S35)</f>
        <v>1010200</v>
      </c>
      <c r="T35" s="663" t="str">
        <f>+IF(NOVIEMBRE!T35=0,"",NOVIEMBRE!T35)</f>
        <v>Servicios Personales Indirectos</v>
      </c>
      <c r="U35" s="132">
        <f t="shared" ref="U35:AJ35" si="34">SUM(U36:U41)</f>
        <v>4253886796</v>
      </c>
      <c r="V35" s="122">
        <f t="shared" si="34"/>
        <v>200000000</v>
      </c>
      <c r="W35" s="122">
        <f t="shared" si="34"/>
        <v>430000000</v>
      </c>
      <c r="X35" s="129">
        <f t="shared" si="34"/>
        <v>4883886796</v>
      </c>
      <c r="Y35" s="128">
        <f t="shared" si="34"/>
        <v>4791525641</v>
      </c>
      <c r="Z35" s="122">
        <f t="shared" si="34"/>
        <v>-41712102</v>
      </c>
      <c r="AA35" s="129">
        <f t="shared" si="34"/>
        <v>4749813539</v>
      </c>
      <c r="AB35" s="128">
        <f t="shared" si="34"/>
        <v>4378362820</v>
      </c>
      <c r="AC35" s="122">
        <f t="shared" si="34"/>
        <v>371450719</v>
      </c>
      <c r="AD35" s="129">
        <f t="shared" si="34"/>
        <v>4749813539</v>
      </c>
      <c r="AE35" s="128">
        <f t="shared" si="34"/>
        <v>3859858646</v>
      </c>
      <c r="AF35" s="122">
        <f t="shared" si="34"/>
        <v>389206958</v>
      </c>
      <c r="AG35" s="129">
        <f t="shared" si="34"/>
        <v>4249065604</v>
      </c>
      <c r="AH35" s="128">
        <f t="shared" si="34"/>
        <v>134073257</v>
      </c>
      <c r="AI35" s="122">
        <f t="shared" si="34"/>
        <v>134073257</v>
      </c>
      <c r="AJ35" s="130">
        <f t="shared" si="34"/>
        <v>634821192</v>
      </c>
      <c r="AK35" s="9"/>
      <c r="AL35" s="128">
        <f>SUM(AL36:AL41)</f>
        <v>0</v>
      </c>
      <c r="AM35" s="130">
        <f>SUM(AM36:AM41)</f>
        <v>0</v>
      </c>
      <c r="AN35" s="9"/>
      <c r="AO35" s="339"/>
      <c r="AP35" s="440"/>
      <c r="AQ35" s="282"/>
      <c r="AR35" s="441"/>
      <c r="AS35" s="441"/>
      <c r="AT35" s="441"/>
      <c r="AU35" s="442">
        <f>AR17-AR32</f>
        <v>-183127995.76000977</v>
      </c>
      <c r="AV35" s="443">
        <f>AS17-AR32</f>
        <v>-38556065600</v>
      </c>
      <c r="AW35" s="443" t="s">
        <v>151</v>
      </c>
      <c r="AX35" s="444"/>
      <c r="AY35" s="443">
        <f>AY17+AY32</f>
        <v>10201750085.041664</v>
      </c>
      <c r="AZ35" s="445">
        <f>AZ17+AY32</f>
        <v>-28225958851.198334</v>
      </c>
      <c r="BB35" s="412"/>
      <c r="BC35" s="412"/>
      <c r="BD35" s="412"/>
      <c r="BE35" s="412"/>
      <c r="BF35" s="412"/>
      <c r="BQ35" s="451"/>
    </row>
    <row r="36" spans="1:249" s="372" customFormat="1" ht="24.95" customHeight="1" thickBot="1">
      <c r="A36" s="593" t="str">
        <f>+IF(NOVIEMBRE!A36=0,"",NOVIEMBRE!A36)</f>
        <v>1130103-3-1</v>
      </c>
      <c r="B36" s="629" t="str">
        <f>+CONCATENATE("Vigencia ",INSTRUCCIONES!$F$3)</f>
        <v>Vigencia 2019</v>
      </c>
      <c r="C36" s="655">
        <f>+ENERO!C36</f>
        <v>7627600802</v>
      </c>
      <c r="D36" s="363">
        <f>NOVIEMBRE!D36+DICIEMBRE!P36</f>
        <v>0</v>
      </c>
      <c r="E36" s="363">
        <f>NOVIEMBRE!E36+DICIEMBRE!Q36</f>
        <v>0</v>
      </c>
      <c r="F36" s="363">
        <f t="shared" ref="F36:F41" si="35">SUM(C36:E36)</f>
        <v>7627600802</v>
      </c>
      <c r="G36" s="363">
        <f>NOVIEMBRE!I36</f>
        <v>10517976513</v>
      </c>
      <c r="H36" s="364">
        <v>2179999991</v>
      </c>
      <c r="I36" s="363">
        <f t="shared" ref="I36:I41" si="36">SUM(G36:H36)</f>
        <v>12697976504</v>
      </c>
      <c r="J36" s="363">
        <f>NOVIEMBRE!L36</f>
        <v>1089226304</v>
      </c>
      <c r="K36" s="364">
        <v>3950612814</v>
      </c>
      <c r="L36" s="363">
        <f t="shared" ref="L36:L41" si="37">SUM(J36:K36)</f>
        <v>5039839118</v>
      </c>
      <c r="M36" s="363">
        <f t="shared" ref="M36:M41" si="38">F36-I36</f>
        <v>-5070375702</v>
      </c>
      <c r="N36" s="143">
        <f t="shared" ref="N36:N41" si="39">F36-L36</f>
        <v>2587761684</v>
      </c>
      <c r="O36" s="9"/>
      <c r="P36" s="362">
        <v>0</v>
      </c>
      <c r="Q36" s="365">
        <v>0</v>
      </c>
      <c r="R36" s="9"/>
      <c r="S36" s="688" t="str">
        <f>+IF(NOVIEMBRE!S36=0,"",NOVIEMBRE!S36)</f>
        <v>1010200-1</v>
      </c>
      <c r="T36" s="664" t="str">
        <f>+IF(NOVIEMBRE!T36=0,"",NOVIEMBRE!T36)</f>
        <v>Remuneración y Honorarios por Servicios Técnicos y Profesionales</v>
      </c>
      <c r="U36" s="27">
        <f>+ENERO!U36</f>
        <v>1270340000</v>
      </c>
      <c r="V36" s="15">
        <f>NOVIEMBRE!V36+DICIEMBRE!AL36</f>
        <v>80000000</v>
      </c>
      <c r="W36" s="15">
        <f>NOVIEMBRE!W36+DICIEMBRE!AM36</f>
        <v>100000000</v>
      </c>
      <c r="X36" s="18">
        <f t="shared" ref="X36:X41" si="40">SUM(U36:W36)</f>
        <v>1450340000</v>
      </c>
      <c r="Y36" s="19">
        <f>NOVIEMBRE!AA36</f>
        <v>1393162234</v>
      </c>
      <c r="Z36" s="364">
        <v>-20944358</v>
      </c>
      <c r="AA36" s="18">
        <f t="shared" ref="AA36:AA41" si="41">SUM(Y36:Z36)</f>
        <v>1372217876</v>
      </c>
      <c r="AB36" s="19">
        <f>NOVIEMBRE!AD36</f>
        <v>1254665876</v>
      </c>
      <c r="AC36" s="364">
        <v>117552000</v>
      </c>
      <c r="AD36" s="18">
        <f t="shared" ref="AD36:AD41" si="42">SUM(AB36:AC36)</f>
        <v>1372217876</v>
      </c>
      <c r="AE36" s="19">
        <f>NOVIEMBRE!AG36</f>
        <v>1225090210</v>
      </c>
      <c r="AF36" s="364">
        <v>137841666</v>
      </c>
      <c r="AG36" s="18">
        <f t="shared" ref="AG36:AG41" si="43">SUM(AE36:AF36)</f>
        <v>1362931876</v>
      </c>
      <c r="AH36" s="19">
        <f t="shared" ref="AH36:AH41" si="44">X36-AA36</f>
        <v>78122124</v>
      </c>
      <c r="AI36" s="15">
        <f t="shared" ref="AI36:AI41" si="45">X36-AD36</f>
        <v>78122124</v>
      </c>
      <c r="AJ36" s="16">
        <f t="shared" ref="AJ36:AJ41" si="46">X36-AG36</f>
        <v>87408124</v>
      </c>
      <c r="AK36" s="9"/>
      <c r="AL36" s="362">
        <v>0</v>
      </c>
      <c r="AM36" s="365">
        <v>0</v>
      </c>
      <c r="AN36" s="9"/>
      <c r="AO36" s="446"/>
      <c r="AP36" s="22"/>
      <c r="AQ36" s="22"/>
      <c r="AR36" s="22"/>
      <c r="AS36" s="22"/>
      <c r="AT36" s="22"/>
      <c r="AU36" s="22"/>
      <c r="AV36" s="22"/>
      <c r="AW36" s="22"/>
      <c r="AX36" s="22"/>
      <c r="AY36" s="22"/>
      <c r="AZ36" s="23"/>
      <c r="BB36" s="412"/>
      <c r="BC36" s="412"/>
      <c r="BD36" s="412"/>
      <c r="BE36" s="412"/>
      <c r="BF36" s="412"/>
      <c r="BQ36" s="451"/>
    </row>
    <row r="37" spans="1:249" s="372" customFormat="1" ht="24.95" customHeight="1">
      <c r="A37" s="593" t="str">
        <f>+IF(NOVIEMBRE!A37=0,"",NOVIEMBRE!A37)</f>
        <v>1130103-3-2</v>
      </c>
      <c r="B37" s="629" t="str">
        <f>+IF(NOVIEMBRE!B37=0,"",NOVIEMBRE!B37)</f>
        <v>Vigencia Anterior</v>
      </c>
      <c r="C37" s="655">
        <f>+ENERO!C37</f>
        <v>0</v>
      </c>
      <c r="D37" s="363">
        <f>NOVIEMBRE!D37+DICIEMBRE!P37</f>
        <v>0</v>
      </c>
      <c r="E37" s="363">
        <f>NOVIEMBRE!E37+DICIEMBRE!Q37</f>
        <v>4897934072</v>
      </c>
      <c r="F37" s="363">
        <f t="shared" si="35"/>
        <v>4897934072</v>
      </c>
      <c r="G37" s="363">
        <f>NOVIEMBRE!I37</f>
        <v>4897934072</v>
      </c>
      <c r="H37" s="364">
        <v>5520</v>
      </c>
      <c r="I37" s="363">
        <f t="shared" si="36"/>
        <v>4897939592</v>
      </c>
      <c r="J37" s="363">
        <f>NOVIEMBRE!L37</f>
        <v>4897934072</v>
      </c>
      <c r="K37" s="364">
        <v>5520</v>
      </c>
      <c r="L37" s="363">
        <f t="shared" si="37"/>
        <v>4897939592</v>
      </c>
      <c r="M37" s="363">
        <f t="shared" si="38"/>
        <v>-5520</v>
      </c>
      <c r="N37" s="143">
        <f t="shared" si="39"/>
        <v>-5520</v>
      </c>
      <c r="P37" s="362">
        <v>0</v>
      </c>
      <c r="Q37" s="365">
        <v>1408256</v>
      </c>
      <c r="R37" s="9"/>
      <c r="S37" s="688" t="str">
        <f>+IF(NOVIEMBRE!S37=0,"",NOVIEMBRE!S37)</f>
        <v>1010200-2</v>
      </c>
      <c r="T37" s="664" t="str">
        <f>+IF(NOVIEMBRE!T37=0,"",NOVIEMBRE!T37)</f>
        <v>Personal Supernumerario</v>
      </c>
      <c r="U37" s="27">
        <f>+ENERO!U37</f>
        <v>0</v>
      </c>
      <c r="V37" s="15">
        <f>NOVIEMBRE!V37+DICIEMBRE!AL37</f>
        <v>0</v>
      </c>
      <c r="W37" s="15">
        <f>NOVIEMBRE!W37+DICIEMBRE!AM37</f>
        <v>0</v>
      </c>
      <c r="X37" s="18">
        <f t="shared" si="40"/>
        <v>0</v>
      </c>
      <c r="Y37" s="19">
        <f>NOVIEMBRE!AA37</f>
        <v>0</v>
      </c>
      <c r="Z37" s="364">
        <v>0</v>
      </c>
      <c r="AA37" s="18">
        <f t="shared" si="41"/>
        <v>0</v>
      </c>
      <c r="AB37" s="19">
        <f>NOVIEMBRE!AD37</f>
        <v>0</v>
      </c>
      <c r="AC37" s="364">
        <v>0</v>
      </c>
      <c r="AD37" s="18">
        <f t="shared" si="42"/>
        <v>0</v>
      </c>
      <c r="AE37" s="19">
        <f>NOVIEMBRE!AG37</f>
        <v>0</v>
      </c>
      <c r="AF37" s="364">
        <v>0</v>
      </c>
      <c r="AG37" s="18">
        <f t="shared" si="43"/>
        <v>0</v>
      </c>
      <c r="AH37" s="19">
        <f t="shared" si="44"/>
        <v>0</v>
      </c>
      <c r="AI37" s="15">
        <f t="shared" si="45"/>
        <v>0</v>
      </c>
      <c r="AJ37" s="16">
        <f t="shared" si="46"/>
        <v>0</v>
      </c>
      <c r="AK37" s="9"/>
      <c r="AL37" s="362">
        <v>0</v>
      </c>
      <c r="AM37" s="365">
        <v>0</v>
      </c>
      <c r="AN37" s="9"/>
      <c r="AO37" s="24" t="s">
        <v>153</v>
      </c>
      <c r="BQ37" s="451"/>
    </row>
    <row r="38" spans="1:249" s="372" customFormat="1" ht="24.95" customHeight="1">
      <c r="A38" s="716" t="str">
        <f>+IF(NOVIEMBRE!A38=0,"",NOVIEMBRE!A38)</f>
        <v>1130103-4</v>
      </c>
      <c r="B38" s="631" t="str">
        <f>+IF(NOVIEMBRE!B38=0,"",NOVIEMBRE!B38)</f>
        <v xml:space="preserve"> Aportes Patronales  1o. Nivel</v>
      </c>
      <c r="C38" s="655">
        <f>+ENERO!C38</f>
        <v>0</v>
      </c>
      <c r="D38" s="363">
        <f>NOVIEMBRE!D38+DICIEMBRE!P38</f>
        <v>0</v>
      </c>
      <c r="E38" s="363">
        <f>NOVIEMBRE!E38+DICIEMBRE!Q38</f>
        <v>0</v>
      </c>
      <c r="F38" s="363">
        <f t="shared" si="35"/>
        <v>0</v>
      </c>
      <c r="G38" s="363">
        <f>NOVIEMBRE!I38</f>
        <v>0</v>
      </c>
      <c r="H38" s="364">
        <v>0</v>
      </c>
      <c r="I38" s="363">
        <f t="shared" si="36"/>
        <v>0</v>
      </c>
      <c r="J38" s="363">
        <f>NOVIEMBRE!L38</f>
        <v>0</v>
      </c>
      <c r="K38" s="364">
        <v>0</v>
      </c>
      <c r="L38" s="363">
        <f t="shared" si="37"/>
        <v>0</v>
      </c>
      <c r="M38" s="363">
        <f t="shared" si="38"/>
        <v>0</v>
      </c>
      <c r="N38" s="143">
        <f t="shared" si="39"/>
        <v>0</v>
      </c>
      <c r="O38" s="515"/>
      <c r="P38" s="362">
        <v>0</v>
      </c>
      <c r="Q38" s="365">
        <v>0</v>
      </c>
      <c r="R38" s="9"/>
      <c r="S38" s="688" t="str">
        <f>+IF(NOVIEMBRE!S38=0,"",NOVIEMBRE!S38)</f>
        <v>1010200-3</v>
      </c>
      <c r="T38" s="664" t="str">
        <f>+IF(NOVIEMBRE!T38=0,"",NOVIEMBRE!T38)</f>
        <v>Honorarios de la Junta Directiva</v>
      </c>
      <c r="U38" s="27">
        <f>+ENERO!U38</f>
        <v>5000000</v>
      </c>
      <c r="V38" s="15">
        <f>NOVIEMBRE!V38+DICIEMBRE!AL38</f>
        <v>0</v>
      </c>
      <c r="W38" s="15">
        <f>NOVIEMBRE!W38+DICIEMBRE!AM38</f>
        <v>0</v>
      </c>
      <c r="X38" s="18">
        <f t="shared" si="40"/>
        <v>5000000</v>
      </c>
      <c r="Y38" s="19">
        <f>NOVIEMBRE!AA38</f>
        <v>4140580</v>
      </c>
      <c r="Z38" s="364">
        <v>828116</v>
      </c>
      <c r="AA38" s="18">
        <f t="shared" si="41"/>
        <v>4968696</v>
      </c>
      <c r="AB38" s="19">
        <f>NOVIEMBRE!AD38</f>
        <v>3726522</v>
      </c>
      <c r="AC38" s="364">
        <v>1242174</v>
      </c>
      <c r="AD38" s="18">
        <f t="shared" si="42"/>
        <v>4968696</v>
      </c>
      <c r="AE38" s="19">
        <f>NOVIEMBRE!AG38</f>
        <v>3726522</v>
      </c>
      <c r="AF38" s="364">
        <v>828116</v>
      </c>
      <c r="AG38" s="18">
        <f t="shared" si="43"/>
        <v>4554638</v>
      </c>
      <c r="AH38" s="19">
        <f t="shared" si="44"/>
        <v>31304</v>
      </c>
      <c r="AI38" s="15">
        <f t="shared" si="45"/>
        <v>31304</v>
      </c>
      <c r="AJ38" s="16">
        <f t="shared" si="46"/>
        <v>445362</v>
      </c>
      <c r="AK38" s="9"/>
      <c r="AL38" s="362">
        <v>0</v>
      </c>
      <c r="AM38" s="365">
        <v>0</v>
      </c>
      <c r="AN38" s="9"/>
      <c r="AO38" s="284"/>
      <c r="AP38" s="284"/>
      <c r="AQ38" s="284"/>
      <c r="AR38" s="284"/>
      <c r="AS38" s="284"/>
      <c r="AT38" s="284"/>
      <c r="AU38" s="284"/>
      <c r="AV38" s="284"/>
      <c r="AW38" s="284"/>
      <c r="AX38" s="284"/>
      <c r="AY38" s="284"/>
      <c r="AZ38" s="284"/>
      <c r="BQ38" s="451"/>
    </row>
    <row r="39" spans="1:249" s="372" customFormat="1" ht="24.95" customHeight="1">
      <c r="A39" s="716" t="str">
        <f>+IF(NOVIEMBRE!A39=0,"",NOVIEMBRE!A39)</f>
        <v>1130103-5</v>
      </c>
      <c r="B39" s="631" t="str">
        <f>+IF(NOVIEMBRE!B39=0,"",NOVIEMBRE!B39)</f>
        <v xml:space="preserve"> Aportes Patronales  2o. Nivel</v>
      </c>
      <c r="C39" s="655">
        <f>+ENERO!C39</f>
        <v>0</v>
      </c>
      <c r="D39" s="363">
        <f>NOVIEMBRE!D39+DICIEMBRE!P39</f>
        <v>0</v>
      </c>
      <c r="E39" s="363">
        <f>NOVIEMBRE!E39+DICIEMBRE!Q39</f>
        <v>0</v>
      </c>
      <c r="F39" s="363">
        <f t="shared" si="35"/>
        <v>0</v>
      </c>
      <c r="G39" s="363">
        <f>NOVIEMBRE!I39</f>
        <v>0</v>
      </c>
      <c r="H39" s="364">
        <v>0</v>
      </c>
      <c r="I39" s="363">
        <f t="shared" si="36"/>
        <v>0</v>
      </c>
      <c r="J39" s="363">
        <f>NOVIEMBRE!L39</f>
        <v>0</v>
      </c>
      <c r="K39" s="364">
        <v>0</v>
      </c>
      <c r="L39" s="363">
        <f t="shared" si="37"/>
        <v>0</v>
      </c>
      <c r="M39" s="363">
        <f t="shared" si="38"/>
        <v>0</v>
      </c>
      <c r="N39" s="143">
        <f t="shared" si="39"/>
        <v>0</v>
      </c>
      <c r="O39" s="515"/>
      <c r="P39" s="362">
        <v>0</v>
      </c>
      <c r="Q39" s="365">
        <v>0</v>
      </c>
      <c r="R39" s="9"/>
      <c r="S39" s="688" t="str">
        <f>+IF(NOVIEMBRE!S39=0,"",NOVIEMBRE!S39)</f>
        <v>1010200-4</v>
      </c>
      <c r="T39" s="664" t="str">
        <f>+IF(NOVIEMBRE!T39=0,"",NOVIEMBRE!T39)</f>
        <v>Otros Honorarios</v>
      </c>
      <c r="U39" s="27">
        <f>+ENERO!U39</f>
        <v>2589745841</v>
      </c>
      <c r="V39" s="15">
        <f>NOVIEMBRE!V39+DICIEMBRE!AL39</f>
        <v>0</v>
      </c>
      <c r="W39" s="15">
        <f>NOVIEMBRE!W39+DICIEMBRE!AM39</f>
        <v>330000000</v>
      </c>
      <c r="X39" s="18">
        <f t="shared" si="40"/>
        <v>2919745841</v>
      </c>
      <c r="Y39" s="19">
        <f>NOVIEMBRE!AA39</f>
        <v>2919745626</v>
      </c>
      <c r="Z39" s="364">
        <v>-21595860</v>
      </c>
      <c r="AA39" s="18">
        <f t="shared" si="41"/>
        <v>2898149766</v>
      </c>
      <c r="AB39" s="19">
        <f>NOVIEMBRE!AD39</f>
        <v>2645493221</v>
      </c>
      <c r="AC39" s="364">
        <v>252656545</v>
      </c>
      <c r="AD39" s="18">
        <f t="shared" si="42"/>
        <v>2898149766</v>
      </c>
      <c r="AE39" s="19">
        <f>NOVIEMBRE!AG39</f>
        <v>2156564713</v>
      </c>
      <c r="AF39" s="364">
        <v>250537176</v>
      </c>
      <c r="AG39" s="18">
        <f t="shared" si="43"/>
        <v>2407101889</v>
      </c>
      <c r="AH39" s="19">
        <f t="shared" si="44"/>
        <v>21596075</v>
      </c>
      <c r="AI39" s="15">
        <f t="shared" si="45"/>
        <v>21596075</v>
      </c>
      <c r="AJ39" s="16">
        <f t="shared" si="46"/>
        <v>512643952</v>
      </c>
      <c r="AK39" s="9"/>
      <c r="AL39" s="362">
        <v>0</v>
      </c>
      <c r="AM39" s="365">
        <v>0</v>
      </c>
      <c r="AN39" s="9"/>
      <c r="AO39" s="284"/>
      <c r="AP39" s="284"/>
      <c r="AQ39" s="284"/>
      <c r="AR39" s="284"/>
      <c r="AS39" s="284"/>
      <c r="AT39" s="284"/>
      <c r="AU39" s="284"/>
      <c r="AV39" s="284"/>
      <c r="AW39" s="284"/>
      <c r="AX39" s="284"/>
      <c r="AY39" s="284"/>
      <c r="AZ39" s="284"/>
      <c r="BQ39" s="451"/>
    </row>
    <row r="40" spans="1:249" s="412" customFormat="1" ht="24.95" customHeight="1">
      <c r="A40" s="716" t="str">
        <f>+IF(NOVIEMBRE!A40=0,"",NOVIEMBRE!A40)</f>
        <v>1130103-6</v>
      </c>
      <c r="B40" s="631" t="str">
        <f>+IF(NOVIEMBRE!B40=0,"",NOVIEMBRE!B40)</f>
        <v xml:space="preserve"> Aportes Patronales  3er. Nivel</v>
      </c>
      <c r="C40" s="655">
        <f>+ENERO!C40</f>
        <v>1324760338</v>
      </c>
      <c r="D40" s="363">
        <f>NOVIEMBRE!D40+DICIEMBRE!P40</f>
        <v>0</v>
      </c>
      <c r="E40" s="363">
        <f>NOVIEMBRE!E40+DICIEMBRE!Q40</f>
        <v>0</v>
      </c>
      <c r="F40" s="363">
        <f t="shared" si="35"/>
        <v>1324760338</v>
      </c>
      <c r="G40" s="363">
        <f>NOVIEMBRE!I40</f>
        <v>1103966950</v>
      </c>
      <c r="H40" s="364">
        <v>220793388</v>
      </c>
      <c r="I40" s="363">
        <f t="shared" si="36"/>
        <v>1324760338</v>
      </c>
      <c r="J40" s="363">
        <f>NOVIEMBRE!L40</f>
        <v>1103966950</v>
      </c>
      <c r="K40" s="364">
        <v>220793388</v>
      </c>
      <c r="L40" s="363">
        <f t="shared" si="37"/>
        <v>1324760338</v>
      </c>
      <c r="M40" s="363">
        <f t="shared" si="38"/>
        <v>0</v>
      </c>
      <c r="N40" s="143">
        <f t="shared" si="39"/>
        <v>0</v>
      </c>
      <c r="O40" s="515"/>
      <c r="P40" s="362">
        <v>0</v>
      </c>
      <c r="Q40" s="365">
        <v>0</v>
      </c>
      <c r="R40" s="9"/>
      <c r="S40" s="688" t="str">
        <f>+IF(NOVIEMBRE!S40=0,"",NOVIEMBRE!S40)</f>
        <v>1010200-5</v>
      </c>
      <c r="T40" s="664" t="str">
        <f>+IF(NOVIEMBRE!T40=0,"",NOVIEMBRE!T40)</f>
        <v>Certificación, Habilitación y Acreditación</v>
      </c>
      <c r="U40" s="27">
        <f>+ENERO!U40</f>
        <v>0</v>
      </c>
      <c r="V40" s="15">
        <f>NOVIEMBRE!V40+DICIEMBRE!AL40</f>
        <v>0</v>
      </c>
      <c r="W40" s="15">
        <f>NOVIEMBRE!W40+DICIEMBRE!AM40</f>
        <v>0</v>
      </c>
      <c r="X40" s="18">
        <f t="shared" si="40"/>
        <v>0</v>
      </c>
      <c r="Y40" s="19">
        <f>NOVIEMBRE!AA40</f>
        <v>0</v>
      </c>
      <c r="Z40" s="364">
        <v>0</v>
      </c>
      <c r="AA40" s="18">
        <f t="shared" si="41"/>
        <v>0</v>
      </c>
      <c r="AB40" s="19">
        <f>NOVIEMBRE!AD40</f>
        <v>0</v>
      </c>
      <c r="AC40" s="364">
        <v>0</v>
      </c>
      <c r="AD40" s="18">
        <f t="shared" si="42"/>
        <v>0</v>
      </c>
      <c r="AE40" s="19">
        <f>NOVIEMBRE!AG40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451"/>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row>
    <row r="41" spans="1:249" s="412" customFormat="1" ht="24.95" customHeight="1">
      <c r="A41" s="714">
        <f>+IF(NOVIEMBRE!A41=0,"",NOVIEMBRE!A41)</f>
        <v>1130104</v>
      </c>
      <c r="B41" s="628" t="str">
        <f>+IF(NOVIEMBRE!B41=0,"",NOVIEMBRE!B41)</f>
        <v>SUBSIDIO A LA OFERTA- ACTIVIDADES NO POS-S</v>
      </c>
      <c r="C41" s="655">
        <f>+ENERO!C41</f>
        <v>0</v>
      </c>
      <c r="D41" s="122">
        <f>NOVIEMBRE!D41+DICIEMBRE!P41</f>
        <v>0</v>
      </c>
      <c r="E41" s="122">
        <f>NOVIEMBRE!E41+DICIEMBRE!Q41</f>
        <v>0</v>
      </c>
      <c r="F41" s="122">
        <f t="shared" si="35"/>
        <v>0</v>
      </c>
      <c r="G41" s="122">
        <f>NOVIEMBRE!I41</f>
        <v>0</v>
      </c>
      <c r="H41" s="364">
        <v>0</v>
      </c>
      <c r="I41" s="122">
        <f t="shared" si="36"/>
        <v>0</v>
      </c>
      <c r="J41" s="122">
        <f>NOVIEMBRE!L41</f>
        <v>0</v>
      </c>
      <c r="K41" s="364">
        <v>0</v>
      </c>
      <c r="L41" s="122">
        <f t="shared" si="37"/>
        <v>0</v>
      </c>
      <c r="M41" s="122">
        <f t="shared" si="38"/>
        <v>0</v>
      </c>
      <c r="N41" s="130">
        <f t="shared" si="39"/>
        <v>0</v>
      </c>
      <c r="O41" s="372"/>
      <c r="P41" s="364">
        <v>0</v>
      </c>
      <c r="Q41" s="365">
        <v>0</v>
      </c>
      <c r="R41" s="9"/>
      <c r="S41" s="688">
        <f>+IF(NOVIEMBRE!S41=0,"",NOVIEMBRE!S41)</f>
        <v>1010299</v>
      </c>
      <c r="T41" s="664" t="str">
        <f>+IF(NOVIEMBRE!T41=0,"",NOVIEMBRE!T41)</f>
        <v>Vigencias Anteriores</v>
      </c>
      <c r="U41" s="27">
        <f>+ENERO!U41</f>
        <v>388800955</v>
      </c>
      <c r="V41" s="15">
        <f>NOVIEMBRE!V41+DICIEMBRE!AL41</f>
        <v>120000000</v>
      </c>
      <c r="W41" s="15">
        <f>NOVIEMBRE!W41+DICIEMBRE!AM41</f>
        <v>0</v>
      </c>
      <c r="X41" s="18">
        <f t="shared" si="40"/>
        <v>508800955</v>
      </c>
      <c r="Y41" s="19">
        <f>NOVIEMBRE!AA41</f>
        <v>474477201</v>
      </c>
      <c r="Z41" s="364">
        <v>0</v>
      </c>
      <c r="AA41" s="18">
        <f t="shared" si="41"/>
        <v>474477201</v>
      </c>
      <c r="AB41" s="19">
        <f>NOVIEMBRE!AD41</f>
        <v>474477201</v>
      </c>
      <c r="AC41" s="364">
        <v>0</v>
      </c>
      <c r="AD41" s="18">
        <f t="shared" si="42"/>
        <v>474477201</v>
      </c>
      <c r="AE41" s="19">
        <f>NOVIEMBRE!AG41</f>
        <v>474477201</v>
      </c>
      <c r="AF41" s="364">
        <v>0</v>
      </c>
      <c r="AG41" s="18">
        <f t="shared" si="43"/>
        <v>474477201</v>
      </c>
      <c r="AH41" s="19">
        <f t="shared" si="44"/>
        <v>34323754</v>
      </c>
      <c r="AI41" s="15">
        <f t="shared" si="45"/>
        <v>34323754</v>
      </c>
      <c r="AJ41" s="16">
        <f t="shared" si="46"/>
        <v>34323754</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c r="BQ41" s="514"/>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row>
    <row r="42" spans="1:249" s="372" customFormat="1" ht="24.95" customHeight="1">
      <c r="A42" s="714">
        <f>+IF(NOVIEMBRE!A42=0,"",NOVIEMBRE!A42)</f>
        <v>1130106</v>
      </c>
      <c r="B42" s="628" t="str">
        <f>+IF(NOVIEMBRE!B42=0,"",NOVIEMBRE!B42)</f>
        <v>SALUD PUBLICA - PLAN DE INTERVENCIONES COLECTIVAS</v>
      </c>
      <c r="C42" s="43">
        <f t="shared" ref="C42:N42" si="47">SUM(C43:C44)</f>
        <v>0</v>
      </c>
      <c r="D42" s="44">
        <f t="shared" si="47"/>
        <v>0</v>
      </c>
      <c r="E42" s="44">
        <f t="shared" si="47"/>
        <v>0</v>
      </c>
      <c r="F42" s="44">
        <f t="shared" si="47"/>
        <v>0</v>
      </c>
      <c r="G42" s="44">
        <f t="shared" si="47"/>
        <v>0</v>
      </c>
      <c r="H42" s="44">
        <f t="shared" si="47"/>
        <v>0</v>
      </c>
      <c r="I42" s="44">
        <f t="shared" si="47"/>
        <v>0</v>
      </c>
      <c r="J42" s="44">
        <f t="shared" si="47"/>
        <v>0</v>
      </c>
      <c r="K42" s="44">
        <f t="shared" si="47"/>
        <v>0</v>
      </c>
      <c r="L42" s="44">
        <f t="shared" si="47"/>
        <v>0</v>
      </c>
      <c r="M42" s="44">
        <f t="shared" si="47"/>
        <v>0</v>
      </c>
      <c r="N42" s="45">
        <f t="shared" si="47"/>
        <v>0</v>
      </c>
      <c r="P42" s="43">
        <f>SUM(P43:P44)</f>
        <v>0</v>
      </c>
      <c r="Q42" s="45">
        <f>SUM(Q43:Q44)</f>
        <v>0</v>
      </c>
      <c r="R42" s="9"/>
      <c r="S42" s="356" t="str">
        <f>+IF(NOVIEMBRE!S42=0,"",NOVIEMBRE!S42)</f>
        <v/>
      </c>
      <c r="T42" s="678" t="str">
        <f>+IF(NOVIEMBRE!T42=0,"",NOVIEMBRE!T42)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c r="BQ42" s="451"/>
    </row>
    <row r="43" spans="1:249" s="412" customFormat="1" ht="24.95" customHeight="1">
      <c r="A43" s="593" t="str">
        <f>+IF(NOVIEMBRE!A43=0,"",NOVIEMBRE!A43)</f>
        <v>1130106-1</v>
      </c>
      <c r="B43" s="629" t="str">
        <f>+CONCATENATE("Vigencia ",INSTRUCCIONES!$F$3)</f>
        <v>Vigencia 2019</v>
      </c>
      <c r="C43" s="655">
        <f>+ENERO!C43</f>
        <v>0</v>
      </c>
      <c r="D43" s="363">
        <f>NOVIEMBRE!D43+DICIEMBRE!P43</f>
        <v>0</v>
      </c>
      <c r="E43" s="363">
        <f>NOVIEMBRE!E43+DICIEMBRE!Q43</f>
        <v>0</v>
      </c>
      <c r="F43" s="363">
        <f>SUM(C43:E43)</f>
        <v>0</v>
      </c>
      <c r="G43" s="363">
        <f>NOVIEMBRE!I43</f>
        <v>0</v>
      </c>
      <c r="H43" s="364">
        <v>0</v>
      </c>
      <c r="I43" s="363">
        <f>SUM(G43:H43)</f>
        <v>0</v>
      </c>
      <c r="J43" s="363">
        <f>NOVIEMBRE!L43</f>
        <v>0</v>
      </c>
      <c r="K43" s="364">
        <v>0</v>
      </c>
      <c r="L43" s="363">
        <f>SUM(J43:K43)</f>
        <v>0</v>
      </c>
      <c r="M43" s="363">
        <f>F43-I43</f>
        <v>0</v>
      </c>
      <c r="N43" s="143">
        <f>F43-L43</f>
        <v>0</v>
      </c>
      <c r="O43" s="372"/>
      <c r="P43" s="362">
        <v>0</v>
      </c>
      <c r="Q43" s="365">
        <v>0</v>
      </c>
      <c r="R43" s="9"/>
      <c r="S43" s="687">
        <f>+IF(NOVIEMBRE!S43=0,"",NOVIEMBRE!S43)</f>
        <v>1010300</v>
      </c>
      <c r="T43" s="663" t="str">
        <f>+IF(NOVIEMBRE!T43=0,"",NOVIEMBRE!T43)</f>
        <v>Contribuciones Inherentes nómina al Sector Privado</v>
      </c>
      <c r="U43" s="132">
        <f t="shared" ref="U43:AJ43" si="48">U44+U49+U55</f>
        <v>682314446</v>
      </c>
      <c r="V43" s="122">
        <f t="shared" si="48"/>
        <v>-353979942</v>
      </c>
      <c r="W43" s="122">
        <f t="shared" si="48"/>
        <v>42200000</v>
      </c>
      <c r="X43" s="129">
        <f t="shared" si="48"/>
        <v>370534504</v>
      </c>
      <c r="Y43" s="128">
        <f t="shared" si="48"/>
        <v>314016906</v>
      </c>
      <c r="Z43" s="122">
        <f t="shared" si="48"/>
        <v>20183213</v>
      </c>
      <c r="AA43" s="129">
        <f t="shared" si="48"/>
        <v>334200119</v>
      </c>
      <c r="AB43" s="128">
        <f t="shared" si="48"/>
        <v>314016906</v>
      </c>
      <c r="AC43" s="122">
        <f t="shared" si="48"/>
        <v>20183213</v>
      </c>
      <c r="AD43" s="129">
        <f t="shared" si="48"/>
        <v>334200119</v>
      </c>
      <c r="AE43" s="128">
        <f t="shared" si="48"/>
        <v>293506159</v>
      </c>
      <c r="AF43" s="122">
        <f t="shared" si="48"/>
        <v>40693960</v>
      </c>
      <c r="AG43" s="129">
        <f t="shared" si="48"/>
        <v>334200119</v>
      </c>
      <c r="AH43" s="128">
        <f t="shared" si="48"/>
        <v>36334385</v>
      </c>
      <c r="AI43" s="122">
        <f t="shared" si="48"/>
        <v>36334385</v>
      </c>
      <c r="AJ43" s="130">
        <f t="shared" si="48"/>
        <v>36334385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451"/>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row>
    <row r="44" spans="1:249" s="412" customFormat="1" ht="24.95" customHeight="1">
      <c r="A44" s="593" t="str">
        <f>+IF(NOVIEMBRE!A44=0,"",NOVIEMBRE!A44)</f>
        <v>1130106-2</v>
      </c>
      <c r="B44" s="629" t="str">
        <f>+IF(NOVIEMBRE!B44=0,"",NOVIEMBRE!B44)</f>
        <v>Vigencia Anterior</v>
      </c>
      <c r="C44" s="655">
        <f>+ENERO!C44</f>
        <v>0</v>
      </c>
      <c r="D44" s="363">
        <f>NOVIEMBRE!D44+DICIEMBRE!P44</f>
        <v>0</v>
      </c>
      <c r="E44" s="363">
        <f>NOVIEMBRE!E44+DICIEMBRE!Q44</f>
        <v>0</v>
      </c>
      <c r="F44" s="363">
        <f>SUM(C44:E44)</f>
        <v>0</v>
      </c>
      <c r="G44" s="363">
        <f>NOVIEMBRE!I44</f>
        <v>0</v>
      </c>
      <c r="H44" s="364">
        <v>0</v>
      </c>
      <c r="I44" s="363">
        <f>SUM(G44:H44)</f>
        <v>0</v>
      </c>
      <c r="J44" s="363">
        <f>NOVIEMBRE!L44</f>
        <v>0</v>
      </c>
      <c r="K44" s="364">
        <v>0</v>
      </c>
      <c r="L44" s="363">
        <f>SUM(J44:K44)</f>
        <v>0</v>
      </c>
      <c r="M44" s="363">
        <f>F44-I44</f>
        <v>0</v>
      </c>
      <c r="N44" s="143">
        <f>F44-L44</f>
        <v>0</v>
      </c>
      <c r="O44" s="372"/>
      <c r="P44" s="362">
        <v>0</v>
      </c>
      <c r="Q44" s="365">
        <v>0</v>
      </c>
      <c r="R44" s="9"/>
      <c r="S44" s="688">
        <f>+IF(NOVIEMBRE!S44=0,"",NOVIEMBRE!S44)</f>
        <v>1010301</v>
      </c>
      <c r="T44" s="664" t="str">
        <f>+IF(NOVIEMBRE!T44=0,"",NOVIEMBRE!T44)</f>
        <v>Contribuciones - SGP - Aportes Patronales - Cuenta Maestra</v>
      </c>
      <c r="U44" s="27">
        <f t="shared" ref="U44:AJ44" si="49">SUM(U45:U48)</f>
        <v>224699564</v>
      </c>
      <c r="V44" s="15">
        <f t="shared" si="49"/>
        <v>-78698777</v>
      </c>
      <c r="W44" s="15">
        <f t="shared" si="49"/>
        <v>42200000</v>
      </c>
      <c r="X44" s="18">
        <f t="shared" si="49"/>
        <v>188200787</v>
      </c>
      <c r="Y44" s="19">
        <f t="shared" si="49"/>
        <v>161116934</v>
      </c>
      <c r="Z44" s="142">
        <f t="shared" si="49"/>
        <v>14924693</v>
      </c>
      <c r="AA44" s="18">
        <f t="shared" si="49"/>
        <v>176041627</v>
      </c>
      <c r="AB44" s="19">
        <f t="shared" si="49"/>
        <v>161116934</v>
      </c>
      <c r="AC44" s="142">
        <f t="shared" si="49"/>
        <v>14924693</v>
      </c>
      <c r="AD44" s="18">
        <f t="shared" si="49"/>
        <v>176041627</v>
      </c>
      <c r="AE44" s="19">
        <f t="shared" si="49"/>
        <v>145566347</v>
      </c>
      <c r="AF44" s="142">
        <f t="shared" si="49"/>
        <v>30475280</v>
      </c>
      <c r="AG44" s="18">
        <f t="shared" si="49"/>
        <v>176041627</v>
      </c>
      <c r="AH44" s="19">
        <f t="shared" si="49"/>
        <v>12159160</v>
      </c>
      <c r="AI44" s="15">
        <f t="shared" si="49"/>
        <v>12159160</v>
      </c>
      <c r="AJ44" s="16">
        <f t="shared" si="49"/>
        <v>12159160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451"/>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row>
    <row r="45" spans="1:249" s="372" customFormat="1" ht="24.95" customHeight="1">
      <c r="A45" s="714">
        <f>+IF(NOVIEMBRE!A45=0,"",NOVIEMBRE!A45)</f>
        <v>1130107</v>
      </c>
      <c r="B45" s="628" t="str">
        <f>+IF(NOVIEMBRE!B45=0,"",NOVIEMBRE!B45)</f>
        <v>MINSALUD-FOSYGA-RECLAMACIONES ECAT</v>
      </c>
      <c r="C45" s="43">
        <f t="shared" ref="C45:N45" si="50">SUM(C46:C47)</f>
        <v>130489617</v>
      </c>
      <c r="D45" s="44">
        <f t="shared" si="50"/>
        <v>0</v>
      </c>
      <c r="E45" s="44">
        <f t="shared" si="50"/>
        <v>5564279</v>
      </c>
      <c r="F45" s="44">
        <f t="shared" si="50"/>
        <v>136053896</v>
      </c>
      <c r="G45" s="44">
        <f t="shared" si="50"/>
        <v>1005606114</v>
      </c>
      <c r="H45" s="44">
        <f t="shared" si="50"/>
        <v>156217796</v>
      </c>
      <c r="I45" s="44">
        <f t="shared" si="50"/>
        <v>1161823910</v>
      </c>
      <c r="J45" s="44">
        <f t="shared" si="50"/>
        <v>5794379</v>
      </c>
      <c r="K45" s="44">
        <f t="shared" si="50"/>
        <v>0</v>
      </c>
      <c r="L45" s="44">
        <f t="shared" si="50"/>
        <v>5794379</v>
      </c>
      <c r="M45" s="44">
        <f t="shared" si="50"/>
        <v>-1025770014</v>
      </c>
      <c r="N45" s="45">
        <f t="shared" si="50"/>
        <v>130259517</v>
      </c>
      <c r="P45" s="43">
        <f>SUM(P46:P47)</f>
        <v>0</v>
      </c>
      <c r="Q45" s="45">
        <f>SUM(Q46:Q47)</f>
        <v>0</v>
      </c>
      <c r="R45" s="9"/>
      <c r="S45" s="689" t="str">
        <f>+IF(NOVIEMBRE!S45=0,"",NOVIEMBRE!S45)</f>
        <v>1010301-1</v>
      </c>
      <c r="T45" s="665" t="str">
        <f>+IF(NOVIEMBRE!T45=0,"",NOVIEMBRE!T45)</f>
        <v>E.P.S. - Aportes cuenta maestra</v>
      </c>
      <c r="U45" s="27">
        <f>+ENERO!U45</f>
        <v>56701284</v>
      </c>
      <c r="V45" s="15">
        <f>NOVIEMBRE!V45+DICIEMBRE!AL45</f>
        <v>0</v>
      </c>
      <c r="W45" s="15">
        <f>NOVIEMBRE!W45+DICIEMBRE!AM45</f>
        <v>22200000</v>
      </c>
      <c r="X45" s="18">
        <f>SUM(U45:W45)</f>
        <v>78901284</v>
      </c>
      <c r="Y45" s="19">
        <f>NOVIEMBRE!AA45</f>
        <v>67913977</v>
      </c>
      <c r="Z45" s="364">
        <v>6293210</v>
      </c>
      <c r="AA45" s="18">
        <f>SUM(Y45:Z45)</f>
        <v>74207187</v>
      </c>
      <c r="AB45" s="19">
        <f>NOVIEMBRE!AD45</f>
        <v>67913977</v>
      </c>
      <c r="AC45" s="364">
        <v>6293210</v>
      </c>
      <c r="AD45" s="18">
        <f>SUM(AB45:AC45)</f>
        <v>74207187</v>
      </c>
      <c r="AE45" s="19">
        <f>NOVIEMBRE!AG45</f>
        <v>61728767</v>
      </c>
      <c r="AF45" s="364">
        <v>12478420</v>
      </c>
      <c r="AG45" s="18">
        <f>SUM(AE45:AF45)</f>
        <v>74207187</v>
      </c>
      <c r="AH45" s="19">
        <f>X45-AA45</f>
        <v>4694097</v>
      </c>
      <c r="AI45" s="15">
        <f>X45-AD45</f>
        <v>4694097</v>
      </c>
      <c r="AJ45" s="16">
        <f>X45-AG45</f>
        <v>4694097</v>
      </c>
      <c r="AK45" s="9"/>
      <c r="AL45" s="362">
        <v>0</v>
      </c>
      <c r="AM45" s="365">
        <v>0</v>
      </c>
      <c r="AN45" s="9"/>
      <c r="AO45" s="284"/>
      <c r="AP45" s="284"/>
      <c r="AQ45" s="284"/>
      <c r="AR45" s="284"/>
      <c r="AS45" s="284"/>
      <c r="AT45" s="284"/>
      <c r="AU45" s="284"/>
      <c r="AV45" s="284"/>
      <c r="AW45" s="284"/>
      <c r="AX45" s="284"/>
      <c r="AY45" s="284"/>
      <c r="AZ45" s="284"/>
      <c r="BQ45" s="451"/>
    </row>
    <row r="46" spans="1:249" s="412" customFormat="1" ht="24.95" customHeight="1">
      <c r="A46" s="593" t="str">
        <f>+IF(NOVIEMBRE!A46=0,"",NOVIEMBRE!A46)</f>
        <v>1130107-1</v>
      </c>
      <c r="B46" s="629" t="str">
        <f>+CONCATENATE("Vigencia ",INSTRUCCIONES!$F$3)</f>
        <v>Vigencia 2019</v>
      </c>
      <c r="C46" s="655">
        <f>+ENERO!C46</f>
        <v>130489617</v>
      </c>
      <c r="D46" s="363">
        <f>NOVIEMBRE!D46+DICIEMBRE!P46</f>
        <v>0</v>
      </c>
      <c r="E46" s="363">
        <f>NOVIEMBRE!E46+DICIEMBRE!Q46</f>
        <v>0</v>
      </c>
      <c r="F46" s="363">
        <f>SUM(C46:E46)</f>
        <v>130489617</v>
      </c>
      <c r="G46" s="363">
        <f>NOVIEMBRE!I46</f>
        <v>1000041835</v>
      </c>
      <c r="H46" s="364">
        <v>156217796</v>
      </c>
      <c r="I46" s="363">
        <f>SUM(G46:H46)</f>
        <v>1156259631</v>
      </c>
      <c r="J46" s="363">
        <f>NOVIEMBRE!L46</f>
        <v>230100</v>
      </c>
      <c r="K46" s="364">
        <v>0</v>
      </c>
      <c r="L46" s="363">
        <f>SUM(J46:K46)</f>
        <v>230100</v>
      </c>
      <c r="M46" s="363">
        <f>F46-I46</f>
        <v>-1025770014</v>
      </c>
      <c r="N46" s="143">
        <f>F46-L46</f>
        <v>130259517</v>
      </c>
      <c r="O46" s="372"/>
      <c r="P46" s="362">
        <v>0</v>
      </c>
      <c r="Q46" s="365">
        <v>0</v>
      </c>
      <c r="R46" s="9"/>
      <c r="S46" s="689" t="str">
        <f>+IF(NOVIEMBRE!S46=0,"",NOVIEMBRE!S46)</f>
        <v>1010301-2</v>
      </c>
      <c r="T46" s="665" t="str">
        <f>+IF(NOVIEMBRE!T46=0,"",NOVIEMBRE!T46)</f>
        <v>Fondos pensionales - Aportes cuenta maestra</v>
      </c>
      <c r="U46" s="27">
        <f>+ENERO!U46</f>
        <v>77319919</v>
      </c>
      <c r="V46" s="15">
        <f>NOVIEMBRE!V46+DICIEMBRE!AL46</f>
        <v>0</v>
      </c>
      <c r="W46" s="15">
        <f>NOVIEMBRE!W46+DICIEMBRE!AM46</f>
        <v>20000000</v>
      </c>
      <c r="X46" s="18">
        <f>SUM(U46:W46)</f>
        <v>97319919</v>
      </c>
      <c r="Y46" s="19">
        <f>NOVIEMBRE!AA46</f>
        <v>82950977</v>
      </c>
      <c r="Z46" s="364">
        <v>7646163</v>
      </c>
      <c r="AA46" s="18">
        <f>SUM(Y46:Z46)</f>
        <v>90597140</v>
      </c>
      <c r="AB46" s="19">
        <f>NOVIEMBRE!AD46</f>
        <v>82950977</v>
      </c>
      <c r="AC46" s="364">
        <v>7646163</v>
      </c>
      <c r="AD46" s="18">
        <f>SUM(AB46:AC46)</f>
        <v>90597140</v>
      </c>
      <c r="AE46" s="19">
        <f>NOVIEMBRE!AG46</f>
        <v>74570920</v>
      </c>
      <c r="AF46" s="364">
        <v>16026220</v>
      </c>
      <c r="AG46" s="18">
        <f>SUM(AE46:AF46)</f>
        <v>90597140</v>
      </c>
      <c r="AH46" s="19">
        <f>X46-AA46</f>
        <v>6722779</v>
      </c>
      <c r="AI46" s="15">
        <f>X46-AD46</f>
        <v>6722779</v>
      </c>
      <c r="AJ46" s="16">
        <f>X46-AG46</f>
        <v>6722779</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c r="BQ46" s="514"/>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row>
    <row r="47" spans="1:249" s="412" customFormat="1" ht="24.95" customHeight="1">
      <c r="A47" s="593" t="str">
        <f>+IF(NOVIEMBRE!A47=0,"",NOVIEMBRE!A47)</f>
        <v>1130107-2</v>
      </c>
      <c r="B47" s="629" t="str">
        <f>+IF(NOVIEMBRE!B47=0,"",NOVIEMBRE!B47)</f>
        <v>Vigencia Anterior</v>
      </c>
      <c r="C47" s="655">
        <f>+ENERO!C47</f>
        <v>0</v>
      </c>
      <c r="D47" s="363">
        <f>NOVIEMBRE!D47+DICIEMBRE!P47</f>
        <v>0</v>
      </c>
      <c r="E47" s="363">
        <f>NOVIEMBRE!E47+DICIEMBRE!Q47</f>
        <v>5564279</v>
      </c>
      <c r="F47" s="363">
        <f>SUM(C47:E47)</f>
        <v>5564279</v>
      </c>
      <c r="G47" s="363">
        <f>NOVIEMBRE!I47</f>
        <v>5564279</v>
      </c>
      <c r="H47" s="364">
        <v>0</v>
      </c>
      <c r="I47" s="363">
        <f>SUM(G47:H47)</f>
        <v>5564279</v>
      </c>
      <c r="J47" s="363">
        <f>NOVIEMBRE!L47</f>
        <v>5564279</v>
      </c>
      <c r="K47" s="364">
        <v>0</v>
      </c>
      <c r="L47" s="363">
        <f>SUM(J47:K47)</f>
        <v>5564279</v>
      </c>
      <c r="M47" s="363">
        <f>F47-I47</f>
        <v>0</v>
      </c>
      <c r="N47" s="143">
        <f>F47-L47</f>
        <v>0</v>
      </c>
      <c r="O47" s="372"/>
      <c r="P47" s="362">
        <v>0</v>
      </c>
      <c r="Q47" s="365">
        <v>0</v>
      </c>
      <c r="R47" s="9"/>
      <c r="S47" s="689" t="str">
        <f>+IF(NOVIEMBRE!S47=0,"",NOVIEMBRE!S47)</f>
        <v>1010301-3</v>
      </c>
      <c r="T47" s="665" t="str">
        <f>+IF(NOVIEMBRE!T47=0,"",NOVIEMBRE!T47)</f>
        <v>Fondos de cesantías - Aportes cuenta maestra</v>
      </c>
      <c r="U47" s="27">
        <f>+ENERO!U47</f>
        <v>87698777</v>
      </c>
      <c r="V47" s="15">
        <f>NOVIEMBRE!V47+DICIEMBRE!AL47</f>
        <v>-87698777</v>
      </c>
      <c r="W47" s="15">
        <f>NOVIEMBRE!W47+DICIEMBRE!AM47</f>
        <v>0</v>
      </c>
      <c r="X47" s="18">
        <f>SUM(U47:W47)</f>
        <v>0</v>
      </c>
      <c r="Y47" s="19">
        <f>NOVIEMBRE!AA47</f>
        <v>0</v>
      </c>
      <c r="Z47" s="364">
        <v>0</v>
      </c>
      <c r="AA47" s="18">
        <f>SUM(Y47:Z47)</f>
        <v>0</v>
      </c>
      <c r="AB47" s="19">
        <f>NOVIEMBRE!AD47</f>
        <v>0</v>
      </c>
      <c r="AC47" s="364">
        <v>0</v>
      </c>
      <c r="AD47" s="18">
        <f>SUM(AB47:AC47)</f>
        <v>0</v>
      </c>
      <c r="AE47" s="19">
        <f>NOVIEMBRE!AG47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451"/>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row>
    <row r="48" spans="1:249" s="372" customFormat="1" ht="24.95" customHeight="1">
      <c r="A48" s="714">
        <f>+IF(NOVIEMBRE!A48=0,"",NOVIEMBRE!A48)</f>
        <v>1130108</v>
      </c>
      <c r="B48" s="628" t="str">
        <f>+IF(NOVIEMBRE!B48=0,"",NOVIEMBRE!B48)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689" t="str">
        <f>+IF(NOVIEMBRE!S48=0,"",NOVIEMBRE!S48)</f>
        <v>1010301-4</v>
      </c>
      <c r="T48" s="665" t="str">
        <f>+IF(NOVIEMBRE!T48=0,"",NOVIEMBRE!T48)</f>
        <v>Riesgos laborales - Aportes cuenta maestra</v>
      </c>
      <c r="U48" s="27">
        <f>+ENERO!U48</f>
        <v>2979584</v>
      </c>
      <c r="V48" s="15">
        <f>NOVIEMBRE!V48+DICIEMBRE!AL48</f>
        <v>9000000</v>
      </c>
      <c r="W48" s="15">
        <f>NOVIEMBRE!W48+DICIEMBRE!AM48</f>
        <v>0</v>
      </c>
      <c r="X48" s="18">
        <f>SUM(U48:W48)</f>
        <v>11979584</v>
      </c>
      <c r="Y48" s="19">
        <f>NOVIEMBRE!AA48</f>
        <v>10251980</v>
      </c>
      <c r="Z48" s="364">
        <v>985320</v>
      </c>
      <c r="AA48" s="18">
        <f>SUM(Y48:Z48)</f>
        <v>11237300</v>
      </c>
      <c r="AB48" s="19">
        <f>NOVIEMBRE!AD48</f>
        <v>10251980</v>
      </c>
      <c r="AC48" s="364">
        <v>985320</v>
      </c>
      <c r="AD48" s="18">
        <f>SUM(AB48:AC48)</f>
        <v>11237300</v>
      </c>
      <c r="AE48" s="19">
        <f>NOVIEMBRE!AG48</f>
        <v>9266660</v>
      </c>
      <c r="AF48" s="364">
        <v>1970640</v>
      </c>
      <c r="AG48" s="18">
        <f>SUM(AE48:AF48)</f>
        <v>11237300</v>
      </c>
      <c r="AH48" s="19">
        <f>X48-AA48</f>
        <v>742284</v>
      </c>
      <c r="AI48" s="15">
        <f>X48-AD48</f>
        <v>742284</v>
      </c>
      <c r="AJ48" s="16">
        <f>X48-AG48</f>
        <v>742284</v>
      </c>
      <c r="AK48" s="9"/>
      <c r="AL48" s="362">
        <v>0</v>
      </c>
      <c r="AM48" s="365">
        <v>0</v>
      </c>
      <c r="AN48" s="9"/>
      <c r="AO48" s="284"/>
      <c r="AP48" s="284"/>
      <c r="AQ48" s="284"/>
      <c r="AR48" s="284"/>
      <c r="AS48" s="284"/>
      <c r="AT48" s="284"/>
      <c r="AU48" s="284"/>
      <c r="AV48" s="284"/>
      <c r="AW48" s="284"/>
      <c r="AX48" s="284"/>
      <c r="AY48" s="284"/>
      <c r="AZ48" s="284"/>
      <c r="BQ48" s="451"/>
    </row>
    <row r="49" spans="1:249" s="412" customFormat="1" ht="24.95" customHeight="1">
      <c r="A49" s="593" t="str">
        <f>+IF(NOVIEMBRE!A49=0,"",NOVIEMBRE!A49)</f>
        <v>1130108-1</v>
      </c>
      <c r="B49" s="629" t="str">
        <f>+CONCATENATE("Vigencia ",INSTRUCCIONES!$F$3)</f>
        <v>Vigencia 2019</v>
      </c>
      <c r="C49" s="655">
        <f>+ENERO!C49</f>
        <v>0</v>
      </c>
      <c r="D49" s="363">
        <f>NOVIEMBRE!D49+DICIEMBRE!P49</f>
        <v>0</v>
      </c>
      <c r="E49" s="363">
        <f>NOVIEMBRE!E49+DICIEMBRE!Q49</f>
        <v>0</v>
      </c>
      <c r="F49" s="363">
        <f>SUM(C49:E49)</f>
        <v>0</v>
      </c>
      <c r="G49" s="363">
        <f>NOVIEMBRE!I49</f>
        <v>0</v>
      </c>
      <c r="H49" s="364">
        <v>0</v>
      </c>
      <c r="I49" s="363">
        <f>SUM(G49:H49)</f>
        <v>0</v>
      </c>
      <c r="J49" s="363">
        <f>NOVIEMBRE!L49</f>
        <v>0</v>
      </c>
      <c r="K49" s="364">
        <v>0</v>
      </c>
      <c r="L49" s="363">
        <f>SUM(J49:K49)</f>
        <v>0</v>
      </c>
      <c r="M49" s="363">
        <f>F49-I49</f>
        <v>0</v>
      </c>
      <c r="N49" s="143">
        <f>F49-L49</f>
        <v>0</v>
      </c>
      <c r="O49" s="372"/>
      <c r="P49" s="362">
        <v>0</v>
      </c>
      <c r="Q49" s="365">
        <v>0</v>
      </c>
      <c r="R49" s="9"/>
      <c r="S49" s="688">
        <f>+IF(NOVIEMBRE!S49=0,"",NOVIEMBRE!S49)</f>
        <v>1010302</v>
      </c>
      <c r="T49" s="664" t="str">
        <f>+IF(NOVIEMBRE!T49=0,"",NOVIEMBRE!T49)</f>
        <v>Contribuciones - Otros</v>
      </c>
      <c r="U49" s="27">
        <f t="shared" ref="U49:AJ49" si="52">SUM(U50:U54)</f>
        <v>349614882</v>
      </c>
      <c r="V49" s="15">
        <f t="shared" si="52"/>
        <v>-268780097</v>
      </c>
      <c r="W49" s="15">
        <f t="shared" si="52"/>
        <v>0</v>
      </c>
      <c r="X49" s="18">
        <f t="shared" si="52"/>
        <v>80834785</v>
      </c>
      <c r="Y49" s="19">
        <f t="shared" si="52"/>
        <v>51401040</v>
      </c>
      <c r="Z49" s="142">
        <f>SUM(Z50:Z54)</f>
        <v>5258520</v>
      </c>
      <c r="AA49" s="18">
        <f t="shared" si="52"/>
        <v>56659560</v>
      </c>
      <c r="AB49" s="19">
        <f t="shared" si="52"/>
        <v>51401040</v>
      </c>
      <c r="AC49" s="142">
        <f t="shared" si="52"/>
        <v>5258520</v>
      </c>
      <c r="AD49" s="18">
        <f t="shared" si="52"/>
        <v>56659560</v>
      </c>
      <c r="AE49" s="19">
        <f t="shared" si="52"/>
        <v>46440880</v>
      </c>
      <c r="AF49" s="142">
        <f t="shared" si="52"/>
        <v>10218680</v>
      </c>
      <c r="AG49" s="18">
        <f t="shared" si="52"/>
        <v>56659560</v>
      </c>
      <c r="AH49" s="19">
        <f t="shared" si="52"/>
        <v>24175225</v>
      </c>
      <c r="AI49" s="15">
        <f t="shared" si="52"/>
        <v>24175225</v>
      </c>
      <c r="AJ49" s="16">
        <f t="shared" si="52"/>
        <v>24175225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451"/>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row>
    <row r="50" spans="1:249" s="412" customFormat="1" ht="24.95" customHeight="1">
      <c r="A50" s="593" t="str">
        <f>+IF(NOVIEMBRE!A50=0,"",NOVIEMBRE!A50)</f>
        <v>1130108-2</v>
      </c>
      <c r="B50" s="629" t="str">
        <f>+IF(NOVIEMBRE!B50=0,"",NOVIEMBRE!B50)</f>
        <v>Vigencia Anterior</v>
      </c>
      <c r="C50" s="655">
        <f>+ENERO!C50</f>
        <v>0</v>
      </c>
      <c r="D50" s="363">
        <f>NOVIEMBRE!D50+DICIEMBRE!P50</f>
        <v>0</v>
      </c>
      <c r="E50" s="363">
        <f>NOVIEMBRE!E50+DICIEMBRE!Q50</f>
        <v>0</v>
      </c>
      <c r="F50" s="363">
        <f>SUM(C50:E50)</f>
        <v>0</v>
      </c>
      <c r="G50" s="363">
        <f>NOVIEMBRE!I50</f>
        <v>0</v>
      </c>
      <c r="H50" s="364">
        <v>0</v>
      </c>
      <c r="I50" s="363">
        <f>SUM(G50:H50)</f>
        <v>0</v>
      </c>
      <c r="J50" s="363">
        <f>NOVIEMBRE!L50</f>
        <v>0</v>
      </c>
      <c r="K50" s="364">
        <v>0</v>
      </c>
      <c r="L50" s="363">
        <f>SUM(J50:K50)</f>
        <v>0</v>
      </c>
      <c r="M50" s="363">
        <f>F50-I50</f>
        <v>0</v>
      </c>
      <c r="N50" s="143">
        <f>F50-L50</f>
        <v>0</v>
      </c>
      <c r="O50" s="372"/>
      <c r="P50" s="362">
        <v>0</v>
      </c>
      <c r="Q50" s="365">
        <v>0</v>
      </c>
      <c r="R50" s="9"/>
      <c r="S50" s="689" t="str">
        <f>+IF(NOVIEMBRE!S50=0,"",NOVIEMBRE!S50)</f>
        <v>1010302-1</v>
      </c>
      <c r="T50" s="665" t="str">
        <f>+IF(NOVIEMBRE!T50=0,"",NOVIEMBRE!T50)</f>
        <v>Aportes a E.P.S. - recursos propios</v>
      </c>
      <c r="U50" s="27">
        <f>+ENERO!U50</f>
        <v>79647420</v>
      </c>
      <c r="V50" s="15">
        <f>NOVIEMBRE!V50+DICIEMBRE!AL50</f>
        <v>-79647420</v>
      </c>
      <c r="W50" s="15">
        <f>NOVIEMBRE!W50+DICIEMBRE!AM50</f>
        <v>0</v>
      </c>
      <c r="X50" s="18">
        <f t="shared" ref="X50:X55" si="53">SUM(U50:W50)</f>
        <v>0</v>
      </c>
      <c r="Y50" s="19">
        <f>NOVIEMBRE!AA50</f>
        <v>0</v>
      </c>
      <c r="Z50" s="364">
        <v>0</v>
      </c>
      <c r="AA50" s="18">
        <f t="shared" ref="AA50:AA55" si="54">SUM(Y50:Z50)</f>
        <v>0</v>
      </c>
      <c r="AB50" s="19">
        <f>NOVIEMBRE!AD50</f>
        <v>0</v>
      </c>
      <c r="AC50" s="364">
        <v>0</v>
      </c>
      <c r="AD50" s="18">
        <f t="shared" ref="AD50:AD55" si="55">SUM(AB50:AC50)</f>
        <v>0</v>
      </c>
      <c r="AE50" s="19">
        <f>NOVIEMBRE!AG50</f>
        <v>0</v>
      </c>
      <c r="AF50" s="364">
        <v>0</v>
      </c>
      <c r="AG50" s="18">
        <f t="shared" ref="AG50:AG55" si="56">SUM(AE50:AF50)</f>
        <v>0</v>
      </c>
      <c r="AH50" s="19">
        <f t="shared" ref="AH50:AH55" si="57">X50-AA50</f>
        <v>0</v>
      </c>
      <c r="AI50" s="15">
        <f t="shared" ref="AI50:AI55" si="58">X50-AD50</f>
        <v>0</v>
      </c>
      <c r="AJ50" s="16">
        <f t="shared" ref="AJ50:AJ55" si="59">X50-AG50</f>
        <v>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451"/>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row>
    <row r="51" spans="1:249" s="372" customFormat="1" ht="24.95" customHeight="1">
      <c r="A51" s="714">
        <f>+IF(NOVIEMBRE!A51=0,"",NOVIEMBRE!A51)</f>
        <v>1130109</v>
      </c>
      <c r="B51" s="628" t="str">
        <f>+IF(NOVIEMBRE!B51=0,"",NOVIEMBRE!B51)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689" t="str">
        <f>+IF(NOVIEMBRE!S51=0,"",NOVIEMBRE!S51)</f>
        <v>1010302-2</v>
      </c>
      <c r="T51" s="665" t="str">
        <f>+IF(NOVIEMBRE!T51=0,"",NOVIEMBRE!T51)</f>
        <v>Aportes Fondos Pensionales - recursos propios</v>
      </c>
      <c r="U51" s="27">
        <f>+ENERO!U51</f>
        <v>115172321</v>
      </c>
      <c r="V51" s="15">
        <f>NOVIEMBRE!V51+DICIEMBRE!AL51</f>
        <v>-115172321</v>
      </c>
      <c r="W51" s="15">
        <f>NOVIEMBRE!W51+DICIEMBRE!AM51</f>
        <v>0</v>
      </c>
      <c r="X51" s="18">
        <f t="shared" si="53"/>
        <v>0</v>
      </c>
      <c r="Y51" s="19">
        <f>NOVIEMBRE!AA51</f>
        <v>0</v>
      </c>
      <c r="Z51" s="364">
        <v>0</v>
      </c>
      <c r="AA51" s="18">
        <f t="shared" si="54"/>
        <v>0</v>
      </c>
      <c r="AB51" s="19">
        <f>NOVIEMBRE!AD51</f>
        <v>0</v>
      </c>
      <c r="AC51" s="364">
        <v>0</v>
      </c>
      <c r="AD51" s="18">
        <f t="shared" si="55"/>
        <v>0</v>
      </c>
      <c r="AE51" s="19">
        <f>NOVIEMBRE!AG51</f>
        <v>0</v>
      </c>
      <c r="AF51" s="364">
        <v>0</v>
      </c>
      <c r="AG51" s="18">
        <f t="shared" si="56"/>
        <v>0</v>
      </c>
      <c r="AH51" s="19">
        <f t="shared" si="57"/>
        <v>0</v>
      </c>
      <c r="AI51" s="15">
        <f t="shared" si="58"/>
        <v>0</v>
      </c>
      <c r="AJ51" s="16">
        <f t="shared" si="59"/>
        <v>0</v>
      </c>
      <c r="AK51" s="9"/>
      <c r="AL51" s="362">
        <v>0</v>
      </c>
      <c r="AM51" s="365">
        <v>0</v>
      </c>
      <c r="AN51" s="9"/>
      <c r="AO51" s="284"/>
      <c r="AP51" s="284"/>
      <c r="AQ51" s="284"/>
      <c r="AR51" s="284"/>
      <c r="AS51" s="284"/>
      <c r="AT51" s="284"/>
      <c r="AU51" s="284"/>
      <c r="AV51" s="284"/>
      <c r="AW51" s="284"/>
      <c r="AX51" s="284"/>
      <c r="AY51" s="284"/>
      <c r="AZ51" s="284"/>
      <c r="BQ51" s="451"/>
    </row>
    <row r="52" spans="1:249" s="412" customFormat="1" ht="24.95" customHeight="1">
      <c r="A52" s="593" t="str">
        <f>+IF(NOVIEMBRE!A52=0,"",NOVIEMBRE!A52)</f>
        <v>1130109-1</v>
      </c>
      <c r="B52" s="629" t="str">
        <f>+CONCATENATE("Vigencia ",INSTRUCCIONES!$F$3)</f>
        <v>Vigencia 2019</v>
      </c>
      <c r="C52" s="655">
        <f>+ENERO!C52</f>
        <v>0</v>
      </c>
      <c r="D52" s="363">
        <f>NOVIEMBRE!D52+DICIEMBRE!P52</f>
        <v>0</v>
      </c>
      <c r="E52" s="363">
        <f>NOVIEMBRE!E52+DICIEMBRE!Q52</f>
        <v>0</v>
      </c>
      <c r="F52" s="363">
        <f>SUM(C52:E52)</f>
        <v>0</v>
      </c>
      <c r="G52" s="363">
        <f>NOVIEMBRE!I52</f>
        <v>0</v>
      </c>
      <c r="H52" s="364">
        <v>0</v>
      </c>
      <c r="I52" s="363">
        <f>SUM(G52:H52)</f>
        <v>0</v>
      </c>
      <c r="J52" s="363">
        <f>NOVIEMBRE!L52</f>
        <v>0</v>
      </c>
      <c r="K52" s="364">
        <v>0</v>
      </c>
      <c r="L52" s="363">
        <f>SUM(J52:K52)</f>
        <v>0</v>
      </c>
      <c r="M52" s="363">
        <f>F52-I52</f>
        <v>0</v>
      </c>
      <c r="N52" s="143">
        <f>F52-L52</f>
        <v>0</v>
      </c>
      <c r="O52" s="372"/>
      <c r="P52" s="362">
        <v>0</v>
      </c>
      <c r="Q52" s="365">
        <v>0</v>
      </c>
      <c r="R52" s="9"/>
      <c r="S52" s="689" t="str">
        <f>+IF(NOVIEMBRE!S52=0,"",NOVIEMBRE!S52)</f>
        <v>1010302-3</v>
      </c>
      <c r="T52" s="665" t="str">
        <f>+IF(NOVIEMBRE!T52=0,"",NOVIEMBRE!T52)</f>
        <v>Aportes a Fondos de Cesantia - recursos propios</v>
      </c>
      <c r="U52" s="27">
        <f>+ENERO!U52</f>
        <v>73960356</v>
      </c>
      <c r="V52" s="15">
        <f>NOVIEMBRE!V52+DICIEMBRE!AL52</f>
        <v>-73960356</v>
      </c>
      <c r="W52" s="15">
        <f>NOVIEMBRE!W52+DICIEMBRE!AM52</f>
        <v>0</v>
      </c>
      <c r="X52" s="18">
        <f t="shared" si="53"/>
        <v>0</v>
      </c>
      <c r="Y52" s="19">
        <f>NOVIEMBRE!AA52</f>
        <v>0</v>
      </c>
      <c r="Z52" s="364">
        <v>0</v>
      </c>
      <c r="AA52" s="18">
        <f t="shared" si="54"/>
        <v>0</v>
      </c>
      <c r="AB52" s="19">
        <f>NOVIEMBRE!AD52</f>
        <v>0</v>
      </c>
      <c r="AC52" s="364">
        <v>0</v>
      </c>
      <c r="AD52" s="18">
        <f t="shared" si="55"/>
        <v>0</v>
      </c>
      <c r="AE52" s="19">
        <f>NOVIEMBRE!AG52</f>
        <v>0</v>
      </c>
      <c r="AF52" s="364">
        <v>0</v>
      </c>
      <c r="AG52" s="18">
        <f t="shared" si="56"/>
        <v>0</v>
      </c>
      <c r="AH52" s="19">
        <f t="shared" si="57"/>
        <v>0</v>
      </c>
      <c r="AI52" s="15">
        <f t="shared" si="58"/>
        <v>0</v>
      </c>
      <c r="AJ52" s="16">
        <f t="shared" si="59"/>
        <v>0</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451"/>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row>
    <row r="53" spans="1:249" s="412" customFormat="1" ht="24.95" customHeight="1">
      <c r="A53" s="593" t="str">
        <f>+IF(NOVIEMBRE!A53=0,"",NOVIEMBRE!A53)</f>
        <v>1130109-2</v>
      </c>
      <c r="B53" s="629" t="str">
        <f>+IF(NOVIEMBRE!B53=0,"",NOVIEMBRE!B53)</f>
        <v>Vigencia Anterior</v>
      </c>
      <c r="C53" s="655">
        <f>+ENERO!C53</f>
        <v>0</v>
      </c>
      <c r="D53" s="363">
        <f>NOVIEMBRE!D53+DICIEMBRE!P53</f>
        <v>0</v>
      </c>
      <c r="E53" s="363">
        <f>NOVIEMBRE!E53+DICIEMBRE!Q53</f>
        <v>0</v>
      </c>
      <c r="F53" s="363">
        <f>SUM(C53:E53)</f>
        <v>0</v>
      </c>
      <c r="G53" s="363">
        <f>NOVIEMBRE!I53</f>
        <v>0</v>
      </c>
      <c r="H53" s="364">
        <v>0</v>
      </c>
      <c r="I53" s="363">
        <f>SUM(G53:H53)</f>
        <v>0</v>
      </c>
      <c r="J53" s="363">
        <f>NOVIEMBRE!L53</f>
        <v>0</v>
      </c>
      <c r="K53" s="364">
        <v>0</v>
      </c>
      <c r="L53" s="363">
        <f>SUM(J53:K53)</f>
        <v>0</v>
      </c>
      <c r="M53" s="363">
        <f>F53-I53</f>
        <v>0</v>
      </c>
      <c r="N53" s="143">
        <f>F53-L53</f>
        <v>0</v>
      </c>
      <c r="O53" s="372"/>
      <c r="P53" s="362">
        <v>0</v>
      </c>
      <c r="Q53" s="365">
        <v>0</v>
      </c>
      <c r="R53" s="9"/>
      <c r="S53" s="689" t="str">
        <f>+IF(NOVIEMBRE!S53=0,"",NOVIEMBRE!S53)</f>
        <v>1010302-4</v>
      </c>
      <c r="T53" s="665" t="str">
        <f>+IF(NOVIEMBRE!T53=0,"",NOVIEMBRE!T53)</f>
        <v>Aporte a ARL. - recursos propios</v>
      </c>
      <c r="U53" s="27">
        <f>+ENERO!U53</f>
        <v>5393830</v>
      </c>
      <c r="V53" s="15">
        <f>NOVIEMBRE!V53+DICIEMBRE!AL53</f>
        <v>0</v>
      </c>
      <c r="W53" s="15">
        <f>NOVIEMBRE!W53+DICIEMBRE!AM53</f>
        <v>0</v>
      </c>
      <c r="X53" s="18">
        <f t="shared" si="53"/>
        <v>5393830</v>
      </c>
      <c r="Y53" s="19">
        <f>NOVIEMBRE!AA53</f>
        <v>0</v>
      </c>
      <c r="Z53" s="364">
        <v>0</v>
      </c>
      <c r="AA53" s="18">
        <f t="shared" si="54"/>
        <v>0</v>
      </c>
      <c r="AB53" s="19">
        <f>NOVIEMBRE!AD53</f>
        <v>0</v>
      </c>
      <c r="AC53" s="364">
        <v>0</v>
      </c>
      <c r="AD53" s="18">
        <f t="shared" si="55"/>
        <v>0</v>
      </c>
      <c r="AE53" s="19">
        <f>NOVIEMBRE!AG53</f>
        <v>0</v>
      </c>
      <c r="AF53" s="364">
        <v>0</v>
      </c>
      <c r="AG53" s="18">
        <f t="shared" si="56"/>
        <v>0</v>
      </c>
      <c r="AH53" s="19">
        <f t="shared" si="57"/>
        <v>5393830</v>
      </c>
      <c r="AI53" s="15">
        <f t="shared" si="58"/>
        <v>5393830</v>
      </c>
      <c r="AJ53" s="16">
        <f t="shared" si="59"/>
        <v>5393830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451"/>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row>
    <row r="54" spans="1:249" s="372" customFormat="1" ht="24.95" customHeight="1">
      <c r="A54" s="714">
        <f>+IF(NOVIEMBRE!A54=0,"",NOVIEMBRE!A54)</f>
        <v>1130110</v>
      </c>
      <c r="B54" s="628" t="str">
        <f>+IF(NOVIEMBRE!B54=0,"",NOVIEMBRE!B54)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689" t="str">
        <f>+IF(NOVIEMBRE!S54=0,"",NOVIEMBRE!S54)</f>
        <v>1010302-5</v>
      </c>
      <c r="T54" s="665" t="str">
        <f>+IF(NOVIEMBRE!T54=0,"",NOVIEMBRE!T54)</f>
        <v>Aporte a Caja Compensación Familiar</v>
      </c>
      <c r="U54" s="27">
        <f>+ENERO!U54</f>
        <v>75440955</v>
      </c>
      <c r="V54" s="15">
        <f>NOVIEMBRE!V54+DICIEMBRE!AL54</f>
        <v>0</v>
      </c>
      <c r="W54" s="15">
        <f>NOVIEMBRE!W54+DICIEMBRE!AM54</f>
        <v>0</v>
      </c>
      <c r="X54" s="18">
        <f t="shared" si="53"/>
        <v>75440955</v>
      </c>
      <c r="Y54" s="19">
        <f>NOVIEMBRE!AA54</f>
        <v>51401040</v>
      </c>
      <c r="Z54" s="364">
        <v>5258520</v>
      </c>
      <c r="AA54" s="18">
        <f>SUM(Y54:Z54)</f>
        <v>56659560</v>
      </c>
      <c r="AB54" s="19">
        <f>NOVIEMBRE!AD54</f>
        <v>51401040</v>
      </c>
      <c r="AC54" s="364">
        <v>5258520</v>
      </c>
      <c r="AD54" s="18">
        <f t="shared" si="55"/>
        <v>56659560</v>
      </c>
      <c r="AE54" s="19">
        <f>NOVIEMBRE!AG54</f>
        <v>46440880</v>
      </c>
      <c r="AF54" s="364">
        <v>10218680</v>
      </c>
      <c r="AG54" s="18">
        <f t="shared" si="56"/>
        <v>56659560</v>
      </c>
      <c r="AH54" s="19">
        <f t="shared" si="57"/>
        <v>18781395</v>
      </c>
      <c r="AI54" s="15">
        <f t="shared" si="58"/>
        <v>18781395</v>
      </c>
      <c r="AJ54" s="16">
        <f t="shared" si="59"/>
        <v>18781395</v>
      </c>
      <c r="AK54" s="9"/>
      <c r="AL54" s="362">
        <v>0</v>
      </c>
      <c r="AM54" s="365">
        <v>0</v>
      </c>
      <c r="AN54" s="9"/>
      <c r="AO54" s="284"/>
      <c r="AP54" s="284"/>
      <c r="AQ54" s="284"/>
      <c r="AR54" s="284"/>
      <c r="AS54" s="284"/>
      <c r="AT54" s="284"/>
      <c r="AU54" s="284"/>
      <c r="AV54" s="284"/>
      <c r="AW54" s="284"/>
      <c r="AX54" s="284"/>
      <c r="AY54" s="284"/>
      <c r="AZ54" s="284"/>
      <c r="BQ54" s="451"/>
    </row>
    <row r="55" spans="1:249" s="412" customFormat="1" ht="24.95" customHeight="1">
      <c r="A55" s="593" t="str">
        <f>+IF(NOVIEMBRE!A55=0,"",NOVIEMBRE!A55)</f>
        <v>1130110-1</v>
      </c>
      <c r="B55" s="629" t="str">
        <f>+CONCATENATE("Vigencia ",INSTRUCCIONES!$F$3)</f>
        <v>Vigencia 2019</v>
      </c>
      <c r="C55" s="655">
        <f>+ENERO!C55</f>
        <v>0</v>
      </c>
      <c r="D55" s="363">
        <f>NOVIEMBRE!D55+DICIEMBRE!P55</f>
        <v>0</v>
      </c>
      <c r="E55" s="363">
        <f>NOVIEMBRE!E55+DICIEMBRE!Q55</f>
        <v>0</v>
      </c>
      <c r="F55" s="363">
        <f>SUM(C55:E55)</f>
        <v>0</v>
      </c>
      <c r="G55" s="363">
        <f>NOVIEMBRE!I55</f>
        <v>0</v>
      </c>
      <c r="H55" s="364">
        <v>0</v>
      </c>
      <c r="I55" s="363">
        <f>SUM(G55:H55)</f>
        <v>0</v>
      </c>
      <c r="J55" s="363">
        <f>NOVIEMBRE!L55</f>
        <v>0</v>
      </c>
      <c r="K55" s="364">
        <v>0</v>
      </c>
      <c r="L55" s="363">
        <f>SUM(J55:K55)</f>
        <v>0</v>
      </c>
      <c r="M55" s="363">
        <f>F55-I55</f>
        <v>0</v>
      </c>
      <c r="N55" s="143">
        <f>F55-L55</f>
        <v>0</v>
      </c>
      <c r="O55" s="372"/>
      <c r="P55" s="362">
        <v>0</v>
      </c>
      <c r="Q55" s="365">
        <v>0</v>
      </c>
      <c r="R55" s="9"/>
      <c r="S55" s="688">
        <f>+IF(NOVIEMBRE!S55=0,"",NOVIEMBRE!S55)</f>
        <v>1010399</v>
      </c>
      <c r="T55" s="664" t="str">
        <f>+IF(NOVIEMBRE!T55=0,"",NOVIEMBRE!T55)</f>
        <v>Vigencias Anteriores</v>
      </c>
      <c r="U55" s="27">
        <f>+ENERO!U55</f>
        <v>108000000</v>
      </c>
      <c r="V55" s="15">
        <f>NOVIEMBRE!V55+DICIEMBRE!AL55</f>
        <v>-6501068</v>
      </c>
      <c r="W55" s="15">
        <f>NOVIEMBRE!W55+DICIEMBRE!AM55</f>
        <v>0</v>
      </c>
      <c r="X55" s="18">
        <f t="shared" si="53"/>
        <v>101498932</v>
      </c>
      <c r="Y55" s="19">
        <f>NOVIEMBRE!AA55</f>
        <v>101498932</v>
      </c>
      <c r="Z55" s="364">
        <v>0</v>
      </c>
      <c r="AA55" s="18">
        <f t="shared" si="54"/>
        <v>101498932</v>
      </c>
      <c r="AB55" s="19">
        <f>NOVIEMBRE!AD55</f>
        <v>101498932</v>
      </c>
      <c r="AC55" s="364">
        <v>0</v>
      </c>
      <c r="AD55" s="18">
        <f t="shared" si="55"/>
        <v>101498932</v>
      </c>
      <c r="AE55" s="19">
        <f>NOVIEMBRE!AG55</f>
        <v>101498932</v>
      </c>
      <c r="AF55" s="364">
        <v>0</v>
      </c>
      <c r="AG55" s="18">
        <f t="shared" si="56"/>
        <v>101498932</v>
      </c>
      <c r="AH55" s="19">
        <f t="shared" si="57"/>
        <v>0</v>
      </c>
      <c r="AI55" s="15">
        <f t="shared" si="58"/>
        <v>0</v>
      </c>
      <c r="AJ55" s="16">
        <f t="shared" si="59"/>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451"/>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372"/>
      <c r="II55" s="372"/>
      <c r="IJ55" s="372"/>
      <c r="IK55" s="372"/>
      <c r="IL55" s="372"/>
      <c r="IM55" s="372"/>
      <c r="IN55" s="372"/>
      <c r="IO55" s="372"/>
    </row>
    <row r="56" spans="1:249" s="412" customFormat="1" ht="24.95" customHeight="1">
      <c r="A56" s="593" t="str">
        <f>+IF(NOVIEMBRE!A56=0,"",NOVIEMBRE!A56)</f>
        <v>1130110-2</v>
      </c>
      <c r="B56" s="629" t="str">
        <f>+IF(NOVIEMBRE!B56=0,"",NOVIEMBRE!B56)</f>
        <v>Vigencia Anterior</v>
      </c>
      <c r="C56" s="655">
        <f>+ENERO!C56</f>
        <v>0</v>
      </c>
      <c r="D56" s="363">
        <f>NOVIEMBRE!D56+DICIEMBRE!P56</f>
        <v>0</v>
      </c>
      <c r="E56" s="363">
        <f>NOVIEMBRE!E56+DICIEMBRE!Q56</f>
        <v>0</v>
      </c>
      <c r="F56" s="363">
        <f>SUM(C56:E56)</f>
        <v>0</v>
      </c>
      <c r="G56" s="363">
        <f>NOVIEMBRE!I56</f>
        <v>0</v>
      </c>
      <c r="H56" s="364">
        <v>0</v>
      </c>
      <c r="I56" s="363">
        <f>SUM(G56:H56)</f>
        <v>0</v>
      </c>
      <c r="J56" s="363">
        <f>NOVIEMBRE!L56</f>
        <v>0</v>
      </c>
      <c r="K56" s="364">
        <v>0</v>
      </c>
      <c r="L56" s="363">
        <f>SUM(J56:K56)</f>
        <v>0</v>
      </c>
      <c r="M56" s="363">
        <f>F56-I56</f>
        <v>0</v>
      </c>
      <c r="N56" s="143">
        <f>F56-L56</f>
        <v>0</v>
      </c>
      <c r="O56" s="372"/>
      <c r="P56" s="362">
        <v>0</v>
      </c>
      <c r="Q56" s="365">
        <v>0</v>
      </c>
      <c r="R56" s="9"/>
      <c r="S56" s="356" t="str">
        <f>+IF(NOVIEMBRE!S56=0,"",NOVIEMBRE!S56)</f>
        <v/>
      </c>
      <c r="T56" s="678" t="str">
        <f>+IF(NOVIEMBRE!T56=0,"",NOVIEMBRE!T56)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451"/>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c r="IO56" s="372"/>
    </row>
    <row r="57" spans="1:249" s="372" customFormat="1" ht="24.95" customHeight="1">
      <c r="A57" s="714">
        <f>+IF(NOVIEMBRE!A57=0,"",NOVIEMBRE!A57)</f>
        <v>1130111</v>
      </c>
      <c r="B57" s="628" t="str">
        <f>+IF(NOVIEMBRE!B57=0,"",NOVIEMBRE!B57)</f>
        <v>IPS PRIVADAS</v>
      </c>
      <c r="C57" s="43">
        <f t="shared" ref="C57:N57" si="62">SUM(C58:C59)</f>
        <v>205713</v>
      </c>
      <c r="D57" s="44">
        <f t="shared" si="62"/>
        <v>0</v>
      </c>
      <c r="E57" s="44">
        <f t="shared" si="62"/>
        <v>0</v>
      </c>
      <c r="F57" s="44">
        <f t="shared" si="62"/>
        <v>205713</v>
      </c>
      <c r="G57" s="44">
        <f t="shared" si="62"/>
        <v>3602568</v>
      </c>
      <c r="H57" s="44">
        <f t="shared" si="62"/>
        <v>1424988</v>
      </c>
      <c r="I57" s="44">
        <f t="shared" si="62"/>
        <v>5027556</v>
      </c>
      <c r="J57" s="44">
        <f t="shared" si="62"/>
        <v>0</v>
      </c>
      <c r="K57" s="44">
        <f t="shared" si="62"/>
        <v>1417954</v>
      </c>
      <c r="L57" s="44">
        <f t="shared" si="62"/>
        <v>1417954</v>
      </c>
      <c r="M57" s="44">
        <f t="shared" si="62"/>
        <v>-4821843</v>
      </c>
      <c r="N57" s="45">
        <f t="shared" si="62"/>
        <v>-1212241</v>
      </c>
      <c r="P57" s="43">
        <f>SUM(P58:P59)</f>
        <v>0</v>
      </c>
      <c r="Q57" s="45">
        <f>SUM(Q58:Q59)</f>
        <v>0</v>
      </c>
      <c r="R57" s="9"/>
      <c r="S57" s="687">
        <f>+IF(NOVIEMBRE!S57=0,"",NOVIEMBRE!S57)</f>
        <v>1010400</v>
      </c>
      <c r="T57" s="663" t="str">
        <f>+IF(NOVIEMBRE!T57=0,"",NOVIEMBRE!T57)</f>
        <v>Contribuciones Inherentes nómina del Sector Publico</v>
      </c>
      <c r="U57" s="132">
        <f t="shared" ref="U57:AJ57" si="63">U58+U61</f>
        <v>94301194</v>
      </c>
      <c r="V57" s="122">
        <f t="shared" si="63"/>
        <v>0</v>
      </c>
      <c r="W57" s="122">
        <f t="shared" si="63"/>
        <v>0</v>
      </c>
      <c r="X57" s="129">
        <f t="shared" si="63"/>
        <v>94301194</v>
      </c>
      <c r="Y57" s="128">
        <f t="shared" si="63"/>
        <v>64251300</v>
      </c>
      <c r="Z57" s="122">
        <f t="shared" si="63"/>
        <v>6573150</v>
      </c>
      <c r="AA57" s="129">
        <f t="shared" si="63"/>
        <v>70824450</v>
      </c>
      <c r="AB57" s="128">
        <f t="shared" si="63"/>
        <v>64251300</v>
      </c>
      <c r="AC57" s="122">
        <f t="shared" si="63"/>
        <v>6573150</v>
      </c>
      <c r="AD57" s="129">
        <f t="shared" si="63"/>
        <v>70824450</v>
      </c>
      <c r="AE57" s="128">
        <f t="shared" si="63"/>
        <v>58051100</v>
      </c>
      <c r="AF57" s="122">
        <f t="shared" si="63"/>
        <v>12773350</v>
      </c>
      <c r="AG57" s="129">
        <f t="shared" si="63"/>
        <v>70824450</v>
      </c>
      <c r="AH57" s="128">
        <f t="shared" si="63"/>
        <v>23476744</v>
      </c>
      <c r="AI57" s="122">
        <f t="shared" si="63"/>
        <v>23476744</v>
      </c>
      <c r="AJ57" s="130">
        <f t="shared" si="63"/>
        <v>23476744</v>
      </c>
      <c r="AK57" s="9"/>
      <c r="AL57" s="128">
        <f>AL58+AL61</f>
        <v>0</v>
      </c>
      <c r="AM57" s="130">
        <f>AM58+AM61</f>
        <v>0</v>
      </c>
      <c r="AN57" s="9"/>
      <c r="AO57" s="284"/>
      <c r="AP57" s="284"/>
      <c r="AQ57" s="284"/>
      <c r="AR57" s="284"/>
      <c r="AS57" s="284"/>
      <c r="AT57" s="284"/>
      <c r="AU57" s="284"/>
      <c r="AV57" s="284"/>
      <c r="AW57" s="284"/>
      <c r="AX57" s="284"/>
      <c r="AY57" s="284"/>
      <c r="AZ57" s="284"/>
      <c r="BQ57" s="451"/>
    </row>
    <row r="58" spans="1:249" s="412" customFormat="1" ht="24.95" customHeight="1">
      <c r="A58" s="593" t="str">
        <f>+IF(NOVIEMBRE!A58=0,"",NOVIEMBRE!A58)</f>
        <v>1130111-1</v>
      </c>
      <c r="B58" s="629" t="str">
        <f>+CONCATENATE("Vigencia ",INSTRUCCIONES!$F$3)</f>
        <v>Vigencia 2019</v>
      </c>
      <c r="C58" s="655">
        <f>+ENERO!C58</f>
        <v>205713</v>
      </c>
      <c r="D58" s="363">
        <f>NOVIEMBRE!D58+DICIEMBRE!P58</f>
        <v>0</v>
      </c>
      <c r="E58" s="363">
        <f>NOVIEMBRE!E58+DICIEMBRE!Q58</f>
        <v>0</v>
      </c>
      <c r="F58" s="363">
        <f>SUM(C58:E58)</f>
        <v>205713</v>
      </c>
      <c r="G58" s="363">
        <f>NOVIEMBRE!I58</f>
        <v>3602568</v>
      </c>
      <c r="H58" s="364">
        <v>1424988</v>
      </c>
      <c r="I58" s="363">
        <f>SUM(G58:H58)</f>
        <v>5027556</v>
      </c>
      <c r="J58" s="363">
        <f>NOVIEMBRE!L58</f>
        <v>0</v>
      </c>
      <c r="K58" s="364">
        <v>1417954</v>
      </c>
      <c r="L58" s="363">
        <f>SUM(J58:K58)</f>
        <v>1417954</v>
      </c>
      <c r="M58" s="363">
        <f>F58-I58</f>
        <v>-4821843</v>
      </c>
      <c r="N58" s="143">
        <f>F58-L58</f>
        <v>-1212241</v>
      </c>
      <c r="O58" s="372"/>
      <c r="P58" s="362">
        <v>0</v>
      </c>
      <c r="Q58" s="365">
        <v>0</v>
      </c>
      <c r="R58" s="9"/>
      <c r="S58" s="688">
        <f>+IF(NOVIEMBRE!S58=0,"",NOVIEMBRE!S58)</f>
        <v>1010402</v>
      </c>
      <c r="T58" s="664" t="str">
        <f>+IF(NOVIEMBRE!T58=0,"",NOVIEMBRE!T58)</f>
        <v>Contribuciones - Otros</v>
      </c>
      <c r="U58" s="27">
        <f t="shared" ref="U58:AJ58" si="64">SUM(U59:U60)</f>
        <v>94301194</v>
      </c>
      <c r="V58" s="15">
        <f t="shared" si="64"/>
        <v>0</v>
      </c>
      <c r="W58" s="15">
        <f t="shared" si="64"/>
        <v>0</v>
      </c>
      <c r="X58" s="18">
        <f t="shared" si="64"/>
        <v>94301194</v>
      </c>
      <c r="Y58" s="19">
        <f t="shared" si="64"/>
        <v>64251300</v>
      </c>
      <c r="Z58" s="142">
        <f t="shared" si="64"/>
        <v>6573150</v>
      </c>
      <c r="AA58" s="18">
        <f t="shared" si="64"/>
        <v>70824450</v>
      </c>
      <c r="AB58" s="19">
        <f t="shared" si="64"/>
        <v>64251300</v>
      </c>
      <c r="AC58" s="142">
        <f t="shared" si="64"/>
        <v>6573150</v>
      </c>
      <c r="AD58" s="18">
        <f t="shared" si="64"/>
        <v>70824450</v>
      </c>
      <c r="AE58" s="19">
        <f t="shared" si="64"/>
        <v>58051100</v>
      </c>
      <c r="AF58" s="142">
        <f t="shared" si="64"/>
        <v>12773350</v>
      </c>
      <c r="AG58" s="18">
        <f t="shared" si="64"/>
        <v>70824450</v>
      </c>
      <c r="AH58" s="19">
        <f t="shared" si="64"/>
        <v>23476744</v>
      </c>
      <c r="AI58" s="15">
        <f t="shared" si="64"/>
        <v>23476744</v>
      </c>
      <c r="AJ58" s="16">
        <f t="shared" si="64"/>
        <v>23476744</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451"/>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row>
    <row r="59" spans="1:249" s="412" customFormat="1" ht="24.95" customHeight="1">
      <c r="A59" s="593" t="str">
        <f>+IF(NOVIEMBRE!A59=0,"",NOVIEMBRE!A59)</f>
        <v>1130111-2</v>
      </c>
      <c r="B59" s="629" t="str">
        <f>+IF(NOVIEMBRE!B59=0,"",NOVIEMBRE!B59)</f>
        <v>Vigencia Anterior</v>
      </c>
      <c r="C59" s="655">
        <f>+ENERO!C59</f>
        <v>0</v>
      </c>
      <c r="D59" s="363">
        <f>NOVIEMBRE!D59+DICIEMBRE!P59</f>
        <v>0</v>
      </c>
      <c r="E59" s="363">
        <f>NOVIEMBRE!E59+DICIEMBRE!Q59</f>
        <v>0</v>
      </c>
      <c r="F59" s="363">
        <f>SUM(C59:E59)</f>
        <v>0</v>
      </c>
      <c r="G59" s="363">
        <f>NOVIEMBRE!I59</f>
        <v>0</v>
      </c>
      <c r="H59" s="364">
        <v>0</v>
      </c>
      <c r="I59" s="363">
        <f>SUM(G59:H59)</f>
        <v>0</v>
      </c>
      <c r="J59" s="363">
        <f>NOVIEMBRE!L59</f>
        <v>0</v>
      </c>
      <c r="K59" s="364">
        <v>0</v>
      </c>
      <c r="L59" s="363">
        <f>SUM(J59:K59)</f>
        <v>0</v>
      </c>
      <c r="M59" s="363">
        <f>F59-I59</f>
        <v>0</v>
      </c>
      <c r="N59" s="143">
        <f>F59-L59</f>
        <v>0</v>
      </c>
      <c r="O59" s="372"/>
      <c r="P59" s="362">
        <v>0</v>
      </c>
      <c r="Q59" s="365">
        <v>0</v>
      </c>
      <c r="R59" s="9"/>
      <c r="S59" s="689" t="str">
        <f>+IF(NOVIEMBRE!S59=0,"",NOVIEMBRE!S59)</f>
        <v>1010402-1</v>
      </c>
      <c r="T59" s="665" t="str">
        <f>+IF(NOVIEMBRE!T59=0,"",NOVIEMBRE!T59)</f>
        <v>S.E.N.A.</v>
      </c>
      <c r="U59" s="27">
        <f>+ENERO!U59</f>
        <v>37720478</v>
      </c>
      <c r="V59" s="15">
        <f>NOVIEMBRE!V59+DICIEMBRE!AL59</f>
        <v>0</v>
      </c>
      <c r="W59" s="15">
        <f>NOVIEMBRE!W59+DICIEMBRE!AM59</f>
        <v>0</v>
      </c>
      <c r="X59" s="18">
        <f>SUM(U59:W59)</f>
        <v>37720478</v>
      </c>
      <c r="Y59" s="19">
        <f>NOVIEMBRE!AA59</f>
        <v>25700520</v>
      </c>
      <c r="Z59" s="364">
        <v>2629260</v>
      </c>
      <c r="AA59" s="18">
        <f>SUM(Y59:Z59)</f>
        <v>28329780</v>
      </c>
      <c r="AB59" s="19">
        <f>NOVIEMBRE!AD59</f>
        <v>25700520</v>
      </c>
      <c r="AC59" s="364">
        <v>2629260</v>
      </c>
      <c r="AD59" s="18">
        <f>SUM(AB59:AC59)</f>
        <v>28329780</v>
      </c>
      <c r="AE59" s="19">
        <f>NOVIEMBRE!AG59</f>
        <v>23220440</v>
      </c>
      <c r="AF59" s="364">
        <v>5109340</v>
      </c>
      <c r="AG59" s="18">
        <f>SUM(AE59:AF59)</f>
        <v>28329780</v>
      </c>
      <c r="AH59" s="19">
        <f>X59-AA59</f>
        <v>9390698</v>
      </c>
      <c r="AI59" s="15">
        <f>X59-AD59</f>
        <v>9390698</v>
      </c>
      <c r="AJ59" s="16">
        <f>X59-AG59</f>
        <v>9390698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451"/>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c r="IO59" s="372"/>
    </row>
    <row r="60" spans="1:249" s="372" customFormat="1" ht="24.95" customHeight="1">
      <c r="A60" s="714">
        <f>+IF(NOVIEMBRE!A60=0,"",NOVIEMBRE!A60)</f>
        <v>1130112</v>
      </c>
      <c r="B60" s="628" t="str">
        <f>+IF(NOVIEMBRE!B60=0,"",NOVIEMBRE!B60)</f>
        <v>IPS PUBLICAS</v>
      </c>
      <c r="C60" s="43">
        <f t="shared" ref="C60:N60" si="65">SUM(C61:C62)</f>
        <v>0</v>
      </c>
      <c r="D60" s="44">
        <f t="shared" si="65"/>
        <v>0</v>
      </c>
      <c r="E60" s="44">
        <f t="shared" si="65"/>
        <v>19213396</v>
      </c>
      <c r="F60" s="44">
        <f t="shared" si="65"/>
        <v>19213396</v>
      </c>
      <c r="G60" s="44">
        <f t="shared" si="65"/>
        <v>20449765</v>
      </c>
      <c r="H60" s="44">
        <f t="shared" si="65"/>
        <v>14986560</v>
      </c>
      <c r="I60" s="44">
        <f t="shared" si="65"/>
        <v>35436325</v>
      </c>
      <c r="J60" s="44">
        <f t="shared" si="65"/>
        <v>19213396</v>
      </c>
      <c r="K60" s="44">
        <f t="shared" si="65"/>
        <v>16222929</v>
      </c>
      <c r="L60" s="44">
        <f t="shared" si="65"/>
        <v>35436325</v>
      </c>
      <c r="M60" s="44">
        <f t="shared" si="65"/>
        <v>-16222929</v>
      </c>
      <c r="N60" s="45">
        <f t="shared" si="65"/>
        <v>-16222929</v>
      </c>
      <c r="P60" s="43">
        <f>SUM(P61:P62)</f>
        <v>0</v>
      </c>
      <c r="Q60" s="45">
        <f>SUM(Q61:Q62)</f>
        <v>0</v>
      </c>
      <c r="R60" s="9"/>
      <c r="S60" s="689" t="str">
        <f>+IF(NOVIEMBRE!S60=0,"",NOVIEMBRE!S60)</f>
        <v>1010402-2</v>
      </c>
      <c r="T60" s="665" t="str">
        <f>+IF(NOVIEMBRE!T60=0,"",NOVIEMBRE!T60)</f>
        <v>I.C.B.F.</v>
      </c>
      <c r="U60" s="27">
        <f>+ENERO!U60</f>
        <v>56580716</v>
      </c>
      <c r="V60" s="15">
        <f>NOVIEMBRE!V60+DICIEMBRE!AL60</f>
        <v>0</v>
      </c>
      <c r="W60" s="15">
        <f>NOVIEMBRE!W60+DICIEMBRE!AM60</f>
        <v>0</v>
      </c>
      <c r="X60" s="18">
        <f>SUM(U60:W60)</f>
        <v>56580716</v>
      </c>
      <c r="Y60" s="19">
        <f>NOVIEMBRE!AA60</f>
        <v>38550780</v>
      </c>
      <c r="Z60" s="364">
        <v>3943890</v>
      </c>
      <c r="AA60" s="18">
        <f>SUM(Y60:Z60)</f>
        <v>42494670</v>
      </c>
      <c r="AB60" s="19">
        <f>NOVIEMBRE!AD60</f>
        <v>38550780</v>
      </c>
      <c r="AC60" s="364">
        <v>3943890</v>
      </c>
      <c r="AD60" s="18">
        <f>SUM(AB60:AC60)</f>
        <v>42494670</v>
      </c>
      <c r="AE60" s="19">
        <f>NOVIEMBRE!AG60</f>
        <v>34830660</v>
      </c>
      <c r="AF60" s="364">
        <v>7664010</v>
      </c>
      <c r="AG60" s="18">
        <f>SUM(AE60:AF60)</f>
        <v>42494670</v>
      </c>
      <c r="AH60" s="19">
        <f>X60-AA60</f>
        <v>14086046</v>
      </c>
      <c r="AI60" s="15">
        <f>X60-AD60</f>
        <v>14086046</v>
      </c>
      <c r="AJ60" s="16">
        <f>X60-AG60</f>
        <v>14086046</v>
      </c>
      <c r="AK60" s="9"/>
      <c r="AL60" s="362">
        <v>0</v>
      </c>
      <c r="AM60" s="365">
        <v>0</v>
      </c>
      <c r="AN60" s="9"/>
      <c r="AO60" s="284"/>
      <c r="AP60" s="284"/>
      <c r="AQ60" s="284"/>
      <c r="AR60" s="284"/>
      <c r="AS60" s="284"/>
      <c r="AT60" s="284"/>
      <c r="AU60" s="284"/>
      <c r="AV60" s="284"/>
      <c r="AW60" s="284"/>
      <c r="AX60" s="284"/>
      <c r="AY60" s="284"/>
      <c r="AZ60" s="284"/>
      <c r="BQ60" s="451"/>
    </row>
    <row r="61" spans="1:249" s="412" customFormat="1" ht="24.95" customHeight="1">
      <c r="A61" s="593" t="str">
        <f>+IF(NOVIEMBRE!A61=0,"",NOVIEMBRE!A61)</f>
        <v>1130112-1</v>
      </c>
      <c r="B61" s="629" t="str">
        <f>+CONCATENATE("Vigencia ",INSTRUCCIONES!$F$3)</f>
        <v>Vigencia 2019</v>
      </c>
      <c r="C61" s="655">
        <f>+ENERO!C61</f>
        <v>0</v>
      </c>
      <c r="D61" s="363">
        <f>NOVIEMBRE!D61+DICIEMBRE!P61</f>
        <v>0</v>
      </c>
      <c r="E61" s="363">
        <f>NOVIEMBRE!E61+DICIEMBRE!Q61</f>
        <v>655301</v>
      </c>
      <c r="F61" s="363">
        <f>SUM(C61:E61)</f>
        <v>655301</v>
      </c>
      <c r="G61" s="363">
        <f>NOVIEMBRE!I61</f>
        <v>1891670</v>
      </c>
      <c r="H61" s="364">
        <v>14588489</v>
      </c>
      <c r="I61" s="363">
        <f>SUM(G61:H61)</f>
        <v>16480159</v>
      </c>
      <c r="J61" s="363">
        <f>NOVIEMBRE!L61</f>
        <v>655301</v>
      </c>
      <c r="K61" s="364">
        <v>15824858</v>
      </c>
      <c r="L61" s="363">
        <f>SUM(J61:K61)</f>
        <v>16480159</v>
      </c>
      <c r="M61" s="363">
        <f>F61-I61</f>
        <v>-15824858</v>
      </c>
      <c r="N61" s="143">
        <f>F61-L61</f>
        <v>-15824858</v>
      </c>
      <c r="O61" s="372"/>
      <c r="P61" s="362">
        <v>0</v>
      </c>
      <c r="Q61" s="365">
        <v>0</v>
      </c>
      <c r="R61" s="9"/>
      <c r="S61" s="688">
        <f>+IF(NOVIEMBRE!S61=0,"",NOVIEMBRE!S61)</f>
        <v>1010499</v>
      </c>
      <c r="T61" s="664" t="str">
        <f>+IF(NOVIEMBRE!T61=0,"",NOVIEMBRE!T61)</f>
        <v>Vigencias Anteriores</v>
      </c>
      <c r="U61" s="27">
        <f>+ENERO!U61</f>
        <v>0</v>
      </c>
      <c r="V61" s="15">
        <f>NOVIEMBRE!V61+DICIEMBRE!AL61</f>
        <v>0</v>
      </c>
      <c r="W61" s="15">
        <f>NOVIEMBRE!W61+DICIEMBRE!AM61</f>
        <v>0</v>
      </c>
      <c r="X61" s="18">
        <f>SUM(U61:W61)</f>
        <v>0</v>
      </c>
      <c r="Y61" s="19">
        <f>NOVIEMBRE!AA61</f>
        <v>0</v>
      </c>
      <c r="Z61" s="364">
        <v>0</v>
      </c>
      <c r="AA61" s="18">
        <f>SUM(Y61:Z61)</f>
        <v>0</v>
      </c>
      <c r="AB61" s="19">
        <f>NOVIEMBRE!AD61</f>
        <v>0</v>
      </c>
      <c r="AC61" s="364">
        <v>0</v>
      </c>
      <c r="AD61" s="18">
        <f>SUM(AB61:AC61)</f>
        <v>0</v>
      </c>
      <c r="AE61" s="19">
        <f>NOVIEMBRE!AG61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451"/>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c r="HX61" s="372"/>
      <c r="HY61" s="372"/>
      <c r="HZ61" s="372"/>
      <c r="IA61" s="372"/>
      <c r="IB61" s="372"/>
      <c r="IC61" s="372"/>
      <c r="ID61" s="372"/>
      <c r="IE61" s="372"/>
      <c r="IF61" s="372"/>
      <c r="IG61" s="372"/>
      <c r="IH61" s="372"/>
      <c r="II61" s="372"/>
      <c r="IJ61" s="372"/>
      <c r="IK61" s="372"/>
      <c r="IL61" s="372"/>
      <c r="IM61" s="372"/>
      <c r="IN61" s="372"/>
      <c r="IO61" s="372"/>
    </row>
    <row r="62" spans="1:249" s="412" customFormat="1" ht="24.95" customHeight="1">
      <c r="A62" s="593" t="str">
        <f>+IF(NOVIEMBRE!A62=0,"",NOVIEMBRE!A62)</f>
        <v>1130112-2</v>
      </c>
      <c r="B62" s="629" t="str">
        <f>+IF(NOVIEMBRE!B62=0,"",NOVIEMBRE!B62)</f>
        <v>Vigencia Anterior</v>
      </c>
      <c r="C62" s="655">
        <f>+ENERO!C62</f>
        <v>0</v>
      </c>
      <c r="D62" s="363">
        <f>NOVIEMBRE!D62+DICIEMBRE!P62</f>
        <v>0</v>
      </c>
      <c r="E62" s="363">
        <f>NOVIEMBRE!E62+DICIEMBRE!Q62</f>
        <v>18558095</v>
      </c>
      <c r="F62" s="363">
        <f>SUM(C62:E62)</f>
        <v>18558095</v>
      </c>
      <c r="G62" s="363">
        <f>NOVIEMBRE!I62</f>
        <v>18558095</v>
      </c>
      <c r="H62" s="364">
        <v>398071</v>
      </c>
      <c r="I62" s="363">
        <f>SUM(G62:H62)</f>
        <v>18956166</v>
      </c>
      <c r="J62" s="363">
        <f>NOVIEMBRE!L62</f>
        <v>18558095</v>
      </c>
      <c r="K62" s="364">
        <v>398071</v>
      </c>
      <c r="L62" s="363">
        <f>SUM(J62:K62)</f>
        <v>18956166</v>
      </c>
      <c r="M62" s="363">
        <f>F62-I62</f>
        <v>-398071</v>
      </c>
      <c r="N62" s="143">
        <f>F62-L62</f>
        <v>-398071</v>
      </c>
      <c r="O62" s="372"/>
      <c r="P62" s="362">
        <v>0</v>
      </c>
      <c r="Q62" s="365">
        <v>0</v>
      </c>
      <c r="R62" s="9"/>
      <c r="S62" s="356" t="str">
        <f>+IF(NOVIEMBRE!S62=0,"",NOVIEMBRE!S62)</f>
        <v/>
      </c>
      <c r="T62" s="678" t="str">
        <f>+IF(NOVIEMBRE!T62=0,"",NOVIEMBRE!T62)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451"/>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row>
    <row r="63" spans="1:249" s="372" customFormat="1" ht="24.95" customHeight="1">
      <c r="A63" s="714">
        <f>+IF(NOVIEMBRE!A63=0,"",NOVIEMBRE!A63)</f>
        <v>1130113</v>
      </c>
      <c r="B63" s="628" t="str">
        <f>+IF(NOVIEMBRE!B63=0,"",NOVIEMBRE!B63)</f>
        <v>COMPAÑIAS DE SEGUROS  - ACCIDENTES DE TRANSITO (SOAT)</v>
      </c>
      <c r="C63" s="43">
        <f t="shared" ref="C63:N63" si="66">SUM(C64:C65)</f>
        <v>8371510292</v>
      </c>
      <c r="D63" s="44">
        <f t="shared" si="66"/>
        <v>0</v>
      </c>
      <c r="E63" s="44">
        <f t="shared" si="66"/>
        <v>1890152623</v>
      </c>
      <c r="F63" s="44">
        <f t="shared" si="66"/>
        <v>10261662915</v>
      </c>
      <c r="G63" s="44">
        <f t="shared" si="66"/>
        <v>6907226973</v>
      </c>
      <c r="H63" s="44">
        <f t="shared" si="66"/>
        <v>790078018</v>
      </c>
      <c r="I63" s="44">
        <f t="shared" si="66"/>
        <v>7697304991</v>
      </c>
      <c r="J63" s="44">
        <f t="shared" si="66"/>
        <v>4717098966.0699997</v>
      </c>
      <c r="K63" s="44">
        <f t="shared" si="66"/>
        <v>321388352</v>
      </c>
      <c r="L63" s="44">
        <f t="shared" si="66"/>
        <v>5038487318.0699997</v>
      </c>
      <c r="M63" s="44">
        <f t="shared" si="66"/>
        <v>2564357924</v>
      </c>
      <c r="N63" s="45">
        <f t="shared" si="66"/>
        <v>5223175596.9300003</v>
      </c>
      <c r="P63" s="43">
        <f>SUM(P64:P65)</f>
        <v>0</v>
      </c>
      <c r="Q63" s="45">
        <f>SUM(Q64:Q65)</f>
        <v>0</v>
      </c>
      <c r="R63" s="9"/>
      <c r="S63" s="686">
        <f>+IF(NOVIEMBRE!S63=0,"",NOVIEMBRE!S63)</f>
        <v>1020010</v>
      </c>
      <c r="T63" s="662" t="str">
        <f>+IF(NOVIEMBRE!T63=0,"",NOVIEMBRE!T63)</f>
        <v>Gastos de Operación</v>
      </c>
      <c r="U63" s="132">
        <f t="shared" ref="U63:AJ63" si="67">U65+U83+U90+U104</f>
        <v>29994047768</v>
      </c>
      <c r="V63" s="122">
        <f t="shared" si="67"/>
        <v>-3975337847</v>
      </c>
      <c r="W63" s="122">
        <f t="shared" si="67"/>
        <v>3009785077</v>
      </c>
      <c r="X63" s="129">
        <f t="shared" si="67"/>
        <v>29028494998</v>
      </c>
      <c r="Y63" s="128">
        <f t="shared" si="67"/>
        <v>26991557820</v>
      </c>
      <c r="Z63" s="122">
        <f t="shared" si="67"/>
        <v>-696582225</v>
      </c>
      <c r="AA63" s="129">
        <f t="shared" si="67"/>
        <v>26294975595</v>
      </c>
      <c r="AB63" s="128">
        <f t="shared" si="67"/>
        <v>24598854150</v>
      </c>
      <c r="AC63" s="122">
        <f t="shared" si="67"/>
        <v>1696121445</v>
      </c>
      <c r="AD63" s="129">
        <f t="shared" si="67"/>
        <v>26294975595</v>
      </c>
      <c r="AE63" s="128">
        <f t="shared" si="67"/>
        <v>18384047897</v>
      </c>
      <c r="AF63" s="122">
        <f t="shared" si="67"/>
        <v>2835174785</v>
      </c>
      <c r="AG63" s="129">
        <f t="shared" si="67"/>
        <v>21219222682</v>
      </c>
      <c r="AH63" s="128">
        <f t="shared" si="67"/>
        <v>2733519403</v>
      </c>
      <c r="AI63" s="122">
        <f t="shared" si="67"/>
        <v>2733519403</v>
      </c>
      <c r="AJ63" s="130">
        <f t="shared" si="67"/>
        <v>7809272316</v>
      </c>
      <c r="AK63" s="9"/>
      <c r="AL63" s="128">
        <f>AL65+AL83+AL90+AL104</f>
        <v>10000000</v>
      </c>
      <c r="AM63" s="130">
        <f>AM65+AM83+AM90+AM104</f>
        <v>430000000</v>
      </c>
      <c r="AN63" s="9"/>
      <c r="AO63" s="284"/>
      <c r="AP63" s="284"/>
      <c r="AQ63" s="284"/>
      <c r="AR63" s="284"/>
      <c r="AS63" s="284"/>
      <c r="AT63" s="284"/>
      <c r="AU63" s="284"/>
      <c r="AV63" s="284"/>
      <c r="AW63" s="284"/>
      <c r="AX63" s="284"/>
      <c r="AY63" s="284"/>
      <c r="AZ63" s="284"/>
      <c r="BQ63" s="451"/>
    </row>
    <row r="64" spans="1:249" s="412" customFormat="1" ht="24.95" customHeight="1">
      <c r="A64" s="593" t="str">
        <f>+IF(NOVIEMBRE!A64=0,"",NOVIEMBRE!A64)</f>
        <v>1130113-1</v>
      </c>
      <c r="B64" s="629" t="str">
        <f>+CONCATENATE("Vigencia ",INSTRUCCIONES!$F$3)</f>
        <v>Vigencia 2019</v>
      </c>
      <c r="C64" s="655">
        <f>+ENERO!C64</f>
        <v>8371510292</v>
      </c>
      <c r="D64" s="363">
        <f>NOVIEMBRE!D64+DICIEMBRE!P64</f>
        <v>0</v>
      </c>
      <c r="E64" s="363">
        <f>NOVIEMBRE!E64+DICIEMBRE!Q64</f>
        <v>0</v>
      </c>
      <c r="F64" s="363">
        <f>SUM(C64:E64)</f>
        <v>8371510292</v>
      </c>
      <c r="G64" s="363">
        <f>NOVIEMBRE!I64</f>
        <v>5017074350</v>
      </c>
      <c r="H64" s="364">
        <v>778137854</v>
      </c>
      <c r="I64" s="363">
        <f>SUM(G64:H64)</f>
        <v>5795212204</v>
      </c>
      <c r="J64" s="363">
        <f>NOVIEMBRE!L64</f>
        <v>2826946343.0699997</v>
      </c>
      <c r="K64" s="364">
        <v>309448188</v>
      </c>
      <c r="L64" s="363">
        <f>SUM(J64:K64)</f>
        <v>3136394531.0699997</v>
      </c>
      <c r="M64" s="363">
        <f>F64-I64</f>
        <v>2576298088</v>
      </c>
      <c r="N64" s="143">
        <f>F64-L64</f>
        <v>5235115760.9300003</v>
      </c>
      <c r="O64" s="372"/>
      <c r="P64" s="362">
        <v>0</v>
      </c>
      <c r="Q64" s="365">
        <v>0</v>
      </c>
      <c r="R64" s="9"/>
      <c r="S64" s="356" t="str">
        <f>+IF(NOVIEMBRE!S64=0,"",NOVIEMBRE!S64)</f>
        <v/>
      </c>
      <c r="T64" s="678" t="str">
        <f>+IF(NOVIEMBRE!T64=0,"",NOVIEMBRE!T64)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451"/>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row>
    <row r="65" spans="1:249" s="412" customFormat="1" ht="24.95" customHeight="1">
      <c r="A65" s="593" t="str">
        <f>+IF(NOVIEMBRE!A65=0,"",NOVIEMBRE!A65)</f>
        <v>1130113-2</v>
      </c>
      <c r="B65" s="629" t="str">
        <f>+IF(NOVIEMBRE!B65=0,"",NOVIEMBRE!B65)</f>
        <v>Vigencia Anterior</v>
      </c>
      <c r="C65" s="655">
        <f>+ENERO!C65</f>
        <v>0</v>
      </c>
      <c r="D65" s="363">
        <f>NOVIEMBRE!D65+DICIEMBRE!P65</f>
        <v>0</v>
      </c>
      <c r="E65" s="363">
        <f>NOVIEMBRE!E65+DICIEMBRE!Q65</f>
        <v>1890152623</v>
      </c>
      <c r="F65" s="363">
        <f>SUM(C65:E65)</f>
        <v>1890152623</v>
      </c>
      <c r="G65" s="363">
        <f>NOVIEMBRE!I65</f>
        <v>1890152623</v>
      </c>
      <c r="H65" s="364">
        <v>11940164</v>
      </c>
      <c r="I65" s="363">
        <f>SUM(G65:H65)</f>
        <v>1902092787</v>
      </c>
      <c r="J65" s="363">
        <f>NOVIEMBRE!L65</f>
        <v>1890152623</v>
      </c>
      <c r="K65" s="364">
        <v>11940164</v>
      </c>
      <c r="L65" s="363">
        <f>SUM(J65:K65)</f>
        <v>1902092787</v>
      </c>
      <c r="M65" s="363">
        <f>F65-I65</f>
        <v>-11940164</v>
      </c>
      <c r="N65" s="143">
        <f>F65-L65</f>
        <v>-11940164</v>
      </c>
      <c r="O65" s="372"/>
      <c r="P65" s="362">
        <v>0</v>
      </c>
      <c r="Q65" s="365">
        <v>0</v>
      </c>
      <c r="R65" s="9"/>
      <c r="S65" s="687">
        <f>+IF(NOVIEMBRE!S65=0,"",NOVIEMBRE!S65)</f>
        <v>1020100</v>
      </c>
      <c r="T65" s="663" t="str">
        <f>+IF(NOVIEMBRE!T65=0,"",NOVIEMBRE!T65)</f>
        <v>Servicios Personales Asociados a Nómina</v>
      </c>
      <c r="U65" s="132">
        <f t="shared" ref="U65:AJ65" si="68">SUM(U66:U69)+U81</f>
        <v>5283965861</v>
      </c>
      <c r="V65" s="122">
        <f t="shared" si="68"/>
        <v>-2399000000</v>
      </c>
      <c r="W65" s="122">
        <f t="shared" si="68"/>
        <v>360000000</v>
      </c>
      <c r="X65" s="129">
        <f t="shared" si="68"/>
        <v>3244965861</v>
      </c>
      <c r="Y65" s="128">
        <f t="shared" si="68"/>
        <v>2473650869</v>
      </c>
      <c r="Z65" s="122">
        <f t="shared" si="68"/>
        <v>227913841</v>
      </c>
      <c r="AA65" s="129">
        <f t="shared" si="68"/>
        <v>2701564710</v>
      </c>
      <c r="AB65" s="128">
        <f t="shared" si="68"/>
        <v>2473650869</v>
      </c>
      <c r="AC65" s="122">
        <f t="shared" si="68"/>
        <v>227913841</v>
      </c>
      <c r="AD65" s="129">
        <f t="shared" si="68"/>
        <v>2701564710</v>
      </c>
      <c r="AE65" s="128">
        <f t="shared" si="68"/>
        <v>2473424446</v>
      </c>
      <c r="AF65" s="122">
        <f t="shared" si="68"/>
        <v>222777284</v>
      </c>
      <c r="AG65" s="129">
        <f t="shared" si="68"/>
        <v>2696201730</v>
      </c>
      <c r="AH65" s="128">
        <f t="shared" si="68"/>
        <v>543401151</v>
      </c>
      <c r="AI65" s="122">
        <f t="shared" si="68"/>
        <v>543401151</v>
      </c>
      <c r="AJ65" s="130">
        <f t="shared" si="68"/>
        <v>548764131</v>
      </c>
      <c r="AK65" s="9"/>
      <c r="AL65" s="128">
        <f>SUM(AL66:AL69)+AL81</f>
        <v>10000000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451"/>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row>
    <row r="66" spans="1:249" s="372" customFormat="1" ht="24.95" customHeight="1">
      <c r="A66" s="714">
        <f>+IF(NOVIEMBRE!A66=0,"",NOVIEMBRE!A66)</f>
        <v>1130114</v>
      </c>
      <c r="B66" s="628" t="str">
        <f>+IF(NOVIEMBRE!B66=0,"",NOVIEMBRE!B66)</f>
        <v xml:space="preserve">COMPAÑIAS DE SEGUROS  - PLANES DE SALUD  </v>
      </c>
      <c r="C66" s="43">
        <f t="shared" ref="C66:N66" si="69">SUM(C67:C68)</f>
        <v>11965775</v>
      </c>
      <c r="D66" s="44">
        <f t="shared" si="69"/>
        <v>0</v>
      </c>
      <c r="E66" s="44">
        <f t="shared" si="69"/>
        <v>0</v>
      </c>
      <c r="F66" s="44">
        <f t="shared" si="69"/>
        <v>11965775</v>
      </c>
      <c r="G66" s="44">
        <f t="shared" si="69"/>
        <v>52058119</v>
      </c>
      <c r="H66" s="44">
        <f t="shared" si="69"/>
        <v>191224</v>
      </c>
      <c r="I66" s="44">
        <f t="shared" si="69"/>
        <v>52249343</v>
      </c>
      <c r="J66" s="44">
        <f t="shared" si="69"/>
        <v>0</v>
      </c>
      <c r="K66" s="44">
        <f t="shared" si="69"/>
        <v>0</v>
      </c>
      <c r="L66" s="44">
        <f t="shared" si="69"/>
        <v>0</v>
      </c>
      <c r="M66" s="44">
        <f t="shared" si="69"/>
        <v>-40283568</v>
      </c>
      <c r="N66" s="45">
        <f t="shared" si="69"/>
        <v>11965775</v>
      </c>
      <c r="P66" s="43">
        <f>SUM(P67:P68)</f>
        <v>0</v>
      </c>
      <c r="Q66" s="45">
        <f>SUM(Q67:Q68)</f>
        <v>0</v>
      </c>
      <c r="R66" s="9"/>
      <c r="S66" s="688">
        <f>+IF(NOVIEMBRE!S66=0,"",NOVIEMBRE!S66)</f>
        <v>1020101</v>
      </c>
      <c r="T66" s="664" t="str">
        <f>+IF(NOVIEMBRE!T66=0,"",NOVIEMBRE!T66)</f>
        <v>Sueldos del Personal de nómina</v>
      </c>
      <c r="U66" s="27">
        <f>+ENERO!U66</f>
        <v>3773107838</v>
      </c>
      <c r="V66" s="15">
        <f>NOVIEMBRE!V66+DICIEMBRE!AL66</f>
        <v>-2034000000</v>
      </c>
      <c r="W66" s="15">
        <f>NOVIEMBRE!W66+DICIEMBRE!AM66</f>
        <v>360000000</v>
      </c>
      <c r="X66" s="18">
        <f>SUM(U66:W66)</f>
        <v>2099107838</v>
      </c>
      <c r="Y66" s="19">
        <f>NOVIEMBRE!AA66</f>
        <v>1913777273</v>
      </c>
      <c r="Z66" s="364">
        <v>183885539</v>
      </c>
      <c r="AA66" s="18">
        <f>SUM(Y66:Z66)</f>
        <v>2097662812</v>
      </c>
      <c r="AB66" s="19">
        <f>NOVIEMBRE!AD66</f>
        <v>1913777273</v>
      </c>
      <c r="AC66" s="364">
        <v>183885539</v>
      </c>
      <c r="AD66" s="18">
        <f>SUM(AB66:AC66)</f>
        <v>2097662812</v>
      </c>
      <c r="AE66" s="19">
        <f>NOVIEMBRE!AG66</f>
        <v>1913607182</v>
      </c>
      <c r="AF66" s="364">
        <v>184055630</v>
      </c>
      <c r="AG66" s="18">
        <f>SUM(AE66:AF66)</f>
        <v>2097662812</v>
      </c>
      <c r="AH66" s="19">
        <f>X66-AA66</f>
        <v>1445026</v>
      </c>
      <c r="AI66" s="15">
        <f>X66-AD66</f>
        <v>1445026</v>
      </c>
      <c r="AJ66" s="16">
        <f>X66-AG66</f>
        <v>1445026</v>
      </c>
      <c r="AK66" s="9"/>
      <c r="AL66" s="362">
        <v>10000000</v>
      </c>
      <c r="AM66" s="365">
        <v>0</v>
      </c>
      <c r="AN66" s="9"/>
      <c r="AO66" s="284"/>
      <c r="AP66" s="284"/>
      <c r="AQ66" s="284"/>
      <c r="AR66" s="284"/>
      <c r="AS66" s="284"/>
      <c r="AT66" s="284"/>
      <c r="AU66" s="284"/>
      <c r="AV66" s="284"/>
      <c r="AW66" s="284"/>
      <c r="AX66" s="284"/>
      <c r="AY66" s="284"/>
      <c r="AZ66" s="284"/>
      <c r="BQ66" s="451"/>
    </row>
    <row r="67" spans="1:249" s="412" customFormat="1" ht="24.95" customHeight="1">
      <c r="A67" s="593" t="str">
        <f>+IF(NOVIEMBRE!A67=0,"",NOVIEMBRE!A67)</f>
        <v>1130114-1</v>
      </c>
      <c r="B67" s="629" t="str">
        <f>+CONCATENATE("Vigencia ",INSTRUCCIONES!$F$3)</f>
        <v>Vigencia 2019</v>
      </c>
      <c r="C67" s="655">
        <f>+ENERO!C67</f>
        <v>11965775</v>
      </c>
      <c r="D67" s="363">
        <f>NOVIEMBRE!D67+DICIEMBRE!P67</f>
        <v>0</v>
      </c>
      <c r="E67" s="363">
        <f>NOVIEMBRE!E67+DICIEMBRE!Q67</f>
        <v>0</v>
      </c>
      <c r="F67" s="363">
        <f>SUM(C67:E67)</f>
        <v>11965775</v>
      </c>
      <c r="G67" s="363">
        <f>NOVIEMBRE!I67</f>
        <v>52058119</v>
      </c>
      <c r="H67" s="364">
        <v>191224</v>
      </c>
      <c r="I67" s="363">
        <f>SUM(G67:H67)</f>
        <v>52249343</v>
      </c>
      <c r="J67" s="363">
        <f>NOVIEMBRE!L67</f>
        <v>0</v>
      </c>
      <c r="K67" s="364">
        <v>0</v>
      </c>
      <c r="L67" s="363">
        <f>SUM(J67:K67)</f>
        <v>0</v>
      </c>
      <c r="M67" s="363">
        <f>F67-I67</f>
        <v>-40283568</v>
      </c>
      <c r="N67" s="143">
        <f>F67-L67</f>
        <v>11965775</v>
      </c>
      <c r="O67" s="372"/>
      <c r="P67" s="362">
        <v>0</v>
      </c>
      <c r="Q67" s="365">
        <v>0</v>
      </c>
      <c r="R67" s="9"/>
      <c r="S67" s="688">
        <f>+IF(NOVIEMBRE!S67=0,"",NOVIEMBRE!S67)</f>
        <v>1020102</v>
      </c>
      <c r="T67" s="664" t="str">
        <f>+IF(NOVIEMBRE!T67=0,"",NOVIEMBRE!T67)</f>
        <v>Horas Extras,Dominic.,Festivos y Rec. Nocturnos</v>
      </c>
      <c r="U67" s="27">
        <f>+ENERO!U67</f>
        <v>329885360</v>
      </c>
      <c r="V67" s="15">
        <f>NOVIEMBRE!V67+DICIEMBRE!AL67</f>
        <v>-65000000</v>
      </c>
      <c r="W67" s="15">
        <f>NOVIEMBRE!W67+DICIEMBRE!AM67</f>
        <v>0</v>
      </c>
      <c r="X67" s="18">
        <f>SUM(U67:W67)</f>
        <v>264885360</v>
      </c>
      <c r="Y67" s="19">
        <f>NOVIEMBRE!AA67</f>
        <v>118712975</v>
      </c>
      <c r="Z67" s="364">
        <v>25627743</v>
      </c>
      <c r="AA67" s="18">
        <f>SUM(Y67:Z67)</f>
        <v>144340718</v>
      </c>
      <c r="AB67" s="19">
        <f>NOVIEMBRE!AD67</f>
        <v>118712975</v>
      </c>
      <c r="AC67" s="364">
        <v>25627743</v>
      </c>
      <c r="AD67" s="18">
        <f>SUM(AB67:AC67)</f>
        <v>144340718</v>
      </c>
      <c r="AE67" s="19">
        <f>NOVIEMBRE!AG67</f>
        <v>118712975</v>
      </c>
      <c r="AF67" s="364">
        <v>25457112</v>
      </c>
      <c r="AG67" s="18">
        <f>SUM(AE67:AF67)</f>
        <v>144170087</v>
      </c>
      <c r="AH67" s="19">
        <f>X67-AA67</f>
        <v>120544642</v>
      </c>
      <c r="AI67" s="15">
        <f>X67-AD67</f>
        <v>120544642</v>
      </c>
      <c r="AJ67" s="16">
        <f>X67-AG67</f>
        <v>120715273</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451"/>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row>
    <row r="68" spans="1:249" s="412" customFormat="1" ht="24.95" customHeight="1">
      <c r="A68" s="593" t="str">
        <f>+IF(NOVIEMBRE!A68=0,"",NOVIEMBRE!A68)</f>
        <v>1130114-2</v>
      </c>
      <c r="B68" s="629" t="str">
        <f>+IF(NOVIEMBRE!B68=0,"",NOVIEMBRE!B68)</f>
        <v>Vigencia Anterior</v>
      </c>
      <c r="C68" s="655">
        <f>+ENERO!C68</f>
        <v>0</v>
      </c>
      <c r="D68" s="363">
        <f>NOVIEMBRE!D68+DICIEMBRE!P68</f>
        <v>0</v>
      </c>
      <c r="E68" s="363">
        <f>NOVIEMBRE!E68+DICIEMBRE!Q68</f>
        <v>0</v>
      </c>
      <c r="F68" s="363">
        <f>SUM(C68:E68)</f>
        <v>0</v>
      </c>
      <c r="G68" s="363">
        <f>NOVIEMBRE!I68</f>
        <v>0</v>
      </c>
      <c r="H68" s="364">
        <v>0</v>
      </c>
      <c r="I68" s="363">
        <f>SUM(G68:H68)</f>
        <v>0</v>
      </c>
      <c r="J68" s="363">
        <f>NOVIEMBRE!L68</f>
        <v>0</v>
      </c>
      <c r="K68" s="364">
        <v>0</v>
      </c>
      <c r="L68" s="363">
        <f>SUM(J68:K68)</f>
        <v>0</v>
      </c>
      <c r="M68" s="363">
        <f>F68-I68</f>
        <v>0</v>
      </c>
      <c r="N68" s="143">
        <f>F68-L68</f>
        <v>0</v>
      </c>
      <c r="O68" s="372"/>
      <c r="P68" s="362">
        <v>0</v>
      </c>
      <c r="Q68" s="365">
        <v>0</v>
      </c>
      <c r="R68" s="9"/>
      <c r="S68" s="688">
        <f>+IF(NOVIEMBRE!S68=0,"",NOVIEMBRE!S68)</f>
        <v>1020103</v>
      </c>
      <c r="T68" s="664" t="str">
        <f>+IF(NOVIEMBRE!T68=0,"",NOVIEMBRE!T68)</f>
        <v>Prima Técnica</v>
      </c>
      <c r="U68" s="27">
        <f>+ENERO!U68</f>
        <v>0</v>
      </c>
      <c r="V68" s="15">
        <f>NOVIEMBRE!V68+DICIEMBRE!AL68</f>
        <v>0</v>
      </c>
      <c r="W68" s="15">
        <f>NOVIEMBRE!W68+DICIEMBRE!AM68</f>
        <v>0</v>
      </c>
      <c r="X68" s="18">
        <f>SUM(U68:W68)</f>
        <v>0</v>
      </c>
      <c r="Y68" s="19">
        <f>NOVIEMBRE!AA68</f>
        <v>0</v>
      </c>
      <c r="Z68" s="364">
        <v>0</v>
      </c>
      <c r="AA68" s="18">
        <f>SUM(Y68:Z68)</f>
        <v>0</v>
      </c>
      <c r="AB68" s="19">
        <f>NOVIEMBRE!AD68</f>
        <v>0</v>
      </c>
      <c r="AC68" s="364">
        <v>0</v>
      </c>
      <c r="AD68" s="18">
        <f>SUM(AB68:AC68)</f>
        <v>0</v>
      </c>
      <c r="AE68" s="19">
        <f>NOVIEMBRE!AG68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451"/>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c r="HX68" s="372"/>
      <c r="HY68" s="372"/>
      <c r="HZ68" s="372"/>
      <c r="IA68" s="372"/>
      <c r="IB68" s="372"/>
      <c r="IC68" s="372"/>
      <c r="ID68" s="372"/>
      <c r="IE68" s="372"/>
      <c r="IF68" s="372"/>
      <c r="IG68" s="372"/>
      <c r="IH68" s="372"/>
      <c r="II68" s="372"/>
      <c r="IJ68" s="372"/>
      <c r="IK68" s="372"/>
      <c r="IL68" s="372"/>
      <c r="IM68" s="372"/>
      <c r="IN68" s="372"/>
      <c r="IO68" s="372"/>
    </row>
    <row r="69" spans="1:249" s="372" customFormat="1" ht="24.95" customHeight="1">
      <c r="A69" s="714">
        <f>+IF(NOVIEMBRE!A69=0,"",NOVIEMBRE!A69)</f>
        <v>1130115</v>
      </c>
      <c r="B69" s="628" t="str">
        <f>+IF(NOVIEMBRE!B69=0,"",NOVIEMBRE!B69)</f>
        <v>ENTIDADES DE REGIMEN ESPECIAL (Magisterio, Fuerza Pca.)</v>
      </c>
      <c r="C69" s="43">
        <f t="shared" ref="C69:N69" si="70">SUM(C70:C71)</f>
        <v>8401952</v>
      </c>
      <c r="D69" s="44">
        <f t="shared" si="70"/>
        <v>0</v>
      </c>
      <c r="E69" s="44">
        <f t="shared" si="70"/>
        <v>221162728</v>
      </c>
      <c r="F69" s="44">
        <f t="shared" si="70"/>
        <v>229564680</v>
      </c>
      <c r="G69" s="44">
        <f t="shared" si="70"/>
        <v>230873517</v>
      </c>
      <c r="H69" s="44">
        <f t="shared" si="70"/>
        <v>6206585</v>
      </c>
      <c r="I69" s="44">
        <f t="shared" si="70"/>
        <v>237080102</v>
      </c>
      <c r="J69" s="44">
        <f t="shared" si="70"/>
        <v>229564680</v>
      </c>
      <c r="K69" s="44">
        <f t="shared" si="70"/>
        <v>7515422</v>
      </c>
      <c r="L69" s="44">
        <f t="shared" si="70"/>
        <v>237080102</v>
      </c>
      <c r="M69" s="44">
        <f t="shared" si="70"/>
        <v>-7515422</v>
      </c>
      <c r="N69" s="45">
        <f t="shared" si="70"/>
        <v>-7515422</v>
      </c>
      <c r="P69" s="43">
        <f>SUM(P70:P71)</f>
        <v>0</v>
      </c>
      <c r="Q69" s="45">
        <f>SUM(Q70:Q71)</f>
        <v>17641430</v>
      </c>
      <c r="R69" s="9"/>
      <c r="S69" s="688">
        <f>+IF(NOVIEMBRE!S69=0,"",NOVIEMBRE!S69)</f>
        <v>1020104</v>
      </c>
      <c r="T69" s="664" t="str">
        <f>+IF(NOVIEMBRE!T69=0,"",NOVIEMBRE!T69)</f>
        <v>Otros</v>
      </c>
      <c r="U69" s="27">
        <f t="shared" ref="U69:AJ69" si="71">SUM(U70:U80)</f>
        <v>1180972663</v>
      </c>
      <c r="V69" s="15">
        <f t="shared" si="71"/>
        <v>-300000000</v>
      </c>
      <c r="W69" s="15">
        <f t="shared" si="71"/>
        <v>0</v>
      </c>
      <c r="X69" s="18">
        <f t="shared" si="71"/>
        <v>880972663</v>
      </c>
      <c r="Y69" s="19">
        <f t="shared" si="71"/>
        <v>441160621</v>
      </c>
      <c r="Z69" s="142">
        <f t="shared" si="71"/>
        <v>18400559</v>
      </c>
      <c r="AA69" s="18">
        <f t="shared" si="71"/>
        <v>459561180</v>
      </c>
      <c r="AB69" s="19">
        <f t="shared" si="71"/>
        <v>441160621</v>
      </c>
      <c r="AC69" s="142">
        <f t="shared" si="71"/>
        <v>18400559</v>
      </c>
      <c r="AD69" s="18">
        <f t="shared" si="71"/>
        <v>459561180</v>
      </c>
      <c r="AE69" s="19">
        <f t="shared" si="71"/>
        <v>441104289</v>
      </c>
      <c r="AF69" s="142">
        <f t="shared" si="71"/>
        <v>13264542</v>
      </c>
      <c r="AG69" s="18">
        <f t="shared" si="71"/>
        <v>454368831</v>
      </c>
      <c r="AH69" s="19">
        <f t="shared" si="71"/>
        <v>421411483</v>
      </c>
      <c r="AI69" s="15">
        <f t="shared" si="71"/>
        <v>421411483</v>
      </c>
      <c r="AJ69" s="16">
        <f t="shared" si="71"/>
        <v>426603832</v>
      </c>
      <c r="AK69" s="9"/>
      <c r="AL69" s="29">
        <f>SUM(AL70:AL80)</f>
        <v>0</v>
      </c>
      <c r="AM69" s="26">
        <f>SUM(AM70:AM80)</f>
        <v>0</v>
      </c>
      <c r="AN69" s="9"/>
      <c r="AO69" s="284"/>
      <c r="AP69" s="284"/>
      <c r="AQ69" s="284"/>
      <c r="AR69" s="284"/>
      <c r="AS69" s="284"/>
      <c r="AT69" s="284"/>
      <c r="AU69" s="284"/>
      <c r="AV69" s="284"/>
      <c r="AW69" s="284"/>
      <c r="AX69" s="284"/>
      <c r="AY69" s="284"/>
      <c r="AZ69" s="284"/>
      <c r="BQ69" s="451"/>
    </row>
    <row r="70" spans="1:249" s="412" customFormat="1" ht="24.95" customHeight="1">
      <c r="A70" s="593" t="str">
        <f>+IF(NOVIEMBRE!A70=0,"",NOVIEMBRE!A70)</f>
        <v>1130115-1</v>
      </c>
      <c r="B70" s="629" t="str">
        <f>+CONCATENATE("Vigencia ",INSTRUCCIONES!$F$3)</f>
        <v>Vigencia 2019</v>
      </c>
      <c r="C70" s="655">
        <f>+ENERO!C70</f>
        <v>8401952</v>
      </c>
      <c r="D70" s="363">
        <f>NOVIEMBRE!D70+DICIEMBRE!P70</f>
        <v>0</v>
      </c>
      <c r="E70" s="363">
        <f>NOVIEMBRE!E70+DICIEMBRE!Q70</f>
        <v>47225268</v>
      </c>
      <c r="F70" s="363">
        <f>SUM(C70:E70)</f>
        <v>55627220</v>
      </c>
      <c r="G70" s="363">
        <f>NOVIEMBRE!I70</f>
        <v>56936057</v>
      </c>
      <c r="H70" s="364">
        <v>6206585</v>
      </c>
      <c r="I70" s="363">
        <f>SUM(G70:H70)</f>
        <v>63142642</v>
      </c>
      <c r="J70" s="363">
        <f>NOVIEMBRE!L70</f>
        <v>55627220</v>
      </c>
      <c r="K70" s="364">
        <v>7515422</v>
      </c>
      <c r="L70" s="363">
        <f>SUM(J70:K70)</f>
        <v>63142642</v>
      </c>
      <c r="M70" s="363">
        <f>F70-I70</f>
        <v>-7515422</v>
      </c>
      <c r="N70" s="143">
        <f>F70-L70</f>
        <v>-7515422</v>
      </c>
      <c r="O70" s="372"/>
      <c r="P70" s="362">
        <v>0</v>
      </c>
      <c r="Q70" s="365">
        <v>0</v>
      </c>
      <c r="R70" s="9"/>
      <c r="S70" s="689" t="str">
        <f>+IF(NOVIEMBRE!S70=0,"",NOVIEMBRE!S70)</f>
        <v>1020104-1</v>
      </c>
      <c r="T70" s="665" t="str">
        <f>+IF(NOVIEMBRE!T70=0,"",NOVIEMBRE!T70)</f>
        <v xml:space="preserve">Prima de Navidad </v>
      </c>
      <c r="U70" s="27">
        <f>+ENERO!U70</f>
        <v>352482456</v>
      </c>
      <c r="V70" s="15">
        <f>NOVIEMBRE!V70+DICIEMBRE!AL70</f>
        <v>0</v>
      </c>
      <c r="W70" s="15">
        <f>NOVIEMBRE!W70+DICIEMBRE!AM70</f>
        <v>0</v>
      </c>
      <c r="X70" s="18">
        <f t="shared" ref="X70:X81" si="72">SUM(U70:W70)</f>
        <v>352482456</v>
      </c>
      <c r="Y70" s="19">
        <f>NOVIEMBRE!AA70</f>
        <v>195230544</v>
      </c>
      <c r="Z70" s="364">
        <v>213072</v>
      </c>
      <c r="AA70" s="18">
        <f t="shared" ref="AA70:AA81" si="73">SUM(Y70:Z70)</f>
        <v>195443616</v>
      </c>
      <c r="AB70" s="19">
        <f>NOVIEMBRE!AD70</f>
        <v>195230544</v>
      </c>
      <c r="AC70" s="364">
        <v>213072</v>
      </c>
      <c r="AD70" s="18">
        <f t="shared" ref="AD70:AD81" si="74">SUM(AB70:AC70)</f>
        <v>195443616</v>
      </c>
      <c r="AE70" s="19">
        <f>NOVIEMBRE!AG70</f>
        <v>195212463</v>
      </c>
      <c r="AF70" s="364">
        <v>74245</v>
      </c>
      <c r="AG70" s="18">
        <f t="shared" ref="AG70:AG81" si="75">SUM(AE70:AF70)</f>
        <v>195286708</v>
      </c>
      <c r="AH70" s="19">
        <f t="shared" ref="AH70:AH81" si="76">X70-AA70</f>
        <v>157038840</v>
      </c>
      <c r="AI70" s="15">
        <f t="shared" ref="AI70:AI81" si="77">X70-AD70</f>
        <v>157038840</v>
      </c>
      <c r="AJ70" s="16">
        <f t="shared" ref="AJ70:AJ81" si="78">X70-AG70</f>
        <v>157195748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451"/>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row>
    <row r="71" spans="1:249" s="412" customFormat="1" ht="24.95" customHeight="1">
      <c r="A71" s="593" t="str">
        <f>+IF(NOVIEMBRE!A71=0,"",NOVIEMBRE!A71)</f>
        <v>1130115-2</v>
      </c>
      <c r="B71" s="629" t="str">
        <f>+IF(NOVIEMBRE!B71=0,"",NOVIEMBRE!B71)</f>
        <v>Vigencia Anterior</v>
      </c>
      <c r="C71" s="655">
        <f>+ENERO!C71</f>
        <v>0</v>
      </c>
      <c r="D71" s="363">
        <f>NOVIEMBRE!D71+DICIEMBRE!P71</f>
        <v>0</v>
      </c>
      <c r="E71" s="363">
        <f>NOVIEMBRE!E71+DICIEMBRE!Q71</f>
        <v>173937460</v>
      </c>
      <c r="F71" s="363">
        <f>SUM(C71:E71)</f>
        <v>173937460</v>
      </c>
      <c r="G71" s="363">
        <f>NOVIEMBRE!I71</f>
        <v>173937460</v>
      </c>
      <c r="H71" s="364">
        <v>0</v>
      </c>
      <c r="I71" s="363">
        <f>SUM(G71:H71)</f>
        <v>173937460</v>
      </c>
      <c r="J71" s="363">
        <f>NOVIEMBRE!L71</f>
        <v>173937460</v>
      </c>
      <c r="K71" s="364">
        <v>0</v>
      </c>
      <c r="L71" s="363">
        <f>SUM(J71:K71)</f>
        <v>173937460</v>
      </c>
      <c r="M71" s="363">
        <f>F71-I71</f>
        <v>0</v>
      </c>
      <c r="N71" s="143">
        <f>F71-L71</f>
        <v>0</v>
      </c>
      <c r="O71" s="372"/>
      <c r="P71" s="362">
        <v>0</v>
      </c>
      <c r="Q71" s="365">
        <v>17641430</v>
      </c>
      <c r="R71" s="9"/>
      <c r="S71" s="689" t="str">
        <f>+IF(NOVIEMBRE!S71=0,"",NOVIEMBRE!S71)</f>
        <v>1020104-2</v>
      </c>
      <c r="T71" s="665" t="str">
        <f>+IF(NOVIEMBRE!T71=0,"",NOVIEMBRE!T71)</f>
        <v>Prima de Vacaciones</v>
      </c>
      <c r="U71" s="27">
        <f>+ENERO!U71</f>
        <v>180248873</v>
      </c>
      <c r="V71" s="15">
        <f>NOVIEMBRE!V71+DICIEMBRE!AL71</f>
        <v>0</v>
      </c>
      <c r="W71" s="15">
        <f>NOVIEMBRE!W71+DICIEMBRE!AM71</f>
        <v>0</v>
      </c>
      <c r="X71" s="18">
        <f t="shared" si="72"/>
        <v>180248873</v>
      </c>
      <c r="Y71" s="19">
        <f>NOVIEMBRE!AA71</f>
        <v>87386298</v>
      </c>
      <c r="Z71" s="364">
        <v>12301202</v>
      </c>
      <c r="AA71" s="18">
        <f t="shared" si="73"/>
        <v>99687500</v>
      </c>
      <c r="AB71" s="19">
        <f>NOVIEMBRE!AD71</f>
        <v>87386298</v>
      </c>
      <c r="AC71" s="364">
        <v>12301202</v>
      </c>
      <c r="AD71" s="18">
        <f t="shared" si="74"/>
        <v>99687500</v>
      </c>
      <c r="AE71" s="19">
        <f>NOVIEMBRE!AG71</f>
        <v>87382321</v>
      </c>
      <c r="AF71" s="364">
        <v>10829652</v>
      </c>
      <c r="AG71" s="18">
        <f t="shared" si="75"/>
        <v>98211973</v>
      </c>
      <c r="AH71" s="19">
        <f t="shared" si="76"/>
        <v>80561373</v>
      </c>
      <c r="AI71" s="15">
        <f t="shared" si="77"/>
        <v>80561373</v>
      </c>
      <c r="AJ71" s="16">
        <f t="shared" si="78"/>
        <v>82036900</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451"/>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c r="HX71" s="372"/>
      <c r="HY71" s="372"/>
      <c r="HZ71" s="372"/>
      <c r="IA71" s="372"/>
      <c r="IB71" s="372"/>
      <c r="IC71" s="372"/>
      <c r="ID71" s="372"/>
      <c r="IE71" s="372"/>
      <c r="IF71" s="372"/>
      <c r="IG71" s="372"/>
      <c r="IH71" s="372"/>
      <c r="II71" s="372"/>
      <c r="IJ71" s="372"/>
      <c r="IK71" s="372"/>
      <c r="IL71" s="372"/>
      <c r="IM71" s="372"/>
      <c r="IN71" s="372"/>
      <c r="IO71" s="372"/>
    </row>
    <row r="72" spans="1:249" s="372" customFormat="1" ht="24.95" customHeight="1">
      <c r="A72" s="714">
        <f>+IF(NOVIEMBRE!A72=0,"",NOVIEMBRE!A72)</f>
        <v>1130116</v>
      </c>
      <c r="B72" s="628" t="str">
        <f>+IF(NOVIEMBRE!B72=0,"",NOVIEMBRE!B72)</f>
        <v>ADMINISTRADORAS DE RIESGOS LABORALES</v>
      </c>
      <c r="C72" s="43">
        <f t="shared" ref="C72:N72" si="79">SUM(C73:C74)</f>
        <v>2163183</v>
      </c>
      <c r="D72" s="44">
        <f t="shared" si="79"/>
        <v>0</v>
      </c>
      <c r="E72" s="44">
        <f t="shared" si="79"/>
        <v>48552776</v>
      </c>
      <c r="F72" s="44">
        <f t="shared" si="79"/>
        <v>50715959</v>
      </c>
      <c r="G72" s="44">
        <f t="shared" si="79"/>
        <v>61847634</v>
      </c>
      <c r="H72" s="44">
        <f t="shared" si="79"/>
        <v>7700636</v>
      </c>
      <c r="I72" s="44">
        <f t="shared" si="79"/>
        <v>69548270</v>
      </c>
      <c r="J72" s="44">
        <f t="shared" si="79"/>
        <v>50715958.689999998</v>
      </c>
      <c r="K72" s="44">
        <f t="shared" si="79"/>
        <v>2531333</v>
      </c>
      <c r="L72" s="44">
        <f t="shared" si="79"/>
        <v>53247291.689999998</v>
      </c>
      <c r="M72" s="44">
        <f t="shared" si="79"/>
        <v>-18832311</v>
      </c>
      <c r="N72" s="45">
        <f t="shared" si="79"/>
        <v>-2531332.6900000013</v>
      </c>
      <c r="P72" s="43">
        <f>SUM(P73:P74)</f>
        <v>0</v>
      </c>
      <c r="Q72" s="45">
        <f>SUM(Q73:Q74)</f>
        <v>288227</v>
      </c>
      <c r="R72" s="9"/>
      <c r="S72" s="689" t="str">
        <f>+IF(NOVIEMBRE!S72=0,"",NOVIEMBRE!S72)</f>
        <v>1020104-3</v>
      </c>
      <c r="T72" s="665" t="str">
        <f>+IF(NOVIEMBRE!T72=0,"",NOVIEMBRE!T72)</f>
        <v>Bonificación  por servicios prestados</v>
      </c>
      <c r="U72" s="27">
        <f>+ENERO!U72</f>
        <v>110048955</v>
      </c>
      <c r="V72" s="15">
        <f>NOVIEMBRE!V72+DICIEMBRE!AL72</f>
        <v>0</v>
      </c>
      <c r="W72" s="15">
        <f>NOVIEMBRE!W72+DICIEMBRE!AM72</f>
        <v>0</v>
      </c>
      <c r="X72" s="18">
        <f t="shared" si="72"/>
        <v>110048955</v>
      </c>
      <c r="Y72" s="19">
        <f>NOVIEMBRE!AA72</f>
        <v>59127619</v>
      </c>
      <c r="Z72" s="364">
        <v>1865530</v>
      </c>
      <c r="AA72" s="18">
        <f t="shared" si="73"/>
        <v>60993149</v>
      </c>
      <c r="AB72" s="19">
        <f>NOVIEMBRE!AD72</f>
        <v>59127619</v>
      </c>
      <c r="AC72" s="364">
        <v>1865530</v>
      </c>
      <c r="AD72" s="18">
        <f t="shared" si="74"/>
        <v>60993149</v>
      </c>
      <c r="AE72" s="19">
        <f>NOVIEMBRE!AG72</f>
        <v>59120216</v>
      </c>
      <c r="AF72" s="364">
        <v>979565</v>
      </c>
      <c r="AG72" s="18">
        <f t="shared" si="75"/>
        <v>60099781</v>
      </c>
      <c r="AH72" s="19">
        <f t="shared" si="76"/>
        <v>49055806</v>
      </c>
      <c r="AI72" s="15">
        <f t="shared" si="77"/>
        <v>49055806</v>
      </c>
      <c r="AJ72" s="16">
        <f t="shared" si="78"/>
        <v>49949174</v>
      </c>
      <c r="AK72" s="9"/>
      <c r="AL72" s="362">
        <v>0</v>
      </c>
      <c r="AM72" s="365">
        <v>0</v>
      </c>
      <c r="AN72" s="9"/>
      <c r="AO72" s="284"/>
      <c r="AP72" s="284"/>
      <c r="AQ72" s="284"/>
      <c r="AR72" s="284"/>
      <c r="AS72" s="284"/>
      <c r="AT72" s="284"/>
      <c r="AU72" s="284"/>
      <c r="AV72" s="284"/>
      <c r="AW72" s="284"/>
      <c r="AX72" s="284"/>
      <c r="AY72" s="284"/>
      <c r="AZ72" s="284"/>
      <c r="BQ72" s="451"/>
    </row>
    <row r="73" spans="1:249" s="412" customFormat="1" ht="24.95" customHeight="1">
      <c r="A73" s="593" t="str">
        <f>+IF(NOVIEMBRE!A73=0,"",NOVIEMBRE!A73)</f>
        <v>1130116-1</v>
      </c>
      <c r="B73" s="629" t="str">
        <f>+CONCATENATE("Vigencia ",INSTRUCCIONES!$F$3)</f>
        <v>Vigencia 2019</v>
      </c>
      <c r="C73" s="655">
        <f>+ENERO!C73</f>
        <v>2163183</v>
      </c>
      <c r="D73" s="363">
        <f>NOVIEMBRE!D73+DICIEMBRE!P73</f>
        <v>0</v>
      </c>
      <c r="E73" s="363">
        <f>NOVIEMBRE!E73+DICIEMBRE!Q73</f>
        <v>18705815</v>
      </c>
      <c r="F73" s="363">
        <f>SUM(C73:E73)</f>
        <v>20868998</v>
      </c>
      <c r="G73" s="363">
        <f>NOVIEMBRE!I73</f>
        <v>32000673</v>
      </c>
      <c r="H73" s="364">
        <v>7700636</v>
      </c>
      <c r="I73" s="363">
        <f>SUM(G73:H73)</f>
        <v>39701309</v>
      </c>
      <c r="J73" s="363">
        <f>NOVIEMBRE!L73</f>
        <v>20868998</v>
      </c>
      <c r="K73" s="364">
        <v>2531333</v>
      </c>
      <c r="L73" s="363">
        <f>SUM(J73:K73)</f>
        <v>23400331</v>
      </c>
      <c r="M73" s="363">
        <f>F73-I73</f>
        <v>-18832311</v>
      </c>
      <c r="N73" s="143">
        <f>F73-L73</f>
        <v>-2531333</v>
      </c>
      <c r="O73" s="372"/>
      <c r="P73" s="362">
        <v>0</v>
      </c>
      <c r="Q73" s="365">
        <v>288227</v>
      </c>
      <c r="R73" s="9"/>
      <c r="S73" s="689" t="str">
        <f>+IF(NOVIEMBRE!S73=0,"",NOVIEMBRE!S73)</f>
        <v>1020104-4</v>
      </c>
      <c r="T73" s="665" t="str">
        <f>+IF(NOVIEMBRE!T73=0,"",NOVIEMBRE!T73)</f>
        <v>Prima de Servicios</v>
      </c>
      <c r="U73" s="27">
        <f>+ENERO!U73</f>
        <v>166383593</v>
      </c>
      <c r="V73" s="15">
        <f>NOVIEMBRE!V73+DICIEMBRE!AL73</f>
        <v>0</v>
      </c>
      <c r="W73" s="15">
        <f>NOVIEMBRE!W73+DICIEMBRE!AM73</f>
        <v>0</v>
      </c>
      <c r="X73" s="18">
        <f t="shared" si="72"/>
        <v>166383593</v>
      </c>
      <c r="Y73" s="19">
        <f>NOVIEMBRE!AA73</f>
        <v>84713874</v>
      </c>
      <c r="Z73" s="364">
        <v>2496381</v>
      </c>
      <c r="AA73" s="18">
        <f t="shared" si="73"/>
        <v>87210255</v>
      </c>
      <c r="AB73" s="19">
        <f>NOVIEMBRE!AD73</f>
        <v>84713874</v>
      </c>
      <c r="AC73" s="364">
        <v>2496381</v>
      </c>
      <c r="AD73" s="18">
        <f t="shared" si="74"/>
        <v>87210255</v>
      </c>
      <c r="AE73" s="19">
        <f>NOVIEMBRE!AG73</f>
        <v>84687529</v>
      </c>
      <c r="AF73" s="364">
        <v>26345</v>
      </c>
      <c r="AG73" s="18">
        <f t="shared" si="75"/>
        <v>84713874</v>
      </c>
      <c r="AH73" s="19">
        <f t="shared" si="76"/>
        <v>79173338</v>
      </c>
      <c r="AI73" s="15">
        <f t="shared" si="77"/>
        <v>79173338</v>
      </c>
      <c r="AJ73" s="16">
        <f t="shared" si="78"/>
        <v>81669719</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451"/>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c r="HX73" s="372"/>
      <c r="HY73" s="372"/>
      <c r="HZ73" s="372"/>
      <c r="IA73" s="372"/>
      <c r="IB73" s="372"/>
      <c r="IC73" s="372"/>
      <c r="ID73" s="372"/>
      <c r="IE73" s="372"/>
      <c r="IF73" s="372"/>
      <c r="IG73" s="372"/>
      <c r="IH73" s="372"/>
      <c r="II73" s="372"/>
      <c r="IJ73" s="372"/>
      <c r="IK73" s="372"/>
      <c r="IL73" s="372"/>
      <c r="IM73" s="372"/>
      <c r="IN73" s="372"/>
      <c r="IO73" s="372"/>
    </row>
    <row r="74" spans="1:249" s="412" customFormat="1" ht="24.95" customHeight="1">
      <c r="A74" s="593" t="str">
        <f>+IF(NOVIEMBRE!A74=0,"",NOVIEMBRE!A74)</f>
        <v>1130116-2</v>
      </c>
      <c r="B74" s="629" t="str">
        <f>+IF(NOVIEMBRE!B74=0,"",NOVIEMBRE!B74)</f>
        <v>Vigencia Anterior</v>
      </c>
      <c r="C74" s="655">
        <f>+ENERO!C74</f>
        <v>0</v>
      </c>
      <c r="D74" s="363">
        <f>NOVIEMBRE!D74+DICIEMBRE!P74</f>
        <v>0</v>
      </c>
      <c r="E74" s="363">
        <f>NOVIEMBRE!E74+DICIEMBRE!Q74</f>
        <v>29846961</v>
      </c>
      <c r="F74" s="363">
        <f>SUM(C74:E74)</f>
        <v>29846961</v>
      </c>
      <c r="G74" s="363">
        <f>NOVIEMBRE!I74</f>
        <v>29846961</v>
      </c>
      <c r="H74" s="364">
        <v>0</v>
      </c>
      <c r="I74" s="363">
        <f>SUM(G74:H74)</f>
        <v>29846961</v>
      </c>
      <c r="J74" s="363">
        <f>NOVIEMBRE!L74</f>
        <v>29846960.690000001</v>
      </c>
      <c r="K74" s="364">
        <v>0</v>
      </c>
      <c r="L74" s="363">
        <f>SUM(J74:K74)</f>
        <v>29846960.690000001</v>
      </c>
      <c r="M74" s="363">
        <f>F74-I74</f>
        <v>0</v>
      </c>
      <c r="N74" s="143">
        <f>F74-L74</f>
        <v>0.30999999865889549</v>
      </c>
      <c r="O74" s="372"/>
      <c r="P74" s="362">
        <v>0</v>
      </c>
      <c r="Q74" s="365">
        <v>0</v>
      </c>
      <c r="R74" s="9"/>
      <c r="S74" s="689" t="str">
        <f>+IF(NOVIEMBRE!S74=0,"",NOVIEMBRE!S74)</f>
        <v>1020104-5</v>
      </c>
      <c r="T74" s="665" t="str">
        <f>+IF(NOVIEMBRE!T74=0,"",NOVIEMBRE!T74)</f>
        <v>Bonificación Convencional</v>
      </c>
      <c r="U74" s="27">
        <f>+ENERO!U74</f>
        <v>20961713</v>
      </c>
      <c r="V74" s="15">
        <f>NOVIEMBRE!V74+DICIEMBRE!AL74</f>
        <v>0</v>
      </c>
      <c r="W74" s="15">
        <f>NOVIEMBRE!W74+DICIEMBRE!AM74</f>
        <v>0</v>
      </c>
      <c r="X74" s="18">
        <f t="shared" si="72"/>
        <v>20961713</v>
      </c>
      <c r="Y74" s="19">
        <f>NOVIEMBRE!AA74</f>
        <v>0</v>
      </c>
      <c r="Z74" s="364">
        <v>0</v>
      </c>
      <c r="AA74" s="18">
        <f t="shared" si="73"/>
        <v>0</v>
      </c>
      <c r="AB74" s="19">
        <f>NOVIEMBRE!AD74</f>
        <v>0</v>
      </c>
      <c r="AC74" s="364">
        <v>0</v>
      </c>
      <c r="AD74" s="18">
        <f t="shared" si="74"/>
        <v>0</v>
      </c>
      <c r="AE74" s="19">
        <f>NOVIEMBRE!AG74</f>
        <v>0</v>
      </c>
      <c r="AF74" s="364">
        <v>0</v>
      </c>
      <c r="AG74" s="18">
        <f t="shared" si="75"/>
        <v>0</v>
      </c>
      <c r="AH74" s="19">
        <f t="shared" si="76"/>
        <v>20961713</v>
      </c>
      <c r="AI74" s="15">
        <f t="shared" si="77"/>
        <v>20961713</v>
      </c>
      <c r="AJ74" s="16">
        <f t="shared" si="78"/>
        <v>20961713</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451"/>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372"/>
      <c r="II74" s="372"/>
      <c r="IJ74" s="372"/>
      <c r="IK74" s="372"/>
      <c r="IL74" s="372"/>
      <c r="IM74" s="372"/>
      <c r="IN74" s="372"/>
      <c r="IO74" s="372"/>
    </row>
    <row r="75" spans="1:249" s="372" customFormat="1" ht="24.95" customHeight="1">
      <c r="A75" s="714">
        <f>+IF(NOVIEMBRE!A75=0,"",NOVIEMBRE!A75)</f>
        <v>1130117</v>
      </c>
      <c r="B75" s="628" t="str">
        <f>+IF(NOVIEMBRE!B75=0,"",NOVIEMBRE!B75)</f>
        <v>CUOTAS DE RECUPERACION</v>
      </c>
      <c r="C75" s="43">
        <f t="shared" ref="C75:N75" si="80">SUM(C76:C77)</f>
        <v>351388967</v>
      </c>
      <c r="D75" s="44">
        <f t="shared" si="80"/>
        <v>0</v>
      </c>
      <c r="E75" s="44">
        <f t="shared" si="80"/>
        <v>2752560</v>
      </c>
      <c r="F75" s="44">
        <f t="shared" si="80"/>
        <v>354141527</v>
      </c>
      <c r="G75" s="44">
        <f t="shared" si="80"/>
        <v>307633519</v>
      </c>
      <c r="H75" s="44">
        <f t="shared" si="80"/>
        <v>37404718</v>
      </c>
      <c r="I75" s="44">
        <f t="shared" si="80"/>
        <v>345038237</v>
      </c>
      <c r="J75" s="44">
        <f t="shared" si="80"/>
        <v>205917768</v>
      </c>
      <c r="K75" s="44">
        <f t="shared" si="80"/>
        <v>12585073</v>
      </c>
      <c r="L75" s="44">
        <f t="shared" si="80"/>
        <v>218502841</v>
      </c>
      <c r="M75" s="44">
        <f t="shared" si="80"/>
        <v>9103290</v>
      </c>
      <c r="N75" s="45">
        <f t="shared" si="80"/>
        <v>135638686</v>
      </c>
      <c r="P75" s="43">
        <f>SUM(P76:P77)</f>
        <v>0</v>
      </c>
      <c r="Q75" s="45">
        <f>SUM(Q76:Q77)</f>
        <v>1576869</v>
      </c>
      <c r="R75" s="9"/>
      <c r="S75" s="689" t="str">
        <f>+IF(NOVIEMBRE!S75=0,"",NOVIEMBRE!S75)</f>
        <v>1020104-6</v>
      </c>
      <c r="T75" s="665" t="str">
        <f>+IF(NOVIEMBRE!T75=0,"",NOVIEMBRE!T75)</f>
        <v>Auxilio de Transporte</v>
      </c>
      <c r="U75" s="27">
        <f>+ENERO!U75</f>
        <v>329885360</v>
      </c>
      <c r="V75" s="15">
        <f>NOVIEMBRE!V75+DICIEMBRE!AL75</f>
        <v>-300000000</v>
      </c>
      <c r="W75" s="15">
        <f>NOVIEMBRE!W75+DICIEMBRE!AM75</f>
        <v>0</v>
      </c>
      <c r="X75" s="18">
        <f t="shared" si="72"/>
        <v>29885360</v>
      </c>
      <c r="Y75" s="19">
        <f>NOVIEMBRE!AA75</f>
        <v>3687216</v>
      </c>
      <c r="Z75" s="364">
        <v>0</v>
      </c>
      <c r="AA75" s="18">
        <f t="shared" si="73"/>
        <v>3687216</v>
      </c>
      <c r="AB75" s="19">
        <f>NOVIEMBRE!AD75</f>
        <v>3687216</v>
      </c>
      <c r="AC75" s="364">
        <v>0</v>
      </c>
      <c r="AD75" s="18">
        <f t="shared" si="74"/>
        <v>3687216</v>
      </c>
      <c r="AE75" s="19">
        <f>NOVIEMBRE!AG75</f>
        <v>3687216</v>
      </c>
      <c r="AF75" s="364">
        <v>0</v>
      </c>
      <c r="AG75" s="18">
        <f t="shared" si="75"/>
        <v>3687216</v>
      </c>
      <c r="AH75" s="19">
        <f t="shared" si="76"/>
        <v>26198144</v>
      </c>
      <c r="AI75" s="15">
        <f t="shared" si="77"/>
        <v>26198144</v>
      </c>
      <c r="AJ75" s="16">
        <f t="shared" si="78"/>
        <v>26198144</v>
      </c>
      <c r="AK75" s="9"/>
      <c r="AL75" s="362">
        <v>0</v>
      </c>
      <c r="AM75" s="365">
        <v>0</v>
      </c>
      <c r="AN75" s="9"/>
      <c r="AO75" s="284"/>
      <c r="AP75" s="284"/>
      <c r="AQ75" s="284"/>
      <c r="AR75" s="284"/>
      <c r="AS75" s="284"/>
      <c r="AT75" s="284"/>
      <c r="AU75" s="284"/>
      <c r="AV75" s="284"/>
      <c r="AW75" s="284"/>
      <c r="AX75" s="284"/>
      <c r="AY75" s="284"/>
      <c r="AZ75" s="284"/>
      <c r="BQ75" s="451"/>
    </row>
    <row r="76" spans="1:249" s="412" customFormat="1" ht="24.95" customHeight="1">
      <c r="A76" s="593" t="str">
        <f>+IF(NOVIEMBRE!A76=0,"",NOVIEMBRE!A76)</f>
        <v>1130117-1</v>
      </c>
      <c r="B76" s="629" t="str">
        <f>+CONCATENATE("Vigencia ",INSTRUCCIONES!$F$3)</f>
        <v>Vigencia 2019</v>
      </c>
      <c r="C76" s="655">
        <f>+ENERO!C76</f>
        <v>351388967</v>
      </c>
      <c r="D76" s="363">
        <f>NOVIEMBRE!D76+DICIEMBRE!P76</f>
        <v>0</v>
      </c>
      <c r="E76" s="363">
        <f>NOVIEMBRE!E76+DICIEMBRE!Q76</f>
        <v>0</v>
      </c>
      <c r="F76" s="363">
        <f t="shared" ref="F76:F83" si="81">SUM(C76:E76)</f>
        <v>351388967</v>
      </c>
      <c r="G76" s="363">
        <f>NOVIEMBRE!I76</f>
        <v>304880959</v>
      </c>
      <c r="H76" s="364">
        <v>37384718</v>
      </c>
      <c r="I76" s="363">
        <f t="shared" ref="I76:I83" si="82">SUM(G76:H76)</f>
        <v>342265677</v>
      </c>
      <c r="J76" s="363">
        <f>NOVIEMBRE!L76</f>
        <v>203165208</v>
      </c>
      <c r="K76" s="364">
        <v>12565073</v>
      </c>
      <c r="L76" s="363">
        <f t="shared" ref="L76:L83" si="83">SUM(J76:K76)</f>
        <v>215730281</v>
      </c>
      <c r="M76" s="363">
        <f t="shared" ref="M76:M83" si="84">F76-I76</f>
        <v>9123290</v>
      </c>
      <c r="N76" s="143">
        <f t="shared" ref="N76:N83" si="85">F76-L76</f>
        <v>135658686</v>
      </c>
      <c r="O76" s="372"/>
      <c r="P76" s="362">
        <v>0</v>
      </c>
      <c r="Q76" s="365">
        <v>0</v>
      </c>
      <c r="R76" s="9"/>
      <c r="S76" s="689" t="str">
        <f>+IF(NOVIEMBRE!S76=0,"",NOVIEMBRE!S76)</f>
        <v>1020104-7</v>
      </c>
      <c r="T76" s="665" t="str">
        <f>+IF(NOVIEMBRE!T76=0,"",NOVIEMBRE!T76)</f>
        <v>Auxilio de Alimentación</v>
      </c>
      <c r="U76" s="27">
        <f>+ENERO!U76</f>
        <v>0</v>
      </c>
      <c r="V76" s="15">
        <f>NOVIEMBRE!V76+DICIEMBRE!AL76</f>
        <v>0</v>
      </c>
      <c r="W76" s="15">
        <f>NOVIEMBRE!W76+DICIEMBRE!AM76</f>
        <v>0</v>
      </c>
      <c r="X76" s="18">
        <f t="shared" si="72"/>
        <v>0</v>
      </c>
      <c r="Y76" s="19">
        <f>NOVIEMBRE!AA76</f>
        <v>0</v>
      </c>
      <c r="Z76" s="364">
        <v>0</v>
      </c>
      <c r="AA76" s="18">
        <f t="shared" si="73"/>
        <v>0</v>
      </c>
      <c r="AB76" s="19">
        <f>NOVIEMBRE!AD76</f>
        <v>0</v>
      </c>
      <c r="AC76" s="364">
        <v>0</v>
      </c>
      <c r="AD76" s="18">
        <f t="shared" si="74"/>
        <v>0</v>
      </c>
      <c r="AE76" s="19">
        <f>NOVIEMBRE!AG76</f>
        <v>0</v>
      </c>
      <c r="AF76" s="364">
        <v>0</v>
      </c>
      <c r="AG76" s="18">
        <f t="shared" si="75"/>
        <v>0</v>
      </c>
      <c r="AH76" s="19">
        <f t="shared" si="76"/>
        <v>0</v>
      </c>
      <c r="AI76" s="15">
        <f t="shared" si="77"/>
        <v>0</v>
      </c>
      <c r="AJ76" s="16">
        <f t="shared" si="78"/>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451"/>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c r="IO76" s="372"/>
    </row>
    <row r="77" spans="1:249" s="412" customFormat="1" ht="24.95" customHeight="1">
      <c r="A77" s="593" t="str">
        <f>+IF(NOVIEMBRE!A77=0,"",NOVIEMBRE!A77)</f>
        <v>1130117-2</v>
      </c>
      <c r="B77" s="629" t="str">
        <f>+IF(NOVIEMBRE!B77=0,"",NOVIEMBRE!B77)</f>
        <v>Vigencia Anterior</v>
      </c>
      <c r="C77" s="655">
        <f>+ENERO!C77</f>
        <v>0</v>
      </c>
      <c r="D77" s="363">
        <f>NOVIEMBRE!D77+DICIEMBRE!P77</f>
        <v>0</v>
      </c>
      <c r="E77" s="363">
        <f>NOVIEMBRE!E77+DICIEMBRE!Q77</f>
        <v>2752560</v>
      </c>
      <c r="F77" s="363">
        <f t="shared" si="81"/>
        <v>2752560</v>
      </c>
      <c r="G77" s="363">
        <f>NOVIEMBRE!I77</f>
        <v>2752560</v>
      </c>
      <c r="H77" s="364">
        <v>20000</v>
      </c>
      <c r="I77" s="363">
        <f t="shared" si="82"/>
        <v>2772560</v>
      </c>
      <c r="J77" s="363">
        <f>NOVIEMBRE!L77</f>
        <v>2752560</v>
      </c>
      <c r="K77" s="364">
        <v>20000</v>
      </c>
      <c r="L77" s="363">
        <f t="shared" si="83"/>
        <v>2772560</v>
      </c>
      <c r="M77" s="363">
        <f t="shared" si="84"/>
        <v>-20000</v>
      </c>
      <c r="N77" s="143">
        <f t="shared" si="85"/>
        <v>-20000</v>
      </c>
      <c r="O77" s="372"/>
      <c r="P77" s="362">
        <v>0</v>
      </c>
      <c r="Q77" s="365">
        <v>1576869</v>
      </c>
      <c r="R77" s="9"/>
      <c r="S77" s="689" t="str">
        <f>+IF(NOVIEMBRE!S77=0,"",NOVIEMBRE!S77)</f>
        <v>1020104-8</v>
      </c>
      <c r="T77" s="665" t="str">
        <f>+IF(NOVIEMBRE!T77=0,"",NOVIEMBRE!T77)</f>
        <v>Indemnizaciones por Vacaciones o Supresión de Cargos por Reestructuración</v>
      </c>
      <c r="U77" s="27">
        <f>+ENERO!U77</f>
        <v>0</v>
      </c>
      <c r="V77" s="15">
        <f>NOVIEMBRE!V77+DICIEMBRE!AL77</f>
        <v>0</v>
      </c>
      <c r="W77" s="15">
        <f>NOVIEMBRE!W77+DICIEMBRE!AM77</f>
        <v>0</v>
      </c>
      <c r="X77" s="18">
        <f t="shared" si="72"/>
        <v>0</v>
      </c>
      <c r="Y77" s="19">
        <f>NOVIEMBRE!AA77</f>
        <v>0</v>
      </c>
      <c r="Z77" s="364">
        <v>0</v>
      </c>
      <c r="AA77" s="18">
        <f t="shared" si="73"/>
        <v>0</v>
      </c>
      <c r="AB77" s="19">
        <f>NOVIEMBRE!AD77</f>
        <v>0</v>
      </c>
      <c r="AC77" s="364">
        <v>0</v>
      </c>
      <c r="AD77" s="18">
        <f t="shared" si="74"/>
        <v>0</v>
      </c>
      <c r="AE77" s="19">
        <f>NOVIEMBRE!AG77</f>
        <v>0</v>
      </c>
      <c r="AF77" s="364">
        <v>0</v>
      </c>
      <c r="AG77" s="18">
        <f t="shared" si="75"/>
        <v>0</v>
      </c>
      <c r="AH77" s="19">
        <f t="shared" si="76"/>
        <v>0</v>
      </c>
      <c r="AI77" s="15">
        <f t="shared" si="77"/>
        <v>0</v>
      </c>
      <c r="AJ77" s="16">
        <f t="shared" si="78"/>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451"/>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c r="IO77" s="372"/>
    </row>
    <row r="78" spans="1:249" s="412" customFormat="1" ht="24.95" customHeight="1">
      <c r="A78" s="714">
        <f>+IF(NOVIEMBRE!A78=0,"",NOVIEMBRE!A78)</f>
        <v>1130118</v>
      </c>
      <c r="B78" s="628" t="str">
        <f>+IF(NOVIEMBRE!B78=0,"",NOVIEMBRE!B78)</f>
        <v>PARTICULARES   (Venta de Contado)</v>
      </c>
      <c r="C78" s="43">
        <f>SUM(C79:C80)</f>
        <v>209613681</v>
      </c>
      <c r="D78" s="44">
        <f>SUM(D79:D80)</f>
        <v>0</v>
      </c>
      <c r="E78" s="44">
        <f>SUM(E79:E80)</f>
        <v>205281460</v>
      </c>
      <c r="F78" s="44">
        <f t="shared" si="81"/>
        <v>414895141</v>
      </c>
      <c r="G78" s="44">
        <f>SUM(G79:G80)</f>
        <v>414895141</v>
      </c>
      <c r="H78" s="44">
        <f>SUM(H79:H80)</f>
        <v>24910390</v>
      </c>
      <c r="I78" s="44">
        <f t="shared" si="82"/>
        <v>439805531</v>
      </c>
      <c r="J78" s="44">
        <f>SUM(J79:J80)</f>
        <v>414895141</v>
      </c>
      <c r="K78" s="44">
        <f>SUM(K79:K80)</f>
        <v>22869338</v>
      </c>
      <c r="L78" s="44">
        <f t="shared" si="83"/>
        <v>437764479</v>
      </c>
      <c r="M78" s="44">
        <f t="shared" si="84"/>
        <v>-24910390</v>
      </c>
      <c r="N78" s="45">
        <f t="shared" si="85"/>
        <v>-22869338</v>
      </c>
      <c r="O78" s="372"/>
      <c r="P78" s="43">
        <f>SUM(P79:P80)</f>
        <v>0</v>
      </c>
      <c r="Q78" s="45">
        <f>SUM(Q79:Q80)</f>
        <v>35817715</v>
      </c>
      <c r="R78" s="9"/>
      <c r="S78" s="689" t="str">
        <f>+IF(NOVIEMBRE!S78=0,"",NOVIEMBRE!S78)</f>
        <v>1020104-9</v>
      </c>
      <c r="T78" s="665" t="str">
        <f>+IF(NOVIEMBRE!T78=0,"",NOVIEMBRE!T78)</f>
        <v>Bonificación Especial por Recreación</v>
      </c>
      <c r="U78" s="27">
        <f>+ENERO!U78</f>
        <v>20961713</v>
      </c>
      <c r="V78" s="15">
        <f>NOVIEMBRE!V78+DICIEMBRE!AL78</f>
        <v>0</v>
      </c>
      <c r="W78" s="15">
        <f>NOVIEMBRE!W78+DICIEMBRE!AM78</f>
        <v>0</v>
      </c>
      <c r="X78" s="18">
        <f t="shared" si="72"/>
        <v>20961713</v>
      </c>
      <c r="Y78" s="19">
        <f>NOVIEMBRE!AA78</f>
        <v>11015070</v>
      </c>
      <c r="Z78" s="364">
        <v>1524374</v>
      </c>
      <c r="AA78" s="18">
        <f t="shared" si="73"/>
        <v>12539444</v>
      </c>
      <c r="AB78" s="19">
        <f>NOVIEMBRE!AD78</f>
        <v>11015070</v>
      </c>
      <c r="AC78" s="364">
        <v>1524374</v>
      </c>
      <c r="AD78" s="18">
        <f t="shared" si="74"/>
        <v>12539444</v>
      </c>
      <c r="AE78" s="19">
        <f>NOVIEMBRE!AG78</f>
        <v>11014544</v>
      </c>
      <c r="AF78" s="364">
        <v>1354735</v>
      </c>
      <c r="AG78" s="18">
        <f t="shared" si="75"/>
        <v>12369279</v>
      </c>
      <c r="AH78" s="19">
        <f t="shared" si="76"/>
        <v>8422269</v>
      </c>
      <c r="AI78" s="15">
        <f t="shared" si="77"/>
        <v>8422269</v>
      </c>
      <c r="AJ78" s="16">
        <f t="shared" si="78"/>
        <v>8592434</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451"/>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c r="HX78" s="372"/>
      <c r="HY78" s="372"/>
      <c r="HZ78" s="372"/>
      <c r="IA78" s="372"/>
      <c r="IB78" s="372"/>
      <c r="IC78" s="372"/>
      <c r="ID78" s="372"/>
      <c r="IE78" s="372"/>
      <c r="IF78" s="372"/>
      <c r="IG78" s="372"/>
      <c r="IH78" s="372"/>
      <c r="II78" s="372"/>
      <c r="IJ78" s="372"/>
      <c r="IK78" s="372"/>
      <c r="IL78" s="372"/>
      <c r="IM78" s="372"/>
      <c r="IN78" s="372"/>
      <c r="IO78" s="372"/>
    </row>
    <row r="79" spans="1:249" s="372" customFormat="1" ht="24.95" customHeight="1">
      <c r="A79" s="593" t="str">
        <f>+IF(NOVIEMBRE!A79=0,"",NOVIEMBRE!A79)</f>
        <v>1130118-1</v>
      </c>
      <c r="B79" s="629" t="str">
        <f>+CONCATENATE("Vigencia ",INSTRUCCIONES!$F$3)</f>
        <v>Vigencia 2019</v>
      </c>
      <c r="C79" s="655">
        <f>+ENERO!C79</f>
        <v>209613681</v>
      </c>
      <c r="D79" s="363">
        <f>NOVIEMBRE!D79+DICIEMBRE!P79</f>
        <v>0</v>
      </c>
      <c r="E79" s="363">
        <f>NOVIEMBRE!E79+DICIEMBRE!Q79</f>
        <v>184899012</v>
      </c>
      <c r="F79" s="363">
        <f t="shared" si="81"/>
        <v>394512693</v>
      </c>
      <c r="G79" s="363">
        <f>NOVIEMBRE!I79</f>
        <v>394512693</v>
      </c>
      <c r="H79" s="364">
        <v>24568340</v>
      </c>
      <c r="I79" s="363">
        <f t="shared" si="82"/>
        <v>419081033</v>
      </c>
      <c r="J79" s="363">
        <f>NOVIEMBRE!L79</f>
        <v>394512693</v>
      </c>
      <c r="K79" s="364">
        <v>22527288</v>
      </c>
      <c r="L79" s="363">
        <f t="shared" si="83"/>
        <v>417039981</v>
      </c>
      <c r="M79" s="363">
        <f t="shared" si="84"/>
        <v>-24568340</v>
      </c>
      <c r="N79" s="143">
        <f t="shared" si="85"/>
        <v>-22527288</v>
      </c>
      <c r="P79" s="362">
        <v>0</v>
      </c>
      <c r="Q79" s="365">
        <v>35491765</v>
      </c>
      <c r="R79" s="9"/>
      <c r="S79" s="689" t="str">
        <f>+IF(NOVIEMBRE!S79=0,"",NOVIEMBRE!S79)</f>
        <v>1020104-10</v>
      </c>
      <c r="T79" s="665" t="str">
        <f>+IF(NOVIEMBRE!T79=0,"",NOVIEMBRE!T79)</f>
        <v/>
      </c>
      <c r="U79" s="27">
        <f>+ENERO!U79</f>
        <v>0</v>
      </c>
      <c r="V79" s="15">
        <f>NOVIEMBRE!V79+DICIEMBRE!AL79</f>
        <v>0</v>
      </c>
      <c r="W79" s="15">
        <f>NOVIEMBRE!W79+DICIEMBRE!AM79</f>
        <v>0</v>
      </c>
      <c r="X79" s="18">
        <f t="shared" si="72"/>
        <v>0</v>
      </c>
      <c r="Y79" s="19">
        <f>NOVIEMBRE!AA79</f>
        <v>0</v>
      </c>
      <c r="Z79" s="364">
        <v>0</v>
      </c>
      <c r="AA79" s="18">
        <f t="shared" si="73"/>
        <v>0</v>
      </c>
      <c r="AB79" s="19">
        <f>NOVIEMBRE!AD79</f>
        <v>0</v>
      </c>
      <c r="AC79" s="364">
        <v>0</v>
      </c>
      <c r="AD79" s="18">
        <f t="shared" si="74"/>
        <v>0</v>
      </c>
      <c r="AE79" s="19">
        <f>NOVIEMBRE!AG79</f>
        <v>0</v>
      </c>
      <c r="AF79" s="364">
        <v>0</v>
      </c>
      <c r="AG79" s="18">
        <f t="shared" si="75"/>
        <v>0</v>
      </c>
      <c r="AH79" s="19">
        <f t="shared" si="76"/>
        <v>0</v>
      </c>
      <c r="AI79" s="15">
        <f t="shared" si="77"/>
        <v>0</v>
      </c>
      <c r="AJ79" s="16">
        <f t="shared" si="78"/>
        <v>0</v>
      </c>
      <c r="AK79" s="9"/>
      <c r="AL79" s="362">
        <v>0</v>
      </c>
      <c r="AM79" s="365">
        <v>0</v>
      </c>
      <c r="AN79" s="9"/>
      <c r="AO79" s="284"/>
      <c r="AP79" s="284"/>
      <c r="AQ79" s="284"/>
      <c r="AR79" s="284"/>
      <c r="AS79" s="284"/>
      <c r="AT79" s="284"/>
      <c r="AU79" s="284"/>
      <c r="AV79" s="284"/>
      <c r="AW79" s="284"/>
      <c r="AX79" s="284"/>
      <c r="AY79" s="284"/>
      <c r="AZ79" s="284"/>
      <c r="BL79" s="9"/>
      <c r="BQ79" s="451"/>
    </row>
    <row r="80" spans="1:249" s="9" customFormat="1" ht="24.95" customHeight="1">
      <c r="A80" s="593" t="str">
        <f>+IF(NOVIEMBRE!A80=0,"",NOVIEMBRE!A80)</f>
        <v>1130118-2</v>
      </c>
      <c r="B80" s="629" t="str">
        <f>+IF(NOVIEMBRE!B80=0,"",NOVIEMBRE!B80)</f>
        <v>Vigencia Anterior</v>
      </c>
      <c r="C80" s="655">
        <f>+ENERO!C80</f>
        <v>0</v>
      </c>
      <c r="D80" s="363">
        <f>NOVIEMBRE!D80+DICIEMBRE!P80</f>
        <v>0</v>
      </c>
      <c r="E80" s="363">
        <f>NOVIEMBRE!E80+DICIEMBRE!Q80</f>
        <v>20382448</v>
      </c>
      <c r="F80" s="363">
        <f t="shared" si="81"/>
        <v>20382448</v>
      </c>
      <c r="G80" s="363">
        <f>NOVIEMBRE!I80</f>
        <v>20382448</v>
      </c>
      <c r="H80" s="364">
        <v>342050</v>
      </c>
      <c r="I80" s="363">
        <f t="shared" si="82"/>
        <v>20724498</v>
      </c>
      <c r="J80" s="363">
        <f>NOVIEMBRE!L80</f>
        <v>20382448</v>
      </c>
      <c r="K80" s="364">
        <v>342050</v>
      </c>
      <c r="L80" s="363">
        <f t="shared" si="83"/>
        <v>20724498</v>
      </c>
      <c r="M80" s="363">
        <f t="shared" si="84"/>
        <v>-342050</v>
      </c>
      <c r="N80" s="143">
        <f t="shared" si="85"/>
        <v>-342050</v>
      </c>
      <c r="O80" s="372"/>
      <c r="P80" s="362">
        <v>0</v>
      </c>
      <c r="Q80" s="365">
        <v>325950</v>
      </c>
      <c r="S80" s="689" t="str">
        <f>+IF(NOVIEMBRE!S80=0,"",NOVIEMBRE!S80)</f>
        <v>1020104-11</v>
      </c>
      <c r="T80" s="665" t="str">
        <f>+IF(NOVIEMBRE!T80=0,"",NOVIEMBRE!T80)</f>
        <v/>
      </c>
      <c r="U80" s="27">
        <f>+ENERO!U80</f>
        <v>0</v>
      </c>
      <c r="V80" s="15">
        <f>NOVIEMBRE!V80+DICIEMBRE!AL80</f>
        <v>0</v>
      </c>
      <c r="W80" s="15">
        <f>NOVIEMBRE!W80+DICIEMBRE!AM80</f>
        <v>0</v>
      </c>
      <c r="X80" s="18">
        <f t="shared" si="72"/>
        <v>0</v>
      </c>
      <c r="Y80" s="19">
        <f>NOVIEMBRE!AA80</f>
        <v>0</v>
      </c>
      <c r="Z80" s="364">
        <v>0</v>
      </c>
      <c r="AA80" s="18">
        <f t="shared" si="73"/>
        <v>0</v>
      </c>
      <c r="AB80" s="19">
        <f>NOVIEMBRE!AD80</f>
        <v>0</v>
      </c>
      <c r="AC80" s="364">
        <v>0</v>
      </c>
      <c r="AD80" s="18">
        <f t="shared" si="74"/>
        <v>0</v>
      </c>
      <c r="AE80" s="19">
        <f>NOVIEMBRE!AG80</f>
        <v>0</v>
      </c>
      <c r="AF80" s="364">
        <v>0</v>
      </c>
      <c r="AG80" s="18">
        <f t="shared" si="75"/>
        <v>0</v>
      </c>
      <c r="AH80" s="19">
        <f t="shared" si="76"/>
        <v>0</v>
      </c>
      <c r="AI80" s="15">
        <f t="shared" si="77"/>
        <v>0</v>
      </c>
      <c r="AJ80" s="16">
        <f t="shared" si="78"/>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451"/>
      <c r="BR80" s="372"/>
    </row>
    <row r="81" spans="1:70" s="372" customFormat="1" ht="24.95" customHeight="1">
      <c r="A81" s="714">
        <f>+IF(NOVIEMBRE!A81=0,"",NOVIEMBRE!A81)</f>
        <v>1130119</v>
      </c>
      <c r="B81" s="632" t="str">
        <f>+IF(NOVIEMBRE!B81=0,"",NOVIEMBRE!B81)</f>
        <v>Digitar nombre de Nuevo Rubro. Si lo Requiere</v>
      </c>
      <c r="C81" s="43">
        <f>SUM(C82:C83)</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688">
        <f>+IF(NOVIEMBRE!S81=0,"",NOVIEMBRE!S81)</f>
        <v>1020199</v>
      </c>
      <c r="T81" s="664" t="str">
        <f>+IF(NOVIEMBRE!T81=0,"",NOVIEMBRE!T81)</f>
        <v>Vigencias Anteriores</v>
      </c>
      <c r="U81" s="27">
        <f>+ENERO!U81</f>
        <v>0</v>
      </c>
      <c r="V81" s="15">
        <f>NOVIEMBRE!V81+DICIEMBRE!AL81</f>
        <v>0</v>
      </c>
      <c r="W81" s="15">
        <f>NOVIEMBRE!W81+DICIEMBRE!AM81</f>
        <v>0</v>
      </c>
      <c r="X81" s="18">
        <f t="shared" si="72"/>
        <v>0</v>
      </c>
      <c r="Y81" s="19">
        <f>NOVIEMBRE!AA81</f>
        <v>0</v>
      </c>
      <c r="Z81" s="364">
        <v>0</v>
      </c>
      <c r="AA81" s="18">
        <f t="shared" si="73"/>
        <v>0</v>
      </c>
      <c r="AB81" s="19">
        <f>NOVIEMBRE!AD81</f>
        <v>0</v>
      </c>
      <c r="AC81" s="364">
        <v>0</v>
      </c>
      <c r="AD81" s="18">
        <f t="shared" si="74"/>
        <v>0</v>
      </c>
      <c r="AE81" s="19">
        <f>NOVIEMBRE!AG81</f>
        <v>0</v>
      </c>
      <c r="AF81" s="364">
        <v>0</v>
      </c>
      <c r="AG81" s="18">
        <f t="shared" si="75"/>
        <v>0</v>
      </c>
      <c r="AH81" s="19">
        <f t="shared" si="76"/>
        <v>0</v>
      </c>
      <c r="AI81" s="15">
        <f t="shared" si="77"/>
        <v>0</v>
      </c>
      <c r="AJ81" s="16">
        <f t="shared" si="78"/>
        <v>0</v>
      </c>
      <c r="AK81" s="9"/>
      <c r="AL81" s="362">
        <v>0</v>
      </c>
      <c r="AM81" s="365">
        <v>0</v>
      </c>
      <c r="AN81" s="9"/>
      <c r="AO81" s="284"/>
      <c r="AP81" s="284"/>
      <c r="AQ81" s="284"/>
      <c r="AR81" s="284"/>
      <c r="AS81" s="284"/>
      <c r="AT81" s="284"/>
      <c r="AU81" s="284"/>
      <c r="AV81" s="284"/>
      <c r="AW81" s="284"/>
      <c r="AX81" s="284"/>
      <c r="AY81" s="284"/>
      <c r="AZ81" s="284"/>
      <c r="BA81" s="9"/>
      <c r="BC81" s="9"/>
      <c r="BD81" s="9"/>
      <c r="BE81" s="9"/>
      <c r="BQ81" s="451"/>
    </row>
    <row r="82" spans="1:70" s="372" customFormat="1" ht="24.95" customHeight="1">
      <c r="A82" s="593" t="str">
        <f>+IF(NOVIEMBRE!A82=0,"",NOVIEMBRE!A82)</f>
        <v>1130119-1</v>
      </c>
      <c r="B82" s="629" t="str">
        <f>+CONCATENATE("Vigencia ",INSTRUCCIONES!$F$3)</f>
        <v>Vigencia 2019</v>
      </c>
      <c r="C82" s="655">
        <f>+ENERO!C82</f>
        <v>0</v>
      </c>
      <c r="D82" s="363">
        <f>NOVIEMBRE!D82+DICIEMBRE!P82</f>
        <v>0</v>
      </c>
      <c r="E82" s="363">
        <f>NOVIEMBRE!E82+DICIEMBRE!Q82</f>
        <v>0</v>
      </c>
      <c r="F82" s="363">
        <f t="shared" si="81"/>
        <v>0</v>
      </c>
      <c r="G82" s="363">
        <f>NOVIEMBRE!I82</f>
        <v>0</v>
      </c>
      <c r="H82" s="364">
        <v>0</v>
      </c>
      <c r="I82" s="363">
        <f t="shared" si="82"/>
        <v>0</v>
      </c>
      <c r="J82" s="363">
        <f>NOVIEMBRE!L82</f>
        <v>0</v>
      </c>
      <c r="K82" s="364">
        <v>0</v>
      </c>
      <c r="L82" s="363">
        <f t="shared" si="83"/>
        <v>0</v>
      </c>
      <c r="M82" s="363">
        <f t="shared" si="84"/>
        <v>0</v>
      </c>
      <c r="N82" s="143">
        <f t="shared" si="85"/>
        <v>0</v>
      </c>
      <c r="P82" s="362">
        <v>0</v>
      </c>
      <c r="Q82" s="365">
        <v>0</v>
      </c>
      <c r="R82" s="9"/>
      <c r="S82" s="356" t="str">
        <f>+IF(NOVIEMBRE!S82=0,"",NOVIEMBRE!S82)</f>
        <v/>
      </c>
      <c r="T82" s="678" t="str">
        <f>+IF(NOVIEMBRE!T82=0,"",NOVIEMBRE!T82)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30"/>
      <c r="BR82" s="9"/>
    </row>
    <row r="83" spans="1:70" s="372" customFormat="1" ht="24.95" customHeight="1" thickBot="1">
      <c r="A83" s="593" t="str">
        <f>+IF(NOVIEMBRE!A83=0,"",NOVIEMBRE!A83)</f>
        <v>1130119-2</v>
      </c>
      <c r="B83" s="633" t="str">
        <f>+IF(NOVIEMBRE!B83=0,"",NOVIEMBRE!B83)</f>
        <v>Vigencia Anterior</v>
      </c>
      <c r="C83" s="759">
        <f>+ENERO!C83</f>
        <v>0</v>
      </c>
      <c r="D83" s="375">
        <f>NOVIEMBRE!D83+DICIEMBRE!P83</f>
        <v>0</v>
      </c>
      <c r="E83" s="375">
        <f>NOVIEMBRE!E83+DICIEMBRE!Q83</f>
        <v>0</v>
      </c>
      <c r="F83" s="375">
        <f t="shared" si="81"/>
        <v>0</v>
      </c>
      <c r="G83" s="375">
        <f>NOVIEMBRE!I83</f>
        <v>0</v>
      </c>
      <c r="H83" s="378">
        <v>0</v>
      </c>
      <c r="I83" s="375">
        <f t="shared" si="82"/>
        <v>0</v>
      </c>
      <c r="J83" s="375">
        <f>NOVIEMBRE!L83</f>
        <v>0</v>
      </c>
      <c r="K83" s="378">
        <v>0</v>
      </c>
      <c r="L83" s="375">
        <f t="shared" si="83"/>
        <v>0</v>
      </c>
      <c r="M83" s="375">
        <f t="shared" si="84"/>
        <v>0</v>
      </c>
      <c r="N83" s="376">
        <f t="shared" si="85"/>
        <v>0</v>
      </c>
      <c r="P83" s="362">
        <v>0</v>
      </c>
      <c r="Q83" s="365">
        <v>0</v>
      </c>
      <c r="R83" s="9"/>
      <c r="S83" s="687">
        <f>+IF(NOVIEMBRE!S83=0,"",NOVIEMBRE!S83)</f>
        <v>1020200</v>
      </c>
      <c r="T83" s="663" t="str">
        <f>+IF(NOVIEMBRE!T83=0,"",NOVIEMBRE!T83)</f>
        <v>Servicios Personales Indirectos</v>
      </c>
      <c r="U83" s="132">
        <f t="shared" ref="U83:AJ83" si="87">SUM(U84:U88)</f>
        <v>21292467542</v>
      </c>
      <c r="V83" s="122">
        <f t="shared" si="87"/>
        <v>330000000</v>
      </c>
      <c r="W83" s="122">
        <f t="shared" si="87"/>
        <v>2576603003</v>
      </c>
      <c r="X83" s="129">
        <f t="shared" si="87"/>
        <v>24199070545</v>
      </c>
      <c r="Y83" s="128">
        <f t="shared" si="87"/>
        <v>23492224202</v>
      </c>
      <c r="Z83" s="122">
        <f t="shared" si="87"/>
        <v>-1003316959</v>
      </c>
      <c r="AA83" s="129">
        <f t="shared" si="87"/>
        <v>22488907243</v>
      </c>
      <c r="AB83" s="128">
        <f t="shared" si="87"/>
        <v>21099520532</v>
      </c>
      <c r="AC83" s="122">
        <f t="shared" si="87"/>
        <v>1389386711</v>
      </c>
      <c r="AD83" s="129">
        <f t="shared" si="87"/>
        <v>22488907243</v>
      </c>
      <c r="AE83" s="128">
        <f t="shared" si="87"/>
        <v>14964465350</v>
      </c>
      <c r="AF83" s="122">
        <f t="shared" si="87"/>
        <v>2454051960</v>
      </c>
      <c r="AG83" s="129">
        <f t="shared" si="87"/>
        <v>17418517310</v>
      </c>
      <c r="AH83" s="128">
        <f t="shared" si="87"/>
        <v>1710163302</v>
      </c>
      <c r="AI83" s="122">
        <f t="shared" si="87"/>
        <v>1710163302</v>
      </c>
      <c r="AJ83" s="130">
        <f t="shared" si="87"/>
        <v>6780553235</v>
      </c>
      <c r="AK83" s="9"/>
      <c r="AL83" s="128">
        <f>SUM(AL84:AL88)</f>
        <v>0</v>
      </c>
      <c r="AM83" s="130">
        <f>SUM(AM84:AM88)</f>
        <v>430000000</v>
      </c>
      <c r="AN83" s="9"/>
      <c r="AO83" s="284"/>
      <c r="AP83" s="284"/>
      <c r="AQ83" s="284"/>
      <c r="AR83" s="284"/>
      <c r="AS83" s="284"/>
      <c r="AT83" s="284"/>
      <c r="AU83" s="284"/>
      <c r="AV83" s="284"/>
      <c r="AW83" s="284"/>
      <c r="AX83" s="284"/>
      <c r="AY83" s="284"/>
      <c r="AZ83" s="284"/>
      <c r="BM83" s="9"/>
      <c r="BQ83" s="451"/>
    </row>
    <row r="84" spans="1:70" s="372" customFormat="1" ht="24.95" customHeight="1" thickBot="1">
      <c r="A84" s="717" t="str">
        <f>+IF(NOVIEMBRE!A84=0,"",NOVIEMBRE!A84)</f>
        <v/>
      </c>
      <c r="B84" s="634" t="str">
        <f>+IF(NOVIEMBRE!B84=0,"",NOVIEMBRE!B84)</f>
        <v/>
      </c>
      <c r="C84" s="284"/>
      <c r="D84" s="284"/>
      <c r="E84" s="284"/>
      <c r="F84" s="284"/>
      <c r="G84" s="284"/>
      <c r="H84" s="284"/>
      <c r="I84" s="284"/>
      <c r="J84" s="284"/>
      <c r="K84" s="284"/>
      <c r="L84" s="284"/>
      <c r="M84" s="284"/>
      <c r="N84" s="453"/>
      <c r="O84" s="451"/>
      <c r="P84" s="457"/>
      <c r="Q84" s="381"/>
      <c r="R84" s="9"/>
      <c r="S84" s="688" t="str">
        <f>+IF(NOVIEMBRE!S84=0,"",NOVIEMBRE!S84)</f>
        <v>1020200-1</v>
      </c>
      <c r="T84" s="664" t="str">
        <f>+IF(NOVIEMBRE!T84=0,"",NOVIEMBRE!T84)</f>
        <v>Remuneración y Honorarios por Servicios Técnicos y Profesionales</v>
      </c>
      <c r="U84" s="27">
        <f>+ENERO!U84</f>
        <v>304448100</v>
      </c>
      <c r="V84" s="15">
        <f>NOVIEMBRE!V84+DICIEMBRE!AL84</f>
        <v>240000000</v>
      </c>
      <c r="W84" s="15">
        <f>NOVIEMBRE!W84+DICIEMBRE!AM84</f>
        <v>176603003</v>
      </c>
      <c r="X84" s="18">
        <f>SUM(U84:W84)</f>
        <v>721051103</v>
      </c>
      <c r="Y84" s="19">
        <f>NOVIEMBRE!AA84</f>
        <v>663922340</v>
      </c>
      <c r="Z84" s="364">
        <v>-109589450</v>
      </c>
      <c r="AA84" s="18">
        <f>SUM(Y84:Z84)</f>
        <v>554332890</v>
      </c>
      <c r="AB84" s="19">
        <f>NOVIEMBRE!AD84</f>
        <v>512872957</v>
      </c>
      <c r="AC84" s="860">
        <f>83459933-42000000</f>
        <v>41459933</v>
      </c>
      <c r="AD84" s="18">
        <f>SUM(AB84:AC84)</f>
        <v>554332890</v>
      </c>
      <c r="AE84" s="19">
        <f>NOVIEMBRE!AG84</f>
        <v>384756043</v>
      </c>
      <c r="AF84" s="364">
        <v>105800698</v>
      </c>
      <c r="AG84" s="18">
        <f>SUM(AE84:AF84)</f>
        <v>490556741</v>
      </c>
      <c r="AH84" s="19">
        <f>X84-AA84</f>
        <v>166718213</v>
      </c>
      <c r="AI84" s="15">
        <f>X84-AD84</f>
        <v>166718213</v>
      </c>
      <c r="AJ84" s="16">
        <f>X84-AG84</f>
        <v>230494362</v>
      </c>
      <c r="AK84" s="9"/>
      <c r="AL84" s="362">
        <v>0</v>
      </c>
      <c r="AM84" s="365">
        <v>30000000</v>
      </c>
      <c r="AN84" s="9"/>
      <c r="AO84" s="284"/>
      <c r="AP84" s="284"/>
      <c r="AQ84" s="284"/>
      <c r="AR84" s="284"/>
      <c r="AS84" s="284"/>
      <c r="AT84" s="284"/>
      <c r="AU84" s="284"/>
      <c r="AV84" s="284"/>
      <c r="AW84" s="284"/>
      <c r="AX84" s="284"/>
      <c r="AY84" s="284"/>
      <c r="AZ84" s="284"/>
      <c r="BQ84" s="451"/>
    </row>
    <row r="85" spans="1:70" s="372" customFormat="1" ht="24.95" customHeight="1">
      <c r="A85" s="718">
        <f>+IF(NOVIEMBRE!A85=0,"",NOVIEMBRE!A85)</f>
        <v>11302</v>
      </c>
      <c r="B85" s="635" t="str">
        <f>+IF(NOVIEMBRE!B85=0,"",NOVIEMBRE!B85)</f>
        <v>Otras Ventas de Servicios de Salud</v>
      </c>
      <c r="C85" s="600">
        <f t="shared" ref="C85:N85" si="88">SUM(C86:C92)</f>
        <v>0</v>
      </c>
      <c r="D85" s="598">
        <f t="shared" si="88"/>
        <v>0</v>
      </c>
      <c r="E85" s="598">
        <f t="shared" si="88"/>
        <v>13548443185</v>
      </c>
      <c r="F85" s="598">
        <f t="shared" si="88"/>
        <v>13548443185</v>
      </c>
      <c r="G85" s="598">
        <f t="shared" si="88"/>
        <v>9215168284</v>
      </c>
      <c r="H85" s="598">
        <f t="shared" si="88"/>
        <v>2483648666</v>
      </c>
      <c r="I85" s="598">
        <f t="shared" si="88"/>
        <v>11698816950</v>
      </c>
      <c r="J85" s="598">
        <f t="shared" si="88"/>
        <v>6504066979</v>
      </c>
      <c r="K85" s="598">
        <f t="shared" si="88"/>
        <v>0</v>
      </c>
      <c r="L85" s="598">
        <f t="shared" si="88"/>
        <v>6504066979</v>
      </c>
      <c r="M85" s="598">
        <f t="shared" si="88"/>
        <v>1849626235</v>
      </c>
      <c r="N85" s="599">
        <f t="shared" si="88"/>
        <v>7044376206</v>
      </c>
      <c r="P85" s="43">
        <f>SUM(P86:P92)</f>
        <v>0</v>
      </c>
      <c r="Q85" s="45">
        <f>SUM(Q86:Q92)</f>
        <v>497880910</v>
      </c>
      <c r="R85" s="9"/>
      <c r="S85" s="688" t="str">
        <f>+IF(NOVIEMBRE!S85=0,"",NOVIEMBRE!S85)</f>
        <v>1020200-2</v>
      </c>
      <c r="T85" s="664" t="str">
        <f>+IF(NOVIEMBRE!T85=0,"",NOVIEMBRE!T85)</f>
        <v>Personal Supernumerario</v>
      </c>
      <c r="U85" s="27">
        <f>+ENERO!U85</f>
        <v>0</v>
      </c>
      <c r="V85" s="15">
        <f>NOVIEMBRE!V85+DICIEMBRE!AL85</f>
        <v>0</v>
      </c>
      <c r="W85" s="15">
        <f>NOVIEMBRE!W85+DICIEMBRE!AM85</f>
        <v>0</v>
      </c>
      <c r="X85" s="18">
        <f>SUM(U85:W85)</f>
        <v>0</v>
      </c>
      <c r="Y85" s="19">
        <f>NOVIEMBRE!AA85</f>
        <v>0</v>
      </c>
      <c r="Z85" s="364">
        <v>0</v>
      </c>
      <c r="AA85" s="18">
        <f>SUM(Y85:Z85)</f>
        <v>0</v>
      </c>
      <c r="AB85" s="19">
        <f>NOVIEMBRE!AD85</f>
        <v>0</v>
      </c>
      <c r="AC85" s="364">
        <v>0</v>
      </c>
      <c r="AD85" s="18">
        <f>SUM(AB85:AC85)</f>
        <v>0</v>
      </c>
      <c r="AE85" s="19">
        <f>NOVIEMBRE!AG85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c r="BQ85" s="451"/>
    </row>
    <row r="86" spans="1:70" s="9" customFormat="1" ht="24.95" customHeight="1">
      <c r="A86" s="719">
        <f>+IF(NOVIEMBRE!A86=0,"",NOVIEMBRE!A86)</f>
        <v>1130201</v>
      </c>
      <c r="B86" s="609" t="str">
        <f>+IF(NOVIEMBRE!B86=0,"",NOVIEMBRE!B86)</f>
        <v/>
      </c>
      <c r="C86" s="654">
        <f>+ENERO!C86</f>
        <v>0</v>
      </c>
      <c r="D86" s="363">
        <f>NOVIEMBRE!D86+DICIEMBRE!P86</f>
        <v>0</v>
      </c>
      <c r="E86" s="363">
        <f>NOVIEMBRE!E86+DICIEMBRE!Q86</f>
        <v>0</v>
      </c>
      <c r="F86" s="363">
        <f t="shared" ref="F86:F92" si="89">SUM(C86:E86)</f>
        <v>0</v>
      </c>
      <c r="G86" s="363">
        <f>NOVIEMBRE!I86</f>
        <v>0</v>
      </c>
      <c r="H86" s="364">
        <v>0</v>
      </c>
      <c r="I86" s="363">
        <f t="shared" ref="I86:I92" si="90">SUM(G86:H86)</f>
        <v>0</v>
      </c>
      <c r="J86" s="363">
        <f>NOVIEMBRE!L86</f>
        <v>0</v>
      </c>
      <c r="K86" s="364">
        <v>0</v>
      </c>
      <c r="L86" s="363">
        <f t="shared" ref="L86:L92" si="91">SUM(J86:K86)</f>
        <v>0</v>
      </c>
      <c r="M86" s="363">
        <f t="shared" ref="M86:M92" si="92">F86-I86</f>
        <v>0</v>
      </c>
      <c r="N86" s="143">
        <f t="shared" ref="N86:N92" si="93">F86-L86</f>
        <v>0</v>
      </c>
      <c r="O86" s="372"/>
      <c r="P86" s="362">
        <v>0</v>
      </c>
      <c r="Q86" s="365">
        <v>0</v>
      </c>
      <c r="S86" s="688" t="str">
        <f>+IF(NOVIEMBRE!S86=0,"",NOVIEMBRE!S86)</f>
        <v>1020200-3</v>
      </c>
      <c r="T86" s="664" t="str">
        <f>+IF(NOVIEMBRE!T86=0,"",NOVIEMBRE!T86)</f>
        <v>Otros Honorarios</v>
      </c>
      <c r="U86" s="27">
        <f>+ENERO!U86</f>
        <v>18988019442</v>
      </c>
      <c r="V86" s="15">
        <f>NOVIEMBRE!V86+DICIEMBRE!AL86</f>
        <v>-1410000000</v>
      </c>
      <c r="W86" s="15">
        <f>NOVIEMBRE!W86+DICIEMBRE!AM86</f>
        <v>700000000</v>
      </c>
      <c r="X86" s="18">
        <f>SUM(U86:W86)</f>
        <v>18278019442</v>
      </c>
      <c r="Y86" s="19">
        <f>NOVIEMBRE!AA86</f>
        <v>17879201789</v>
      </c>
      <c r="Z86" s="364">
        <v>-939068003</v>
      </c>
      <c r="AA86" s="18">
        <f>SUM(Y86:Z86)</f>
        <v>16940133786</v>
      </c>
      <c r="AB86" s="19">
        <f>NOVIEMBRE!AD86</f>
        <v>15637547502</v>
      </c>
      <c r="AC86" s="364">
        <v>1302586284</v>
      </c>
      <c r="AD86" s="18">
        <f>SUM(AB86:AC86)</f>
        <v>16940133786</v>
      </c>
      <c r="AE86" s="19">
        <f>NOVIEMBRE!AG86</f>
        <v>9630609234</v>
      </c>
      <c r="AF86" s="364">
        <v>2302910768</v>
      </c>
      <c r="AG86" s="18">
        <f>SUM(AE86:AF86)</f>
        <v>11933520002</v>
      </c>
      <c r="AH86" s="19">
        <f>X86-AA86</f>
        <v>1337885656</v>
      </c>
      <c r="AI86" s="15">
        <f>X86-AD86</f>
        <v>1337885656</v>
      </c>
      <c r="AJ86" s="16">
        <f>X86-AG86</f>
        <v>6344499440</v>
      </c>
      <c r="AL86" s="362">
        <v>0</v>
      </c>
      <c r="AM86" s="365">
        <v>200000000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451"/>
      <c r="BR86" s="372"/>
    </row>
    <row r="87" spans="1:70" s="372" customFormat="1" ht="24.95" customHeight="1">
      <c r="A87" s="719">
        <f>+IF(NOVIEMBRE!A87=0,"",NOVIEMBRE!A87)</f>
        <v>1130202</v>
      </c>
      <c r="B87" s="609" t="str">
        <f>+IF(NOVIEMBRE!B87=0,"",NOVIEMBRE!B87)</f>
        <v/>
      </c>
      <c r="C87" s="654">
        <f>+ENERO!C87</f>
        <v>0</v>
      </c>
      <c r="D87" s="363">
        <f>NOVIEMBRE!D87+DICIEMBRE!P87</f>
        <v>0</v>
      </c>
      <c r="E87" s="363">
        <f>NOVIEMBRE!E87+DICIEMBRE!Q87</f>
        <v>0</v>
      </c>
      <c r="F87" s="363">
        <f t="shared" si="89"/>
        <v>0</v>
      </c>
      <c r="G87" s="363">
        <f>NOVIEMBRE!I87</f>
        <v>0</v>
      </c>
      <c r="H87" s="364">
        <v>0</v>
      </c>
      <c r="I87" s="363">
        <f t="shared" si="90"/>
        <v>0</v>
      </c>
      <c r="J87" s="363">
        <f>NOVIEMBRE!L87</f>
        <v>0</v>
      </c>
      <c r="K87" s="364">
        <v>0</v>
      </c>
      <c r="L87" s="363">
        <f t="shared" si="91"/>
        <v>0</v>
      </c>
      <c r="M87" s="363">
        <f t="shared" si="92"/>
        <v>0</v>
      </c>
      <c r="N87" s="143">
        <f t="shared" si="93"/>
        <v>0</v>
      </c>
      <c r="P87" s="362">
        <v>0</v>
      </c>
      <c r="Q87" s="365">
        <v>0</v>
      </c>
      <c r="R87" s="9"/>
      <c r="S87" s="688" t="str">
        <f>+IF(NOVIEMBRE!S87=0,"",NOVIEMBRE!S87)</f>
        <v>1020200-4</v>
      </c>
      <c r="T87" s="664" t="str">
        <f>+IF(NOVIEMBRE!T87=0,"",NOVIEMBRE!T87)</f>
        <v/>
      </c>
      <c r="U87" s="27">
        <f>+ENERO!U87</f>
        <v>0</v>
      </c>
      <c r="V87" s="15">
        <f>NOVIEMBRE!V87+DICIEMBRE!AL87</f>
        <v>0</v>
      </c>
      <c r="W87" s="15">
        <f>NOVIEMBRE!W87+DICIEMBRE!AM87</f>
        <v>0</v>
      </c>
      <c r="X87" s="18">
        <f>SUM(U87:W87)</f>
        <v>0</v>
      </c>
      <c r="Y87" s="19">
        <f>NOVIEMBRE!AA87</f>
        <v>0</v>
      </c>
      <c r="Z87" s="364">
        <v>0</v>
      </c>
      <c r="AA87" s="18">
        <f>SUM(Y87:Z87)</f>
        <v>0</v>
      </c>
      <c r="AB87" s="19">
        <f>NOVIEMBRE!AD87</f>
        <v>0</v>
      </c>
      <c r="AC87" s="364">
        <v>0</v>
      </c>
      <c r="AD87" s="18">
        <f>SUM(AB87:AC87)</f>
        <v>0</v>
      </c>
      <c r="AE87" s="19">
        <f>NOVIEMBRE!AG87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c r="BQ87" s="451"/>
    </row>
    <row r="88" spans="1:70" s="372" customFormat="1" ht="24.95" customHeight="1">
      <c r="A88" s="719">
        <f>+IF(NOVIEMBRE!A88=0,"",NOVIEMBRE!A88)</f>
        <v>1130203</v>
      </c>
      <c r="B88" s="610" t="str">
        <f>+IF(NOVIEMBRE!B88=0,"",NOVIEMBRE!B88)</f>
        <v>CONVENIOS CON LA NACION LIGADOS A LA VENTA DE SERVICIOS</v>
      </c>
      <c r="C88" s="654">
        <f>+ENERO!C88</f>
        <v>0</v>
      </c>
      <c r="D88" s="363">
        <f>NOVIEMBRE!D88+DICIEMBRE!P88</f>
        <v>0</v>
      </c>
      <c r="E88" s="363">
        <f>NOVIEMBRE!E88+DICIEMBRE!Q88</f>
        <v>222386275</v>
      </c>
      <c r="F88" s="363">
        <f t="shared" si="89"/>
        <v>222386275</v>
      </c>
      <c r="G88" s="363">
        <f>NOVIEMBRE!I88</f>
        <v>222380129</v>
      </c>
      <c r="H88" s="364">
        <v>0</v>
      </c>
      <c r="I88" s="363">
        <f t="shared" si="90"/>
        <v>222380129</v>
      </c>
      <c r="J88" s="363">
        <f>NOVIEMBRE!L88</f>
        <v>222380129</v>
      </c>
      <c r="K88" s="364">
        <v>0</v>
      </c>
      <c r="L88" s="363">
        <f t="shared" si="91"/>
        <v>222380129</v>
      </c>
      <c r="M88" s="363">
        <f t="shared" si="92"/>
        <v>6146</v>
      </c>
      <c r="N88" s="143">
        <f t="shared" si="93"/>
        <v>6146</v>
      </c>
      <c r="P88" s="362">
        <v>0</v>
      </c>
      <c r="Q88" s="365">
        <v>0</v>
      </c>
      <c r="R88" s="9"/>
      <c r="S88" s="688">
        <f>+IF(NOVIEMBRE!S88=0,"",NOVIEMBRE!S88)</f>
        <v>1020299</v>
      </c>
      <c r="T88" s="664" t="str">
        <f>+IF(NOVIEMBRE!T88=0,"",NOVIEMBRE!T88)</f>
        <v>Vigencias Anteriores</v>
      </c>
      <c r="U88" s="27">
        <f>+ENERO!U88</f>
        <v>2000000000</v>
      </c>
      <c r="V88" s="15">
        <f>NOVIEMBRE!V88+DICIEMBRE!AL88</f>
        <v>1500000000</v>
      </c>
      <c r="W88" s="15">
        <f>NOVIEMBRE!W88+DICIEMBRE!AM88</f>
        <v>1700000000</v>
      </c>
      <c r="X88" s="18">
        <f>SUM(U88:W88)</f>
        <v>5200000000</v>
      </c>
      <c r="Y88" s="19">
        <f>NOVIEMBRE!AA88</f>
        <v>4949100073</v>
      </c>
      <c r="Z88" s="364">
        <v>45340494</v>
      </c>
      <c r="AA88" s="18">
        <f>SUM(Y88:Z88)</f>
        <v>4994440567</v>
      </c>
      <c r="AB88" s="19">
        <f>NOVIEMBRE!AD88</f>
        <v>4949100073</v>
      </c>
      <c r="AC88" s="364">
        <v>45340494</v>
      </c>
      <c r="AD88" s="18">
        <f>SUM(AB88:AC88)</f>
        <v>4994440567</v>
      </c>
      <c r="AE88" s="19">
        <f>NOVIEMBRE!AG88</f>
        <v>4949100073</v>
      </c>
      <c r="AF88" s="364">
        <v>45340494</v>
      </c>
      <c r="AG88" s="18">
        <f>SUM(AE88:AF88)</f>
        <v>4994440567</v>
      </c>
      <c r="AH88" s="19">
        <f>X88-AA88</f>
        <v>205559433</v>
      </c>
      <c r="AI88" s="15">
        <f>X88-AD88</f>
        <v>205559433</v>
      </c>
      <c r="AJ88" s="16">
        <f>X88-AG88</f>
        <v>205559433</v>
      </c>
      <c r="AK88" s="9"/>
      <c r="AL88" s="362">
        <v>0</v>
      </c>
      <c r="AM88" s="365">
        <v>200000000</v>
      </c>
      <c r="AN88" s="9"/>
      <c r="AO88" s="284"/>
      <c r="AP88" s="284"/>
      <c r="AQ88" s="284"/>
      <c r="AR88" s="284"/>
      <c r="AS88" s="284"/>
      <c r="AT88" s="284"/>
      <c r="AU88" s="284"/>
      <c r="AV88" s="284"/>
      <c r="AW88" s="284"/>
      <c r="AX88" s="284"/>
      <c r="AY88" s="284"/>
      <c r="AZ88" s="284"/>
      <c r="BN88" s="9"/>
      <c r="BO88" s="9"/>
      <c r="BP88" s="9"/>
      <c r="BQ88" s="30"/>
      <c r="BR88" s="9"/>
    </row>
    <row r="89" spans="1:70" s="372" customFormat="1" ht="24.95" customHeight="1">
      <c r="A89" s="719">
        <f>+IF(NOVIEMBRE!A89=0,"",NOVIEMBRE!A89)</f>
        <v>1130204</v>
      </c>
      <c r="B89" s="610" t="str">
        <f>+IF(NOVIEMBRE!B89=0,"",NOVIEMBRE!B89)</f>
        <v>CONVENIOS CON EL DEPARTAMENTO LIGADOS A LA VENTA SERVICIOS</v>
      </c>
      <c r="C89" s="654">
        <f>+ENERO!C89</f>
        <v>0</v>
      </c>
      <c r="D89" s="363">
        <f>NOVIEMBRE!D89+DICIEMBRE!P89</f>
        <v>0</v>
      </c>
      <c r="E89" s="363">
        <f>NOVIEMBRE!E89+DICIEMBRE!Q89</f>
        <v>450000000</v>
      </c>
      <c r="F89" s="363">
        <f t="shared" si="89"/>
        <v>450000000</v>
      </c>
      <c r="G89" s="363">
        <f>NOVIEMBRE!I89</f>
        <v>450000000</v>
      </c>
      <c r="H89" s="364">
        <v>0</v>
      </c>
      <c r="I89" s="363">
        <f t="shared" si="90"/>
        <v>450000000</v>
      </c>
      <c r="J89" s="363">
        <f>NOVIEMBRE!L89</f>
        <v>450000000</v>
      </c>
      <c r="K89" s="364">
        <v>0</v>
      </c>
      <c r="L89" s="363">
        <f t="shared" si="91"/>
        <v>450000000</v>
      </c>
      <c r="M89" s="363">
        <f t="shared" si="92"/>
        <v>0</v>
      </c>
      <c r="N89" s="143">
        <f t="shared" si="93"/>
        <v>0</v>
      </c>
      <c r="P89" s="362">
        <v>0</v>
      </c>
      <c r="Q89" s="365">
        <v>0</v>
      </c>
      <c r="R89" s="9"/>
      <c r="S89" s="356" t="str">
        <f>+IF(NOVIEMBRE!S89=0,"",NOVIEMBRE!S89)</f>
        <v/>
      </c>
      <c r="T89" s="678" t="str">
        <f>+IF(NOVIEMBRE!T89=0,"",NOVIEMBRE!T89)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c r="BQ89" s="451"/>
    </row>
    <row r="90" spans="1:70" s="451" customFormat="1" ht="24.95" customHeight="1">
      <c r="A90" s="719">
        <f>+IF(NOVIEMBRE!A90=0,"",NOVIEMBRE!A90)</f>
        <v>1130205</v>
      </c>
      <c r="B90" s="610" t="str">
        <f>+IF(NOVIEMBRE!B90=0,"",NOVIEMBRE!B90)</f>
        <v>CONVENIOS CON EL MUNICIPIO LIGADOS A LA VENTA DE SERVICIOS</v>
      </c>
      <c r="C90" s="654">
        <f>+ENERO!C90</f>
        <v>0</v>
      </c>
      <c r="D90" s="363">
        <f>NOVIEMBRE!D90+DICIEMBRE!P90</f>
        <v>0</v>
      </c>
      <c r="E90" s="363">
        <f>NOVIEMBRE!E90+DICIEMBRE!Q90</f>
        <v>0</v>
      </c>
      <c r="F90" s="363">
        <f t="shared" si="89"/>
        <v>0</v>
      </c>
      <c r="G90" s="363">
        <f>NOVIEMBRE!I90</f>
        <v>0</v>
      </c>
      <c r="H90" s="364">
        <v>0</v>
      </c>
      <c r="I90" s="363">
        <f t="shared" si="90"/>
        <v>0</v>
      </c>
      <c r="J90" s="363">
        <f>NOVIEMBRE!L90</f>
        <v>0</v>
      </c>
      <c r="K90" s="364">
        <v>0</v>
      </c>
      <c r="L90" s="363">
        <f t="shared" si="91"/>
        <v>0</v>
      </c>
      <c r="M90" s="363">
        <f t="shared" si="92"/>
        <v>0</v>
      </c>
      <c r="N90" s="143">
        <f t="shared" si="93"/>
        <v>0</v>
      </c>
      <c r="O90" s="372"/>
      <c r="P90" s="362">
        <v>0</v>
      </c>
      <c r="Q90" s="365">
        <v>0</v>
      </c>
      <c r="R90" s="30"/>
      <c r="S90" s="687">
        <f>+IF(NOVIEMBRE!S90=0,"",NOVIEMBRE!S90)</f>
        <v>1020300</v>
      </c>
      <c r="T90" s="663" t="str">
        <f>+IF(NOVIEMBRE!T90=0,"",NOVIEMBRE!T90)</f>
        <v>Contribuciones Inherentes nómina al Sector Privado</v>
      </c>
      <c r="U90" s="132">
        <f t="shared" ref="U90:AJ90" si="94">U91+U96+U102</f>
        <v>2996072011</v>
      </c>
      <c r="V90" s="122">
        <f t="shared" si="94"/>
        <v>-1776337847</v>
      </c>
      <c r="W90" s="122">
        <f t="shared" si="94"/>
        <v>73182074</v>
      </c>
      <c r="X90" s="129">
        <f t="shared" si="94"/>
        <v>1292916238</v>
      </c>
      <c r="Y90" s="128">
        <f t="shared" si="94"/>
        <v>918720599</v>
      </c>
      <c r="Z90" s="122">
        <f t="shared" si="94"/>
        <v>68197493</v>
      </c>
      <c r="AA90" s="129">
        <f t="shared" si="94"/>
        <v>986918092</v>
      </c>
      <c r="AB90" s="128">
        <f t="shared" si="94"/>
        <v>918720599</v>
      </c>
      <c r="AC90" s="122">
        <f t="shared" si="94"/>
        <v>68197493</v>
      </c>
      <c r="AD90" s="129">
        <f t="shared" si="94"/>
        <v>986918092</v>
      </c>
      <c r="AE90" s="128">
        <f t="shared" si="94"/>
        <v>848819451</v>
      </c>
      <c r="AF90" s="122">
        <f t="shared" si="94"/>
        <v>138098641</v>
      </c>
      <c r="AG90" s="129">
        <f t="shared" si="94"/>
        <v>986918092</v>
      </c>
      <c r="AH90" s="128">
        <f t="shared" si="94"/>
        <v>305998146</v>
      </c>
      <c r="AI90" s="122">
        <f t="shared" si="94"/>
        <v>305998146</v>
      </c>
      <c r="AJ90" s="130">
        <f t="shared" si="94"/>
        <v>305998146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R90" s="372"/>
    </row>
    <row r="91" spans="1:70" s="451" customFormat="1" ht="24.95" customHeight="1">
      <c r="A91" s="719">
        <f>+IF(NOVIEMBRE!A91=0,"",NOVIEMBRE!A91)</f>
        <v>1130206</v>
      </c>
      <c r="B91" s="610" t="str">
        <f>+IF(NOVIEMBRE!B91=0,"",NOVIEMBRE!B91)</f>
        <v>OTROS CONVENIOS LIGADOS A LA VENTA DE SERVICIOS</v>
      </c>
      <c r="C91" s="654">
        <f>+ENERO!C91</f>
        <v>0</v>
      </c>
      <c r="D91" s="363">
        <f>NOVIEMBRE!D91+DICIEMBRE!P91</f>
        <v>0</v>
      </c>
      <c r="E91" s="363">
        <f>NOVIEMBRE!E91+DICIEMBRE!Q91</f>
        <v>11978176000</v>
      </c>
      <c r="F91" s="363">
        <f t="shared" si="89"/>
        <v>11978176000</v>
      </c>
      <c r="G91" s="363">
        <f>NOVIEMBRE!I91</f>
        <v>7644907245</v>
      </c>
      <c r="H91" s="364">
        <v>2483648666</v>
      </c>
      <c r="I91" s="363">
        <f t="shared" si="90"/>
        <v>10128555911</v>
      </c>
      <c r="J91" s="363">
        <f>NOVIEMBRE!L91</f>
        <v>4933805940</v>
      </c>
      <c r="K91" s="364">
        <v>0</v>
      </c>
      <c r="L91" s="363">
        <f t="shared" si="91"/>
        <v>4933805940</v>
      </c>
      <c r="M91" s="363">
        <f t="shared" si="92"/>
        <v>1849620089</v>
      </c>
      <c r="N91" s="143">
        <f t="shared" si="93"/>
        <v>7044370060</v>
      </c>
      <c r="O91" s="372"/>
      <c r="P91" s="362">
        <v>0</v>
      </c>
      <c r="Q91" s="365">
        <v>0</v>
      </c>
      <c r="R91" s="30"/>
      <c r="S91" s="688">
        <f>+IF(NOVIEMBRE!S91=0,"",NOVIEMBRE!S91)</f>
        <v>1020301</v>
      </c>
      <c r="T91" s="664" t="str">
        <f>+IF(NOVIEMBRE!T91=0,"",NOVIEMBRE!T91)</f>
        <v>Contribuciones - SGP - Aportes Patronales - Cuenta Maestra</v>
      </c>
      <c r="U91" s="27">
        <f t="shared" ref="U91:AJ91" si="95">SUM(U92:U95)</f>
        <v>1100060774</v>
      </c>
      <c r="V91" s="15">
        <f t="shared" si="95"/>
        <v>-396061561</v>
      </c>
      <c r="W91" s="15">
        <f t="shared" si="95"/>
        <v>60000000</v>
      </c>
      <c r="X91" s="18">
        <f t="shared" si="95"/>
        <v>763999213</v>
      </c>
      <c r="Y91" s="19">
        <f t="shared" si="95"/>
        <v>641467737</v>
      </c>
      <c r="Z91" s="142">
        <f t="shared" si="95"/>
        <v>59698773</v>
      </c>
      <c r="AA91" s="18">
        <f t="shared" si="95"/>
        <v>701166510</v>
      </c>
      <c r="AB91" s="19">
        <f t="shared" si="95"/>
        <v>641467737</v>
      </c>
      <c r="AC91" s="142">
        <f t="shared" si="95"/>
        <v>59698773</v>
      </c>
      <c r="AD91" s="18">
        <f t="shared" si="95"/>
        <v>701166510</v>
      </c>
      <c r="AE91" s="19">
        <f t="shared" si="95"/>
        <v>579265389</v>
      </c>
      <c r="AF91" s="142">
        <f t="shared" si="95"/>
        <v>121901121</v>
      </c>
      <c r="AG91" s="18">
        <f t="shared" si="95"/>
        <v>701166510</v>
      </c>
      <c r="AH91" s="19">
        <f t="shared" si="95"/>
        <v>62832703</v>
      </c>
      <c r="AI91" s="15">
        <f t="shared" si="95"/>
        <v>62832703</v>
      </c>
      <c r="AJ91" s="16">
        <f t="shared" si="95"/>
        <v>62832703</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R91" s="372"/>
    </row>
    <row r="92" spans="1:70" s="451" customFormat="1" ht="24.95" customHeight="1" thickBot="1">
      <c r="A92" s="719">
        <f>+IF(NOVIEMBRE!A92=0,"",NOVIEMBRE!A92)</f>
        <v>1130207</v>
      </c>
      <c r="B92" s="611" t="str">
        <f>+IF(NOVIEMBRE!B92=0,"",NOVIEMBRE!B92)</f>
        <v>Vigencia Anterior</v>
      </c>
      <c r="C92" s="760">
        <f>+ENERO!C92</f>
        <v>0</v>
      </c>
      <c r="D92" s="375">
        <f>NOVIEMBRE!D92+DICIEMBRE!P92</f>
        <v>0</v>
      </c>
      <c r="E92" s="375">
        <f>NOVIEMBRE!E92+DICIEMBRE!Q92</f>
        <v>897880910</v>
      </c>
      <c r="F92" s="375">
        <f t="shared" si="89"/>
        <v>897880910</v>
      </c>
      <c r="G92" s="375">
        <f>NOVIEMBRE!I92</f>
        <v>897880910</v>
      </c>
      <c r="H92" s="378">
        <v>0</v>
      </c>
      <c r="I92" s="375">
        <f t="shared" si="90"/>
        <v>897880910</v>
      </c>
      <c r="J92" s="375">
        <f>NOVIEMBRE!L92</f>
        <v>897880910</v>
      </c>
      <c r="K92" s="378">
        <v>0</v>
      </c>
      <c r="L92" s="375">
        <f t="shared" si="91"/>
        <v>897880910</v>
      </c>
      <c r="M92" s="375">
        <f t="shared" si="92"/>
        <v>0</v>
      </c>
      <c r="N92" s="376">
        <f t="shared" si="93"/>
        <v>0</v>
      </c>
      <c r="O92" s="372"/>
      <c r="P92" s="362">
        <v>0</v>
      </c>
      <c r="Q92" s="365">
        <v>497880910</v>
      </c>
      <c r="R92" s="30"/>
      <c r="S92" s="689" t="str">
        <f>+IF(NOVIEMBRE!S92=0,"",NOVIEMBRE!S92)</f>
        <v>1020301-1</v>
      </c>
      <c r="T92" s="665" t="str">
        <f>+IF(NOVIEMBRE!T92=0,"",NOVIEMBRE!T92)</f>
        <v>E.P.S. - Aportes cuenta maestra</v>
      </c>
      <c r="U92" s="27">
        <f>+ENERO!U92</f>
        <v>273298716</v>
      </c>
      <c r="V92" s="15">
        <f>NOVIEMBRE!V92+DICIEMBRE!AL92</f>
        <v>0</v>
      </c>
      <c r="W92" s="15">
        <f>NOVIEMBRE!W92+DICIEMBRE!AM92</f>
        <v>50000000</v>
      </c>
      <c r="X92" s="18">
        <f>SUM(U92:W92)</f>
        <v>323298716</v>
      </c>
      <c r="Y92" s="19">
        <f>NOVIEMBRE!AA92</f>
        <v>271655909</v>
      </c>
      <c r="Z92" s="364">
        <v>25172841</v>
      </c>
      <c r="AA92" s="18">
        <f>SUM(Y92:Z92)</f>
        <v>296828750</v>
      </c>
      <c r="AB92" s="19">
        <f>NOVIEMBRE!AD92</f>
        <v>271655909</v>
      </c>
      <c r="AC92" s="364">
        <v>25172841</v>
      </c>
      <c r="AD92" s="18">
        <f>SUM(AB92:AC92)</f>
        <v>296828750</v>
      </c>
      <c r="AE92" s="19">
        <f>NOVIEMBRE!AG92</f>
        <v>246915068</v>
      </c>
      <c r="AF92" s="364">
        <v>49913682</v>
      </c>
      <c r="AG92" s="18">
        <f>SUM(AE92:AF92)</f>
        <v>296828750</v>
      </c>
      <c r="AH92" s="19">
        <f>X92-AA92</f>
        <v>26469966</v>
      </c>
      <c r="AI92" s="15">
        <f>X92-AD92</f>
        <v>26469966</v>
      </c>
      <c r="AJ92" s="16">
        <f>X92-AG92</f>
        <v>26469966</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+IF(NOVIEMBRE!A93=0,"",NOVIEMBRE!A93)</f>
        <v/>
      </c>
      <c r="B93" s="634" t="str">
        <f>+IF(NOVIEMBRE!B93=0,"",NOVIEMBRE!B93)</f>
        <v/>
      </c>
      <c r="C93" s="284"/>
      <c r="D93" s="284"/>
      <c r="E93" s="284"/>
      <c r="F93" s="284"/>
      <c r="G93" s="284"/>
      <c r="H93" s="284"/>
      <c r="I93" s="284"/>
      <c r="J93" s="284"/>
      <c r="K93" s="284"/>
      <c r="L93" s="284"/>
      <c r="M93" s="284"/>
      <c r="N93" s="453"/>
      <c r="P93" s="457"/>
      <c r="Q93" s="381"/>
      <c r="R93" s="30"/>
      <c r="S93" s="689" t="str">
        <f>+IF(NOVIEMBRE!S93=0,"",NOVIEMBRE!S93)</f>
        <v>1020301-2</v>
      </c>
      <c r="T93" s="665" t="str">
        <f>+IF(NOVIEMBRE!T93=0,"",NOVIEMBRE!T93)</f>
        <v>Fondos pensionales - Aportes cuenta maestra</v>
      </c>
      <c r="U93" s="27">
        <f>+ENERO!U93</f>
        <v>372680081</v>
      </c>
      <c r="V93" s="15">
        <f>NOVIEMBRE!V93+DICIEMBRE!AL93</f>
        <v>0</v>
      </c>
      <c r="W93" s="15">
        <f>NOVIEMBRE!W93+DICIEMBRE!AM93</f>
        <v>10000000</v>
      </c>
      <c r="X93" s="18">
        <f>SUM(U93:W93)</f>
        <v>382680081</v>
      </c>
      <c r="Y93" s="19">
        <f>NOVIEMBRE!AA93</f>
        <v>331803908</v>
      </c>
      <c r="Z93" s="364">
        <v>30584652</v>
      </c>
      <c r="AA93" s="18">
        <f>SUM(Y93:Z93)</f>
        <v>362388560</v>
      </c>
      <c r="AB93" s="19">
        <f>NOVIEMBRE!AD93</f>
        <v>331803908</v>
      </c>
      <c r="AC93" s="364">
        <v>30584652</v>
      </c>
      <c r="AD93" s="18">
        <f>SUM(AB93:AC93)</f>
        <v>362388560</v>
      </c>
      <c r="AE93" s="19">
        <f>NOVIEMBRE!AG93</f>
        <v>298283681</v>
      </c>
      <c r="AF93" s="364">
        <v>64104879</v>
      </c>
      <c r="AG93" s="18">
        <f>SUM(AE93:AF93)</f>
        <v>362388560</v>
      </c>
      <c r="AH93" s="19">
        <f>X93-AA93</f>
        <v>20291521</v>
      </c>
      <c r="AI93" s="15">
        <f>X93-AD93</f>
        <v>20291521</v>
      </c>
      <c r="AJ93" s="16">
        <f>X93-AG93</f>
        <v>20291521</v>
      </c>
      <c r="AK93" s="9"/>
      <c r="AL93" s="362">
        <v>0</v>
      </c>
      <c r="AM93" s="365">
        <v>0</v>
      </c>
      <c r="AN93" s="30"/>
      <c r="AO93" s="450"/>
      <c r="AP93" s="450"/>
      <c r="AQ93" s="450"/>
      <c r="AR93" s="450"/>
      <c r="AS93" s="450"/>
      <c r="AT93" s="450"/>
      <c r="AU93" s="450"/>
      <c r="AV93" s="450"/>
      <c r="AW93" s="450"/>
      <c r="AX93" s="450"/>
      <c r="AY93" s="450"/>
      <c r="AZ93" s="450"/>
      <c r="BL93" s="30"/>
    </row>
    <row r="94" spans="1:70" s="451" customFormat="1" ht="24.95" customHeight="1">
      <c r="A94" s="720">
        <f>+IF(NOVIEMBRE!A94=0,"",NOVIEMBRE!A94)</f>
        <v>11303</v>
      </c>
      <c r="B94" s="601" t="str">
        <f>+IF(NOVIEMBRE!B94=0,"",NOVIEMBRE!B94)</f>
        <v>Aportes (No ligados a la venta de servicios de salud)</v>
      </c>
      <c r="C94" s="600">
        <f>SUM(C95:C102)</f>
        <v>7982899073</v>
      </c>
      <c r="D94" s="598">
        <f t="shared" ref="D94:N94" si="96">SUM(D95:D102)</f>
        <v>0</v>
      </c>
      <c r="E94" s="598">
        <f t="shared" si="96"/>
        <v>31550301905</v>
      </c>
      <c r="F94" s="598">
        <f t="shared" si="96"/>
        <v>39533200978</v>
      </c>
      <c r="G94" s="598">
        <f t="shared" si="96"/>
        <v>18282262756</v>
      </c>
      <c r="H94" s="598">
        <f t="shared" si="96"/>
        <v>20200000000</v>
      </c>
      <c r="I94" s="598">
        <f t="shared" si="96"/>
        <v>38482262756</v>
      </c>
      <c r="J94" s="598">
        <f t="shared" si="96"/>
        <v>18282262756</v>
      </c>
      <c r="K94" s="598">
        <f t="shared" si="96"/>
        <v>20200000000</v>
      </c>
      <c r="L94" s="598">
        <f t="shared" si="96"/>
        <v>38482262756</v>
      </c>
      <c r="M94" s="598">
        <f t="shared" si="96"/>
        <v>1050938222</v>
      </c>
      <c r="N94" s="599">
        <f t="shared" si="96"/>
        <v>1050938222</v>
      </c>
      <c r="O94" s="372"/>
      <c r="P94" s="43">
        <f>SUM(P95:P102)</f>
        <v>0</v>
      </c>
      <c r="Q94" s="45">
        <f>SUM(Q95:Q102)</f>
        <v>18035000000</v>
      </c>
      <c r="R94" s="30"/>
      <c r="S94" s="689" t="str">
        <f>+IF(NOVIEMBRE!S94=0,"",NOVIEMBRE!S94)</f>
        <v>1020301-3</v>
      </c>
      <c r="T94" s="665" t="str">
        <f>+IF(NOVIEMBRE!T94=0,"",NOVIEMBRE!T94)</f>
        <v>Fondos de cesantías - Aportes cuenta maestra</v>
      </c>
      <c r="U94" s="27">
        <f>+ENERO!U94</f>
        <v>387061561</v>
      </c>
      <c r="V94" s="15">
        <f>NOVIEMBRE!V94+DICIEMBRE!AL94</f>
        <v>-387061561</v>
      </c>
      <c r="W94" s="15">
        <f>NOVIEMBRE!W94+DICIEMBRE!AM94</f>
        <v>0</v>
      </c>
      <c r="X94" s="18">
        <f>SUM(U94:W94)</f>
        <v>0</v>
      </c>
      <c r="Y94" s="19">
        <f>NOVIEMBRE!AA94</f>
        <v>0</v>
      </c>
      <c r="Z94" s="364">
        <v>0</v>
      </c>
      <c r="AA94" s="18">
        <f>SUM(Y94:Z94)</f>
        <v>0</v>
      </c>
      <c r="AB94" s="19">
        <f>NOVIEMBRE!AD94</f>
        <v>0</v>
      </c>
      <c r="AC94" s="364">
        <v>0</v>
      </c>
      <c r="AD94" s="18">
        <f>SUM(AB94:AC94)</f>
        <v>0</v>
      </c>
      <c r="AE94" s="19">
        <f>NOVIEMBRE!AG94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+IF(NOVIEMBRE!A95=0,"",NOVIEMBRE!A95)</f>
        <v>11303-1</v>
      </c>
      <c r="B95" s="602" t="str">
        <f>+IF(NOVIEMBRE!B95=0,"",NOVIEMBRE!B95)</f>
        <v>CONVENIOS CON LA NACION NO LIGADOS A LA VENTA DE SERVICIOS</v>
      </c>
      <c r="C95" s="654">
        <f>+ENERO!C95</f>
        <v>0</v>
      </c>
      <c r="D95" s="363">
        <f>NOVIEMBRE!D95+DICIEMBRE!P95</f>
        <v>0</v>
      </c>
      <c r="E95" s="363">
        <f>NOVIEMBRE!E95+DICIEMBRE!Q95</f>
        <v>1035000000</v>
      </c>
      <c r="F95" s="363">
        <f t="shared" ref="F95:F102" si="97">SUM(C95:E95)</f>
        <v>1035000000</v>
      </c>
      <c r="G95" s="363">
        <f>NOVIEMBRE!I95</f>
        <v>0</v>
      </c>
      <c r="H95" s="364">
        <v>0</v>
      </c>
      <c r="I95" s="363">
        <f t="shared" ref="I95:I102" si="98">SUM(G95:H95)</f>
        <v>0</v>
      </c>
      <c r="J95" s="363">
        <f>NOVIEMBRE!L95</f>
        <v>0</v>
      </c>
      <c r="K95" s="364">
        <v>0</v>
      </c>
      <c r="L95" s="363">
        <f t="shared" ref="L95:L102" si="99">SUM(J95:K95)</f>
        <v>0</v>
      </c>
      <c r="M95" s="363">
        <f t="shared" ref="M95:M102" si="100">F95-I95</f>
        <v>1035000000</v>
      </c>
      <c r="N95" s="143">
        <f t="shared" ref="N95:N102" si="101">F95-L95</f>
        <v>1035000000</v>
      </c>
      <c r="O95" s="372"/>
      <c r="P95" s="362">
        <v>0</v>
      </c>
      <c r="Q95" s="365">
        <v>1035000000</v>
      </c>
      <c r="R95" s="30"/>
      <c r="S95" s="689" t="str">
        <f>+IF(NOVIEMBRE!S95=0,"",NOVIEMBRE!S95)</f>
        <v>1020301-4</v>
      </c>
      <c r="T95" s="665" t="str">
        <f>+IF(NOVIEMBRE!T95=0,"",NOVIEMBRE!T95)</f>
        <v>Riesgos laborales - Aportes cuenta maestra</v>
      </c>
      <c r="U95" s="27">
        <f>+ENERO!U95</f>
        <v>67020416</v>
      </c>
      <c r="V95" s="15">
        <f>NOVIEMBRE!V95+DICIEMBRE!AL95</f>
        <v>-9000000</v>
      </c>
      <c r="W95" s="15">
        <f>NOVIEMBRE!W95+DICIEMBRE!AM95</f>
        <v>0</v>
      </c>
      <c r="X95" s="18">
        <f>SUM(U95:W95)</f>
        <v>58020416</v>
      </c>
      <c r="Y95" s="19">
        <f>NOVIEMBRE!AA95</f>
        <v>38007920</v>
      </c>
      <c r="Z95" s="364">
        <v>3941280</v>
      </c>
      <c r="AA95" s="18">
        <f>SUM(Y95:Z95)</f>
        <v>41949200</v>
      </c>
      <c r="AB95" s="19">
        <f>NOVIEMBRE!AD95</f>
        <v>38007920</v>
      </c>
      <c r="AC95" s="364">
        <v>3941280</v>
      </c>
      <c r="AD95" s="18">
        <f>SUM(AB95:AC95)</f>
        <v>41949200</v>
      </c>
      <c r="AE95" s="19">
        <f>NOVIEMBRE!AG95</f>
        <v>34066640</v>
      </c>
      <c r="AF95" s="364">
        <v>7882560</v>
      </c>
      <c r="AG95" s="18">
        <f>SUM(AE95:AF95)</f>
        <v>41949200</v>
      </c>
      <c r="AH95" s="19">
        <f>X95-AA95</f>
        <v>16071216</v>
      </c>
      <c r="AI95" s="15">
        <f>X95-AD95</f>
        <v>16071216</v>
      </c>
      <c r="AJ95" s="16">
        <f>X95-AG95</f>
        <v>16071216</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+IF(NOVIEMBRE!A96=0,"",NOVIEMBRE!A96)</f>
        <v>11303-2</v>
      </c>
      <c r="B96" s="602" t="str">
        <f>+IF(NOVIEMBRE!B96=0,"",NOVIEMBRE!B96)</f>
        <v>CONVENIOS CON EL DEPARTAMENTO NO LIGADOS A LA VENTA SERVICIOS</v>
      </c>
      <c r="C96" s="654">
        <f>+ENERO!C96</f>
        <v>7982899073</v>
      </c>
      <c r="D96" s="363">
        <f>NOVIEMBRE!D96+DICIEMBRE!P96</f>
        <v>0</v>
      </c>
      <c r="E96" s="363">
        <f>NOVIEMBRE!E96+DICIEMBRE!Q96</f>
        <v>30515301905</v>
      </c>
      <c r="F96" s="363">
        <f t="shared" si="97"/>
        <v>38498200978</v>
      </c>
      <c r="G96" s="363">
        <f>NOVIEMBRE!I96</f>
        <v>18282262756</v>
      </c>
      <c r="H96" s="364">
        <v>20200000000</v>
      </c>
      <c r="I96" s="363">
        <f t="shared" si="98"/>
        <v>38482262756</v>
      </c>
      <c r="J96" s="363">
        <f>NOVIEMBRE!L96</f>
        <v>18282262756</v>
      </c>
      <c r="K96" s="364">
        <v>20200000000</v>
      </c>
      <c r="L96" s="363">
        <f t="shared" si="99"/>
        <v>38482262756</v>
      </c>
      <c r="M96" s="363">
        <f t="shared" si="100"/>
        <v>15938222</v>
      </c>
      <c r="N96" s="143">
        <f t="shared" si="101"/>
        <v>15938222</v>
      </c>
      <c r="O96" s="372"/>
      <c r="P96" s="362">
        <v>0</v>
      </c>
      <c r="Q96" s="365">
        <v>17000000000</v>
      </c>
      <c r="S96" s="688">
        <f>+IF(NOVIEMBRE!S96=0,"",NOVIEMBRE!S96)</f>
        <v>1020302</v>
      </c>
      <c r="T96" s="664" t="str">
        <f>+IF(NOVIEMBRE!T96=0,"",NOVIEMBRE!T96)</f>
        <v>Contribuciones - Otros</v>
      </c>
      <c r="U96" s="27">
        <f t="shared" ref="U96:AJ96" si="102">SUM(U97:U101)</f>
        <v>1724011237</v>
      </c>
      <c r="V96" s="15">
        <f t="shared" si="102"/>
        <v>-1386777354</v>
      </c>
      <c r="W96" s="15">
        <f t="shared" si="102"/>
        <v>0</v>
      </c>
      <c r="X96" s="18">
        <f t="shared" si="102"/>
        <v>337233883</v>
      </c>
      <c r="Y96" s="19">
        <f t="shared" si="102"/>
        <v>85569720</v>
      </c>
      <c r="Z96" s="142">
        <f t="shared" si="102"/>
        <v>8498720</v>
      </c>
      <c r="AA96" s="18">
        <f t="shared" si="102"/>
        <v>94068440</v>
      </c>
      <c r="AB96" s="19">
        <f t="shared" si="102"/>
        <v>85569720</v>
      </c>
      <c r="AC96" s="142">
        <f t="shared" si="102"/>
        <v>8498720</v>
      </c>
      <c r="AD96" s="18">
        <f t="shared" si="102"/>
        <v>94068440</v>
      </c>
      <c r="AE96" s="19">
        <f t="shared" si="102"/>
        <v>77870920</v>
      </c>
      <c r="AF96" s="142">
        <f t="shared" si="102"/>
        <v>16197520</v>
      </c>
      <c r="AG96" s="18">
        <f t="shared" si="102"/>
        <v>94068440</v>
      </c>
      <c r="AH96" s="19">
        <f t="shared" si="102"/>
        <v>243165443</v>
      </c>
      <c r="AI96" s="15">
        <f t="shared" si="102"/>
        <v>243165443</v>
      </c>
      <c r="AJ96" s="16">
        <f t="shared" si="102"/>
        <v>243165443</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c r="A97" s="721" t="str">
        <f>+IF(NOVIEMBRE!A97=0,"",NOVIEMBRE!A97)</f>
        <v>11303-3</v>
      </c>
      <c r="B97" s="602" t="str">
        <f>+IF(NOVIEMBRE!B97=0,"",NOVIEMBRE!B97)</f>
        <v>CONVENIOS CON EL MUNICIPIO NO LIGADOS A LA VENTA DE SERVICIOS</v>
      </c>
      <c r="C97" s="654">
        <f>+ENERO!C97</f>
        <v>0</v>
      </c>
      <c r="D97" s="363">
        <f>NOVIEMBRE!D97+DICIEMBRE!P97</f>
        <v>0</v>
      </c>
      <c r="E97" s="363">
        <f>NOVIEMBRE!E97+DICIEMBRE!Q97</f>
        <v>0</v>
      </c>
      <c r="F97" s="363">
        <f t="shared" si="97"/>
        <v>0</v>
      </c>
      <c r="G97" s="363">
        <f>NOVIEMBRE!I97</f>
        <v>0</v>
      </c>
      <c r="H97" s="364">
        <v>0</v>
      </c>
      <c r="I97" s="363">
        <f t="shared" si="98"/>
        <v>0</v>
      </c>
      <c r="J97" s="363">
        <f>NOVIEMBRE!L97</f>
        <v>0</v>
      </c>
      <c r="K97" s="364">
        <v>0</v>
      </c>
      <c r="L97" s="363">
        <f t="shared" si="99"/>
        <v>0</v>
      </c>
      <c r="M97" s="363">
        <f t="shared" si="100"/>
        <v>0</v>
      </c>
      <c r="N97" s="143">
        <f t="shared" si="101"/>
        <v>0</v>
      </c>
      <c r="O97" s="372"/>
      <c r="P97" s="362">
        <v>0</v>
      </c>
      <c r="Q97" s="365">
        <v>0</v>
      </c>
      <c r="R97" s="30"/>
      <c r="S97" s="689" t="str">
        <f>+IF(NOVIEMBRE!S97=0,"",NOVIEMBRE!S97)</f>
        <v>1020302-1</v>
      </c>
      <c r="T97" s="665" t="str">
        <f>+IF(NOVIEMBRE!T97=0,"",NOVIEMBRE!T97)</f>
        <v>Aportes a E.P.S. - recursos propios</v>
      </c>
      <c r="U97" s="27">
        <f>+ENERO!U97</f>
        <v>383898492</v>
      </c>
      <c r="V97" s="15">
        <f>NOVIEMBRE!V97+DICIEMBRE!AL97</f>
        <v>-383898492</v>
      </c>
      <c r="W97" s="15">
        <f>NOVIEMBRE!W97+DICIEMBRE!AM97</f>
        <v>0</v>
      </c>
      <c r="X97" s="18">
        <f t="shared" ref="X97:X102" si="103">SUM(U97:W97)</f>
        <v>0</v>
      </c>
      <c r="Y97" s="19">
        <f>NOVIEMBRE!AA97</f>
        <v>0</v>
      </c>
      <c r="Z97" s="364">
        <v>0</v>
      </c>
      <c r="AA97" s="18">
        <f t="shared" ref="AA97:AA102" si="104">SUM(Y97:Z97)</f>
        <v>0</v>
      </c>
      <c r="AB97" s="19">
        <f>NOVIEMBRE!AD97</f>
        <v>0</v>
      </c>
      <c r="AC97" s="364">
        <v>0</v>
      </c>
      <c r="AD97" s="18">
        <f t="shared" ref="AD97:AD102" si="105">SUM(AB97:AC97)</f>
        <v>0</v>
      </c>
      <c r="AE97" s="19">
        <f>NOVIEMBRE!AG97</f>
        <v>0</v>
      </c>
      <c r="AF97" s="364">
        <v>0</v>
      </c>
      <c r="AG97" s="18">
        <f t="shared" ref="AG97:AG102" si="106">SUM(AE97:AF97)</f>
        <v>0</v>
      </c>
      <c r="AH97" s="19">
        <f t="shared" ref="AH97:AH102" si="107">X97-AA97</f>
        <v>0</v>
      </c>
      <c r="AI97" s="15">
        <f t="shared" ref="AI97:AI102" si="108">X97-AD97</f>
        <v>0</v>
      </c>
      <c r="AJ97" s="16">
        <f t="shared" ref="AJ97:AJ102" si="109">X97-AG97</f>
        <v>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+IF(NOVIEMBRE!A98=0,"",NOVIEMBRE!A98)</f>
        <v>11303-4</v>
      </c>
      <c r="B98" s="602" t="str">
        <f>+IF(NOVIEMBRE!B98=0,"",NOVIEMBRE!B98)</f>
        <v>OTROS CONVENIOS NO LIGADOS A LA VENTA DE SERVICIOS</v>
      </c>
      <c r="C98" s="654">
        <f>+ENERO!C98</f>
        <v>0</v>
      </c>
      <c r="D98" s="363">
        <f>NOVIEMBRE!D98+DICIEMBRE!P98</f>
        <v>0</v>
      </c>
      <c r="E98" s="363">
        <f>NOVIEMBRE!E98+DICIEMBRE!Q98</f>
        <v>0</v>
      </c>
      <c r="F98" s="363">
        <f t="shared" si="97"/>
        <v>0</v>
      </c>
      <c r="G98" s="363">
        <f>NOVIEMBRE!I98</f>
        <v>0</v>
      </c>
      <c r="H98" s="364">
        <v>0</v>
      </c>
      <c r="I98" s="363">
        <f t="shared" si="98"/>
        <v>0</v>
      </c>
      <c r="J98" s="363">
        <f>NOVIEMBRE!L98</f>
        <v>0</v>
      </c>
      <c r="K98" s="364">
        <v>0</v>
      </c>
      <c r="L98" s="363">
        <f t="shared" si="99"/>
        <v>0</v>
      </c>
      <c r="M98" s="363">
        <f t="shared" si="100"/>
        <v>0</v>
      </c>
      <c r="N98" s="143">
        <f t="shared" si="101"/>
        <v>0</v>
      </c>
      <c r="O98" s="372"/>
      <c r="P98" s="362">
        <v>0</v>
      </c>
      <c r="Q98" s="365">
        <v>0</v>
      </c>
      <c r="R98" s="30"/>
      <c r="S98" s="689" t="str">
        <f>+IF(NOVIEMBRE!S98=0,"",NOVIEMBRE!S98)</f>
        <v>1020302-2</v>
      </c>
      <c r="T98" s="665" t="str">
        <f>+IF(NOVIEMBRE!T98=0,"",NOVIEMBRE!T98)</f>
        <v>Aportes Fondos Pensionales - recursos propios</v>
      </c>
      <c r="U98" s="27">
        <f>+ENERO!U98</f>
        <v>555127711</v>
      </c>
      <c r="V98" s="15">
        <f>NOVIEMBRE!V98+DICIEMBRE!AL98</f>
        <v>-555127711</v>
      </c>
      <c r="W98" s="15">
        <f>NOVIEMBRE!W98+DICIEMBRE!AM98</f>
        <v>0</v>
      </c>
      <c r="X98" s="18">
        <f t="shared" si="103"/>
        <v>0</v>
      </c>
      <c r="Y98" s="19">
        <f>NOVIEMBRE!AA98</f>
        <v>0</v>
      </c>
      <c r="Z98" s="364">
        <v>0</v>
      </c>
      <c r="AA98" s="18">
        <f t="shared" si="104"/>
        <v>0</v>
      </c>
      <c r="AB98" s="19">
        <f>NOVIEMBRE!AD98</f>
        <v>0</v>
      </c>
      <c r="AC98" s="364">
        <v>0</v>
      </c>
      <c r="AD98" s="18">
        <f t="shared" si="105"/>
        <v>0</v>
      </c>
      <c r="AE98" s="19">
        <f>NOVIEMBRE!AG98</f>
        <v>0</v>
      </c>
      <c r="AF98" s="364">
        <v>0</v>
      </c>
      <c r="AG98" s="18">
        <f t="shared" si="106"/>
        <v>0</v>
      </c>
      <c r="AH98" s="19">
        <f t="shared" si="107"/>
        <v>0</v>
      </c>
      <c r="AI98" s="15">
        <f t="shared" si="108"/>
        <v>0</v>
      </c>
      <c r="AJ98" s="16">
        <f t="shared" si="109"/>
        <v>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+IF(NOVIEMBRE!A99=0,"",NOVIEMBRE!A99)</f>
        <v>11303-5</v>
      </c>
      <c r="B99" s="602" t="str">
        <f>+IF(NOVIEMBRE!B99=0,"",NOVIEMBRE!B99)</f>
        <v>RECURSOS PARA PROGRAMA DE SANEAMIENTO FINANCIERO</v>
      </c>
      <c r="C99" s="654">
        <f>+ENERO!C99</f>
        <v>0</v>
      </c>
      <c r="D99" s="363">
        <f>NOVIEMBRE!D99+DICIEMBRE!P99</f>
        <v>0</v>
      </c>
      <c r="E99" s="363">
        <f>NOVIEMBRE!E99+DICIEMBRE!Q99</f>
        <v>0</v>
      </c>
      <c r="F99" s="363">
        <f t="shared" si="97"/>
        <v>0</v>
      </c>
      <c r="G99" s="363">
        <f>NOVIEMBRE!I99</f>
        <v>0</v>
      </c>
      <c r="H99" s="364">
        <v>0</v>
      </c>
      <c r="I99" s="363">
        <f t="shared" si="98"/>
        <v>0</v>
      </c>
      <c r="J99" s="363">
        <f>NOVIEMBRE!L99</f>
        <v>0</v>
      </c>
      <c r="K99" s="364">
        <v>0</v>
      </c>
      <c r="L99" s="363">
        <f t="shared" si="99"/>
        <v>0</v>
      </c>
      <c r="M99" s="363">
        <f t="shared" si="100"/>
        <v>0</v>
      </c>
      <c r="N99" s="143">
        <f t="shared" si="101"/>
        <v>0</v>
      </c>
      <c r="O99" s="372"/>
      <c r="P99" s="362">
        <v>0</v>
      </c>
      <c r="Q99" s="365">
        <v>0</v>
      </c>
      <c r="R99" s="30"/>
      <c r="S99" s="689" t="str">
        <f>+IF(NOVIEMBRE!S99=0,"",NOVIEMBRE!S99)</f>
        <v>1020302-3</v>
      </c>
      <c r="T99" s="665" t="str">
        <f>+IF(NOVIEMBRE!T99=0,"",NOVIEMBRE!T99)</f>
        <v>Aportes a Fondos de Cesantia - recursos propios</v>
      </c>
      <c r="U99" s="27">
        <f>+ENERO!U99</f>
        <v>326426572</v>
      </c>
      <c r="V99" s="15">
        <f>NOVIEMBRE!V99+DICIEMBRE!AL99</f>
        <v>-326426572</v>
      </c>
      <c r="W99" s="15">
        <f>NOVIEMBRE!W99+DICIEMBRE!AM99</f>
        <v>0</v>
      </c>
      <c r="X99" s="18">
        <f t="shared" si="103"/>
        <v>0</v>
      </c>
      <c r="Y99" s="19">
        <f>NOVIEMBRE!AA99</f>
        <v>0</v>
      </c>
      <c r="Z99" s="364">
        <v>0</v>
      </c>
      <c r="AA99" s="18">
        <f t="shared" si="104"/>
        <v>0</v>
      </c>
      <c r="AB99" s="19">
        <f>NOVIEMBRE!AD99</f>
        <v>0</v>
      </c>
      <c r="AC99" s="364">
        <v>0</v>
      </c>
      <c r="AD99" s="18">
        <f t="shared" si="105"/>
        <v>0</v>
      </c>
      <c r="AE99" s="19">
        <f>NOVIEMBRE!AG99</f>
        <v>0</v>
      </c>
      <c r="AF99" s="364">
        <v>0</v>
      </c>
      <c r="AG99" s="18">
        <f t="shared" si="106"/>
        <v>0</v>
      </c>
      <c r="AH99" s="19">
        <f t="shared" si="107"/>
        <v>0</v>
      </c>
      <c r="AI99" s="15">
        <f t="shared" si="108"/>
        <v>0</v>
      </c>
      <c r="AJ99" s="16">
        <f t="shared" si="109"/>
        <v>0</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+IF(NOVIEMBRE!A100=0,"",NOVIEMBRE!A100)</f>
        <v>11303-6</v>
      </c>
      <c r="B100" s="602" t="str">
        <f>+IF(NOVIEMBRE!B100=0,"",NOVIEMBRE!B100)</f>
        <v/>
      </c>
      <c r="C100" s="654">
        <f>+ENERO!C100</f>
        <v>0</v>
      </c>
      <c r="D100" s="363">
        <f>NOVIEMBRE!D100+DICIEMBRE!P100</f>
        <v>0</v>
      </c>
      <c r="E100" s="363">
        <f>NOVIEMBRE!E100+DICIEMBRE!Q100</f>
        <v>0</v>
      </c>
      <c r="F100" s="363">
        <f t="shared" si="97"/>
        <v>0</v>
      </c>
      <c r="G100" s="363">
        <f>NOVIEMBRE!I100</f>
        <v>0</v>
      </c>
      <c r="H100" s="364">
        <v>0</v>
      </c>
      <c r="I100" s="363">
        <f t="shared" si="98"/>
        <v>0</v>
      </c>
      <c r="J100" s="363">
        <f>NOVIEMBRE!L100</f>
        <v>0</v>
      </c>
      <c r="K100" s="364">
        <v>0</v>
      </c>
      <c r="L100" s="363">
        <f t="shared" si="99"/>
        <v>0</v>
      </c>
      <c r="M100" s="363">
        <f t="shared" si="100"/>
        <v>0</v>
      </c>
      <c r="N100" s="143">
        <f t="shared" si="101"/>
        <v>0</v>
      </c>
      <c r="P100" s="362">
        <v>0</v>
      </c>
      <c r="Q100" s="365">
        <v>0</v>
      </c>
      <c r="R100" s="9"/>
      <c r="S100" s="689" t="str">
        <f>+IF(NOVIEMBRE!S100=0,"",NOVIEMBRE!S100)</f>
        <v>1020302-4</v>
      </c>
      <c r="T100" s="665" t="str">
        <f>+IF(NOVIEMBRE!T100=0,"",NOVIEMBRE!T100)</f>
        <v>Aporte a ARL. - recursos propios</v>
      </c>
      <c r="U100" s="27">
        <f>+ENERO!U100</f>
        <v>121324579</v>
      </c>
      <c r="V100" s="15">
        <f>NOVIEMBRE!V100+DICIEMBRE!AL100</f>
        <v>-121324579</v>
      </c>
      <c r="W100" s="15">
        <f>NOVIEMBRE!W100+DICIEMBRE!AM100</f>
        <v>0</v>
      </c>
      <c r="X100" s="18">
        <f t="shared" si="103"/>
        <v>0</v>
      </c>
      <c r="Y100" s="19">
        <f>NOVIEMBRE!AA100</f>
        <v>0</v>
      </c>
      <c r="Z100" s="364">
        <v>0</v>
      </c>
      <c r="AA100" s="18">
        <f t="shared" si="104"/>
        <v>0</v>
      </c>
      <c r="AB100" s="19">
        <f>NOVIEMBRE!AD100</f>
        <v>0</v>
      </c>
      <c r="AC100" s="364">
        <v>0</v>
      </c>
      <c r="AD100" s="18">
        <f t="shared" si="105"/>
        <v>0</v>
      </c>
      <c r="AE100" s="19">
        <f>NOVIEMBRE!AG100</f>
        <v>0</v>
      </c>
      <c r="AF100" s="364">
        <v>0</v>
      </c>
      <c r="AG100" s="18">
        <f t="shared" si="106"/>
        <v>0</v>
      </c>
      <c r="AH100" s="19">
        <f t="shared" si="107"/>
        <v>0</v>
      </c>
      <c r="AI100" s="15">
        <f t="shared" si="108"/>
        <v>0</v>
      </c>
      <c r="AJ100" s="16">
        <f t="shared" si="109"/>
        <v>0</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+IF(NOVIEMBRE!A101=0,"",NOVIEMBRE!A101)</f>
        <v>11303-7</v>
      </c>
      <c r="B101" s="602" t="str">
        <f>+IF(NOVIEMBRE!B101=0,"",NOVIEMBRE!B101)</f>
        <v/>
      </c>
      <c r="C101" s="654">
        <f>+ENERO!C101</f>
        <v>0</v>
      </c>
      <c r="D101" s="363">
        <f>NOVIEMBRE!D101+DICIEMBRE!P101</f>
        <v>0</v>
      </c>
      <c r="E101" s="363">
        <f>NOVIEMBRE!E101+DICIEMBRE!Q101</f>
        <v>0</v>
      </c>
      <c r="F101" s="363">
        <f t="shared" si="97"/>
        <v>0</v>
      </c>
      <c r="G101" s="363">
        <f>NOVIEMBRE!I101</f>
        <v>0</v>
      </c>
      <c r="H101" s="364">
        <v>0</v>
      </c>
      <c r="I101" s="363">
        <f t="shared" si="98"/>
        <v>0</v>
      </c>
      <c r="J101" s="363">
        <f>NOVIEMBRE!L101</f>
        <v>0</v>
      </c>
      <c r="K101" s="364">
        <v>0</v>
      </c>
      <c r="L101" s="363">
        <f t="shared" si="99"/>
        <v>0</v>
      </c>
      <c r="M101" s="363">
        <f t="shared" si="100"/>
        <v>0</v>
      </c>
      <c r="N101" s="143">
        <f t="shared" si="101"/>
        <v>0</v>
      </c>
      <c r="P101" s="362">
        <v>0</v>
      </c>
      <c r="Q101" s="365">
        <v>0</v>
      </c>
      <c r="R101" s="9"/>
      <c r="S101" s="689" t="str">
        <f>+IF(NOVIEMBRE!S101=0,"",NOVIEMBRE!S101)</f>
        <v>1020302-5</v>
      </c>
      <c r="T101" s="665" t="str">
        <f>+IF(NOVIEMBRE!T101=0,"",NOVIEMBRE!T101)</f>
        <v>Aporte a Caja Compensación Familiar</v>
      </c>
      <c r="U101" s="27">
        <f>+ENERO!U101</f>
        <v>337233883</v>
      </c>
      <c r="V101" s="15">
        <f>NOVIEMBRE!V101+DICIEMBRE!AL101</f>
        <v>0</v>
      </c>
      <c r="W101" s="15">
        <f>NOVIEMBRE!W101+DICIEMBRE!AM101</f>
        <v>0</v>
      </c>
      <c r="X101" s="18">
        <f t="shared" si="103"/>
        <v>337233883</v>
      </c>
      <c r="Y101" s="19">
        <f>NOVIEMBRE!AA101</f>
        <v>85569720</v>
      </c>
      <c r="Z101" s="364">
        <v>8498720</v>
      </c>
      <c r="AA101" s="18">
        <f t="shared" si="104"/>
        <v>94068440</v>
      </c>
      <c r="AB101" s="19">
        <f>NOVIEMBRE!AD101</f>
        <v>85569720</v>
      </c>
      <c r="AC101" s="364">
        <v>8498720</v>
      </c>
      <c r="AD101" s="18">
        <f t="shared" si="105"/>
        <v>94068440</v>
      </c>
      <c r="AE101" s="19">
        <f>NOVIEMBRE!AG101</f>
        <v>77870920</v>
      </c>
      <c r="AF101" s="364">
        <v>16197520</v>
      </c>
      <c r="AG101" s="18">
        <f t="shared" si="106"/>
        <v>94068440</v>
      </c>
      <c r="AH101" s="19">
        <f t="shared" si="107"/>
        <v>243165443</v>
      </c>
      <c r="AI101" s="15">
        <f t="shared" si="108"/>
        <v>243165443</v>
      </c>
      <c r="AJ101" s="16">
        <f t="shared" si="109"/>
        <v>243165443</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+IF(NOVIEMBRE!A102=0,"",NOVIEMBRE!A102)</f>
        <v>11303-8</v>
      </c>
      <c r="B102" s="611" t="str">
        <f>+IF(NOVIEMBRE!B102=0,"",NOVIEMBRE!B102)</f>
        <v>Vigencia Anterior</v>
      </c>
      <c r="C102" s="760">
        <f>+ENERO!C102</f>
        <v>0</v>
      </c>
      <c r="D102" s="375">
        <f>NOVIEMBRE!D102+DICIEMBRE!P102</f>
        <v>0</v>
      </c>
      <c r="E102" s="375">
        <f>NOVIEMBRE!E102+DICIEMBRE!Q102</f>
        <v>0</v>
      </c>
      <c r="F102" s="375">
        <f t="shared" si="97"/>
        <v>0</v>
      </c>
      <c r="G102" s="375">
        <f>NOVIEMBRE!I102</f>
        <v>0</v>
      </c>
      <c r="H102" s="378">
        <v>0</v>
      </c>
      <c r="I102" s="375">
        <f t="shared" si="98"/>
        <v>0</v>
      </c>
      <c r="J102" s="375">
        <f>NOVIEMBRE!L102</f>
        <v>0</v>
      </c>
      <c r="K102" s="378">
        <v>0</v>
      </c>
      <c r="L102" s="375">
        <f t="shared" si="99"/>
        <v>0</v>
      </c>
      <c r="M102" s="375">
        <f t="shared" si="100"/>
        <v>0</v>
      </c>
      <c r="N102" s="376">
        <f t="shared" si="101"/>
        <v>0</v>
      </c>
      <c r="P102" s="362">
        <v>0</v>
      </c>
      <c r="Q102" s="365">
        <v>0</v>
      </c>
      <c r="R102" s="9"/>
      <c r="S102" s="688">
        <f>+IF(NOVIEMBRE!S102=0,"",NOVIEMBRE!S102)</f>
        <v>1020399</v>
      </c>
      <c r="T102" s="664" t="str">
        <f>+IF(NOVIEMBRE!T102=0,"",NOVIEMBRE!T102)</f>
        <v>Vigencias Anteriores</v>
      </c>
      <c r="U102" s="27">
        <f>+ENERO!U102</f>
        <v>172000000</v>
      </c>
      <c r="V102" s="15">
        <f>NOVIEMBRE!V102+DICIEMBRE!AL102</f>
        <v>6501068</v>
      </c>
      <c r="W102" s="15">
        <f>NOVIEMBRE!W102+DICIEMBRE!AM102</f>
        <v>13182074</v>
      </c>
      <c r="X102" s="18">
        <f t="shared" si="103"/>
        <v>191683142</v>
      </c>
      <c r="Y102" s="19">
        <f>NOVIEMBRE!AA102</f>
        <v>191683142</v>
      </c>
      <c r="Z102" s="364">
        <v>0</v>
      </c>
      <c r="AA102" s="18">
        <f t="shared" si="104"/>
        <v>191683142</v>
      </c>
      <c r="AB102" s="19">
        <f>NOVIEMBRE!AD102</f>
        <v>191683142</v>
      </c>
      <c r="AC102" s="364">
        <v>0</v>
      </c>
      <c r="AD102" s="18">
        <f t="shared" si="105"/>
        <v>191683142</v>
      </c>
      <c r="AE102" s="19">
        <f>NOVIEMBRE!AG102</f>
        <v>191683142</v>
      </c>
      <c r="AF102" s="364">
        <v>0</v>
      </c>
      <c r="AG102" s="18">
        <f t="shared" si="106"/>
        <v>191683142</v>
      </c>
      <c r="AH102" s="19">
        <f t="shared" si="107"/>
        <v>0</v>
      </c>
      <c r="AI102" s="15">
        <f t="shared" si="108"/>
        <v>0</v>
      </c>
      <c r="AJ102" s="16">
        <f t="shared" si="109"/>
        <v>0</v>
      </c>
      <c r="AK102" s="9"/>
      <c r="AL102" s="362">
        <v>0</v>
      </c>
      <c r="AM102" s="365">
        <v>0</v>
      </c>
      <c r="AN102" s="9"/>
      <c r="AO102" s="284"/>
      <c r="AP102" s="284"/>
      <c r="AQ102" s="284"/>
      <c r="AR102" s="284"/>
      <c r="AS102" s="284"/>
      <c r="AT102" s="284"/>
      <c r="AU102" s="284"/>
      <c r="AV102" s="284"/>
      <c r="AW102" s="284"/>
      <c r="AX102" s="284"/>
      <c r="AY102" s="284"/>
      <c r="AZ102" s="284"/>
      <c r="BQ102" s="451"/>
    </row>
    <row r="103" spans="1:70" s="372" customFormat="1" ht="24.95" customHeight="1" thickBot="1">
      <c r="A103" s="722" t="str">
        <f>+IF(NOVIEMBRE!A103=0,"",NOVIEMBRE!A103)</f>
        <v/>
      </c>
      <c r="B103" s="636" t="str">
        <f>+IF(NOVIEMBRE!B103=0,"",NOVIEMBRE!B103)</f>
        <v/>
      </c>
      <c r="C103" s="470"/>
      <c r="D103" s="470"/>
      <c r="E103" s="470"/>
      <c r="F103" s="470"/>
      <c r="G103" s="470"/>
      <c r="H103" s="470"/>
      <c r="I103" s="470"/>
      <c r="J103" s="470"/>
      <c r="K103" s="470"/>
      <c r="L103" s="470"/>
      <c r="M103" s="470"/>
      <c r="N103" s="471"/>
      <c r="P103" s="472"/>
      <c r="Q103" s="471"/>
      <c r="R103" s="9"/>
      <c r="S103" s="356" t="str">
        <f>+IF(NOVIEMBRE!S103=0,"",NOVIEMBRE!S103)</f>
        <v/>
      </c>
      <c r="T103" s="678" t="str">
        <f>+IF(NOVIEMBRE!T103=0,"",NOVIEMBRE!T103)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c r="BQ103" s="451"/>
    </row>
    <row r="104" spans="1:70" s="372" customFormat="1" ht="24.95" customHeight="1">
      <c r="A104" s="720">
        <f>+IF(NOVIEMBRE!A104=0,"",NOVIEMBRE!A104)</f>
        <v>11304</v>
      </c>
      <c r="B104" s="601" t="str">
        <f>+IF(NOVIEMBRE!B104=0,"",NOVIEMBRE!B104)</f>
        <v>Otros ingresos corrientes</v>
      </c>
      <c r="C104" s="600">
        <f>SUM(C105:C111)</f>
        <v>98172123</v>
      </c>
      <c r="D104" s="598">
        <f t="shared" ref="D104:N104" si="110">SUM(D105:D111)</f>
        <v>0</v>
      </c>
      <c r="E104" s="598">
        <f t="shared" si="110"/>
        <v>2205940</v>
      </c>
      <c r="F104" s="598">
        <f t="shared" si="110"/>
        <v>100378063</v>
      </c>
      <c r="G104" s="598">
        <f t="shared" si="110"/>
        <v>125478816</v>
      </c>
      <c r="H104" s="598">
        <f t="shared" si="110"/>
        <v>3095360</v>
      </c>
      <c r="I104" s="598">
        <f t="shared" si="110"/>
        <v>128574176</v>
      </c>
      <c r="J104" s="598">
        <f t="shared" si="110"/>
        <v>66587078</v>
      </c>
      <c r="K104" s="598">
        <f t="shared" si="110"/>
        <v>7215766</v>
      </c>
      <c r="L104" s="598">
        <f t="shared" si="110"/>
        <v>73802844</v>
      </c>
      <c r="M104" s="598">
        <f t="shared" si="110"/>
        <v>-28196113</v>
      </c>
      <c r="N104" s="599">
        <f t="shared" si="110"/>
        <v>26575219</v>
      </c>
      <c r="P104" s="43">
        <f>SUM(P105:P111)</f>
        <v>0</v>
      </c>
      <c r="Q104" s="45">
        <f>SUM(Q105:Q111)</f>
        <v>0</v>
      </c>
      <c r="R104" s="9"/>
      <c r="S104" s="687">
        <f>+IF(NOVIEMBRE!S104=0,"",NOVIEMBRE!S104)</f>
        <v>1020400</v>
      </c>
      <c r="T104" s="663" t="str">
        <f>+IF(NOVIEMBRE!T104=0,"",NOVIEMBRE!T104)</f>
        <v>Contribuciones Inherentes nómina del Sector Publico</v>
      </c>
      <c r="U104" s="132">
        <f t="shared" ref="U104:AJ104" si="111">U105+U108</f>
        <v>421542354</v>
      </c>
      <c r="V104" s="122">
        <f t="shared" si="111"/>
        <v>-130000000</v>
      </c>
      <c r="W104" s="122">
        <f t="shared" si="111"/>
        <v>0</v>
      </c>
      <c r="X104" s="129">
        <f t="shared" si="111"/>
        <v>291542354</v>
      </c>
      <c r="Y104" s="128">
        <f t="shared" si="111"/>
        <v>106962150</v>
      </c>
      <c r="Z104" s="122">
        <f t="shared" si="111"/>
        <v>10623400</v>
      </c>
      <c r="AA104" s="129">
        <f t="shared" si="111"/>
        <v>117585550</v>
      </c>
      <c r="AB104" s="128">
        <f t="shared" si="111"/>
        <v>106962150</v>
      </c>
      <c r="AC104" s="122">
        <f t="shared" si="111"/>
        <v>10623400</v>
      </c>
      <c r="AD104" s="129">
        <f t="shared" si="111"/>
        <v>117585550</v>
      </c>
      <c r="AE104" s="128">
        <f t="shared" si="111"/>
        <v>97338650</v>
      </c>
      <c r="AF104" s="122">
        <f t="shared" si="111"/>
        <v>20246900</v>
      </c>
      <c r="AG104" s="129">
        <f t="shared" si="111"/>
        <v>117585550</v>
      </c>
      <c r="AH104" s="128">
        <f t="shared" si="111"/>
        <v>173956804</v>
      </c>
      <c r="AI104" s="122">
        <f t="shared" si="111"/>
        <v>173956804</v>
      </c>
      <c r="AJ104" s="130">
        <f t="shared" si="111"/>
        <v>173956804</v>
      </c>
      <c r="AK104" s="9"/>
      <c r="AL104" s="128">
        <f>AL105+AL108</f>
        <v>0</v>
      </c>
      <c r="AM104" s="130">
        <f>AM105+AM108</f>
        <v>0</v>
      </c>
      <c r="AN104" s="9"/>
      <c r="AO104" s="284"/>
      <c r="AP104" s="284"/>
      <c r="AQ104" s="284"/>
      <c r="AR104" s="284"/>
      <c r="AS104" s="284"/>
      <c r="AT104" s="284"/>
      <c r="AU104" s="284"/>
      <c r="AV104" s="284"/>
      <c r="AW104" s="284"/>
      <c r="AX104" s="284"/>
      <c r="AY104" s="284"/>
      <c r="AZ104" s="284"/>
      <c r="BQ104" s="451"/>
    </row>
    <row r="105" spans="1:70" s="372" customFormat="1" ht="24.95" customHeight="1">
      <c r="A105" s="721" t="str">
        <f>+IF(NOVIEMBRE!A105=0,"",NOVIEMBRE!A105)</f>
        <v>11304-1</v>
      </c>
      <c r="B105" s="602" t="str">
        <f>+IF(NOVIEMBRE!B105=0,"",NOVIEMBRE!B105)</f>
        <v>ARRENDAMIENTO Y ALQUILER DE BIENES MUEBLES E INMUEBLES</v>
      </c>
      <c r="C105" s="654">
        <f>+ENERO!C105</f>
        <v>35952047</v>
      </c>
      <c r="D105" s="363">
        <f>NOVIEMBRE!D105+DICIEMBRE!P105</f>
        <v>0</v>
      </c>
      <c r="E105" s="363">
        <f>NOVIEMBRE!E105+DICIEMBRE!Q105</f>
        <v>0</v>
      </c>
      <c r="F105" s="363">
        <f t="shared" ref="F105:F111" si="112">SUM(C105:E105)</f>
        <v>35952047</v>
      </c>
      <c r="G105" s="363">
        <f>NOVIEMBRE!I105</f>
        <v>81829279</v>
      </c>
      <c r="H105" s="364">
        <v>377610</v>
      </c>
      <c r="I105" s="363">
        <f t="shared" ref="I105:I111" si="113">SUM(G105:H105)</f>
        <v>82206889</v>
      </c>
      <c r="J105" s="363">
        <f>NOVIEMBRE!L105</f>
        <v>22937541</v>
      </c>
      <c r="K105" s="364">
        <v>4498016</v>
      </c>
      <c r="L105" s="363">
        <f t="shared" ref="L105:L111" si="114">SUM(J105:K105)</f>
        <v>27435557</v>
      </c>
      <c r="M105" s="363">
        <f t="shared" ref="M105:M111" si="115">F105-I105</f>
        <v>-46254842</v>
      </c>
      <c r="N105" s="143">
        <f t="shared" ref="N105:N111" si="116">F105-L105</f>
        <v>8516490</v>
      </c>
      <c r="P105" s="362">
        <v>0</v>
      </c>
      <c r="Q105" s="365">
        <v>0</v>
      </c>
      <c r="R105" s="9"/>
      <c r="S105" s="688">
        <f>+IF(NOVIEMBRE!S105=0,"",NOVIEMBRE!S105)</f>
        <v>1020402</v>
      </c>
      <c r="T105" s="664" t="str">
        <f>+IF(NOVIEMBRE!T105=0,"",NOVIEMBRE!T105)</f>
        <v>Contribuciones - Otros</v>
      </c>
      <c r="U105" s="27">
        <f t="shared" ref="U105:AJ105" si="117">SUM(U106:U107)</f>
        <v>421542354</v>
      </c>
      <c r="V105" s="15">
        <f t="shared" si="117"/>
        <v>-130000000</v>
      </c>
      <c r="W105" s="15">
        <f t="shared" si="117"/>
        <v>0</v>
      </c>
      <c r="X105" s="18">
        <f t="shared" si="117"/>
        <v>291542354</v>
      </c>
      <c r="Y105" s="19">
        <f t="shared" si="117"/>
        <v>106962150</v>
      </c>
      <c r="Z105" s="142">
        <f t="shared" si="117"/>
        <v>10623400</v>
      </c>
      <c r="AA105" s="18">
        <f t="shared" si="117"/>
        <v>117585550</v>
      </c>
      <c r="AB105" s="19">
        <f t="shared" si="117"/>
        <v>106962150</v>
      </c>
      <c r="AC105" s="142">
        <f t="shared" si="117"/>
        <v>10623400</v>
      </c>
      <c r="AD105" s="18">
        <f t="shared" si="117"/>
        <v>117585550</v>
      </c>
      <c r="AE105" s="19">
        <f t="shared" si="117"/>
        <v>97338650</v>
      </c>
      <c r="AF105" s="142">
        <f t="shared" si="117"/>
        <v>20246900</v>
      </c>
      <c r="AG105" s="18">
        <f t="shared" si="117"/>
        <v>117585550</v>
      </c>
      <c r="AH105" s="19">
        <f t="shared" si="117"/>
        <v>173956804</v>
      </c>
      <c r="AI105" s="15">
        <f t="shared" si="117"/>
        <v>173956804</v>
      </c>
      <c r="AJ105" s="16">
        <f t="shared" si="117"/>
        <v>173956804</v>
      </c>
      <c r="AK105" s="10"/>
      <c r="AL105" s="29">
        <f>SUM(AL106:AL107)</f>
        <v>0</v>
      </c>
      <c r="AM105" s="26">
        <f>SUM(AM106:AM107)</f>
        <v>0</v>
      </c>
      <c r="AN105" s="9"/>
      <c r="AO105" s="284"/>
      <c r="AP105" s="284"/>
      <c r="AQ105" s="284"/>
      <c r="AR105" s="284"/>
      <c r="AS105" s="284"/>
      <c r="AT105" s="284"/>
      <c r="AU105" s="284"/>
      <c r="AV105" s="284"/>
      <c r="AW105" s="284"/>
      <c r="AX105" s="284"/>
      <c r="AY105" s="284"/>
      <c r="AZ105" s="284"/>
      <c r="BQ105" s="451"/>
    </row>
    <row r="106" spans="1:70" s="372" customFormat="1" ht="24.95" customHeight="1">
      <c r="A106" s="721" t="str">
        <f>+IF(NOVIEMBRE!A106=0,"",NOVIEMBRE!A106)</f>
        <v>11304-2</v>
      </c>
      <c r="B106" s="603" t="str">
        <f>+IF(NOVIEMBRE!B106=0,"",NOVIEMBRE!B106)</f>
        <v>COMERCIALIZACIÓN DE MERCANCÍAS</v>
      </c>
      <c r="C106" s="654">
        <f>+ENERO!C106</f>
        <v>0</v>
      </c>
      <c r="D106" s="363">
        <f>NOVIEMBRE!D106+DICIEMBRE!P106</f>
        <v>0</v>
      </c>
      <c r="E106" s="363">
        <f>NOVIEMBRE!E106+DICIEMBRE!Q106</f>
        <v>0</v>
      </c>
      <c r="F106" s="363">
        <f t="shared" si="112"/>
        <v>0</v>
      </c>
      <c r="G106" s="363">
        <f>NOVIEMBRE!I106</f>
        <v>0</v>
      </c>
      <c r="H106" s="364">
        <v>0</v>
      </c>
      <c r="I106" s="363">
        <f t="shared" si="113"/>
        <v>0</v>
      </c>
      <c r="J106" s="363">
        <f>NOVIEMBRE!L106</f>
        <v>0</v>
      </c>
      <c r="K106" s="364">
        <v>0</v>
      </c>
      <c r="L106" s="363">
        <f t="shared" si="114"/>
        <v>0</v>
      </c>
      <c r="M106" s="363">
        <f t="shared" si="115"/>
        <v>0</v>
      </c>
      <c r="N106" s="143">
        <f t="shared" si="116"/>
        <v>0</v>
      </c>
      <c r="P106" s="362">
        <v>0</v>
      </c>
      <c r="Q106" s="365">
        <v>0</v>
      </c>
      <c r="R106" s="9"/>
      <c r="S106" s="689" t="str">
        <f>+IF(NOVIEMBRE!S106=0,"",NOVIEMBRE!S106)</f>
        <v>1020402-1</v>
      </c>
      <c r="T106" s="665" t="str">
        <f>+IF(NOVIEMBRE!T106=0,"",NOVIEMBRE!T106)</f>
        <v>S.E.N.A.</v>
      </c>
      <c r="U106" s="27">
        <f>+ENERO!U106</f>
        <v>168616942</v>
      </c>
      <c r="V106" s="15">
        <f>NOVIEMBRE!V106+DICIEMBRE!AL106</f>
        <v>-60000000</v>
      </c>
      <c r="W106" s="15">
        <f>NOVIEMBRE!W106+DICIEMBRE!AM106</f>
        <v>0</v>
      </c>
      <c r="X106" s="18">
        <f>SUM(U106:W106)</f>
        <v>108616942</v>
      </c>
      <c r="Y106" s="19">
        <f>NOVIEMBRE!AA106</f>
        <v>42784860</v>
      </c>
      <c r="Z106" s="364">
        <v>4249360</v>
      </c>
      <c r="AA106" s="18">
        <f>SUM(Y106:Z106)</f>
        <v>47034220</v>
      </c>
      <c r="AB106" s="19">
        <f>NOVIEMBRE!AD106</f>
        <v>42784860</v>
      </c>
      <c r="AC106" s="364">
        <v>4249360</v>
      </c>
      <c r="AD106" s="18">
        <f>SUM(AB106:AC106)</f>
        <v>47034220</v>
      </c>
      <c r="AE106" s="19">
        <f>NOVIEMBRE!AG106</f>
        <v>38935460</v>
      </c>
      <c r="AF106" s="364">
        <v>8098760</v>
      </c>
      <c r="AG106" s="18">
        <f>SUM(AE106:AF106)</f>
        <v>47034220</v>
      </c>
      <c r="AH106" s="19">
        <f>X106-AA106</f>
        <v>61582722</v>
      </c>
      <c r="AI106" s="15">
        <f>X106-AD106</f>
        <v>61582722</v>
      </c>
      <c r="AJ106" s="16">
        <f>X106-AG106</f>
        <v>61582722</v>
      </c>
      <c r="AK106" s="9"/>
      <c r="AL106" s="362">
        <v>0</v>
      </c>
      <c r="AM106" s="365">
        <v>0</v>
      </c>
      <c r="AN106" s="9"/>
      <c r="AO106" s="284"/>
      <c r="AP106" s="284"/>
      <c r="AQ106" s="284"/>
      <c r="AR106" s="284"/>
      <c r="AS106" s="284"/>
      <c r="AT106" s="284"/>
      <c r="AU106" s="284"/>
      <c r="AV106" s="284"/>
      <c r="AW106" s="284"/>
      <c r="AX106" s="284"/>
      <c r="AY106" s="284"/>
      <c r="AZ106" s="284"/>
      <c r="BQ106" s="451"/>
    </row>
    <row r="107" spans="1:70" s="372" customFormat="1" ht="24.95" customHeight="1">
      <c r="A107" s="721" t="str">
        <f>+IF(NOVIEMBRE!A107=0,"",NOVIEMBRE!A107)</f>
        <v>11304-3</v>
      </c>
      <c r="B107" s="602" t="str">
        <f>+IF(NOVIEMBRE!B107=0,"",NOVIEMBRE!B107)</f>
        <v>Bienestar Social</v>
      </c>
      <c r="C107" s="654">
        <f>+ENERO!C107</f>
        <v>0</v>
      </c>
      <c r="D107" s="363">
        <f>NOVIEMBRE!D107+DICIEMBRE!P107</f>
        <v>0</v>
      </c>
      <c r="E107" s="363">
        <f>NOVIEMBRE!E107+DICIEMBRE!Q107</f>
        <v>0</v>
      </c>
      <c r="F107" s="363">
        <f t="shared" si="112"/>
        <v>0</v>
      </c>
      <c r="G107" s="363">
        <f>NOVIEMBRE!I107</f>
        <v>0</v>
      </c>
      <c r="H107" s="364">
        <v>0</v>
      </c>
      <c r="I107" s="363">
        <f t="shared" si="113"/>
        <v>0</v>
      </c>
      <c r="J107" s="363">
        <f>NOVIEMBRE!L107</f>
        <v>0</v>
      </c>
      <c r="K107" s="364">
        <v>0</v>
      </c>
      <c r="L107" s="363">
        <f t="shared" si="114"/>
        <v>0</v>
      </c>
      <c r="M107" s="363">
        <f t="shared" si="115"/>
        <v>0</v>
      </c>
      <c r="N107" s="143">
        <f t="shared" si="116"/>
        <v>0</v>
      </c>
      <c r="P107" s="362">
        <v>0</v>
      </c>
      <c r="Q107" s="365">
        <v>0</v>
      </c>
      <c r="R107" s="9"/>
      <c r="S107" s="689" t="str">
        <f>+IF(NOVIEMBRE!S107=0,"",NOVIEMBRE!S107)</f>
        <v>1020402-2</v>
      </c>
      <c r="T107" s="665" t="str">
        <f>+IF(NOVIEMBRE!T107=0,"",NOVIEMBRE!T107)</f>
        <v>I.C.B.F.</v>
      </c>
      <c r="U107" s="27">
        <f>+ENERO!U107</f>
        <v>252925412</v>
      </c>
      <c r="V107" s="15">
        <f>NOVIEMBRE!V107+DICIEMBRE!AL107</f>
        <v>-70000000</v>
      </c>
      <c r="W107" s="15">
        <f>NOVIEMBRE!W107+DICIEMBRE!AM107</f>
        <v>0</v>
      </c>
      <c r="X107" s="18">
        <f>SUM(U107:W107)</f>
        <v>182925412</v>
      </c>
      <c r="Y107" s="19">
        <f>NOVIEMBRE!AA107</f>
        <v>64177290</v>
      </c>
      <c r="Z107" s="364">
        <v>6374040</v>
      </c>
      <c r="AA107" s="18">
        <f>SUM(Y107:Z107)</f>
        <v>70551330</v>
      </c>
      <c r="AB107" s="19">
        <f>NOVIEMBRE!AD107</f>
        <v>64177290</v>
      </c>
      <c r="AC107" s="364">
        <v>6374040</v>
      </c>
      <c r="AD107" s="18">
        <f>SUM(AB107:AC107)</f>
        <v>70551330</v>
      </c>
      <c r="AE107" s="19">
        <f>NOVIEMBRE!AG107</f>
        <v>58403190</v>
      </c>
      <c r="AF107" s="364">
        <v>12148140</v>
      </c>
      <c r="AG107" s="18">
        <f>SUM(AE107:AF107)</f>
        <v>70551330</v>
      </c>
      <c r="AH107" s="19">
        <f>X107-AA107</f>
        <v>112374082</v>
      </c>
      <c r="AI107" s="15">
        <f>X107-AD107</f>
        <v>112374082</v>
      </c>
      <c r="AJ107" s="16">
        <f>X107-AG107</f>
        <v>112374082</v>
      </c>
      <c r="AK107" s="9"/>
      <c r="AL107" s="362">
        <v>0</v>
      </c>
      <c r="AM107" s="365">
        <v>0</v>
      </c>
      <c r="AN107" s="9"/>
      <c r="AO107" s="284"/>
      <c r="AP107" s="284"/>
      <c r="AQ107" s="284"/>
      <c r="AR107" s="284"/>
      <c r="AS107" s="284"/>
      <c r="AT107" s="284"/>
      <c r="AU107" s="284"/>
      <c r="AV107" s="284"/>
      <c r="AW107" s="284"/>
      <c r="AX107" s="284"/>
      <c r="AY107" s="284"/>
      <c r="AZ107" s="284"/>
      <c r="BQ107" s="451"/>
    </row>
    <row r="108" spans="1:70" s="372" customFormat="1" ht="24.95" customHeight="1">
      <c r="A108" s="721" t="str">
        <f>+IF(NOVIEMBRE!A108=0,"",NOVIEMBRE!A108)</f>
        <v>11304-4</v>
      </c>
      <c r="B108" s="602" t="str">
        <f>+IF(NOVIEMBRE!B108=0,"",NOVIEMBRE!B108)</f>
        <v>Fondo de la Vivienda</v>
      </c>
      <c r="C108" s="654">
        <f>+ENERO!C108</f>
        <v>0</v>
      </c>
      <c r="D108" s="363">
        <f>NOVIEMBRE!D108+DICIEMBRE!P108</f>
        <v>0</v>
      </c>
      <c r="E108" s="363">
        <f>NOVIEMBRE!E108+DICIEMBRE!Q108</f>
        <v>0</v>
      </c>
      <c r="F108" s="363">
        <f t="shared" si="112"/>
        <v>0</v>
      </c>
      <c r="G108" s="363">
        <f>NOVIEMBRE!I108</f>
        <v>0</v>
      </c>
      <c r="H108" s="364">
        <v>0</v>
      </c>
      <c r="I108" s="363">
        <f t="shared" si="113"/>
        <v>0</v>
      </c>
      <c r="J108" s="363">
        <f>NOVIEMBRE!L108</f>
        <v>0</v>
      </c>
      <c r="K108" s="364">
        <v>0</v>
      </c>
      <c r="L108" s="363">
        <f t="shared" si="114"/>
        <v>0</v>
      </c>
      <c r="M108" s="363">
        <f t="shared" si="115"/>
        <v>0</v>
      </c>
      <c r="N108" s="143">
        <f t="shared" si="116"/>
        <v>0</v>
      </c>
      <c r="P108" s="362">
        <v>0</v>
      </c>
      <c r="Q108" s="365">
        <v>0</v>
      </c>
      <c r="R108" s="9"/>
      <c r="S108" s="688">
        <f>+IF(NOVIEMBRE!S108=0,"",NOVIEMBRE!S108)</f>
        <v>1020499</v>
      </c>
      <c r="T108" s="664" t="str">
        <f>+IF(NOVIEMBRE!T108=0,"",NOVIEMBRE!T108)</f>
        <v>Vigencias Anteriores</v>
      </c>
      <c r="U108" s="27">
        <f>+ENERO!U108</f>
        <v>0</v>
      </c>
      <c r="V108" s="15">
        <f>NOVIEMBRE!V108+DICIEMBRE!AL108</f>
        <v>0</v>
      </c>
      <c r="W108" s="15">
        <f>NOVIEMBRE!W108+DICIEMBRE!AM108</f>
        <v>0</v>
      </c>
      <c r="X108" s="18">
        <f>SUM(U108:W108)</f>
        <v>0</v>
      </c>
      <c r="Y108" s="19">
        <f>NOVIEMBRE!AA108</f>
        <v>0</v>
      </c>
      <c r="Z108" s="364">
        <v>0</v>
      </c>
      <c r="AA108" s="18">
        <f>SUM(Y108:Z108)</f>
        <v>0</v>
      </c>
      <c r="AB108" s="19">
        <f>NOVIEMBRE!AD108</f>
        <v>0</v>
      </c>
      <c r="AC108" s="364">
        <v>0</v>
      </c>
      <c r="AD108" s="18">
        <f>SUM(AB108:AC108)</f>
        <v>0</v>
      </c>
      <c r="AE108" s="19">
        <f>NOVIEMBRE!AG108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c r="BQ108" s="451"/>
    </row>
    <row r="109" spans="1:70" s="372" customFormat="1" ht="24.95" customHeight="1">
      <c r="A109" s="721" t="str">
        <f>+IF(NOVIEMBRE!A109=0,"",NOVIEMBRE!A109)</f>
        <v>11304-5</v>
      </c>
      <c r="B109" s="602" t="str">
        <f>+IF(NOVIEMBRE!B109=0,"",NOVIEMBRE!B109)</f>
        <v xml:space="preserve">Aprovechamientos </v>
      </c>
      <c r="C109" s="654">
        <f>+ENERO!C109</f>
        <v>62220076</v>
      </c>
      <c r="D109" s="363">
        <f>NOVIEMBRE!D109+DICIEMBRE!P109</f>
        <v>0</v>
      </c>
      <c r="E109" s="363">
        <f>NOVIEMBRE!E109+DICIEMBRE!Q109</f>
        <v>0</v>
      </c>
      <c r="F109" s="363">
        <f t="shared" si="112"/>
        <v>62220076</v>
      </c>
      <c r="G109" s="363">
        <f>NOVIEMBRE!I109</f>
        <v>41443597</v>
      </c>
      <c r="H109" s="364">
        <v>99750</v>
      </c>
      <c r="I109" s="363">
        <f t="shared" si="113"/>
        <v>41543347</v>
      </c>
      <c r="J109" s="363">
        <f>NOVIEMBRE!L109</f>
        <v>41443597</v>
      </c>
      <c r="K109" s="364">
        <v>99750</v>
      </c>
      <c r="L109" s="363">
        <f t="shared" si="114"/>
        <v>41543347</v>
      </c>
      <c r="M109" s="363">
        <f t="shared" si="115"/>
        <v>20676729</v>
      </c>
      <c r="N109" s="143">
        <f t="shared" si="116"/>
        <v>20676729</v>
      </c>
      <c r="P109" s="362">
        <v>0</v>
      </c>
      <c r="Q109" s="365">
        <v>0</v>
      </c>
      <c r="R109" s="9"/>
      <c r="S109" s="356" t="str">
        <f>+IF(NOVIEMBRE!S109=0,"",NOVIEMBRE!S109)</f>
        <v/>
      </c>
      <c r="T109" s="678" t="str">
        <f>+IF(NOVIEMBRE!T109=0,"",NOVIEMBRE!T109)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c r="BQ109" s="451"/>
    </row>
    <row r="110" spans="1:70" s="372" customFormat="1" ht="24.95" customHeight="1">
      <c r="A110" s="721" t="str">
        <f>+IF(NOVIEMBRE!A110=0,"",NOVIEMBRE!A110)</f>
        <v>11304-6</v>
      </c>
      <c r="B110" s="602" t="str">
        <f>+IF(NOVIEMBRE!B110=0,"",NOVIEMBRE!B110)</f>
        <v>Otros</v>
      </c>
      <c r="C110" s="654">
        <f>+ENERO!C110</f>
        <v>0</v>
      </c>
      <c r="D110" s="363">
        <f>NOVIEMBRE!D110+DICIEMBRE!P110</f>
        <v>0</v>
      </c>
      <c r="E110" s="363">
        <f>NOVIEMBRE!E110+DICIEMBRE!Q110</f>
        <v>2205940</v>
      </c>
      <c r="F110" s="363">
        <f t="shared" si="112"/>
        <v>2205940</v>
      </c>
      <c r="G110" s="363">
        <f>NOVIEMBRE!I110</f>
        <v>2205940</v>
      </c>
      <c r="H110" s="364">
        <v>0</v>
      </c>
      <c r="I110" s="363">
        <f t="shared" si="113"/>
        <v>2205940</v>
      </c>
      <c r="J110" s="363">
        <f>NOVIEMBRE!L110</f>
        <v>2205940</v>
      </c>
      <c r="K110" s="364">
        <v>0</v>
      </c>
      <c r="L110" s="363">
        <f t="shared" si="114"/>
        <v>2205940</v>
      </c>
      <c r="M110" s="363">
        <f t="shared" si="115"/>
        <v>0</v>
      </c>
      <c r="N110" s="143">
        <f t="shared" si="116"/>
        <v>0</v>
      </c>
      <c r="P110" s="362">
        <v>0</v>
      </c>
      <c r="Q110" s="365">
        <v>0</v>
      </c>
      <c r="R110" s="9"/>
      <c r="S110" s="686">
        <f>+IF(NOVIEMBRE!S110=0,"",NOVIEMBRE!S110)</f>
        <v>2000000</v>
      </c>
      <c r="T110" s="668" t="str">
        <f>+IF(NOVIEMBRE!T110=0,"",NOVIEMBRE!T110)</f>
        <v>GASTOS GENERALES</v>
      </c>
      <c r="U110" s="460">
        <f t="shared" ref="U110:AJ110" si="118">U112+U145</f>
        <v>11975719527</v>
      </c>
      <c r="V110" s="461">
        <f t="shared" si="118"/>
        <v>-1068000000</v>
      </c>
      <c r="W110" s="461">
        <f t="shared" si="118"/>
        <v>4409616634</v>
      </c>
      <c r="X110" s="462">
        <f t="shared" si="118"/>
        <v>15317336161</v>
      </c>
      <c r="Y110" s="369">
        <f t="shared" si="118"/>
        <v>12942455562</v>
      </c>
      <c r="Z110" s="461">
        <f t="shared" si="118"/>
        <v>189917733</v>
      </c>
      <c r="AA110" s="462">
        <f t="shared" si="118"/>
        <v>13132373295</v>
      </c>
      <c r="AB110" s="369">
        <f t="shared" si="118"/>
        <v>11411293654</v>
      </c>
      <c r="AC110" s="461">
        <f t="shared" si="118"/>
        <v>1721079641</v>
      </c>
      <c r="AD110" s="462">
        <f t="shared" si="118"/>
        <v>13132373295</v>
      </c>
      <c r="AE110" s="369">
        <f t="shared" si="118"/>
        <v>9495469015</v>
      </c>
      <c r="AF110" s="461">
        <f t="shared" si="118"/>
        <v>1539370944</v>
      </c>
      <c r="AG110" s="462">
        <f t="shared" si="118"/>
        <v>11034839959</v>
      </c>
      <c r="AH110" s="369">
        <f t="shared" si="118"/>
        <v>2184962866</v>
      </c>
      <c r="AI110" s="461">
        <f t="shared" si="118"/>
        <v>2184962866</v>
      </c>
      <c r="AJ110" s="370">
        <f t="shared" si="118"/>
        <v>4282496202</v>
      </c>
      <c r="AK110" s="10"/>
      <c r="AL110" s="128">
        <f>AL112+AL145</f>
        <v>0</v>
      </c>
      <c r="AM110" s="130">
        <f>AM112+AM145</f>
        <v>430000000</v>
      </c>
      <c r="AN110" s="9"/>
      <c r="AO110" s="284"/>
      <c r="AP110" s="284"/>
      <c r="AQ110" s="284"/>
      <c r="AR110" s="284"/>
      <c r="AS110" s="284"/>
      <c r="AT110" s="284"/>
      <c r="AU110" s="284"/>
      <c r="AV110" s="284"/>
      <c r="AW110" s="284"/>
      <c r="AX110" s="284"/>
      <c r="AY110" s="284"/>
      <c r="AZ110" s="284"/>
      <c r="BQ110" s="451"/>
    </row>
    <row r="111" spans="1:70" s="372" customFormat="1" ht="24.95" customHeight="1" thickBot="1">
      <c r="A111" s="721" t="str">
        <f>+IF(NOVIEMBRE!A111=0,"",NOVIEMBRE!A111)</f>
        <v>11304-7</v>
      </c>
      <c r="B111" s="637" t="str">
        <f>+IF(NOVIEMBRE!B111=0,"",NOVIEMBRE!B111)</f>
        <v>Vigencia Anterior</v>
      </c>
      <c r="C111" s="760">
        <f>+ENERO!C111</f>
        <v>0</v>
      </c>
      <c r="D111" s="375">
        <f>NOVIEMBRE!D111+DICIEMBRE!P111</f>
        <v>0</v>
      </c>
      <c r="E111" s="375">
        <f>NOVIEMBRE!E111+DICIEMBRE!Q111</f>
        <v>0</v>
      </c>
      <c r="F111" s="375">
        <f t="shared" si="112"/>
        <v>0</v>
      </c>
      <c r="G111" s="375">
        <f>NOVIEMBRE!I111</f>
        <v>0</v>
      </c>
      <c r="H111" s="378">
        <v>2618000</v>
      </c>
      <c r="I111" s="375">
        <f t="shared" si="113"/>
        <v>2618000</v>
      </c>
      <c r="J111" s="375">
        <f>NOVIEMBRE!L111</f>
        <v>0</v>
      </c>
      <c r="K111" s="378">
        <v>2618000</v>
      </c>
      <c r="L111" s="375">
        <f t="shared" si="114"/>
        <v>2618000</v>
      </c>
      <c r="M111" s="375">
        <f t="shared" si="115"/>
        <v>-2618000</v>
      </c>
      <c r="N111" s="376">
        <f t="shared" si="116"/>
        <v>-2618000</v>
      </c>
      <c r="P111" s="362">
        <v>0</v>
      </c>
      <c r="Q111" s="365">
        <v>0</v>
      </c>
      <c r="R111" s="9"/>
      <c r="S111" s="356" t="str">
        <f>+IF(NOVIEMBRE!S111=0,"",NOVIEMBRE!S111)</f>
        <v/>
      </c>
      <c r="T111" s="678" t="str">
        <f>+IF(NOVIEMBRE!T111=0,"",NOVIEMBRE!T111)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c r="BQ111" s="451"/>
    </row>
    <row r="112" spans="1:70" s="372" customFormat="1" ht="24.95" customHeight="1" thickBot="1">
      <c r="A112" s="722" t="str">
        <f>+IF(NOVIEMBRE!A112=0,"",NOVIEMBRE!A112)</f>
        <v/>
      </c>
      <c r="B112" s="636" t="str">
        <f>+IF(NOVIEMBRE!B112=0,"",NOVIEMBRE!B112)</f>
        <v/>
      </c>
      <c r="C112" s="470"/>
      <c r="D112" s="470"/>
      <c r="E112" s="470"/>
      <c r="F112" s="470"/>
      <c r="G112" s="470"/>
      <c r="H112" s="470"/>
      <c r="I112" s="470"/>
      <c r="J112" s="470"/>
      <c r="K112" s="470"/>
      <c r="L112" s="470"/>
      <c r="M112" s="470"/>
      <c r="N112" s="471"/>
      <c r="P112" s="472"/>
      <c r="Q112" s="471"/>
      <c r="R112" s="9"/>
      <c r="S112" s="686">
        <f>+IF(NOVIEMBRE!S112=0,"",NOVIEMBRE!S112)</f>
        <v>2010000</v>
      </c>
      <c r="T112" s="662" t="str">
        <f>+IF(NOVIEMBRE!T112=0,"",NOVIEMBRE!T112)</f>
        <v>Gastos de Administración</v>
      </c>
      <c r="U112" s="132">
        <f t="shared" ref="U112:AJ112" si="119">U114+U123+U141</f>
        <v>6052082264</v>
      </c>
      <c r="V112" s="122">
        <f t="shared" si="119"/>
        <v>-1470000000</v>
      </c>
      <c r="W112" s="122">
        <f t="shared" si="119"/>
        <v>1244314729</v>
      </c>
      <c r="X112" s="129">
        <f t="shared" si="119"/>
        <v>5826396993</v>
      </c>
      <c r="Y112" s="128">
        <f t="shared" si="119"/>
        <v>5092686532</v>
      </c>
      <c r="Z112" s="122">
        <f t="shared" si="119"/>
        <v>189678389</v>
      </c>
      <c r="AA112" s="129">
        <f t="shared" si="119"/>
        <v>5282364921</v>
      </c>
      <c r="AB112" s="128">
        <f t="shared" si="119"/>
        <v>4638205162</v>
      </c>
      <c r="AC112" s="122">
        <f t="shared" si="119"/>
        <v>644159759</v>
      </c>
      <c r="AD112" s="129">
        <f t="shared" si="119"/>
        <v>5282364921</v>
      </c>
      <c r="AE112" s="128">
        <f t="shared" si="119"/>
        <v>4051653023</v>
      </c>
      <c r="AF112" s="122">
        <f t="shared" si="119"/>
        <v>645086234</v>
      </c>
      <c r="AG112" s="129">
        <f t="shared" si="119"/>
        <v>4696739257</v>
      </c>
      <c r="AH112" s="128">
        <f t="shared" si="119"/>
        <v>544032072</v>
      </c>
      <c r="AI112" s="122">
        <f t="shared" si="119"/>
        <v>544032072</v>
      </c>
      <c r="AJ112" s="130">
        <f t="shared" si="119"/>
        <v>1129657736</v>
      </c>
      <c r="AK112" s="9"/>
      <c r="AL112" s="128">
        <f>AL114+AL123+AL141</f>
        <v>0</v>
      </c>
      <c r="AM112" s="130">
        <f>AM114+AM123+AM141</f>
        <v>30000000</v>
      </c>
      <c r="AN112" s="9"/>
      <c r="AO112" s="284"/>
      <c r="AP112" s="284"/>
      <c r="AQ112" s="284"/>
      <c r="AR112" s="284"/>
      <c r="AS112" s="284"/>
      <c r="AT112" s="284"/>
      <c r="AU112" s="284"/>
      <c r="AV112" s="284"/>
      <c r="AW112" s="284"/>
      <c r="AX112" s="284"/>
      <c r="AY112" s="284"/>
      <c r="AZ112" s="284"/>
      <c r="BQ112" s="451"/>
    </row>
    <row r="113" spans="1:69" s="372" customFormat="1" ht="24.95" customHeight="1" thickBot="1">
      <c r="A113" s="711">
        <f>+IF(NOVIEMBRE!A113=0,"",NOVIEMBRE!A113)</f>
        <v>2000</v>
      </c>
      <c r="B113" s="623" t="str">
        <f>+IF(NOVIEMBRE!B113=0,"",NOVIEMBRE!B113)</f>
        <v>INGRESOS DE CAPITAL</v>
      </c>
      <c r="C113" s="606">
        <f>SUM(C115:C124)</f>
        <v>200295319</v>
      </c>
      <c r="D113" s="607">
        <f>SUM(D115:D124)</f>
        <v>0</v>
      </c>
      <c r="E113" s="607">
        <f t="shared" ref="E113:N113" si="120">SUM(E115:E124)</f>
        <v>612154974</v>
      </c>
      <c r="F113" s="607">
        <f t="shared" si="120"/>
        <v>812450293</v>
      </c>
      <c r="G113" s="607">
        <f t="shared" si="120"/>
        <v>778505075</v>
      </c>
      <c r="H113" s="607">
        <f t="shared" si="120"/>
        <v>21433027</v>
      </c>
      <c r="I113" s="607">
        <f t="shared" si="120"/>
        <v>799938102</v>
      </c>
      <c r="J113" s="607">
        <f t="shared" si="120"/>
        <v>778505075</v>
      </c>
      <c r="K113" s="607">
        <f t="shared" si="120"/>
        <v>21433027</v>
      </c>
      <c r="L113" s="607">
        <f t="shared" si="120"/>
        <v>799938102</v>
      </c>
      <c r="M113" s="607">
        <f t="shared" si="120"/>
        <v>12512191</v>
      </c>
      <c r="N113" s="608">
        <f t="shared" si="120"/>
        <v>12512191</v>
      </c>
      <c r="O113" s="451"/>
      <c r="P113" s="174">
        <f>SUM(P115:P124)</f>
        <v>0</v>
      </c>
      <c r="Q113" s="175">
        <f>SUM(Q115:Q124)</f>
        <v>7660367</v>
      </c>
      <c r="R113" s="9"/>
      <c r="S113" s="356" t="str">
        <f>+IF(NOVIEMBRE!S113=0,"",NOVIEMBRE!S113)</f>
        <v/>
      </c>
      <c r="T113" s="678" t="str">
        <f>+IF(NOVIEMBRE!T113=0,"",NOVIEMBRE!T113)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c r="BQ113" s="451"/>
    </row>
    <row r="114" spans="1:69" s="372" customFormat="1" ht="24.95" customHeight="1" thickBot="1">
      <c r="A114" s="722" t="str">
        <f>+IF(NOVIEMBRE!A114=0,"",NOVIEMBRE!A114)</f>
        <v/>
      </c>
      <c r="B114" s="636" t="str">
        <f>+IF(NOVIEMBRE!B114=0,"",NOVIEMBRE!B114)</f>
        <v/>
      </c>
      <c r="C114" s="470"/>
      <c r="D114" s="470"/>
      <c r="E114" s="470"/>
      <c r="F114" s="470"/>
      <c r="G114" s="470"/>
      <c r="H114" s="470"/>
      <c r="I114" s="470"/>
      <c r="J114" s="470"/>
      <c r="K114" s="470"/>
      <c r="L114" s="470"/>
      <c r="M114" s="470"/>
      <c r="N114" s="471"/>
      <c r="P114" s="472"/>
      <c r="Q114" s="471"/>
      <c r="R114" s="9"/>
      <c r="S114" s="687">
        <f>+IF(NOVIEMBRE!S114=0,"",NOVIEMBRE!S114)</f>
        <v>2010100</v>
      </c>
      <c r="T114" s="663" t="str">
        <f>+IF(NOVIEMBRE!T114=0,"",NOVIEMBRE!T114)</f>
        <v>Adquisición de bienes</v>
      </c>
      <c r="U114" s="132">
        <f t="shared" ref="U114:AJ114" si="121">SUM(U115:U121)</f>
        <v>2750000000</v>
      </c>
      <c r="V114" s="122">
        <f t="shared" si="121"/>
        <v>-1565000000</v>
      </c>
      <c r="W114" s="122">
        <f t="shared" si="121"/>
        <v>694314729</v>
      </c>
      <c r="X114" s="129">
        <f t="shared" si="121"/>
        <v>1879314729</v>
      </c>
      <c r="Y114" s="128">
        <f t="shared" si="121"/>
        <v>1757264618</v>
      </c>
      <c r="Z114" s="122">
        <f t="shared" si="121"/>
        <v>27305190</v>
      </c>
      <c r="AA114" s="129">
        <f t="shared" si="121"/>
        <v>1784569808</v>
      </c>
      <c r="AB114" s="128">
        <f t="shared" si="121"/>
        <v>1604308520</v>
      </c>
      <c r="AC114" s="122">
        <f t="shared" si="121"/>
        <v>180261288</v>
      </c>
      <c r="AD114" s="129">
        <f t="shared" si="121"/>
        <v>1784569808</v>
      </c>
      <c r="AE114" s="128">
        <f t="shared" si="121"/>
        <v>1442814716</v>
      </c>
      <c r="AF114" s="122">
        <f t="shared" si="121"/>
        <v>200890284</v>
      </c>
      <c r="AG114" s="129">
        <f t="shared" si="121"/>
        <v>1643705000</v>
      </c>
      <c r="AH114" s="128">
        <f t="shared" si="121"/>
        <v>94744921</v>
      </c>
      <c r="AI114" s="122">
        <f t="shared" si="121"/>
        <v>94744921</v>
      </c>
      <c r="AJ114" s="130">
        <f t="shared" si="121"/>
        <v>235609729</v>
      </c>
      <c r="AK114" s="9"/>
      <c r="AL114" s="128">
        <f>SUM(AL115:AL121)</f>
        <v>0</v>
      </c>
      <c r="AM114" s="130">
        <f>SUM(AM115:AM121)</f>
        <v>0</v>
      </c>
      <c r="AN114" s="9"/>
      <c r="AO114" s="284"/>
      <c r="AP114" s="284"/>
      <c r="AQ114" s="284"/>
      <c r="AR114" s="284"/>
      <c r="AS114" s="284"/>
      <c r="AT114" s="284"/>
      <c r="AU114" s="284"/>
      <c r="AV114" s="284"/>
      <c r="AW114" s="284"/>
      <c r="AX114" s="284"/>
      <c r="AY114" s="284"/>
      <c r="AZ114" s="284"/>
      <c r="BQ114" s="451"/>
    </row>
    <row r="115" spans="1:69" s="372" customFormat="1" ht="24.95" customHeight="1">
      <c r="A115" s="723">
        <f>+IF(NOVIEMBRE!A115=0,"",NOVIEMBRE!A115)</f>
        <v>2100</v>
      </c>
      <c r="B115" s="609" t="str">
        <f>+IF(NOVIEMBRE!B115=0,"",NOVIEMBRE!B115)</f>
        <v>CREDITO INTERNO</v>
      </c>
      <c r="C115" s="655">
        <f>+ENERO!C115</f>
        <v>0</v>
      </c>
      <c r="D115" s="454">
        <f>NOVIEMBRE!D115+DICIEMBRE!P115</f>
        <v>0</v>
      </c>
      <c r="E115" s="454">
        <f>NOVIEMBRE!E115+DICIEMBRE!Q115</f>
        <v>0</v>
      </c>
      <c r="F115" s="458">
        <f t="shared" ref="F115:F124" si="122">SUM(C115:E115)</f>
        <v>0</v>
      </c>
      <c r="G115" s="456">
        <f>NOVIEMBRE!I115</f>
        <v>0</v>
      </c>
      <c r="H115" s="364">
        <v>0</v>
      </c>
      <c r="I115" s="458">
        <f t="shared" ref="I115:I124" si="123">SUM(G115:H115)</f>
        <v>0</v>
      </c>
      <c r="J115" s="456">
        <f>NOVIEMBRE!L115</f>
        <v>0</v>
      </c>
      <c r="K115" s="364">
        <v>0</v>
      </c>
      <c r="L115" s="455">
        <f t="shared" ref="L115:L124" si="124">SUM(J115:K115)</f>
        <v>0</v>
      </c>
      <c r="M115" s="459">
        <f t="shared" ref="M115:M124" si="125">F115-I115</f>
        <v>0</v>
      </c>
      <c r="N115" s="455">
        <f t="shared" ref="N115:N124" si="126">F115-L115</f>
        <v>0</v>
      </c>
      <c r="O115" s="451"/>
      <c r="P115" s="362">
        <v>0</v>
      </c>
      <c r="Q115" s="365">
        <v>0</v>
      </c>
      <c r="R115" s="9"/>
      <c r="S115" s="688" t="str">
        <f>+IF(NOVIEMBRE!S115=0,"",NOVIEMBRE!S115)</f>
        <v>2010100-1</v>
      </c>
      <c r="T115" s="664" t="str">
        <f>+IF(NOVIEMBRE!T115=0,"",NOVIEMBRE!T115)</f>
        <v>Compra de Equipos</v>
      </c>
      <c r="U115" s="27">
        <f>+ENERO!U115</f>
        <v>2350000000</v>
      </c>
      <c r="V115" s="15">
        <f>NOVIEMBRE!V115+DICIEMBRE!AL115</f>
        <v>-1730000000</v>
      </c>
      <c r="W115" s="15">
        <f>NOVIEMBRE!W115+DICIEMBRE!AM115</f>
        <v>0</v>
      </c>
      <c r="X115" s="18">
        <f t="shared" ref="X115:X121" si="127">SUM(U115:W115)</f>
        <v>620000000</v>
      </c>
      <c r="Y115" s="19">
        <f>NOVIEMBRE!AA115</f>
        <v>598302526</v>
      </c>
      <c r="Z115" s="364">
        <v>-43908144</v>
      </c>
      <c r="AA115" s="18">
        <f t="shared" ref="AA115:AA121" si="128">SUM(Y115:Z115)</f>
        <v>554394382</v>
      </c>
      <c r="AB115" s="19">
        <f>NOVIEMBRE!AD115</f>
        <v>554394382</v>
      </c>
      <c r="AC115" s="364">
        <v>0</v>
      </c>
      <c r="AD115" s="18">
        <f t="shared" ref="AD115:AD121" si="129">SUM(AB115:AC115)</f>
        <v>554394382</v>
      </c>
      <c r="AE115" s="19">
        <f>NOVIEMBRE!AG115</f>
        <v>517681097</v>
      </c>
      <c r="AF115" s="364">
        <v>36713285</v>
      </c>
      <c r="AG115" s="18">
        <f t="shared" ref="AG115:AG121" si="130">SUM(AE115:AF115)</f>
        <v>554394382</v>
      </c>
      <c r="AH115" s="19">
        <f t="shared" ref="AH115:AH121" si="131">X115-AA115</f>
        <v>65605618</v>
      </c>
      <c r="AI115" s="15">
        <f t="shared" ref="AI115:AI121" si="132">X115-AD115</f>
        <v>65605618</v>
      </c>
      <c r="AJ115" s="16">
        <f t="shared" ref="AJ115:AJ121" si="133">X115-AG115</f>
        <v>65605618</v>
      </c>
      <c r="AK115" s="9"/>
      <c r="AL115" s="362">
        <v>0</v>
      </c>
      <c r="AM115" s="365">
        <v>0</v>
      </c>
      <c r="AN115" s="9"/>
      <c r="AO115" s="284"/>
      <c r="AP115" s="284"/>
      <c r="AQ115" s="284"/>
      <c r="AR115" s="284"/>
      <c r="AS115" s="284"/>
      <c r="AT115" s="284"/>
      <c r="AU115" s="284"/>
      <c r="AV115" s="284"/>
      <c r="AW115" s="284"/>
      <c r="AX115" s="284"/>
      <c r="AY115" s="284"/>
      <c r="AZ115" s="284"/>
      <c r="BQ115" s="451"/>
    </row>
    <row r="116" spans="1:69" s="372" customFormat="1" ht="24.95" customHeight="1">
      <c r="A116" s="723" t="str">
        <f>+IF(NOVIEMBRE!A116=0,"",NOVIEMBRE!A116)</f>
        <v>2100-1</v>
      </c>
      <c r="B116" s="610" t="str">
        <f>+IF(NOVIEMBRE!B116=0,"",NOVIEMBRE!B116)</f>
        <v>Vigencia Anterior</v>
      </c>
      <c r="C116" s="655">
        <f>+ENERO!C116</f>
        <v>0</v>
      </c>
      <c r="D116" s="454">
        <f>NOVIEMBRE!D116+DICIEMBRE!P116</f>
        <v>0</v>
      </c>
      <c r="E116" s="454">
        <f>NOVIEMBRE!E116+DICIEMBRE!Q116</f>
        <v>0</v>
      </c>
      <c r="F116" s="458">
        <f t="shared" si="122"/>
        <v>0</v>
      </c>
      <c r="G116" s="456">
        <f>NOVIEMBRE!I116</f>
        <v>0</v>
      </c>
      <c r="H116" s="364">
        <v>0</v>
      </c>
      <c r="I116" s="458">
        <f t="shared" si="123"/>
        <v>0</v>
      </c>
      <c r="J116" s="456">
        <f>NOVIEMBRE!L116</f>
        <v>0</v>
      </c>
      <c r="K116" s="364">
        <v>0</v>
      </c>
      <c r="L116" s="455">
        <f t="shared" si="124"/>
        <v>0</v>
      </c>
      <c r="M116" s="459">
        <f t="shared" si="125"/>
        <v>0</v>
      </c>
      <c r="N116" s="455">
        <f t="shared" si="126"/>
        <v>0</v>
      </c>
      <c r="O116" s="451"/>
      <c r="P116" s="362">
        <v>0</v>
      </c>
      <c r="Q116" s="365">
        <v>0</v>
      </c>
      <c r="R116" s="9"/>
      <c r="S116" s="688" t="str">
        <f>+IF(NOVIEMBRE!S116=0,"",NOVIEMBRE!S116)</f>
        <v>2010100-2</v>
      </c>
      <c r="T116" s="664" t="str">
        <f>+IF(NOVIEMBRE!T116=0,"",NOVIEMBRE!T116)</f>
        <v>Materiales</v>
      </c>
      <c r="U116" s="27">
        <f>+ENERO!U116</f>
        <v>300000000</v>
      </c>
      <c r="V116" s="15">
        <f>NOVIEMBRE!V116+DICIEMBRE!AL116</f>
        <v>0</v>
      </c>
      <c r="W116" s="15">
        <f>NOVIEMBRE!W116+DICIEMBRE!AM116</f>
        <v>294314729</v>
      </c>
      <c r="X116" s="18">
        <f t="shared" si="127"/>
        <v>594314729</v>
      </c>
      <c r="Y116" s="19">
        <f>NOVIEMBRE!AA116</f>
        <v>499612606</v>
      </c>
      <c r="Z116" s="364">
        <v>69588334</v>
      </c>
      <c r="AA116" s="18">
        <f t="shared" si="128"/>
        <v>569200940</v>
      </c>
      <c r="AB116" s="19">
        <f>NOVIEMBRE!AD116</f>
        <v>468771921</v>
      </c>
      <c r="AC116" s="364">
        <v>100429019</v>
      </c>
      <c r="AD116" s="18">
        <f t="shared" si="129"/>
        <v>569200940</v>
      </c>
      <c r="AE116" s="19">
        <f>NOVIEMBRE!AG116</f>
        <v>343991402</v>
      </c>
      <c r="AF116" s="364">
        <v>123254730</v>
      </c>
      <c r="AG116" s="18">
        <f t="shared" si="130"/>
        <v>467246132</v>
      </c>
      <c r="AH116" s="19">
        <f t="shared" si="131"/>
        <v>25113789</v>
      </c>
      <c r="AI116" s="15">
        <f t="shared" si="132"/>
        <v>25113789</v>
      </c>
      <c r="AJ116" s="16">
        <f t="shared" si="133"/>
        <v>127068597</v>
      </c>
      <c r="AK116" s="9"/>
      <c r="AL116" s="362">
        <v>0</v>
      </c>
      <c r="AM116" s="365">
        <v>0</v>
      </c>
      <c r="AN116" s="9"/>
      <c r="AO116" s="284"/>
      <c r="AP116" s="284"/>
      <c r="AQ116" s="284"/>
      <c r="AR116" s="284"/>
      <c r="AS116" s="284"/>
      <c r="AT116" s="284"/>
      <c r="AU116" s="284"/>
      <c r="AV116" s="284"/>
      <c r="AW116" s="284"/>
      <c r="AX116" s="284"/>
      <c r="AY116" s="284"/>
      <c r="AZ116" s="284"/>
      <c r="BQ116" s="451"/>
    </row>
    <row r="117" spans="1:69" s="372" customFormat="1" ht="24.95" customHeight="1">
      <c r="A117" s="723">
        <f>+IF(NOVIEMBRE!A117=0,"",NOVIEMBRE!A117)</f>
        <v>2200</v>
      </c>
      <c r="B117" s="609" t="str">
        <f>+IF(NOVIEMBRE!B117=0,"",NOVIEMBRE!B117)</f>
        <v>CREDITO EXTERNO</v>
      </c>
      <c r="C117" s="655">
        <f>+ENERO!C117</f>
        <v>0</v>
      </c>
      <c r="D117" s="454">
        <f>NOVIEMBRE!D117+DICIEMBRE!P117</f>
        <v>0</v>
      </c>
      <c r="E117" s="454">
        <f>NOVIEMBRE!E117+DICIEMBRE!Q117</f>
        <v>0</v>
      </c>
      <c r="F117" s="458">
        <f t="shared" si="122"/>
        <v>0</v>
      </c>
      <c r="G117" s="456">
        <f>NOVIEMBRE!I117</f>
        <v>0</v>
      </c>
      <c r="H117" s="364">
        <v>0</v>
      </c>
      <c r="I117" s="458">
        <f t="shared" si="123"/>
        <v>0</v>
      </c>
      <c r="J117" s="456">
        <f>NOVIEMBRE!L117</f>
        <v>0</v>
      </c>
      <c r="K117" s="364">
        <v>0</v>
      </c>
      <c r="L117" s="455">
        <f t="shared" si="124"/>
        <v>0</v>
      </c>
      <c r="M117" s="459">
        <f t="shared" si="125"/>
        <v>0</v>
      </c>
      <c r="N117" s="455">
        <f t="shared" si="126"/>
        <v>0</v>
      </c>
      <c r="O117" s="451"/>
      <c r="P117" s="362">
        <v>0</v>
      </c>
      <c r="Q117" s="365">
        <v>0</v>
      </c>
      <c r="R117" s="9"/>
      <c r="S117" s="688" t="str">
        <f>+IF(NOVIEMBRE!S117=0,"",NOVIEMBRE!S117)</f>
        <v>2010100-3</v>
      </c>
      <c r="T117" s="664" t="str">
        <f>+IF(NOVIEMBRE!T117=0,"",NOVIEMBRE!T117)</f>
        <v>Salud Ocupacional</v>
      </c>
      <c r="U117" s="27">
        <f>+ENERO!U117</f>
        <v>0</v>
      </c>
      <c r="V117" s="15">
        <f>NOVIEMBRE!V117+DICIEMBRE!AL117</f>
        <v>40000000</v>
      </c>
      <c r="W117" s="15">
        <f>NOVIEMBRE!W117+DICIEMBRE!AM117</f>
        <v>0</v>
      </c>
      <c r="X117" s="18">
        <f t="shared" si="127"/>
        <v>40000000</v>
      </c>
      <c r="Y117" s="19">
        <f>NOVIEMBRE!AA117</f>
        <v>40000000</v>
      </c>
      <c r="Z117" s="364">
        <v>-1090000</v>
      </c>
      <c r="AA117" s="18">
        <f t="shared" si="128"/>
        <v>38910000</v>
      </c>
      <c r="AB117" s="19">
        <f>NOVIEMBRE!AD117</f>
        <v>0</v>
      </c>
      <c r="AC117" s="364">
        <v>38910000</v>
      </c>
      <c r="AD117" s="18">
        <f t="shared" si="129"/>
        <v>38910000</v>
      </c>
      <c r="AE117" s="19">
        <f>NOVIEMBRE!AG117</f>
        <v>0</v>
      </c>
      <c r="AF117" s="364">
        <v>0</v>
      </c>
      <c r="AG117" s="18">
        <f t="shared" si="130"/>
        <v>0</v>
      </c>
      <c r="AH117" s="19">
        <f t="shared" si="131"/>
        <v>1090000</v>
      </c>
      <c r="AI117" s="15">
        <f t="shared" si="132"/>
        <v>1090000</v>
      </c>
      <c r="AJ117" s="16">
        <f t="shared" si="133"/>
        <v>40000000</v>
      </c>
      <c r="AK117" s="9"/>
      <c r="AL117" s="362">
        <v>0</v>
      </c>
      <c r="AM117" s="365">
        <v>0</v>
      </c>
      <c r="AN117" s="9"/>
      <c r="AO117" s="284"/>
      <c r="AP117" s="284"/>
      <c r="AQ117" s="284"/>
      <c r="AR117" s="284"/>
      <c r="AS117" s="284"/>
      <c r="AT117" s="284"/>
      <c r="AU117" s="284"/>
      <c r="AV117" s="284"/>
      <c r="AW117" s="284"/>
      <c r="AX117" s="284"/>
      <c r="AY117" s="284"/>
      <c r="AZ117" s="284"/>
      <c r="BQ117" s="451"/>
    </row>
    <row r="118" spans="1:69" s="372" customFormat="1" ht="24.95" customHeight="1">
      <c r="A118" s="724" t="str">
        <f>+IF(NOVIEMBRE!A118=0,"",NOVIEMBRE!A118)</f>
        <v>2200-1</v>
      </c>
      <c r="B118" s="610" t="str">
        <f>+IF(NOVIEMBRE!B118=0,"",NOVIEMBRE!B118)</f>
        <v>Vigencia Anterior</v>
      </c>
      <c r="C118" s="655">
        <f>+ENERO!C118</f>
        <v>0</v>
      </c>
      <c r="D118" s="454">
        <f>NOVIEMBRE!D118+DICIEMBRE!P118</f>
        <v>0</v>
      </c>
      <c r="E118" s="454">
        <f>NOVIEMBRE!E118+DICIEMBRE!Q118</f>
        <v>0</v>
      </c>
      <c r="F118" s="458">
        <f t="shared" si="122"/>
        <v>0</v>
      </c>
      <c r="G118" s="456">
        <f>NOVIEMBRE!I118</f>
        <v>0</v>
      </c>
      <c r="H118" s="364">
        <v>0</v>
      </c>
      <c r="I118" s="458">
        <f t="shared" si="123"/>
        <v>0</v>
      </c>
      <c r="J118" s="456">
        <f>NOVIEMBRE!L118</f>
        <v>0</v>
      </c>
      <c r="K118" s="364">
        <v>0</v>
      </c>
      <c r="L118" s="455">
        <f t="shared" si="124"/>
        <v>0</v>
      </c>
      <c r="M118" s="459">
        <f t="shared" si="125"/>
        <v>0</v>
      </c>
      <c r="N118" s="455">
        <f t="shared" si="126"/>
        <v>0</v>
      </c>
      <c r="O118" s="451"/>
      <c r="P118" s="362">
        <v>0</v>
      </c>
      <c r="Q118" s="365">
        <v>0</v>
      </c>
      <c r="R118" s="9"/>
      <c r="S118" s="688" t="str">
        <f>+IF(NOVIEMBRE!S118=0,"",NOVIEMBRE!S118)</f>
        <v>2010100-4</v>
      </c>
      <c r="T118" s="664" t="str">
        <f>+IF(NOVIEMBRE!T118=0,"",NOVIEMBRE!T118)</f>
        <v/>
      </c>
      <c r="U118" s="27">
        <f>+ENERO!U118</f>
        <v>0</v>
      </c>
      <c r="V118" s="15">
        <f>NOVIEMBRE!V118+DICIEMBRE!AL118</f>
        <v>105000000</v>
      </c>
      <c r="W118" s="15">
        <f>NOVIEMBRE!W118+DICIEMBRE!AM118</f>
        <v>0</v>
      </c>
      <c r="X118" s="18">
        <f t="shared" si="127"/>
        <v>105000000</v>
      </c>
      <c r="Y118" s="19">
        <f>NOVIEMBRE!AA118</f>
        <v>103207269</v>
      </c>
      <c r="Z118" s="364">
        <v>0</v>
      </c>
      <c r="AA118" s="18">
        <f t="shared" si="128"/>
        <v>103207269</v>
      </c>
      <c r="AB118" s="19">
        <f>NOVIEMBRE!AD118</f>
        <v>65000000</v>
      </c>
      <c r="AC118" s="364">
        <v>38207269</v>
      </c>
      <c r="AD118" s="18">
        <f t="shared" si="129"/>
        <v>103207269</v>
      </c>
      <c r="AE118" s="19">
        <f>NOVIEMBRE!AG118</f>
        <v>65000000</v>
      </c>
      <c r="AF118" s="364">
        <v>38207269</v>
      </c>
      <c r="AG118" s="18">
        <f t="shared" si="130"/>
        <v>103207269</v>
      </c>
      <c r="AH118" s="19">
        <f t="shared" si="131"/>
        <v>1792731</v>
      </c>
      <c r="AI118" s="15">
        <f t="shared" si="132"/>
        <v>1792731</v>
      </c>
      <c r="AJ118" s="16">
        <f t="shared" si="133"/>
        <v>1792731</v>
      </c>
      <c r="AK118" s="9"/>
      <c r="AL118" s="362">
        <v>0</v>
      </c>
      <c r="AM118" s="365">
        <v>0</v>
      </c>
      <c r="AN118" s="9"/>
      <c r="AO118" s="284"/>
      <c r="AP118" s="284"/>
      <c r="AQ118" s="284"/>
      <c r="AR118" s="284"/>
      <c r="AS118" s="284"/>
      <c r="AT118" s="284"/>
      <c r="AU118" s="284"/>
      <c r="AV118" s="284"/>
      <c r="AW118" s="284"/>
      <c r="AX118" s="284"/>
      <c r="AY118" s="284"/>
      <c r="AZ118" s="284"/>
      <c r="BQ118" s="451"/>
    </row>
    <row r="119" spans="1:69" s="372" customFormat="1" ht="24.95" customHeight="1">
      <c r="A119" s="723">
        <f>+IF(NOVIEMBRE!A119=0,"",NOVIEMBRE!A119)</f>
        <v>2300</v>
      </c>
      <c r="B119" s="609" t="str">
        <f>+IF(NOVIEMBRE!B119=0,"",NOVIEMBRE!B119)</f>
        <v>RENDIMIENTOS FINANCIEROS</v>
      </c>
      <c r="C119" s="655">
        <f>+ENERO!C119</f>
        <v>200295319</v>
      </c>
      <c r="D119" s="454">
        <f>NOVIEMBRE!D119+DICIEMBRE!P119</f>
        <v>0</v>
      </c>
      <c r="E119" s="454">
        <f>NOVIEMBRE!E119+DICIEMBRE!Q119</f>
        <v>0</v>
      </c>
      <c r="F119" s="458">
        <f t="shared" si="122"/>
        <v>200295319</v>
      </c>
      <c r="G119" s="216">
        <f>NOVIEMBRE!I119</f>
        <v>166350101</v>
      </c>
      <c r="H119" s="364">
        <v>11736278</v>
      </c>
      <c r="I119" s="463">
        <f t="shared" si="123"/>
        <v>178086379</v>
      </c>
      <c r="J119" s="216">
        <f>NOVIEMBRE!L119</f>
        <v>166350101</v>
      </c>
      <c r="K119" s="364">
        <v>11736278</v>
      </c>
      <c r="L119" s="143">
        <f t="shared" si="124"/>
        <v>178086379</v>
      </c>
      <c r="M119" s="428">
        <f t="shared" si="125"/>
        <v>22208940</v>
      </c>
      <c r="N119" s="143">
        <f t="shared" si="126"/>
        <v>22208940</v>
      </c>
      <c r="O119" s="451"/>
      <c r="P119" s="362">
        <v>0</v>
      </c>
      <c r="Q119" s="365">
        <v>0</v>
      </c>
      <c r="R119" s="9"/>
      <c r="S119" s="688" t="str">
        <f>+IF(NOVIEMBRE!S119=0,"",NOVIEMBRE!S119)</f>
        <v>2010100-5</v>
      </c>
      <c r="T119" s="664" t="str">
        <f>+IF(NOVIEMBRE!T119=0,"",NOVIEMBRE!T119)</f>
        <v/>
      </c>
      <c r="U119" s="27">
        <f>+ENERO!U119</f>
        <v>0</v>
      </c>
      <c r="V119" s="15">
        <f>NOVIEMBRE!V119+DICIEMBRE!AL119</f>
        <v>0</v>
      </c>
      <c r="W119" s="15">
        <f>NOVIEMBRE!W119+DICIEMBRE!AM119</f>
        <v>0</v>
      </c>
      <c r="X119" s="18">
        <f t="shared" si="127"/>
        <v>0</v>
      </c>
      <c r="Y119" s="19">
        <f>NOVIEMBRE!AA119</f>
        <v>0</v>
      </c>
      <c r="Z119" s="364">
        <v>0</v>
      </c>
      <c r="AA119" s="18">
        <f t="shared" si="128"/>
        <v>0</v>
      </c>
      <c r="AB119" s="19">
        <f>NOVIEMBRE!AD119</f>
        <v>0</v>
      </c>
      <c r="AC119" s="364">
        <v>0</v>
      </c>
      <c r="AD119" s="18">
        <f t="shared" si="129"/>
        <v>0</v>
      </c>
      <c r="AE119" s="19">
        <f>NOVIEMBRE!AG119</f>
        <v>0</v>
      </c>
      <c r="AF119" s="364">
        <v>0</v>
      </c>
      <c r="AG119" s="18">
        <f t="shared" si="130"/>
        <v>0</v>
      </c>
      <c r="AH119" s="19">
        <f t="shared" si="131"/>
        <v>0</v>
      </c>
      <c r="AI119" s="15">
        <f t="shared" si="132"/>
        <v>0</v>
      </c>
      <c r="AJ119" s="16">
        <f t="shared" si="133"/>
        <v>0</v>
      </c>
      <c r="AK119" s="9"/>
      <c r="AL119" s="362">
        <v>0</v>
      </c>
      <c r="AM119" s="365">
        <v>0</v>
      </c>
      <c r="AN119" s="9"/>
      <c r="AO119" s="284"/>
      <c r="AP119" s="284"/>
      <c r="AQ119" s="284"/>
      <c r="AR119" s="284"/>
      <c r="AS119" s="284"/>
      <c r="AT119" s="284"/>
      <c r="AU119" s="284"/>
      <c r="AV119" s="284"/>
      <c r="AW119" s="284"/>
      <c r="AX119" s="284"/>
      <c r="AY119" s="284"/>
      <c r="AZ119" s="284"/>
      <c r="BQ119" s="451"/>
    </row>
    <row r="120" spans="1:69" s="372" customFormat="1" ht="24.95" customHeight="1">
      <c r="A120" s="725">
        <f>+IF(NOVIEMBRE!A120=0,"",NOVIEMBRE!A120)</f>
        <v>2400</v>
      </c>
      <c r="B120" s="610" t="str">
        <f>+IF(NOVIEMBRE!B120=0,"",NOVIEMBRE!B120)</f>
        <v>VENTA DE ACTIVOS</v>
      </c>
      <c r="C120" s="655">
        <f>+ENERO!C120</f>
        <v>0</v>
      </c>
      <c r="D120" s="454">
        <f>NOVIEMBRE!D120+DICIEMBRE!P120</f>
        <v>0</v>
      </c>
      <c r="E120" s="454">
        <f>NOVIEMBRE!E120+DICIEMBRE!Q120</f>
        <v>0</v>
      </c>
      <c r="F120" s="458">
        <f t="shared" si="122"/>
        <v>0</v>
      </c>
      <c r="G120" s="216">
        <f>NOVIEMBRE!I120</f>
        <v>0</v>
      </c>
      <c r="H120" s="364">
        <v>0</v>
      </c>
      <c r="I120" s="463">
        <f t="shared" si="123"/>
        <v>0</v>
      </c>
      <c r="J120" s="216">
        <f>NOVIEMBRE!L120</f>
        <v>0</v>
      </c>
      <c r="K120" s="364">
        <v>0</v>
      </c>
      <c r="L120" s="143">
        <f t="shared" si="124"/>
        <v>0</v>
      </c>
      <c r="M120" s="428">
        <f t="shared" si="125"/>
        <v>0</v>
      </c>
      <c r="N120" s="143">
        <f t="shared" si="126"/>
        <v>0</v>
      </c>
      <c r="P120" s="362">
        <v>0</v>
      </c>
      <c r="Q120" s="365">
        <v>0</v>
      </c>
      <c r="R120" s="9"/>
      <c r="S120" s="688" t="str">
        <f>+IF(NOVIEMBRE!S120=0,"",NOVIEMBRE!S120)</f>
        <v>2010100-6</v>
      </c>
      <c r="T120" s="664" t="str">
        <f>+IF(NOVIEMBRE!T120=0,"",NOVIEMBRE!T120)</f>
        <v/>
      </c>
      <c r="U120" s="27">
        <f>+ENERO!U120</f>
        <v>0</v>
      </c>
      <c r="V120" s="15">
        <f>NOVIEMBRE!V120+DICIEMBRE!AL120</f>
        <v>0</v>
      </c>
      <c r="W120" s="15">
        <f>NOVIEMBRE!W120+DICIEMBRE!AM120</f>
        <v>0</v>
      </c>
      <c r="X120" s="18">
        <f t="shared" si="127"/>
        <v>0</v>
      </c>
      <c r="Y120" s="19">
        <f>NOVIEMBRE!AA120</f>
        <v>0</v>
      </c>
      <c r="Z120" s="364">
        <v>0</v>
      </c>
      <c r="AA120" s="18">
        <f t="shared" si="128"/>
        <v>0</v>
      </c>
      <c r="AB120" s="19">
        <f>NOVIEMBRE!AD120</f>
        <v>0</v>
      </c>
      <c r="AC120" s="364">
        <v>0</v>
      </c>
      <c r="AD120" s="18">
        <f t="shared" si="129"/>
        <v>0</v>
      </c>
      <c r="AE120" s="19">
        <f>NOVIEMBRE!AG120</f>
        <v>0</v>
      </c>
      <c r="AF120" s="364">
        <v>0</v>
      </c>
      <c r="AG120" s="18">
        <f t="shared" si="130"/>
        <v>0</v>
      </c>
      <c r="AH120" s="19">
        <f t="shared" si="131"/>
        <v>0</v>
      </c>
      <c r="AI120" s="15">
        <f t="shared" si="132"/>
        <v>0</v>
      </c>
      <c r="AJ120" s="16">
        <f t="shared" si="133"/>
        <v>0</v>
      </c>
      <c r="AK120" s="9"/>
      <c r="AL120" s="362">
        <v>0</v>
      </c>
      <c r="AM120" s="365">
        <v>0</v>
      </c>
      <c r="AN120" s="9"/>
      <c r="AO120" s="284"/>
      <c r="AP120" s="284"/>
      <c r="AQ120" s="284"/>
      <c r="AR120" s="284"/>
      <c r="AS120" s="284"/>
      <c r="AT120" s="284"/>
      <c r="AU120" s="284"/>
      <c r="AV120" s="284"/>
      <c r="AW120" s="284"/>
      <c r="AX120" s="284"/>
      <c r="AY120" s="284"/>
      <c r="AZ120" s="284"/>
      <c r="BQ120" s="451"/>
    </row>
    <row r="121" spans="1:69" s="372" customFormat="1" ht="24.95" customHeight="1">
      <c r="A121" s="725">
        <f>+IF(NOVIEMBRE!A121=0,"",NOVIEMBRE!A121)</f>
        <v>2500</v>
      </c>
      <c r="B121" s="610" t="str">
        <f>+IF(NOVIEMBRE!B121=0,"",NOVIEMBRE!B121)</f>
        <v>DONACIONES</v>
      </c>
      <c r="C121" s="655">
        <f>+ENERO!C121</f>
        <v>0</v>
      </c>
      <c r="D121" s="454">
        <f>NOVIEMBRE!D121+DICIEMBRE!P121</f>
        <v>0</v>
      </c>
      <c r="E121" s="454">
        <f>NOVIEMBRE!E121+DICIEMBRE!Q121</f>
        <v>1500000</v>
      </c>
      <c r="F121" s="458">
        <f t="shared" si="122"/>
        <v>1500000</v>
      </c>
      <c r="G121" s="216">
        <f>NOVIEMBRE!I121</f>
        <v>1500000</v>
      </c>
      <c r="H121" s="364">
        <v>0</v>
      </c>
      <c r="I121" s="463">
        <f t="shared" si="123"/>
        <v>1500000</v>
      </c>
      <c r="J121" s="216">
        <f>NOVIEMBRE!L121</f>
        <v>1500000</v>
      </c>
      <c r="K121" s="364">
        <v>0</v>
      </c>
      <c r="L121" s="143">
        <f t="shared" si="124"/>
        <v>1500000</v>
      </c>
      <c r="M121" s="428">
        <f t="shared" si="125"/>
        <v>0</v>
      </c>
      <c r="N121" s="143">
        <f t="shared" si="126"/>
        <v>0</v>
      </c>
      <c r="P121" s="362">
        <v>0</v>
      </c>
      <c r="Q121" s="365">
        <v>0</v>
      </c>
      <c r="R121" s="9"/>
      <c r="S121" s="688">
        <f>+IF(NOVIEMBRE!S121=0,"",NOVIEMBRE!S121)</f>
        <v>2010199</v>
      </c>
      <c r="T121" s="664" t="str">
        <f>+IF(NOVIEMBRE!T121=0,"",NOVIEMBRE!T121)</f>
        <v>Vigencias Anteriores</v>
      </c>
      <c r="U121" s="27">
        <f>+ENERO!U121</f>
        <v>100000000</v>
      </c>
      <c r="V121" s="15">
        <f>NOVIEMBRE!V121+DICIEMBRE!AL121</f>
        <v>20000000</v>
      </c>
      <c r="W121" s="15">
        <f>NOVIEMBRE!W121+DICIEMBRE!AM121</f>
        <v>400000000</v>
      </c>
      <c r="X121" s="18">
        <f t="shared" si="127"/>
        <v>520000000</v>
      </c>
      <c r="Y121" s="19">
        <f>NOVIEMBRE!AA121</f>
        <v>516142217</v>
      </c>
      <c r="Z121" s="364">
        <v>2715000</v>
      </c>
      <c r="AA121" s="18">
        <f t="shared" si="128"/>
        <v>518857217</v>
      </c>
      <c r="AB121" s="19">
        <f>NOVIEMBRE!AD121</f>
        <v>516142217</v>
      </c>
      <c r="AC121" s="364">
        <v>2715000</v>
      </c>
      <c r="AD121" s="18">
        <f t="shared" si="129"/>
        <v>518857217</v>
      </c>
      <c r="AE121" s="19">
        <f>NOVIEMBRE!AG121</f>
        <v>516142217</v>
      </c>
      <c r="AF121" s="364">
        <v>2715000</v>
      </c>
      <c r="AG121" s="18">
        <f t="shared" si="130"/>
        <v>518857217</v>
      </c>
      <c r="AH121" s="19">
        <f t="shared" si="131"/>
        <v>1142783</v>
      </c>
      <c r="AI121" s="15">
        <f t="shared" si="132"/>
        <v>1142783</v>
      </c>
      <c r="AJ121" s="16">
        <f t="shared" si="133"/>
        <v>1142783</v>
      </c>
      <c r="AK121" s="9"/>
      <c r="AL121" s="362">
        <v>0</v>
      </c>
      <c r="AM121" s="365">
        <v>0</v>
      </c>
      <c r="AN121" s="9"/>
      <c r="AO121" s="284"/>
      <c r="AP121" s="284"/>
      <c r="AQ121" s="284"/>
      <c r="AR121" s="284"/>
      <c r="AS121" s="284"/>
      <c r="AT121" s="284"/>
      <c r="AU121" s="284"/>
      <c r="AV121" s="284"/>
      <c r="AW121" s="284"/>
      <c r="AX121" s="284"/>
      <c r="AY121" s="284"/>
      <c r="AZ121" s="284"/>
      <c r="BQ121" s="451"/>
    </row>
    <row r="122" spans="1:69" s="372" customFormat="1" ht="24.95" customHeight="1">
      <c r="A122" s="725">
        <f>+IF(NOVIEMBRE!A122=0,"",NOVIEMBRE!A122)</f>
        <v>2600</v>
      </c>
      <c r="B122" s="610" t="str">
        <f>+IF(NOVIEMBRE!B122=0,"",NOVIEMBRE!B122)</f>
        <v>RECUPERACIÓN DE CARTERA (AÑO 2017 Y ANTERIORES)</v>
      </c>
      <c r="C122" s="655">
        <f>+ENERO!C122</f>
        <v>0</v>
      </c>
      <c r="D122" s="454">
        <f>NOVIEMBRE!D122+DICIEMBRE!P122</f>
        <v>0</v>
      </c>
      <c r="E122" s="454">
        <f>NOVIEMBRE!E122+DICIEMBRE!Q122</f>
        <v>0</v>
      </c>
      <c r="F122" s="458">
        <f t="shared" si="122"/>
        <v>0</v>
      </c>
      <c r="G122" s="216">
        <f>NOVIEMBRE!I122</f>
        <v>0</v>
      </c>
      <c r="H122" s="364">
        <v>0</v>
      </c>
      <c r="I122" s="463">
        <f t="shared" si="123"/>
        <v>0</v>
      </c>
      <c r="J122" s="216">
        <f>NOVIEMBRE!L122</f>
        <v>0</v>
      </c>
      <c r="K122" s="364">
        <v>0</v>
      </c>
      <c r="L122" s="143">
        <f t="shared" si="124"/>
        <v>0</v>
      </c>
      <c r="M122" s="428">
        <f t="shared" si="125"/>
        <v>0</v>
      </c>
      <c r="N122" s="143">
        <f t="shared" si="126"/>
        <v>0</v>
      </c>
      <c r="P122" s="362">
        <v>0</v>
      </c>
      <c r="Q122" s="365">
        <v>0</v>
      </c>
      <c r="R122" s="9"/>
      <c r="S122" s="356" t="str">
        <f>+IF(NOVIEMBRE!S122=0,"",NOVIEMBRE!S122)</f>
        <v/>
      </c>
      <c r="T122" s="678" t="str">
        <f>+IF(NOVIEMBRE!T122=0,"",NOVIEMBRE!T122)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c r="BQ122" s="451"/>
    </row>
    <row r="123" spans="1:69" s="372" customFormat="1" ht="24.95" customHeight="1">
      <c r="A123" s="726">
        <f>+IF(NOVIEMBRE!A123=0,"",NOVIEMBRE!A123)</f>
        <v>2700</v>
      </c>
      <c r="B123" s="610" t="str">
        <f>+IF(NOVIEMBRE!B123=0,"",NOVIEMBRE!B123)</f>
        <v>OTROS INGRESOS DE CAPITAL</v>
      </c>
      <c r="C123" s="655">
        <f>+ENERO!C123</f>
        <v>0</v>
      </c>
      <c r="D123" s="454">
        <f>NOVIEMBRE!D123+DICIEMBRE!P123</f>
        <v>0</v>
      </c>
      <c r="E123" s="454">
        <f>NOVIEMBRE!E123+DICIEMBRE!Q123</f>
        <v>180022975</v>
      </c>
      <c r="F123" s="458">
        <f t="shared" si="122"/>
        <v>180022975</v>
      </c>
      <c r="G123" s="216">
        <f>NOVIEMBRE!I123</f>
        <v>180022975</v>
      </c>
      <c r="H123" s="364">
        <v>9696749</v>
      </c>
      <c r="I123" s="463">
        <f t="shared" si="123"/>
        <v>189719724</v>
      </c>
      <c r="J123" s="216">
        <f>NOVIEMBRE!L123</f>
        <v>180022975</v>
      </c>
      <c r="K123" s="364">
        <v>9696749</v>
      </c>
      <c r="L123" s="143">
        <f t="shared" si="124"/>
        <v>189719724</v>
      </c>
      <c r="M123" s="428">
        <f t="shared" si="125"/>
        <v>-9696749</v>
      </c>
      <c r="N123" s="143">
        <f t="shared" si="126"/>
        <v>-9696749</v>
      </c>
      <c r="P123" s="362">
        <v>0</v>
      </c>
      <c r="Q123" s="365">
        <v>7660367</v>
      </c>
      <c r="R123" s="9"/>
      <c r="S123" s="687">
        <f>+IF(NOVIEMBRE!S123=0,"",NOVIEMBRE!S123)</f>
        <v>2010200</v>
      </c>
      <c r="T123" s="663" t="str">
        <f>+IF(NOVIEMBRE!T123=0,"",NOVIEMBRE!T123)</f>
        <v>Adquisición de Servicios</v>
      </c>
      <c r="U123" s="132">
        <f t="shared" ref="U123:AJ123" si="134">SUM(U124:U139)</f>
        <v>2775000000</v>
      </c>
      <c r="V123" s="122">
        <f t="shared" si="134"/>
        <v>95000000</v>
      </c>
      <c r="W123" s="122">
        <f t="shared" si="134"/>
        <v>550000000</v>
      </c>
      <c r="X123" s="129">
        <f t="shared" si="134"/>
        <v>3420000000</v>
      </c>
      <c r="Y123" s="128">
        <f t="shared" si="134"/>
        <v>3072535054</v>
      </c>
      <c r="Z123" s="122">
        <f t="shared" si="134"/>
        <v>162373199</v>
      </c>
      <c r="AA123" s="129">
        <f t="shared" si="134"/>
        <v>3234908253</v>
      </c>
      <c r="AB123" s="128">
        <f t="shared" si="134"/>
        <v>2771009782</v>
      </c>
      <c r="AC123" s="122">
        <f t="shared" si="134"/>
        <v>463898471</v>
      </c>
      <c r="AD123" s="129">
        <f t="shared" si="134"/>
        <v>3234908253</v>
      </c>
      <c r="AE123" s="128">
        <f t="shared" si="134"/>
        <v>2361524728</v>
      </c>
      <c r="AF123" s="122">
        <f t="shared" si="134"/>
        <v>428622669</v>
      </c>
      <c r="AG123" s="129">
        <f t="shared" si="134"/>
        <v>2790147397</v>
      </c>
      <c r="AH123" s="128">
        <f t="shared" si="134"/>
        <v>185091747</v>
      </c>
      <c r="AI123" s="122">
        <f t="shared" si="134"/>
        <v>185091747</v>
      </c>
      <c r="AJ123" s="130">
        <f t="shared" si="134"/>
        <v>629852603</v>
      </c>
      <c r="AK123" s="9"/>
      <c r="AL123" s="128">
        <f>SUM(AL124:AL139)</f>
        <v>0</v>
      </c>
      <c r="AM123" s="130">
        <f>SUM(AM124:AM139)</f>
        <v>30000000</v>
      </c>
      <c r="AN123" s="9"/>
      <c r="AO123" s="284"/>
      <c r="AP123" s="284"/>
      <c r="AQ123" s="284"/>
      <c r="AR123" s="284"/>
      <c r="AS123" s="284"/>
      <c r="AT123" s="284"/>
      <c r="AU123" s="284"/>
      <c r="AV123" s="284"/>
      <c r="AW123" s="284"/>
      <c r="AX123" s="284"/>
      <c r="AY123" s="284"/>
      <c r="AZ123" s="284"/>
      <c r="BQ123" s="451"/>
    </row>
    <row r="124" spans="1:69" s="372" customFormat="1" ht="24.95" customHeight="1" thickBot="1">
      <c r="A124" s="727">
        <f>+IF(NOVIEMBRE!A124=0,"",NOVIEMBRE!A124)</f>
        <v>2800</v>
      </c>
      <c r="B124" s="638" t="str">
        <f>+IF(NOVIEMBRE!B124=0,"",NOVIEMBRE!B124)</f>
        <v/>
      </c>
      <c r="C124" s="759">
        <f>+ENERO!C124</f>
        <v>0</v>
      </c>
      <c r="D124" s="452">
        <f>NOVIEMBRE!D124+DICIEMBRE!P124</f>
        <v>0</v>
      </c>
      <c r="E124" s="452">
        <f>NOVIEMBRE!E124+DICIEMBRE!Q124</f>
        <v>430631999</v>
      </c>
      <c r="F124" s="464">
        <f t="shared" si="122"/>
        <v>430631999</v>
      </c>
      <c r="G124" s="377">
        <f>NOVIEMBRE!I124</f>
        <v>430631999</v>
      </c>
      <c r="H124" s="378">
        <v>0</v>
      </c>
      <c r="I124" s="465">
        <f t="shared" si="123"/>
        <v>430631999</v>
      </c>
      <c r="J124" s="377">
        <f>NOVIEMBRE!L124</f>
        <v>430631999</v>
      </c>
      <c r="K124" s="378">
        <v>0</v>
      </c>
      <c r="L124" s="376">
        <f t="shared" si="124"/>
        <v>430631999</v>
      </c>
      <c r="M124" s="466">
        <f t="shared" si="125"/>
        <v>0</v>
      </c>
      <c r="N124" s="376">
        <f t="shared" si="126"/>
        <v>0</v>
      </c>
      <c r="P124" s="374">
        <v>0</v>
      </c>
      <c r="Q124" s="379">
        <v>0</v>
      </c>
      <c r="R124" s="9"/>
      <c r="S124" s="688" t="str">
        <f>+IF(NOVIEMBRE!S124=0,"",NOVIEMBRE!S124)</f>
        <v>2010200-1</v>
      </c>
      <c r="T124" s="664" t="str">
        <f>+IF(NOVIEMBRE!T124=0,"",NOVIEMBRE!T124)</f>
        <v>Seguros</v>
      </c>
      <c r="U124" s="27">
        <f>+ENERO!U124</f>
        <v>3000000</v>
      </c>
      <c r="V124" s="15">
        <f>NOVIEMBRE!V124+DICIEMBRE!AL124</f>
        <v>0</v>
      </c>
      <c r="W124" s="15">
        <f>NOVIEMBRE!W124+DICIEMBRE!AM124</f>
        <v>150000000</v>
      </c>
      <c r="X124" s="18">
        <f t="shared" ref="X124:X139" si="135">SUM(U124:W124)</f>
        <v>153000000</v>
      </c>
      <c r="Y124" s="19">
        <f>NOVIEMBRE!AA124</f>
        <v>1958919</v>
      </c>
      <c r="Z124" s="364">
        <v>81562803</v>
      </c>
      <c r="AA124" s="18">
        <f t="shared" ref="AA124:AA139" si="136">SUM(Y124:Z124)</f>
        <v>83521722</v>
      </c>
      <c r="AB124" s="19">
        <f>NOVIEMBRE!AD124</f>
        <v>1958919</v>
      </c>
      <c r="AC124" s="364">
        <v>81562803</v>
      </c>
      <c r="AD124" s="18">
        <f t="shared" ref="AD124:AD139" si="137">SUM(AB124:AC124)</f>
        <v>83521722</v>
      </c>
      <c r="AE124" s="19">
        <f>NOVIEMBRE!AG124</f>
        <v>1958919</v>
      </c>
      <c r="AF124" s="364">
        <v>0</v>
      </c>
      <c r="AG124" s="18">
        <f t="shared" ref="AG124:AG139" si="138">SUM(AE124:AF124)</f>
        <v>1958919</v>
      </c>
      <c r="AH124" s="19">
        <f t="shared" ref="AH124:AH139" si="139">X124-AA124</f>
        <v>69478278</v>
      </c>
      <c r="AI124" s="15">
        <f t="shared" ref="AI124:AI139" si="140">X124-AD124</f>
        <v>69478278</v>
      </c>
      <c r="AJ124" s="16">
        <f t="shared" ref="AJ124:AJ139" si="141">X124-AG124</f>
        <v>151041081</v>
      </c>
      <c r="AK124" s="9"/>
      <c r="AL124" s="362">
        <v>0</v>
      </c>
      <c r="AM124" s="365">
        <v>0</v>
      </c>
      <c r="AN124" s="9"/>
      <c r="AO124" s="284"/>
      <c r="AP124" s="284"/>
      <c r="AQ124" s="284"/>
      <c r="AR124" s="284"/>
      <c r="AS124" s="284"/>
      <c r="AT124" s="284"/>
      <c r="AU124" s="284"/>
      <c r="AV124" s="284"/>
      <c r="AW124" s="284"/>
      <c r="AX124" s="284"/>
      <c r="AY124" s="284"/>
      <c r="AZ124" s="284"/>
      <c r="BQ124" s="451"/>
    </row>
    <row r="125" spans="1:69"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+IF(NOVIEMBRE!S125=0,"",NOVIEMBRE!S125)</f>
        <v>2010200-2</v>
      </c>
      <c r="T125" s="664" t="str">
        <f>+IF(NOVIEMBRE!T125=0,"",NOVIEMBRE!T125)</f>
        <v>Impresos y Publicaciones</v>
      </c>
      <c r="U125" s="27">
        <f>+ENERO!U125</f>
        <v>25000000</v>
      </c>
      <c r="V125" s="15">
        <f>NOVIEMBRE!V125+DICIEMBRE!AL125</f>
        <v>0</v>
      </c>
      <c r="W125" s="15">
        <f>NOVIEMBRE!W125+DICIEMBRE!AM125</f>
        <v>0</v>
      </c>
      <c r="X125" s="18">
        <f t="shared" si="135"/>
        <v>25000000</v>
      </c>
      <c r="Y125" s="19">
        <f>NOVIEMBRE!AA125</f>
        <v>9201361</v>
      </c>
      <c r="Z125" s="364">
        <v>5103483</v>
      </c>
      <c r="AA125" s="18">
        <f t="shared" si="136"/>
        <v>14304844</v>
      </c>
      <c r="AB125" s="19">
        <f>NOVIEMBRE!AD125</f>
        <v>9201361</v>
      </c>
      <c r="AC125" s="364">
        <v>5103483</v>
      </c>
      <c r="AD125" s="18">
        <f t="shared" si="137"/>
        <v>14304844</v>
      </c>
      <c r="AE125" s="19">
        <f>NOVIEMBRE!AG125</f>
        <v>3122200</v>
      </c>
      <c r="AF125" s="364">
        <v>2905606</v>
      </c>
      <c r="AG125" s="18">
        <f t="shared" si="138"/>
        <v>6027806</v>
      </c>
      <c r="AH125" s="19">
        <f t="shared" si="139"/>
        <v>10695156</v>
      </c>
      <c r="AI125" s="15">
        <f t="shared" si="140"/>
        <v>10695156</v>
      </c>
      <c r="AJ125" s="16">
        <f t="shared" si="141"/>
        <v>18972194</v>
      </c>
      <c r="AK125" s="9"/>
      <c r="AL125" s="362">
        <v>0</v>
      </c>
      <c r="AM125" s="365">
        <v>0</v>
      </c>
      <c r="AN125" s="9"/>
      <c r="AO125" s="284"/>
      <c r="AP125" s="284"/>
      <c r="AQ125" s="284"/>
      <c r="AR125" s="284"/>
      <c r="AS125" s="284"/>
      <c r="AT125" s="284"/>
      <c r="AU125" s="284"/>
      <c r="AV125" s="284"/>
      <c r="AW125" s="284"/>
      <c r="AX125" s="284"/>
      <c r="AY125" s="284"/>
      <c r="AZ125" s="284"/>
      <c r="BQ125" s="451"/>
    </row>
    <row r="126" spans="1:69" s="372" customFormat="1" ht="24.95" customHeight="1" thickBot="1">
      <c r="A126" s="747" t="s">
        <v>239</v>
      </c>
      <c r="B126" s="639"/>
      <c r="C126" s="467">
        <f t="shared" ref="C126:N126" si="142">C8-C128</f>
        <v>66420360605</v>
      </c>
      <c r="D126" s="467">
        <f t="shared" si="142"/>
        <v>0</v>
      </c>
      <c r="E126" s="467">
        <f t="shared" si="142"/>
        <v>50398140794</v>
      </c>
      <c r="F126" s="467">
        <f t="shared" si="142"/>
        <v>116818501399</v>
      </c>
      <c r="G126" s="467">
        <f t="shared" si="142"/>
        <v>95756309185</v>
      </c>
      <c r="H126" s="467">
        <f t="shared" si="142"/>
        <v>30004726768</v>
      </c>
      <c r="I126" s="467">
        <f t="shared" si="142"/>
        <v>125761035953</v>
      </c>
      <c r="J126" s="467">
        <f t="shared" si="142"/>
        <v>58940131854.070007</v>
      </c>
      <c r="K126" s="467">
        <f t="shared" si="142"/>
        <v>28393195163</v>
      </c>
      <c r="L126" s="467">
        <f t="shared" si="142"/>
        <v>87333327017.070007</v>
      </c>
      <c r="M126" s="467">
        <f t="shared" si="142"/>
        <v>-8942534554</v>
      </c>
      <c r="N126" s="596">
        <f t="shared" si="142"/>
        <v>29485174381.93</v>
      </c>
      <c r="P126" s="468">
        <f>P8-P128</f>
        <v>0</v>
      </c>
      <c r="Q126" s="469">
        <f>Q8-Q128</f>
        <v>18078440359</v>
      </c>
      <c r="R126" s="9"/>
      <c r="S126" s="688" t="str">
        <f>+IF(NOVIEMBRE!S126=0,"",NOVIEMBRE!S126)</f>
        <v>2010200-3</v>
      </c>
      <c r="T126" s="664" t="str">
        <f>+IF(NOVIEMBRE!T126=0,"",NOVIEMBRE!T126)</f>
        <v xml:space="preserve">Servicios Públicos </v>
      </c>
      <c r="U126" s="27">
        <f>+ENERO!U126</f>
        <v>740000000</v>
      </c>
      <c r="V126" s="15">
        <f>NOVIEMBRE!V126+DICIEMBRE!AL126</f>
        <v>0</v>
      </c>
      <c r="W126" s="15">
        <f>NOVIEMBRE!W126+DICIEMBRE!AM126</f>
        <v>0</v>
      </c>
      <c r="X126" s="18">
        <f t="shared" si="135"/>
        <v>740000000</v>
      </c>
      <c r="Y126" s="19">
        <f>NOVIEMBRE!AA126</f>
        <v>660836671</v>
      </c>
      <c r="Z126" s="364">
        <v>68933137</v>
      </c>
      <c r="AA126" s="18">
        <f t="shared" si="136"/>
        <v>729769808</v>
      </c>
      <c r="AB126" s="19">
        <f>NOVIEMBRE!AD126</f>
        <v>597304814</v>
      </c>
      <c r="AC126" s="364">
        <v>132464994</v>
      </c>
      <c r="AD126" s="18">
        <f t="shared" si="137"/>
        <v>729769808</v>
      </c>
      <c r="AE126" s="19">
        <f>NOVIEMBRE!AG126</f>
        <v>596975476</v>
      </c>
      <c r="AF126" s="364">
        <v>73454452</v>
      </c>
      <c r="AG126" s="18">
        <f t="shared" si="138"/>
        <v>670429928</v>
      </c>
      <c r="AH126" s="19">
        <f t="shared" si="139"/>
        <v>10230192</v>
      </c>
      <c r="AI126" s="15">
        <f t="shared" si="140"/>
        <v>10230192</v>
      </c>
      <c r="AJ126" s="16">
        <f t="shared" si="141"/>
        <v>69570072</v>
      </c>
      <c r="AK126" s="9"/>
      <c r="AL126" s="362">
        <v>0</v>
      </c>
      <c r="AM126" s="365">
        <v>0</v>
      </c>
      <c r="AN126" s="9"/>
      <c r="AO126" s="284"/>
      <c r="AP126" s="284"/>
      <c r="AQ126" s="284"/>
      <c r="AR126" s="284"/>
      <c r="AS126" s="284"/>
      <c r="AT126" s="284"/>
      <c r="AU126" s="284"/>
      <c r="AV126" s="284"/>
      <c r="AW126" s="284"/>
      <c r="AX126" s="284"/>
      <c r="AY126" s="284"/>
      <c r="AZ126" s="284"/>
      <c r="BQ126" s="451"/>
    </row>
    <row r="127" spans="1:69"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+IF(NOVIEMBRE!S127=0,"",NOVIEMBRE!S127)</f>
        <v>2010200-4</v>
      </c>
      <c r="T127" s="664" t="str">
        <f>+IF(NOVIEMBRE!T127=0,"",NOVIEMBRE!T127)</f>
        <v>Comunicaciones y Transportes</v>
      </c>
      <c r="U127" s="27">
        <f>+ENERO!U127</f>
        <v>118000000</v>
      </c>
      <c r="V127" s="15">
        <f>NOVIEMBRE!V127+DICIEMBRE!AL127</f>
        <v>40000000</v>
      </c>
      <c r="W127" s="15">
        <f>NOVIEMBRE!W127+DICIEMBRE!AM127</f>
        <v>10000000</v>
      </c>
      <c r="X127" s="18">
        <f t="shared" si="135"/>
        <v>168000000</v>
      </c>
      <c r="Y127" s="19">
        <f>NOVIEMBRE!AA127</f>
        <v>160969226</v>
      </c>
      <c r="Z127" s="364">
        <v>-8705096</v>
      </c>
      <c r="AA127" s="18">
        <f t="shared" si="136"/>
        <v>152264130</v>
      </c>
      <c r="AB127" s="19">
        <f>NOVIEMBRE!AD127</f>
        <v>133019484</v>
      </c>
      <c r="AC127" s="364">
        <v>19244646</v>
      </c>
      <c r="AD127" s="18">
        <f t="shared" si="137"/>
        <v>152264130</v>
      </c>
      <c r="AE127" s="19">
        <f>NOVIEMBRE!AG127</f>
        <v>120179868</v>
      </c>
      <c r="AF127" s="364">
        <v>27407270</v>
      </c>
      <c r="AG127" s="18">
        <f t="shared" si="138"/>
        <v>147587138</v>
      </c>
      <c r="AH127" s="19">
        <f t="shared" si="139"/>
        <v>15735870</v>
      </c>
      <c r="AI127" s="15">
        <f t="shared" si="140"/>
        <v>15735870</v>
      </c>
      <c r="AJ127" s="16">
        <f t="shared" si="141"/>
        <v>20412862</v>
      </c>
      <c r="AK127" s="9"/>
      <c r="AL127" s="362">
        <v>0</v>
      </c>
      <c r="AM127" s="365">
        <v>0</v>
      </c>
      <c r="AN127" s="9"/>
      <c r="AO127" s="284"/>
      <c r="AP127" s="284"/>
      <c r="AQ127" s="284"/>
      <c r="AR127" s="284"/>
      <c r="AS127" s="284"/>
      <c r="AT127" s="284"/>
      <c r="AU127" s="284"/>
      <c r="AV127" s="284"/>
      <c r="AW127" s="284"/>
      <c r="AX127" s="284"/>
      <c r="AY127" s="284"/>
      <c r="AZ127" s="284"/>
      <c r="BQ127" s="451"/>
    </row>
    <row r="128" spans="1:69" s="372" customFormat="1" ht="24.95" customHeight="1" thickBot="1">
      <c r="A128" s="748" t="s">
        <v>242</v>
      </c>
      <c r="B128" s="640"/>
      <c r="C128" s="473">
        <f>SUMIF($B8:$B$122,$B$24,C8:C122)+C122</f>
        <v>0</v>
      </c>
      <c r="D128" s="473">
        <f>SUMIF($B8:$B$122,$B$24,D8:D122)+D122</f>
        <v>0</v>
      </c>
      <c r="E128" s="473">
        <f>SUMIF($B8:$B$122,$B$24,E8:E122)+E122</f>
        <v>20436613709</v>
      </c>
      <c r="F128" s="473">
        <f>SUMIF($B8:$B$122,$B$24,F8:F122)+F122</f>
        <v>20436613709</v>
      </c>
      <c r="G128" s="473">
        <f>SUMIF($B8:$B$122,$B$24,G8:G122)+G122</f>
        <v>20436613709</v>
      </c>
      <c r="H128" s="473">
        <f>SUMIF($B8:$B$122,$B$24,H8:H122)+H122</f>
        <v>1975244505</v>
      </c>
      <c r="I128" s="473">
        <f>SUMIF($B8:$B$122,$B$24,I8:I122)+I122</f>
        <v>22411858214</v>
      </c>
      <c r="J128" s="473">
        <f>SUMIF($B8:$B$122,$B$24,J8:J122)+J1212</f>
        <v>20436613708.689999</v>
      </c>
      <c r="K128" s="473">
        <f>SUMIF($B8:$B$122,$B$24,K8:K122)+K122</f>
        <v>1975244505</v>
      </c>
      <c r="L128" s="473">
        <f>SUMIF($B8:$B$122,$B$24,L8:L122)+L122</f>
        <v>22411858213.689999</v>
      </c>
      <c r="M128" s="473">
        <f>SUMIF($B8:$B$122,$B$24,M8:M122)+M12</f>
        <v>-1975244505</v>
      </c>
      <c r="N128" s="597">
        <f>SUMIF($B8:$B$122,$B$24,N8:N122)+N122</f>
        <v>-1975244504.6900001</v>
      </c>
      <c r="O128" s="451"/>
      <c r="P128" s="473">
        <f>SUMIF($B8:$B$122,$B$24,P8:P122)+P122</f>
        <v>0</v>
      </c>
      <c r="Q128" s="474">
        <f>SUMIF($B8:$B$122,$B$24,Q8:Q122)+Q122</f>
        <v>2551383633</v>
      </c>
      <c r="R128" s="9"/>
      <c r="S128" s="688" t="str">
        <f>+IF(NOVIEMBRE!S128=0,"",NOVIEMBRE!S128)</f>
        <v>2010200-5</v>
      </c>
      <c r="T128" s="664" t="str">
        <f>+IF(NOVIEMBRE!T128=0,"",NOVIEMBRE!T128)</f>
        <v>Viáticos y Gastos de Viaje</v>
      </c>
      <c r="U128" s="27">
        <f>+ENERO!U128</f>
        <v>22000000</v>
      </c>
      <c r="V128" s="15">
        <f>NOVIEMBRE!V128+DICIEMBRE!AL128</f>
        <v>-15000000</v>
      </c>
      <c r="W128" s="15">
        <f>NOVIEMBRE!W128+DICIEMBRE!AM128</f>
        <v>0</v>
      </c>
      <c r="X128" s="18">
        <f t="shared" si="135"/>
        <v>7000000</v>
      </c>
      <c r="Y128" s="19">
        <f>NOVIEMBRE!AA128</f>
        <v>3748000</v>
      </c>
      <c r="Z128" s="364">
        <v>0</v>
      </c>
      <c r="AA128" s="18">
        <f t="shared" si="136"/>
        <v>3748000</v>
      </c>
      <c r="AB128" s="19">
        <f>NOVIEMBRE!AD128</f>
        <v>3501000</v>
      </c>
      <c r="AC128" s="364">
        <v>247000</v>
      </c>
      <c r="AD128" s="18">
        <f t="shared" si="137"/>
        <v>3748000</v>
      </c>
      <c r="AE128" s="19">
        <f>NOVIEMBRE!AG128</f>
        <v>3328500</v>
      </c>
      <c r="AF128" s="364">
        <v>247000</v>
      </c>
      <c r="AG128" s="18">
        <f t="shared" si="138"/>
        <v>3575500</v>
      </c>
      <c r="AH128" s="19">
        <f t="shared" si="139"/>
        <v>3252000</v>
      </c>
      <c r="AI128" s="15">
        <f t="shared" si="140"/>
        <v>3252000</v>
      </c>
      <c r="AJ128" s="16">
        <f t="shared" si="141"/>
        <v>3424500</v>
      </c>
      <c r="AK128" s="9"/>
      <c r="AL128" s="362">
        <v>0</v>
      </c>
      <c r="AM128" s="365">
        <v>0</v>
      </c>
      <c r="AN128" s="9"/>
      <c r="AO128" s="284"/>
      <c r="AP128" s="284"/>
      <c r="AQ128" s="284"/>
      <c r="AR128" s="284"/>
      <c r="AS128" s="284"/>
      <c r="AT128" s="284"/>
      <c r="AU128" s="284"/>
      <c r="AV128" s="284"/>
      <c r="AW128" s="284"/>
      <c r="AX128" s="284"/>
      <c r="AY128" s="284"/>
      <c r="AZ128" s="284"/>
      <c r="BQ128" s="451"/>
    </row>
    <row r="129" spans="1:69"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+IF(NOVIEMBRE!S129=0,"",NOVIEMBRE!S129)</f>
        <v>2010200-6</v>
      </c>
      <c r="T129" s="664" t="str">
        <f>+IF(NOVIEMBRE!T129=0,"",NOVIEMBRE!T129)</f>
        <v>Arrendamientos</v>
      </c>
      <c r="U129" s="27">
        <f>+ENERO!U129</f>
        <v>165000000</v>
      </c>
      <c r="V129" s="15">
        <f>NOVIEMBRE!V129+DICIEMBRE!AL129</f>
        <v>-10000000</v>
      </c>
      <c r="W129" s="15">
        <f>NOVIEMBRE!W129+DICIEMBRE!AM129</f>
        <v>0</v>
      </c>
      <c r="X129" s="18">
        <f t="shared" si="135"/>
        <v>155000000</v>
      </c>
      <c r="Y129" s="19">
        <f>NOVIEMBRE!AA129</f>
        <v>155000000</v>
      </c>
      <c r="Z129" s="364">
        <v>-24425111</v>
      </c>
      <c r="AA129" s="18">
        <f t="shared" si="136"/>
        <v>130574889</v>
      </c>
      <c r="AB129" s="19">
        <f>NOVIEMBRE!AD129</f>
        <v>130690333</v>
      </c>
      <c r="AC129" s="364">
        <v>-115444</v>
      </c>
      <c r="AD129" s="18">
        <f t="shared" si="137"/>
        <v>130574889</v>
      </c>
      <c r="AE129" s="19">
        <f>NOVIEMBRE!AG129</f>
        <v>92271133</v>
      </c>
      <c r="AF129" s="364">
        <v>35970923</v>
      </c>
      <c r="AG129" s="18">
        <f t="shared" si="138"/>
        <v>128242056</v>
      </c>
      <c r="AH129" s="19">
        <f t="shared" si="139"/>
        <v>24425111</v>
      </c>
      <c r="AI129" s="15">
        <f t="shared" si="140"/>
        <v>24425111</v>
      </c>
      <c r="AJ129" s="16">
        <f t="shared" si="141"/>
        <v>26757944</v>
      </c>
      <c r="AK129" s="9"/>
      <c r="AL129" s="362">
        <v>0</v>
      </c>
      <c r="AM129" s="365">
        <v>0</v>
      </c>
      <c r="AN129" s="9"/>
      <c r="AO129" s="284"/>
      <c r="AP129" s="284"/>
      <c r="AQ129" s="284"/>
      <c r="AR129" s="284"/>
      <c r="AS129" s="284"/>
      <c r="AT129" s="284"/>
      <c r="AU129" s="284"/>
      <c r="AV129" s="284"/>
      <c r="AW129" s="284"/>
      <c r="AX129" s="284"/>
      <c r="AY129" s="284"/>
      <c r="AZ129" s="284"/>
      <c r="BQ129" s="451"/>
    </row>
    <row r="130" spans="1:69" s="372" customFormat="1" ht="24.95" customHeight="1" thickBot="1">
      <c r="A130" s="749" t="s">
        <v>245</v>
      </c>
      <c r="B130" s="641"/>
      <c r="C130" s="475">
        <f t="shared" ref="C130:N130" si="143">C128+C126</f>
        <v>66420360605</v>
      </c>
      <c r="D130" s="476">
        <f t="shared" si="143"/>
        <v>0</v>
      </c>
      <c r="E130" s="476">
        <f t="shared" si="143"/>
        <v>70834754503</v>
      </c>
      <c r="F130" s="477">
        <f t="shared" si="143"/>
        <v>137255115108</v>
      </c>
      <c r="G130" s="475">
        <f t="shared" si="143"/>
        <v>116192922894</v>
      </c>
      <c r="H130" s="476">
        <f t="shared" si="143"/>
        <v>31979971273</v>
      </c>
      <c r="I130" s="477">
        <f t="shared" si="143"/>
        <v>148172894167</v>
      </c>
      <c r="J130" s="475">
        <f t="shared" si="143"/>
        <v>79376745562.76001</v>
      </c>
      <c r="K130" s="476">
        <f t="shared" si="143"/>
        <v>30368439668</v>
      </c>
      <c r="L130" s="477">
        <f t="shared" si="143"/>
        <v>109745185230.76001</v>
      </c>
      <c r="M130" s="475">
        <f t="shared" si="143"/>
        <v>-10917779059</v>
      </c>
      <c r="N130" s="477">
        <f t="shared" si="143"/>
        <v>27509929877.240002</v>
      </c>
      <c r="P130" s="468">
        <f>P128+P126</f>
        <v>0</v>
      </c>
      <c r="Q130" s="469">
        <f>Q128+Q126</f>
        <v>20629823992</v>
      </c>
      <c r="R130" s="9"/>
      <c r="S130" s="688" t="str">
        <f>+IF(NOVIEMBRE!S130=0,"",NOVIEMBRE!S130)</f>
        <v>2010200-7</v>
      </c>
      <c r="T130" s="664" t="str">
        <f>+IF(NOVIEMBRE!T130=0,"",NOVIEMBRE!T130)</f>
        <v>Vigilancia y Aseo</v>
      </c>
      <c r="U130" s="27">
        <f>+ENERO!U130</f>
        <v>1086000000</v>
      </c>
      <c r="V130" s="15">
        <f>NOVIEMBRE!V130+DICIEMBRE!AL130</f>
        <v>-50000000</v>
      </c>
      <c r="W130" s="15">
        <f>NOVIEMBRE!W130+DICIEMBRE!AM130</f>
        <v>30000000</v>
      </c>
      <c r="X130" s="18">
        <f t="shared" si="135"/>
        <v>1066000000</v>
      </c>
      <c r="Y130" s="19">
        <f>NOVIEMBRE!AA130</f>
        <v>1027184608</v>
      </c>
      <c r="Z130" s="364">
        <v>10524727</v>
      </c>
      <c r="AA130" s="18">
        <f t="shared" si="136"/>
        <v>1037709335</v>
      </c>
      <c r="AB130" s="19">
        <f>NOVIEMBRE!AD130</f>
        <v>950276162</v>
      </c>
      <c r="AC130" s="364">
        <v>87433173</v>
      </c>
      <c r="AD130" s="18">
        <f t="shared" si="137"/>
        <v>1037709335</v>
      </c>
      <c r="AE130" s="19">
        <f>NOVIEMBRE!AG130</f>
        <v>658066679</v>
      </c>
      <c r="AF130" s="364">
        <v>174866346</v>
      </c>
      <c r="AG130" s="18">
        <f t="shared" si="138"/>
        <v>832933025</v>
      </c>
      <c r="AH130" s="19">
        <f t="shared" si="139"/>
        <v>28290665</v>
      </c>
      <c r="AI130" s="15">
        <f t="shared" si="140"/>
        <v>28290665</v>
      </c>
      <c r="AJ130" s="16">
        <f t="shared" si="141"/>
        <v>233066975</v>
      </c>
      <c r="AK130" s="9"/>
      <c r="AL130" s="362">
        <v>0</v>
      </c>
      <c r="AM130" s="365">
        <v>30000000</v>
      </c>
      <c r="AN130" s="9"/>
      <c r="AO130" s="284"/>
      <c r="AP130" s="284"/>
      <c r="AQ130" s="284"/>
      <c r="AR130" s="284"/>
      <c r="AS130" s="284"/>
      <c r="AT130" s="284"/>
      <c r="AU130" s="284"/>
      <c r="AV130" s="284"/>
      <c r="AW130" s="284"/>
      <c r="AX130" s="284"/>
      <c r="AY130" s="284"/>
      <c r="AZ130" s="284"/>
      <c r="BQ130" s="451"/>
    </row>
    <row r="131" spans="1:69" s="372" customFormat="1" ht="24.95" customHeight="1">
      <c r="A131" s="734"/>
      <c r="B131" s="643"/>
      <c r="N131" s="9"/>
      <c r="R131" s="9"/>
      <c r="S131" s="688" t="str">
        <f>+IF(NOVIEMBRE!S131=0,"",NOVIEMBRE!S131)</f>
        <v>2010200-8</v>
      </c>
      <c r="T131" s="664" t="str">
        <f>+IF(NOVIEMBRE!T131=0,"",NOVIEMBRE!T131)</f>
        <v>Bienestar Social</v>
      </c>
      <c r="U131" s="27">
        <f>+ENERO!U131</f>
        <v>100000000</v>
      </c>
      <c r="V131" s="15">
        <f>NOVIEMBRE!V131+DICIEMBRE!AL131</f>
        <v>0</v>
      </c>
      <c r="W131" s="15">
        <f>NOVIEMBRE!W131+DICIEMBRE!AM131</f>
        <v>0</v>
      </c>
      <c r="X131" s="18">
        <f t="shared" si="135"/>
        <v>100000000</v>
      </c>
      <c r="Y131" s="19">
        <f>NOVIEMBRE!AA131</f>
        <v>99713602</v>
      </c>
      <c r="Z131" s="364">
        <v>223600</v>
      </c>
      <c r="AA131" s="18">
        <f t="shared" si="136"/>
        <v>99937202</v>
      </c>
      <c r="AB131" s="19">
        <f>NOVIEMBRE!AD131</f>
        <v>21777542</v>
      </c>
      <c r="AC131" s="364">
        <v>78159660</v>
      </c>
      <c r="AD131" s="18">
        <f t="shared" si="137"/>
        <v>99937202</v>
      </c>
      <c r="AE131" s="19">
        <f>NOVIEMBRE!AG131</f>
        <v>12341786</v>
      </c>
      <c r="AF131" s="364">
        <v>84615416</v>
      </c>
      <c r="AG131" s="18">
        <f t="shared" si="138"/>
        <v>96957202</v>
      </c>
      <c r="AH131" s="19">
        <f t="shared" si="139"/>
        <v>62798</v>
      </c>
      <c r="AI131" s="15">
        <f t="shared" si="140"/>
        <v>62798</v>
      </c>
      <c r="AJ131" s="16">
        <f t="shared" si="141"/>
        <v>3042798</v>
      </c>
      <c r="AK131" s="9"/>
      <c r="AL131" s="362">
        <v>0</v>
      </c>
      <c r="AM131" s="365">
        <v>0</v>
      </c>
      <c r="AN131" s="9"/>
      <c r="AO131" s="284"/>
      <c r="AP131" s="284"/>
      <c r="AQ131" s="284"/>
      <c r="AR131" s="284"/>
      <c r="AS131" s="284"/>
      <c r="AT131" s="284"/>
      <c r="AU131" s="284"/>
      <c r="AV131" s="284"/>
      <c r="AW131" s="284"/>
      <c r="AX131" s="284"/>
      <c r="AY131" s="284"/>
      <c r="AZ131" s="284"/>
      <c r="BQ131" s="451"/>
    </row>
    <row r="132" spans="1:69" s="372" customFormat="1" ht="24.95" customHeight="1">
      <c r="A132" s="734"/>
      <c r="B132" s="643"/>
      <c r="N132" s="9"/>
      <c r="R132" s="9"/>
      <c r="S132" s="688" t="str">
        <f>+IF(NOVIEMBRE!S132=0,"",NOVIEMBRE!S132)</f>
        <v>2010200-9</v>
      </c>
      <c r="T132" s="664" t="str">
        <f>+IF(NOVIEMBRE!T132=0,"",NOVIEMBRE!T132)</f>
        <v>Capacitación, estimulos, incentivos, programa de calidad</v>
      </c>
      <c r="U132" s="27">
        <f>+ENERO!U132</f>
        <v>50000000</v>
      </c>
      <c r="V132" s="15">
        <f>NOVIEMBRE!V132+DICIEMBRE!AL132</f>
        <v>0</v>
      </c>
      <c r="W132" s="15">
        <f>NOVIEMBRE!W132+DICIEMBRE!AM132</f>
        <v>0</v>
      </c>
      <c r="X132" s="18">
        <f t="shared" si="135"/>
        <v>50000000</v>
      </c>
      <c r="Y132" s="19">
        <f>NOVIEMBRE!AA132</f>
        <v>50000000</v>
      </c>
      <c r="Z132" s="364">
        <v>0</v>
      </c>
      <c r="AA132" s="18">
        <f t="shared" si="136"/>
        <v>50000000</v>
      </c>
      <c r="AB132" s="19">
        <f>NOVIEMBRE!AD132</f>
        <v>50000000</v>
      </c>
      <c r="AC132" s="364">
        <v>0</v>
      </c>
      <c r="AD132" s="18">
        <f t="shared" si="137"/>
        <v>50000000</v>
      </c>
      <c r="AE132" s="19">
        <f>NOVIEMBRE!AG132</f>
        <v>0</v>
      </c>
      <c r="AF132" s="364">
        <v>0</v>
      </c>
      <c r="AG132" s="18">
        <f t="shared" si="138"/>
        <v>0</v>
      </c>
      <c r="AH132" s="19">
        <f t="shared" si="139"/>
        <v>0</v>
      </c>
      <c r="AI132" s="15">
        <f t="shared" si="140"/>
        <v>0</v>
      </c>
      <c r="AJ132" s="16">
        <f t="shared" si="141"/>
        <v>50000000</v>
      </c>
      <c r="AK132" s="9"/>
      <c r="AL132" s="362">
        <v>0</v>
      </c>
      <c r="AM132" s="365">
        <v>0</v>
      </c>
      <c r="AN132" s="9"/>
      <c r="AO132" s="284"/>
      <c r="AP132" s="284"/>
      <c r="AQ132" s="284"/>
      <c r="AR132" s="284"/>
      <c r="AS132" s="284"/>
      <c r="AT132" s="284"/>
      <c r="AU132" s="284"/>
      <c r="AV132" s="284"/>
      <c r="AW132" s="284"/>
      <c r="AX132" s="284"/>
      <c r="AY132" s="284"/>
      <c r="AZ132" s="284"/>
      <c r="BQ132" s="451"/>
    </row>
    <row r="133" spans="1:69" s="372" customFormat="1" ht="24.95" customHeight="1">
      <c r="A133" s="734"/>
      <c r="B133" s="643"/>
      <c r="N133" s="9"/>
      <c r="R133" s="9"/>
      <c r="S133" s="688" t="str">
        <f>+IF(NOVIEMBRE!S133=0,"",NOVIEMBRE!S133)</f>
        <v>2010200-10</v>
      </c>
      <c r="T133" s="664" t="str">
        <f>+IF(NOVIEMBRE!T133=0,"",NOVIEMBRE!T133)</f>
        <v>Pagos otras IPS</v>
      </c>
      <c r="U133" s="27">
        <f>+ENERO!U133</f>
        <v>0</v>
      </c>
      <c r="V133" s="15">
        <f>NOVIEMBRE!V133+DICIEMBRE!AL133</f>
        <v>0</v>
      </c>
      <c r="W133" s="15">
        <f>NOVIEMBRE!W133+DICIEMBRE!AM133</f>
        <v>0</v>
      </c>
      <c r="X133" s="18">
        <f t="shared" si="135"/>
        <v>0</v>
      </c>
      <c r="Y133" s="19">
        <f>NOVIEMBRE!AA133</f>
        <v>0</v>
      </c>
      <c r="Z133" s="364">
        <v>0</v>
      </c>
      <c r="AA133" s="18">
        <f t="shared" si="136"/>
        <v>0</v>
      </c>
      <c r="AB133" s="19">
        <f>NOVIEMBRE!AD133</f>
        <v>0</v>
      </c>
      <c r="AC133" s="364">
        <v>0</v>
      </c>
      <c r="AD133" s="18">
        <f t="shared" si="137"/>
        <v>0</v>
      </c>
      <c r="AE133" s="19">
        <f>NOVIEMBRE!AG133</f>
        <v>0</v>
      </c>
      <c r="AF133" s="364">
        <v>0</v>
      </c>
      <c r="AG133" s="18">
        <f t="shared" si="138"/>
        <v>0</v>
      </c>
      <c r="AH133" s="19">
        <f t="shared" si="139"/>
        <v>0</v>
      </c>
      <c r="AI133" s="15">
        <f t="shared" si="140"/>
        <v>0</v>
      </c>
      <c r="AJ133" s="16">
        <f t="shared" si="141"/>
        <v>0</v>
      </c>
      <c r="AK133" s="9"/>
      <c r="AL133" s="362">
        <v>0</v>
      </c>
      <c r="AM133" s="365">
        <v>0</v>
      </c>
      <c r="AN133" s="9"/>
      <c r="AO133" s="284"/>
      <c r="AP133" s="284"/>
      <c r="AQ133" s="284"/>
      <c r="AR133" s="284"/>
      <c r="AS133" s="284"/>
      <c r="AT133" s="284"/>
      <c r="AU133" s="284"/>
      <c r="AV133" s="284"/>
      <c r="AW133" s="284"/>
      <c r="AX133" s="284"/>
      <c r="AY133" s="284"/>
      <c r="AZ133" s="284"/>
      <c r="BQ133" s="451"/>
    </row>
    <row r="134" spans="1:69" s="372" customFormat="1" ht="24.95" customHeight="1">
      <c r="A134" s="734"/>
      <c r="B134" s="643"/>
      <c r="N134" s="9"/>
      <c r="R134" s="9"/>
      <c r="S134" s="688" t="str">
        <f>+IF(NOVIEMBRE!S134=0,"",NOVIEMBRE!S134)</f>
        <v>2010200-11</v>
      </c>
      <c r="T134" s="664" t="str">
        <f>+IF(NOVIEMBRE!T134=0,"",NOVIEMBRE!T134)</f>
        <v>Gastos financieros</v>
      </c>
      <c r="U134" s="27">
        <f>+ENERO!U134</f>
        <v>16000000</v>
      </c>
      <c r="V134" s="15">
        <f>NOVIEMBRE!V134+DICIEMBRE!AL134</f>
        <v>20000000</v>
      </c>
      <c r="W134" s="15">
        <f>NOVIEMBRE!W134+DICIEMBRE!AM134</f>
        <v>0</v>
      </c>
      <c r="X134" s="18">
        <f t="shared" si="135"/>
        <v>36000000</v>
      </c>
      <c r="Y134" s="19">
        <f>NOVIEMBRE!AA134</f>
        <v>28528812</v>
      </c>
      <c r="Z134" s="364">
        <v>2354132</v>
      </c>
      <c r="AA134" s="18">
        <f t="shared" si="136"/>
        <v>30882944</v>
      </c>
      <c r="AB134" s="19">
        <f>NOVIEMBRE!AD134</f>
        <v>28528812</v>
      </c>
      <c r="AC134" s="364">
        <v>2354132</v>
      </c>
      <c r="AD134" s="18">
        <f t="shared" si="137"/>
        <v>30882944</v>
      </c>
      <c r="AE134" s="19">
        <f>NOVIEMBRE!AG134</f>
        <v>28528812</v>
      </c>
      <c r="AF134" s="364">
        <v>2354132</v>
      </c>
      <c r="AG134" s="18">
        <f t="shared" si="138"/>
        <v>30882944</v>
      </c>
      <c r="AH134" s="19">
        <f t="shared" si="139"/>
        <v>5117056</v>
      </c>
      <c r="AI134" s="15">
        <f t="shared" si="140"/>
        <v>5117056</v>
      </c>
      <c r="AJ134" s="16">
        <f t="shared" si="141"/>
        <v>5117056</v>
      </c>
      <c r="AK134" s="9"/>
      <c r="AL134" s="362">
        <v>0</v>
      </c>
      <c r="AM134" s="365">
        <v>0</v>
      </c>
      <c r="AN134" s="9"/>
      <c r="AO134" s="284"/>
      <c r="AP134" s="284"/>
      <c r="AQ134" s="284"/>
      <c r="AR134" s="284"/>
      <c r="AS134" s="284"/>
      <c r="AT134" s="284"/>
      <c r="AU134" s="284"/>
      <c r="AV134" s="284"/>
      <c r="AW134" s="284"/>
      <c r="AX134" s="284"/>
      <c r="AY134" s="284"/>
      <c r="AZ134" s="284"/>
      <c r="BQ134" s="451"/>
    </row>
    <row r="135" spans="1:69" s="372" customFormat="1" ht="24.95" customHeight="1">
      <c r="A135" s="734"/>
      <c r="B135" s="643"/>
      <c r="N135" s="9"/>
      <c r="R135" s="9"/>
      <c r="S135" s="688" t="str">
        <f>+IF(NOVIEMBRE!S135=0,"",NOVIEMBRE!S135)</f>
        <v>2010200-12</v>
      </c>
      <c r="T135" s="664" t="str">
        <f>+IF(NOVIEMBRE!T135=0,"",NOVIEMBRE!T135)</f>
        <v>Mantenimiento de software</v>
      </c>
      <c r="U135" s="27">
        <f>+ENERO!U135</f>
        <v>350000000</v>
      </c>
      <c r="V135" s="15">
        <f>NOVIEMBRE!V135+DICIEMBRE!AL135</f>
        <v>0</v>
      </c>
      <c r="W135" s="15">
        <f>NOVIEMBRE!W135+DICIEMBRE!AM135</f>
        <v>0</v>
      </c>
      <c r="X135" s="18">
        <f t="shared" si="135"/>
        <v>350000000</v>
      </c>
      <c r="Y135" s="19">
        <f>NOVIEMBRE!AA135</f>
        <v>338498600</v>
      </c>
      <c r="Z135" s="364">
        <v>0</v>
      </c>
      <c r="AA135" s="18">
        <f t="shared" si="136"/>
        <v>338498600</v>
      </c>
      <c r="AB135" s="19">
        <f>NOVIEMBRE!AD135</f>
        <v>307856100</v>
      </c>
      <c r="AC135" s="364">
        <v>30642500</v>
      </c>
      <c r="AD135" s="18">
        <f t="shared" si="137"/>
        <v>338498600</v>
      </c>
      <c r="AE135" s="19">
        <f>NOVIEMBRE!AG135</f>
        <v>307856100</v>
      </c>
      <c r="AF135" s="364">
        <v>0</v>
      </c>
      <c r="AG135" s="18">
        <f t="shared" si="138"/>
        <v>307856100</v>
      </c>
      <c r="AH135" s="19">
        <f t="shared" si="139"/>
        <v>11501400</v>
      </c>
      <c r="AI135" s="15">
        <f t="shared" si="140"/>
        <v>11501400</v>
      </c>
      <c r="AJ135" s="16">
        <f t="shared" si="141"/>
        <v>42143900</v>
      </c>
      <c r="AK135" s="9"/>
      <c r="AL135" s="362">
        <v>0</v>
      </c>
      <c r="AM135" s="365">
        <v>0</v>
      </c>
      <c r="AN135" s="9"/>
      <c r="AO135" s="284"/>
      <c r="AP135" s="284"/>
      <c r="AQ135" s="284"/>
      <c r="AR135" s="284"/>
      <c r="AS135" s="284"/>
      <c r="AT135" s="284"/>
      <c r="AU135" s="284"/>
      <c r="AV135" s="284"/>
      <c r="AW135" s="284"/>
      <c r="AX135" s="284"/>
      <c r="AY135" s="284"/>
      <c r="AZ135" s="284"/>
      <c r="BQ135" s="451"/>
    </row>
    <row r="136" spans="1:69" s="372" customFormat="1" ht="24.95" customHeight="1">
      <c r="A136" s="734"/>
      <c r="B136" s="643"/>
      <c r="N136" s="9"/>
      <c r="R136" s="9"/>
      <c r="S136" s="688" t="str">
        <f>+IF(NOVIEMBRE!S136=0,"",NOVIEMBRE!S136)</f>
        <v>2010200-13</v>
      </c>
      <c r="T136" s="664" t="str">
        <f>+IF(NOVIEMBRE!T136=0,"",NOVIEMBRE!T136)</f>
        <v/>
      </c>
      <c r="U136" s="27">
        <f>+ENERO!U136</f>
        <v>0</v>
      </c>
      <c r="V136" s="15">
        <f>NOVIEMBRE!V136+DICIEMBRE!AL136</f>
        <v>0</v>
      </c>
      <c r="W136" s="15">
        <f>NOVIEMBRE!W136+DICIEMBRE!AM136</f>
        <v>0</v>
      </c>
      <c r="X136" s="18">
        <f t="shared" si="135"/>
        <v>0</v>
      </c>
      <c r="Y136" s="19">
        <f>NOVIEMBRE!AA136</f>
        <v>0</v>
      </c>
      <c r="Z136" s="364">
        <v>0</v>
      </c>
      <c r="AA136" s="18">
        <f t="shared" si="136"/>
        <v>0</v>
      </c>
      <c r="AB136" s="19">
        <f>NOVIEMBRE!AD136</f>
        <v>0</v>
      </c>
      <c r="AC136" s="364">
        <v>0</v>
      </c>
      <c r="AD136" s="18">
        <f t="shared" si="137"/>
        <v>0</v>
      </c>
      <c r="AE136" s="19">
        <f>NOVIEMBRE!AG136</f>
        <v>0</v>
      </c>
      <c r="AF136" s="364">
        <v>0</v>
      </c>
      <c r="AG136" s="18">
        <f t="shared" si="138"/>
        <v>0</v>
      </c>
      <c r="AH136" s="19">
        <f t="shared" si="139"/>
        <v>0</v>
      </c>
      <c r="AI136" s="15">
        <f t="shared" si="140"/>
        <v>0</v>
      </c>
      <c r="AJ136" s="16">
        <f t="shared" si="141"/>
        <v>0</v>
      </c>
      <c r="AK136" s="9"/>
      <c r="AL136" s="362">
        <v>0</v>
      </c>
      <c r="AM136" s="365">
        <v>0</v>
      </c>
      <c r="AN136" s="9"/>
      <c r="AO136" s="284"/>
      <c r="AP136" s="284"/>
      <c r="AQ136" s="284"/>
      <c r="AR136" s="284"/>
      <c r="AS136" s="284"/>
      <c r="AT136" s="284"/>
      <c r="AU136" s="284"/>
      <c r="AV136" s="284"/>
      <c r="AW136" s="284"/>
      <c r="AX136" s="284"/>
      <c r="AY136" s="284"/>
      <c r="AZ136" s="284"/>
      <c r="BQ136" s="451"/>
    </row>
    <row r="137" spans="1:69" s="372" customFormat="1" ht="24.95" customHeight="1">
      <c r="A137" s="734"/>
      <c r="B137" s="643"/>
      <c r="N137" s="9"/>
      <c r="R137" s="9"/>
      <c r="S137" s="688" t="str">
        <f>+IF(NOVIEMBRE!S137=0,"",NOVIEMBRE!S137)</f>
        <v>2010020-14</v>
      </c>
      <c r="T137" s="664" t="str">
        <f>+IF(NOVIEMBRE!T137=0,"",NOVIEMBRE!T137)</f>
        <v/>
      </c>
      <c r="U137" s="27">
        <f>+ENERO!U137</f>
        <v>0</v>
      </c>
      <c r="V137" s="15">
        <f>NOVIEMBRE!V137+DICIEMBRE!AL137</f>
        <v>0</v>
      </c>
      <c r="W137" s="15">
        <f>NOVIEMBRE!W137+DICIEMBRE!AM137</f>
        <v>0</v>
      </c>
      <c r="X137" s="18">
        <f t="shared" si="135"/>
        <v>0</v>
      </c>
      <c r="Y137" s="19">
        <f>NOVIEMBRE!AA137</f>
        <v>0</v>
      </c>
      <c r="Z137" s="364">
        <v>0</v>
      </c>
      <c r="AA137" s="18">
        <f t="shared" si="136"/>
        <v>0</v>
      </c>
      <c r="AB137" s="19">
        <f>NOVIEMBRE!AD137</f>
        <v>0</v>
      </c>
      <c r="AC137" s="364">
        <v>0</v>
      </c>
      <c r="AD137" s="18">
        <f t="shared" si="137"/>
        <v>0</v>
      </c>
      <c r="AE137" s="19">
        <f>NOVIEMBRE!AG137</f>
        <v>0</v>
      </c>
      <c r="AF137" s="364">
        <v>0</v>
      </c>
      <c r="AG137" s="18">
        <f t="shared" si="138"/>
        <v>0</v>
      </c>
      <c r="AH137" s="19">
        <f t="shared" si="139"/>
        <v>0</v>
      </c>
      <c r="AI137" s="15">
        <f t="shared" si="140"/>
        <v>0</v>
      </c>
      <c r="AJ137" s="16">
        <f t="shared" si="141"/>
        <v>0</v>
      </c>
      <c r="AK137" s="9"/>
      <c r="AL137" s="362">
        <v>0</v>
      </c>
      <c r="AM137" s="365">
        <v>0</v>
      </c>
      <c r="AN137" s="9"/>
      <c r="AO137" s="284"/>
      <c r="AP137" s="284"/>
      <c r="AQ137" s="284"/>
      <c r="AR137" s="284"/>
      <c r="AS137" s="284"/>
      <c r="AT137" s="284"/>
      <c r="AU137" s="284"/>
      <c r="AV137" s="284"/>
      <c r="AW137" s="284"/>
      <c r="AX137" s="284"/>
      <c r="AY137" s="284"/>
      <c r="AZ137" s="284"/>
      <c r="BQ137" s="451"/>
    </row>
    <row r="138" spans="1:69" s="372" customFormat="1" ht="24.95" customHeight="1">
      <c r="A138" s="734"/>
      <c r="B138" s="643"/>
      <c r="N138" s="9"/>
      <c r="R138" s="9"/>
      <c r="S138" s="688" t="str">
        <f>+IF(NOVIEMBRE!S138=0,"",NOVIEMBRE!S138)</f>
        <v>2010200-15</v>
      </c>
      <c r="T138" s="664" t="str">
        <f>+IF(NOVIEMBRE!T138=0,"",NOVIEMBRE!T138)</f>
        <v/>
      </c>
      <c r="U138" s="27">
        <f>+ENERO!U138</f>
        <v>0</v>
      </c>
      <c r="V138" s="15">
        <f>NOVIEMBRE!V138+DICIEMBRE!AL138</f>
        <v>0</v>
      </c>
      <c r="W138" s="15">
        <f>NOVIEMBRE!W138+DICIEMBRE!AM138</f>
        <v>0</v>
      </c>
      <c r="X138" s="18">
        <f t="shared" si="135"/>
        <v>0</v>
      </c>
      <c r="Y138" s="19">
        <f>NOVIEMBRE!AA138</f>
        <v>0</v>
      </c>
      <c r="Z138" s="364">
        <v>0</v>
      </c>
      <c r="AA138" s="18">
        <f t="shared" si="136"/>
        <v>0</v>
      </c>
      <c r="AB138" s="19">
        <f>NOVIEMBRE!AD138</f>
        <v>0</v>
      </c>
      <c r="AC138" s="364">
        <v>0</v>
      </c>
      <c r="AD138" s="18">
        <f t="shared" si="137"/>
        <v>0</v>
      </c>
      <c r="AE138" s="19">
        <f>NOVIEMBRE!AG138</f>
        <v>0</v>
      </c>
      <c r="AF138" s="364">
        <v>0</v>
      </c>
      <c r="AG138" s="18">
        <f t="shared" si="138"/>
        <v>0</v>
      </c>
      <c r="AH138" s="19">
        <f t="shared" si="139"/>
        <v>0</v>
      </c>
      <c r="AI138" s="15">
        <f t="shared" si="140"/>
        <v>0</v>
      </c>
      <c r="AJ138" s="16">
        <f t="shared" si="141"/>
        <v>0</v>
      </c>
      <c r="AK138" s="9"/>
      <c r="AL138" s="362">
        <v>0</v>
      </c>
      <c r="AM138" s="365">
        <v>0</v>
      </c>
      <c r="AN138" s="9"/>
      <c r="AO138" s="284"/>
      <c r="AP138" s="284"/>
      <c r="AQ138" s="284"/>
      <c r="AR138" s="284"/>
      <c r="AS138" s="284"/>
      <c r="AT138" s="284"/>
      <c r="AU138" s="284"/>
      <c r="AV138" s="284"/>
      <c r="AW138" s="284"/>
      <c r="AX138" s="284"/>
      <c r="AY138" s="284"/>
      <c r="AZ138" s="284"/>
      <c r="BQ138" s="451"/>
    </row>
    <row r="139" spans="1:69" s="372" customFormat="1" ht="24.95" customHeight="1">
      <c r="A139" s="734"/>
      <c r="B139" s="643"/>
      <c r="N139" s="9"/>
      <c r="R139" s="9"/>
      <c r="S139" s="688">
        <f>+IF(NOVIEMBRE!S139=0,"",NOVIEMBRE!S139)</f>
        <v>2010299</v>
      </c>
      <c r="T139" s="664" t="str">
        <f>+IF(NOVIEMBRE!T139=0,"",NOVIEMBRE!T139)</f>
        <v>Vigencias Anteriores</v>
      </c>
      <c r="U139" s="27">
        <f>+ENERO!U139</f>
        <v>100000000</v>
      </c>
      <c r="V139" s="15">
        <f>NOVIEMBRE!V139+DICIEMBRE!AL139</f>
        <v>110000000</v>
      </c>
      <c r="W139" s="15">
        <f>NOVIEMBRE!W139+DICIEMBRE!AM139</f>
        <v>360000000</v>
      </c>
      <c r="X139" s="18">
        <f t="shared" si="135"/>
        <v>570000000</v>
      </c>
      <c r="Y139" s="19">
        <f>NOVIEMBRE!AA139</f>
        <v>536895255</v>
      </c>
      <c r="Z139" s="364">
        <v>26801524</v>
      </c>
      <c r="AA139" s="18">
        <f t="shared" si="136"/>
        <v>563696779</v>
      </c>
      <c r="AB139" s="19">
        <f>NOVIEMBRE!AD139</f>
        <v>536895255</v>
      </c>
      <c r="AC139" s="364">
        <v>26801524</v>
      </c>
      <c r="AD139" s="18">
        <f t="shared" si="137"/>
        <v>563696779</v>
      </c>
      <c r="AE139" s="19">
        <f>NOVIEMBRE!AG139</f>
        <v>536895255</v>
      </c>
      <c r="AF139" s="364">
        <v>26801524</v>
      </c>
      <c r="AG139" s="18">
        <f t="shared" si="138"/>
        <v>563696779</v>
      </c>
      <c r="AH139" s="19">
        <f t="shared" si="139"/>
        <v>6303221</v>
      </c>
      <c r="AI139" s="15">
        <f t="shared" si="140"/>
        <v>6303221</v>
      </c>
      <c r="AJ139" s="16">
        <f t="shared" si="141"/>
        <v>6303221</v>
      </c>
      <c r="AK139" s="9"/>
      <c r="AL139" s="362">
        <v>0</v>
      </c>
      <c r="AM139" s="365">
        <v>0</v>
      </c>
      <c r="AN139" s="9"/>
      <c r="AO139" s="284"/>
      <c r="AP139" s="284"/>
      <c r="AQ139" s="284"/>
      <c r="BQ139" s="451"/>
    </row>
    <row r="140" spans="1:69" s="372" customFormat="1" ht="24.95" customHeight="1">
      <c r="A140" s="734"/>
      <c r="B140" s="643"/>
      <c r="N140" s="9"/>
      <c r="R140" s="9"/>
      <c r="S140" s="356" t="str">
        <f>+IF(NOVIEMBRE!S140=0,"",NOVIEMBRE!S140)</f>
        <v/>
      </c>
      <c r="T140" s="678" t="str">
        <f>+IF(NOVIEMBRE!T140=0,"",NOVIEMBRE!T140)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c r="BQ140" s="451"/>
    </row>
    <row r="141" spans="1:69" s="372" customFormat="1" ht="24.95" customHeight="1">
      <c r="A141" s="734"/>
      <c r="B141" s="643"/>
      <c r="N141" s="9"/>
      <c r="R141" s="9"/>
      <c r="S141" s="687">
        <f>+IF(NOVIEMBRE!S141=0,"",NOVIEMBRE!S141)</f>
        <v>2010300</v>
      </c>
      <c r="T141" s="663" t="str">
        <f>+IF(NOVIEMBRE!T141=0,"",NOVIEMBRE!T141)</f>
        <v>Impuestos y Multas</v>
      </c>
      <c r="U141" s="132">
        <f t="shared" ref="U141:AJ141" si="144">U142+U143</f>
        <v>527082264</v>
      </c>
      <c r="V141" s="122">
        <f t="shared" si="144"/>
        <v>0</v>
      </c>
      <c r="W141" s="122">
        <f t="shared" si="144"/>
        <v>0</v>
      </c>
      <c r="X141" s="129">
        <f t="shared" si="144"/>
        <v>527082264</v>
      </c>
      <c r="Y141" s="128">
        <f t="shared" si="144"/>
        <v>262886860</v>
      </c>
      <c r="Z141" s="122">
        <f t="shared" si="144"/>
        <v>0</v>
      </c>
      <c r="AA141" s="129">
        <f t="shared" si="144"/>
        <v>262886860</v>
      </c>
      <c r="AB141" s="128">
        <f t="shared" si="144"/>
        <v>262886860</v>
      </c>
      <c r="AC141" s="122">
        <f t="shared" si="144"/>
        <v>0</v>
      </c>
      <c r="AD141" s="129">
        <f t="shared" si="144"/>
        <v>262886860</v>
      </c>
      <c r="AE141" s="128">
        <f t="shared" si="144"/>
        <v>247313579</v>
      </c>
      <c r="AF141" s="122">
        <f t="shared" si="144"/>
        <v>15573281</v>
      </c>
      <c r="AG141" s="129">
        <f t="shared" si="144"/>
        <v>262886860</v>
      </c>
      <c r="AH141" s="128">
        <f t="shared" si="144"/>
        <v>264195404</v>
      </c>
      <c r="AI141" s="122">
        <f t="shared" si="144"/>
        <v>264195404</v>
      </c>
      <c r="AJ141" s="130">
        <f t="shared" si="144"/>
        <v>264195404</v>
      </c>
      <c r="AK141" s="10"/>
      <c r="AL141" s="128">
        <f>AL142+AL143</f>
        <v>0</v>
      </c>
      <c r="AM141" s="130">
        <f>AM142+AM143</f>
        <v>0</v>
      </c>
      <c r="AN141" s="9"/>
      <c r="BQ141" s="451"/>
    </row>
    <row r="142" spans="1:69" s="372" customFormat="1" ht="24.95" customHeight="1">
      <c r="A142" s="734"/>
      <c r="B142" s="643"/>
      <c r="N142" s="9"/>
      <c r="R142" s="9"/>
      <c r="S142" s="688" t="str">
        <f>+IF(NOVIEMBRE!S142=0,"",NOVIEMBRE!S142)</f>
        <v>2010300-1</v>
      </c>
      <c r="T142" s="664" t="str">
        <f>+IF(NOVIEMBRE!T142=0,"",NOVIEMBRE!T142)</f>
        <v>Impuestos (Predial, Vehiculos, Otros)</v>
      </c>
      <c r="U142" s="27">
        <f>+ENERO!U142</f>
        <v>527082264</v>
      </c>
      <c r="V142" s="15">
        <f>NOVIEMBRE!V142+DICIEMBRE!AL142</f>
        <v>0</v>
      </c>
      <c r="W142" s="15">
        <f>NOVIEMBRE!W142+DICIEMBRE!AM142</f>
        <v>0</v>
      </c>
      <c r="X142" s="18">
        <f>SUM(U142:W142)</f>
        <v>527082264</v>
      </c>
      <c r="Y142" s="19">
        <f>NOVIEMBRE!AA142</f>
        <v>262886860</v>
      </c>
      <c r="Z142" s="364">
        <v>0</v>
      </c>
      <c r="AA142" s="18">
        <f>SUM(Y142:Z142)</f>
        <v>262886860</v>
      </c>
      <c r="AB142" s="19">
        <f>NOVIEMBRE!AD142</f>
        <v>262886860</v>
      </c>
      <c r="AC142" s="364">
        <v>0</v>
      </c>
      <c r="AD142" s="18">
        <f>SUM(AB142:AC142)</f>
        <v>262886860</v>
      </c>
      <c r="AE142" s="19">
        <f>NOVIEMBRE!AG142</f>
        <v>247313579</v>
      </c>
      <c r="AF142" s="364">
        <v>15573281</v>
      </c>
      <c r="AG142" s="18">
        <f>SUM(AE142:AF142)</f>
        <v>262886860</v>
      </c>
      <c r="AH142" s="19">
        <f>X142-AA142</f>
        <v>264195404</v>
      </c>
      <c r="AI142" s="15">
        <f>X142-AD142</f>
        <v>264195404</v>
      </c>
      <c r="AJ142" s="16">
        <f>X142-AG142</f>
        <v>264195404</v>
      </c>
      <c r="AK142" s="9"/>
      <c r="AL142" s="362">
        <v>0</v>
      </c>
      <c r="AM142" s="365">
        <v>0</v>
      </c>
      <c r="AN142" s="9"/>
      <c r="BQ142" s="451"/>
    </row>
    <row r="143" spans="1:69" s="372" customFormat="1" ht="24.95" customHeight="1">
      <c r="A143" s="734"/>
      <c r="B143" s="643"/>
      <c r="N143" s="9"/>
      <c r="R143" s="9"/>
      <c r="S143" s="688">
        <f>+IF(NOVIEMBRE!S143=0,"",NOVIEMBRE!S143)</f>
        <v>2010399</v>
      </c>
      <c r="T143" s="664" t="str">
        <f>+IF(NOVIEMBRE!T143=0,"",NOVIEMBRE!T143)</f>
        <v>Vigencias Anteriores</v>
      </c>
      <c r="U143" s="27">
        <f>+ENERO!U143</f>
        <v>0</v>
      </c>
      <c r="V143" s="15">
        <f>NOVIEMBRE!V143+DICIEMBRE!AL143</f>
        <v>0</v>
      </c>
      <c r="W143" s="15">
        <f>NOVIEMBRE!W143+DICIEMBRE!AM143</f>
        <v>0</v>
      </c>
      <c r="X143" s="18">
        <f>SUM(U143:W143)</f>
        <v>0</v>
      </c>
      <c r="Y143" s="19">
        <f>NOVIEMBRE!AA143</f>
        <v>0</v>
      </c>
      <c r="Z143" s="364">
        <v>0</v>
      </c>
      <c r="AA143" s="18">
        <f>SUM(Y143:Z143)</f>
        <v>0</v>
      </c>
      <c r="AB143" s="19">
        <f>NOVIEMBRE!AD143</f>
        <v>0</v>
      </c>
      <c r="AC143" s="364">
        <v>0</v>
      </c>
      <c r="AD143" s="18">
        <f>SUM(AB143:AC143)</f>
        <v>0</v>
      </c>
      <c r="AE143" s="19">
        <f>NOVIEMBRE!AG143</f>
        <v>0</v>
      </c>
      <c r="AF143" s="364">
        <v>0</v>
      </c>
      <c r="AG143" s="18">
        <f>SUM(AE143:AF143)</f>
        <v>0</v>
      </c>
      <c r="AH143" s="19">
        <f>X143-AA143</f>
        <v>0</v>
      </c>
      <c r="AI143" s="15">
        <f>X143-AD143</f>
        <v>0</v>
      </c>
      <c r="AJ143" s="16">
        <f>X143-AG143</f>
        <v>0</v>
      </c>
      <c r="AK143" s="9"/>
      <c r="AL143" s="362">
        <v>0</v>
      </c>
      <c r="AM143" s="365">
        <v>0</v>
      </c>
      <c r="AN143" s="9"/>
      <c r="BQ143" s="451"/>
    </row>
    <row r="144" spans="1:69" s="372" customFormat="1" ht="24.95" customHeight="1">
      <c r="A144" s="734"/>
      <c r="B144" s="643"/>
      <c r="N144" s="9"/>
      <c r="R144" s="9"/>
      <c r="S144" s="356" t="str">
        <f>+IF(NOVIEMBRE!S144=0,"",NOVIEMBRE!S144)</f>
        <v/>
      </c>
      <c r="T144" s="678" t="str">
        <f>+IF(NOVIEMBRE!T144=0,"",NOVIEMBRE!T144)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c r="BQ144" s="451"/>
    </row>
    <row r="145" spans="1:69" s="372" customFormat="1" ht="24.95" customHeight="1">
      <c r="A145" s="734"/>
      <c r="B145" s="643"/>
      <c r="N145" s="9"/>
      <c r="R145" s="9"/>
      <c r="S145" s="686">
        <f>+IF(NOVIEMBRE!S145=0,"",NOVIEMBRE!S145)</f>
        <v>2020010</v>
      </c>
      <c r="T145" s="662" t="str">
        <f>+IF(NOVIEMBRE!T145=0,"",NOVIEMBRE!T145)</f>
        <v>Gastos de Operación</v>
      </c>
      <c r="U145" s="132">
        <f t="shared" ref="U145:AJ145" si="145">U147+U155</f>
        <v>5923637263</v>
      </c>
      <c r="V145" s="122">
        <f t="shared" si="145"/>
        <v>402000000</v>
      </c>
      <c r="W145" s="122">
        <f t="shared" si="145"/>
        <v>3165301905</v>
      </c>
      <c r="X145" s="129">
        <f t="shared" si="145"/>
        <v>9490939168</v>
      </c>
      <c r="Y145" s="128">
        <f t="shared" si="145"/>
        <v>7849769030</v>
      </c>
      <c r="Z145" s="122">
        <f t="shared" si="145"/>
        <v>239344</v>
      </c>
      <c r="AA145" s="129">
        <f t="shared" si="145"/>
        <v>7850008374</v>
      </c>
      <c r="AB145" s="128">
        <f t="shared" si="145"/>
        <v>6773088492</v>
      </c>
      <c r="AC145" s="122">
        <f t="shared" si="145"/>
        <v>1076919882</v>
      </c>
      <c r="AD145" s="129">
        <f t="shared" si="145"/>
        <v>7850008374</v>
      </c>
      <c r="AE145" s="128">
        <f t="shared" si="145"/>
        <v>5443815992</v>
      </c>
      <c r="AF145" s="122">
        <f t="shared" si="145"/>
        <v>894284710</v>
      </c>
      <c r="AG145" s="129">
        <f t="shared" si="145"/>
        <v>6338100702</v>
      </c>
      <c r="AH145" s="128">
        <f t="shared" si="145"/>
        <v>1640930794</v>
      </c>
      <c r="AI145" s="122">
        <f t="shared" si="145"/>
        <v>1640930794</v>
      </c>
      <c r="AJ145" s="130">
        <f t="shared" si="145"/>
        <v>3152838466</v>
      </c>
      <c r="AK145" s="10"/>
      <c r="AL145" s="128">
        <f>AL147+AL155</f>
        <v>0</v>
      </c>
      <c r="AM145" s="130">
        <f>AM147+AM155</f>
        <v>400000000</v>
      </c>
      <c r="AN145" s="9"/>
      <c r="BQ145" s="451"/>
    </row>
    <row r="146" spans="1:69" s="372" customFormat="1" ht="24.95" customHeight="1">
      <c r="A146" s="734"/>
      <c r="B146" s="643"/>
      <c r="N146" s="9"/>
      <c r="R146" s="9"/>
      <c r="S146" s="689" t="str">
        <f>+IF(NOVIEMBRE!S146=0,"",NOVIEMBRE!S146)</f>
        <v/>
      </c>
      <c r="T146" s="665" t="str">
        <f>+IF(NOVIEMBRE!T146=0,"",NOVIEMBRE!T146)</f>
        <v/>
      </c>
      <c r="U146" s="17"/>
      <c r="V146" s="15"/>
      <c r="W146" s="15"/>
      <c r="X146" s="18"/>
      <c r="Y146" s="19"/>
      <c r="Z146" s="15"/>
      <c r="AA146" s="18"/>
      <c r="AB146" s="19"/>
      <c r="AC146" s="15"/>
      <c r="AD146" s="18"/>
      <c r="AE146" s="19"/>
      <c r="AF146" s="15"/>
      <c r="AG146" s="18"/>
      <c r="AH146" s="19"/>
      <c r="AI146" s="15"/>
      <c r="AJ146" s="16"/>
      <c r="AK146" s="9"/>
      <c r="AL146" s="172"/>
      <c r="AM146" s="173"/>
      <c r="AN146" s="9"/>
      <c r="BQ146" s="451"/>
    </row>
    <row r="147" spans="1:69" s="372" customFormat="1" ht="24.95" customHeight="1">
      <c r="A147" s="734"/>
      <c r="B147" s="643"/>
      <c r="N147" s="9"/>
      <c r="R147" s="9"/>
      <c r="S147" s="687">
        <f>+IF(NOVIEMBRE!S147=0,"",NOVIEMBRE!S147)</f>
        <v>2020100</v>
      </c>
      <c r="T147" s="663" t="str">
        <f>+IF(NOVIEMBRE!T147=0,"",NOVIEMBRE!T147)</f>
        <v>Adquisición de bienes</v>
      </c>
      <c r="U147" s="132">
        <f t="shared" ref="U147:AJ147" si="146">SUM(U148:U149)+U153</f>
        <v>1211000000</v>
      </c>
      <c r="V147" s="122">
        <f t="shared" si="146"/>
        <v>-363000000</v>
      </c>
      <c r="W147" s="122">
        <f t="shared" si="146"/>
        <v>963000000</v>
      </c>
      <c r="X147" s="129">
        <f t="shared" si="146"/>
        <v>1811000000</v>
      </c>
      <c r="Y147" s="128">
        <f t="shared" si="146"/>
        <v>1049167365</v>
      </c>
      <c r="Z147" s="122">
        <f t="shared" si="146"/>
        <v>80417032</v>
      </c>
      <c r="AA147" s="129">
        <f t="shared" si="146"/>
        <v>1129584397</v>
      </c>
      <c r="AB147" s="128">
        <f t="shared" si="146"/>
        <v>638220188</v>
      </c>
      <c r="AC147" s="122">
        <f t="shared" si="146"/>
        <v>491364209</v>
      </c>
      <c r="AD147" s="129">
        <f t="shared" si="146"/>
        <v>1129584397</v>
      </c>
      <c r="AE147" s="128">
        <f t="shared" si="146"/>
        <v>459486769</v>
      </c>
      <c r="AF147" s="122">
        <f t="shared" si="146"/>
        <v>136864163</v>
      </c>
      <c r="AG147" s="129">
        <f t="shared" si="146"/>
        <v>596350932</v>
      </c>
      <c r="AH147" s="128">
        <f t="shared" si="146"/>
        <v>681415603</v>
      </c>
      <c r="AI147" s="122">
        <f t="shared" si="146"/>
        <v>681415603</v>
      </c>
      <c r="AJ147" s="130">
        <f t="shared" si="146"/>
        <v>1214649068</v>
      </c>
      <c r="AK147" s="9"/>
      <c r="AL147" s="128">
        <f>SUM(AL148:AL149)+AL153</f>
        <v>0</v>
      </c>
      <c r="AM147" s="130">
        <f>SUM(AM148:AM149)+AM153</f>
        <v>0</v>
      </c>
      <c r="AN147" s="9"/>
      <c r="BQ147" s="451"/>
    </row>
    <row r="148" spans="1:69" s="372" customFormat="1" ht="24.95" customHeight="1">
      <c r="A148" s="734"/>
      <c r="B148" s="643"/>
      <c r="N148" s="9"/>
      <c r="R148" s="9"/>
      <c r="S148" s="688">
        <f>+IF(NOVIEMBRE!S148=0,"",NOVIEMBRE!S148)</f>
        <v>2020101</v>
      </c>
      <c r="T148" s="664" t="str">
        <f>+IF(NOVIEMBRE!T148=0,"",NOVIEMBRE!T148)</f>
        <v>Mantenimiento Hospitalario</v>
      </c>
      <c r="U148" s="27">
        <f>+ENERO!U148</f>
        <v>1000000000</v>
      </c>
      <c r="V148" s="15">
        <f>NOVIEMBRE!V148+DICIEMBRE!AL148</f>
        <v>-448000000</v>
      </c>
      <c r="W148" s="15">
        <f>NOVIEMBRE!W148+DICIEMBRE!AM148</f>
        <v>200000000</v>
      </c>
      <c r="X148" s="18">
        <f>SUM(U148:W148)</f>
        <v>752000000</v>
      </c>
      <c r="Y148" s="19">
        <f>NOVIEMBRE!AA148</f>
        <v>559083314</v>
      </c>
      <c r="Z148" s="364">
        <v>-9515000</v>
      </c>
      <c r="AA148" s="18">
        <f>SUM(Y148:Z148)</f>
        <v>549568314</v>
      </c>
      <c r="AB148" s="19">
        <f>NOVIEMBRE!AD148</f>
        <v>291180089</v>
      </c>
      <c r="AC148" s="364">
        <v>258388225</v>
      </c>
      <c r="AD148" s="18">
        <f>SUM(AB148:AC148)</f>
        <v>549568314</v>
      </c>
      <c r="AE148" s="19">
        <f>NOVIEMBRE!AG148</f>
        <v>248559442</v>
      </c>
      <c r="AF148" s="364">
        <v>20548003</v>
      </c>
      <c r="AG148" s="18">
        <f>SUM(AE148:AF148)</f>
        <v>269107445</v>
      </c>
      <c r="AH148" s="19">
        <f>X148-AA148</f>
        <v>202431686</v>
      </c>
      <c r="AI148" s="15">
        <f>X148-AD148</f>
        <v>202431686</v>
      </c>
      <c r="AJ148" s="16">
        <f>X148-AG148</f>
        <v>482892555</v>
      </c>
      <c r="AK148" s="9"/>
      <c r="AL148" s="362">
        <v>0</v>
      </c>
      <c r="AM148" s="365">
        <v>0</v>
      </c>
      <c r="AN148" s="9"/>
      <c r="BQ148" s="451"/>
    </row>
    <row r="149" spans="1:69" s="372" customFormat="1" ht="24.95" customHeight="1">
      <c r="A149" s="734"/>
      <c r="B149" s="643"/>
      <c r="N149" s="9"/>
      <c r="R149" s="9"/>
      <c r="S149" s="688">
        <f>+IF(NOVIEMBRE!S149=0,"",NOVIEMBRE!S149)</f>
        <v>2020102</v>
      </c>
      <c r="T149" s="664" t="str">
        <f>+IF(NOVIEMBRE!T149=0,"",NOVIEMBRE!T149)</f>
        <v>Otros</v>
      </c>
      <c r="U149" s="27">
        <f t="shared" ref="U149:AJ149" si="147">SUM(U150:U152)</f>
        <v>150000000</v>
      </c>
      <c r="V149" s="15">
        <f t="shared" si="147"/>
        <v>85000000</v>
      </c>
      <c r="W149" s="15">
        <f t="shared" si="147"/>
        <v>663000000</v>
      </c>
      <c r="X149" s="18">
        <f t="shared" si="147"/>
        <v>898000000</v>
      </c>
      <c r="Y149" s="19">
        <f t="shared" si="147"/>
        <v>343838365</v>
      </c>
      <c r="Z149" s="142">
        <f t="shared" si="147"/>
        <v>89932032</v>
      </c>
      <c r="AA149" s="18">
        <f t="shared" si="147"/>
        <v>433770397</v>
      </c>
      <c r="AB149" s="19">
        <f t="shared" si="147"/>
        <v>200794413</v>
      </c>
      <c r="AC149" s="142">
        <f t="shared" si="147"/>
        <v>232975984</v>
      </c>
      <c r="AD149" s="18">
        <f t="shared" si="147"/>
        <v>433770397</v>
      </c>
      <c r="AE149" s="19">
        <f t="shared" si="147"/>
        <v>64681641</v>
      </c>
      <c r="AF149" s="142">
        <f t="shared" si="147"/>
        <v>116316160</v>
      </c>
      <c r="AG149" s="18">
        <f t="shared" si="147"/>
        <v>180997801</v>
      </c>
      <c r="AH149" s="19">
        <f t="shared" si="147"/>
        <v>464229603</v>
      </c>
      <c r="AI149" s="15">
        <f t="shared" si="147"/>
        <v>464229603</v>
      </c>
      <c r="AJ149" s="16">
        <f t="shared" si="147"/>
        <v>717002199</v>
      </c>
      <c r="AK149" s="9"/>
      <c r="AL149" s="29">
        <f>SUM(AL150:AL152)</f>
        <v>0</v>
      </c>
      <c r="AM149" s="26">
        <f>SUM(AM150:AM152)</f>
        <v>0</v>
      </c>
      <c r="AN149" s="9"/>
      <c r="BQ149" s="451"/>
    </row>
    <row r="150" spans="1:69" s="372" customFormat="1" ht="24.95" customHeight="1">
      <c r="A150" s="734"/>
      <c r="B150" s="643"/>
      <c r="N150" s="9"/>
      <c r="R150" s="9"/>
      <c r="S150" s="689" t="str">
        <f>+IF(NOVIEMBRE!S150=0,"",NOVIEMBRE!S150)</f>
        <v>2020102-1</v>
      </c>
      <c r="T150" s="664" t="str">
        <f>+IF(NOVIEMBRE!T150=0,"",NOVIEMBRE!T150)</f>
        <v>Compra de Equipo e Instr. Mco. y Laborat.</v>
      </c>
      <c r="U150" s="27">
        <f>+ENERO!U150</f>
        <v>150000000</v>
      </c>
      <c r="V150" s="15">
        <f>NOVIEMBRE!V150+DICIEMBRE!AL150</f>
        <v>85000000</v>
      </c>
      <c r="W150" s="15">
        <f>NOVIEMBRE!W150+DICIEMBRE!AM150</f>
        <v>663000000</v>
      </c>
      <c r="X150" s="18">
        <f>SUM(U150:W150)</f>
        <v>898000000</v>
      </c>
      <c r="Y150" s="19">
        <f>NOVIEMBRE!AA150</f>
        <v>343838365</v>
      </c>
      <c r="Z150" s="364">
        <v>89932032</v>
      </c>
      <c r="AA150" s="18">
        <f>SUM(Y150:Z150)</f>
        <v>433770397</v>
      </c>
      <c r="AB150" s="19">
        <f>NOVIEMBRE!AD150</f>
        <v>200794413</v>
      </c>
      <c r="AC150" s="364">
        <v>232975984</v>
      </c>
      <c r="AD150" s="18">
        <f>SUM(AB150:AC150)</f>
        <v>433770397</v>
      </c>
      <c r="AE150" s="19">
        <f>NOVIEMBRE!AG150</f>
        <v>64681641</v>
      </c>
      <c r="AF150" s="364">
        <v>116316160</v>
      </c>
      <c r="AG150" s="18">
        <f>SUM(AE150:AF150)</f>
        <v>180997801</v>
      </c>
      <c r="AH150" s="19">
        <f>X150-AA150</f>
        <v>464229603</v>
      </c>
      <c r="AI150" s="15">
        <f>X150-AD150</f>
        <v>464229603</v>
      </c>
      <c r="AJ150" s="16">
        <f>X150-AG150</f>
        <v>717002199</v>
      </c>
      <c r="AK150" s="9"/>
      <c r="AL150" s="362">
        <v>0</v>
      </c>
      <c r="AM150" s="365">
        <v>0</v>
      </c>
      <c r="AN150" s="9"/>
      <c r="BQ150" s="451"/>
    </row>
    <row r="151" spans="1:69" s="372" customFormat="1" ht="24.95" customHeight="1">
      <c r="A151" s="734"/>
      <c r="B151" s="643"/>
      <c r="N151" s="9"/>
      <c r="R151" s="9"/>
      <c r="S151" s="689" t="str">
        <f>+IF(NOVIEMBRE!S151=0,"",NOVIEMBRE!S151)</f>
        <v>2020102-2</v>
      </c>
      <c r="T151" s="664" t="str">
        <f>+IF(NOVIEMBRE!T151=0,"",NOVIEMBRE!T151)</f>
        <v>Materiales</v>
      </c>
      <c r="U151" s="27">
        <f>+ENERO!U151</f>
        <v>0</v>
      </c>
      <c r="V151" s="15">
        <f>NOVIEMBRE!V151+DICIEMBRE!AL151</f>
        <v>0</v>
      </c>
      <c r="W151" s="15">
        <f>NOVIEMBRE!W151+DICIEMBRE!AM151</f>
        <v>0</v>
      </c>
      <c r="X151" s="18">
        <f>SUM(U151:W151)</f>
        <v>0</v>
      </c>
      <c r="Y151" s="19">
        <f>NOVIEMBRE!AA151</f>
        <v>0</v>
      </c>
      <c r="Z151" s="364">
        <v>0</v>
      </c>
      <c r="AA151" s="18">
        <f>SUM(Y151:Z151)</f>
        <v>0</v>
      </c>
      <c r="AB151" s="19">
        <f>NOVIEMBRE!AD151</f>
        <v>0</v>
      </c>
      <c r="AC151" s="364">
        <v>0</v>
      </c>
      <c r="AD151" s="18">
        <f>SUM(AB151:AC151)</f>
        <v>0</v>
      </c>
      <c r="AE151" s="19">
        <f>NOVIEMBRE!AG151</f>
        <v>0</v>
      </c>
      <c r="AF151" s="364">
        <v>0</v>
      </c>
      <c r="AG151" s="18">
        <f>SUM(AE151:AF151)</f>
        <v>0</v>
      </c>
      <c r="AH151" s="19">
        <f>X151-AA151</f>
        <v>0</v>
      </c>
      <c r="AI151" s="15">
        <f>X151-AD151</f>
        <v>0</v>
      </c>
      <c r="AJ151" s="16">
        <f>X151-AG151</f>
        <v>0</v>
      </c>
      <c r="AK151" s="9"/>
      <c r="AL151" s="362">
        <v>0</v>
      </c>
      <c r="AM151" s="365">
        <v>0</v>
      </c>
      <c r="AN151" s="9"/>
      <c r="BQ151" s="451"/>
    </row>
    <row r="152" spans="1:69" s="372" customFormat="1" ht="24.95" customHeight="1">
      <c r="A152" s="734"/>
      <c r="B152" s="643"/>
      <c r="N152" s="9"/>
      <c r="R152" s="9"/>
      <c r="S152" s="689" t="str">
        <f>+IF(NOVIEMBRE!S152=0,"",NOVIEMBRE!S152)</f>
        <v>2020102-3</v>
      </c>
      <c r="T152" s="664" t="str">
        <f>+IF(NOVIEMBRE!T152=0,"",NOVIEMBRE!T152)</f>
        <v/>
      </c>
      <c r="U152" s="27">
        <f>+ENERO!U152</f>
        <v>0</v>
      </c>
      <c r="V152" s="15">
        <f>NOVIEMBRE!V152+DICIEMBRE!AL152</f>
        <v>0</v>
      </c>
      <c r="W152" s="15">
        <f>NOVIEMBRE!W152+DICIEMBRE!AM152</f>
        <v>0</v>
      </c>
      <c r="X152" s="18">
        <f>SUM(U152:W152)</f>
        <v>0</v>
      </c>
      <c r="Y152" s="19">
        <f>NOVIEMBRE!AA152</f>
        <v>0</v>
      </c>
      <c r="Z152" s="364">
        <v>0</v>
      </c>
      <c r="AA152" s="18">
        <f>SUM(Y152:Z152)</f>
        <v>0</v>
      </c>
      <c r="AB152" s="19">
        <f>NOVIEMBRE!AD152</f>
        <v>0</v>
      </c>
      <c r="AC152" s="364">
        <v>0</v>
      </c>
      <c r="AD152" s="18">
        <f>SUM(AB152:AC152)</f>
        <v>0</v>
      </c>
      <c r="AE152" s="19">
        <f>NOVIEMBRE!AG152</f>
        <v>0</v>
      </c>
      <c r="AF152" s="364">
        <v>0</v>
      </c>
      <c r="AG152" s="18">
        <f>SUM(AE152:AF152)</f>
        <v>0</v>
      </c>
      <c r="AH152" s="19">
        <f>X152-AA152</f>
        <v>0</v>
      </c>
      <c r="AI152" s="15">
        <f>X152-AD152</f>
        <v>0</v>
      </c>
      <c r="AJ152" s="16">
        <f>X152-AG152</f>
        <v>0</v>
      </c>
      <c r="AK152" s="9"/>
      <c r="AL152" s="362">
        <v>0</v>
      </c>
      <c r="AM152" s="365">
        <v>0</v>
      </c>
      <c r="AN152" s="9"/>
      <c r="BQ152" s="451"/>
    </row>
    <row r="153" spans="1:69" s="372" customFormat="1" ht="24.95" customHeight="1">
      <c r="A153" s="734"/>
      <c r="B153" s="643"/>
      <c r="N153" s="9"/>
      <c r="R153" s="9"/>
      <c r="S153" s="688">
        <f>+IF(NOVIEMBRE!S153=0,"",NOVIEMBRE!S153)</f>
        <v>2020199</v>
      </c>
      <c r="T153" s="664" t="str">
        <f>+IF(NOVIEMBRE!T153=0,"",NOVIEMBRE!T153)</f>
        <v>Vigencias Anteriores</v>
      </c>
      <c r="U153" s="27">
        <f>+ENERO!U153</f>
        <v>61000000</v>
      </c>
      <c r="V153" s="15">
        <f>NOVIEMBRE!V153+DICIEMBRE!AL153</f>
        <v>0</v>
      </c>
      <c r="W153" s="15">
        <f>NOVIEMBRE!W153+DICIEMBRE!AM153</f>
        <v>100000000</v>
      </c>
      <c r="X153" s="18">
        <f>SUM(U153:W153)</f>
        <v>161000000</v>
      </c>
      <c r="Y153" s="19">
        <f>NOVIEMBRE!AA153</f>
        <v>146245686</v>
      </c>
      <c r="Z153" s="364">
        <v>0</v>
      </c>
      <c r="AA153" s="18">
        <f>SUM(Y153:Z153)</f>
        <v>146245686</v>
      </c>
      <c r="AB153" s="19">
        <f>NOVIEMBRE!AD153</f>
        <v>146245686</v>
      </c>
      <c r="AC153" s="364">
        <v>0</v>
      </c>
      <c r="AD153" s="18">
        <f>SUM(AB153:AC153)</f>
        <v>146245686</v>
      </c>
      <c r="AE153" s="19">
        <f>NOVIEMBRE!AG153</f>
        <v>146245686</v>
      </c>
      <c r="AF153" s="364">
        <v>0</v>
      </c>
      <c r="AG153" s="18">
        <f>SUM(AE153:AF153)</f>
        <v>146245686</v>
      </c>
      <c r="AH153" s="19">
        <f>X153-AA153</f>
        <v>14754314</v>
      </c>
      <c r="AI153" s="15">
        <f>X153-AD153</f>
        <v>14754314</v>
      </c>
      <c r="AJ153" s="16">
        <f>X153-AG153</f>
        <v>14754314</v>
      </c>
      <c r="AK153" s="9"/>
      <c r="AL153" s="362">
        <v>0</v>
      </c>
      <c r="AM153" s="365">
        <v>0</v>
      </c>
      <c r="AN153" s="9"/>
      <c r="BQ153" s="451"/>
    </row>
    <row r="154" spans="1:69" s="372" customFormat="1" ht="24.95" customHeight="1">
      <c r="A154" s="734"/>
      <c r="B154" s="643"/>
      <c r="N154" s="9"/>
      <c r="R154" s="9"/>
      <c r="S154" s="356" t="str">
        <f>+IF(NOVIEMBRE!S154=0,"",NOVIEMBRE!S154)</f>
        <v/>
      </c>
      <c r="T154" s="678" t="str">
        <f>+IF(NOVIEMBRE!T154=0,"",NOVIEMBRE!T154)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c r="BQ154" s="451"/>
    </row>
    <row r="155" spans="1:69" s="372" customFormat="1" ht="24.95" customHeight="1">
      <c r="A155" s="734"/>
      <c r="B155" s="643"/>
      <c r="N155" s="9"/>
      <c r="R155" s="9"/>
      <c r="S155" s="687">
        <f>+IF(NOVIEMBRE!S155=0,"",NOVIEMBRE!S155)</f>
        <v>2020200</v>
      </c>
      <c r="T155" s="663" t="str">
        <f>+IF(NOVIEMBRE!T155=0,"",NOVIEMBRE!T155)</f>
        <v>Adquisición de Servicios</v>
      </c>
      <c r="U155" s="132">
        <f t="shared" ref="U155:AJ155" si="148">SUM(U156:U157)+U168</f>
        <v>4712637263</v>
      </c>
      <c r="V155" s="122">
        <f t="shared" si="148"/>
        <v>765000000</v>
      </c>
      <c r="W155" s="122">
        <f t="shared" si="148"/>
        <v>2202301905</v>
      </c>
      <c r="X155" s="129">
        <f t="shared" si="148"/>
        <v>7679939168</v>
      </c>
      <c r="Y155" s="128">
        <f t="shared" si="148"/>
        <v>6800601665</v>
      </c>
      <c r="Z155" s="122">
        <f t="shared" si="148"/>
        <v>-80177688</v>
      </c>
      <c r="AA155" s="129">
        <f t="shared" si="148"/>
        <v>6720423977</v>
      </c>
      <c r="AB155" s="128">
        <f t="shared" si="148"/>
        <v>6134868304</v>
      </c>
      <c r="AC155" s="122">
        <f t="shared" si="148"/>
        <v>585555673</v>
      </c>
      <c r="AD155" s="129">
        <f t="shared" si="148"/>
        <v>6720423977</v>
      </c>
      <c r="AE155" s="128">
        <f t="shared" si="148"/>
        <v>4984329223</v>
      </c>
      <c r="AF155" s="122">
        <f t="shared" si="148"/>
        <v>757420547</v>
      </c>
      <c r="AG155" s="129">
        <f t="shared" si="148"/>
        <v>5741749770</v>
      </c>
      <c r="AH155" s="128">
        <f t="shared" si="148"/>
        <v>959515191</v>
      </c>
      <c r="AI155" s="122">
        <f t="shared" si="148"/>
        <v>959515191</v>
      </c>
      <c r="AJ155" s="130">
        <f t="shared" si="148"/>
        <v>1938189398</v>
      </c>
      <c r="AK155" s="9"/>
      <c r="AL155" s="128">
        <f>SUM(AL156:AL157)+AL168</f>
        <v>0</v>
      </c>
      <c r="AM155" s="130">
        <f>SUM(AM156:AM157)+AM168</f>
        <v>400000000</v>
      </c>
      <c r="AN155" s="9"/>
      <c r="BQ155" s="451"/>
    </row>
    <row r="156" spans="1:69" s="372" customFormat="1" ht="24.95" customHeight="1">
      <c r="A156" s="734"/>
      <c r="B156" s="643"/>
      <c r="N156" s="9"/>
      <c r="P156" s="9"/>
      <c r="Q156" s="9"/>
      <c r="R156" s="9"/>
      <c r="S156" s="688">
        <f>+IF(NOVIEMBRE!S156=0,"",NOVIEMBRE!S156)</f>
        <v>2020201</v>
      </c>
      <c r="T156" s="664" t="str">
        <f>+IF(NOVIEMBRE!T156=0,"",NOVIEMBRE!T156)</f>
        <v>Mantenimiento Hospitalario</v>
      </c>
      <c r="U156" s="27">
        <f>+ENERO!U156</f>
        <v>2002025000</v>
      </c>
      <c r="V156" s="15">
        <f>NOVIEMBRE!V156+DICIEMBRE!AL156</f>
        <v>630000000</v>
      </c>
      <c r="W156" s="15">
        <f>NOVIEMBRE!W156+DICIEMBRE!AM156</f>
        <v>380000000</v>
      </c>
      <c r="X156" s="18">
        <f>SUM(U156:W156)</f>
        <v>3012025000</v>
      </c>
      <c r="Y156" s="19">
        <f>NOVIEMBRE!AA156</f>
        <v>2878567824</v>
      </c>
      <c r="Z156" s="364">
        <v>-17991765</v>
      </c>
      <c r="AA156" s="18">
        <f>SUM(Y156:Z156)</f>
        <v>2860576059</v>
      </c>
      <c r="AB156" s="19">
        <f>NOVIEMBRE!AD156</f>
        <v>2467566966</v>
      </c>
      <c r="AC156" s="364">
        <v>393009093</v>
      </c>
      <c r="AD156" s="18">
        <f>SUM(AB156:AC156)</f>
        <v>2860576059</v>
      </c>
      <c r="AE156" s="19">
        <f>NOVIEMBRE!AG156</f>
        <v>2151167500</v>
      </c>
      <c r="AF156" s="364">
        <v>435953699</v>
      </c>
      <c r="AG156" s="18">
        <f>SUM(AE156:AF156)</f>
        <v>2587121199</v>
      </c>
      <c r="AH156" s="19">
        <f>X156-AA156</f>
        <v>151448941</v>
      </c>
      <c r="AI156" s="15">
        <f>X156-AD156</f>
        <v>151448941</v>
      </c>
      <c r="AJ156" s="16">
        <f>X156-AG156</f>
        <v>424903801</v>
      </c>
      <c r="AK156" s="9"/>
      <c r="AL156" s="362">
        <v>0</v>
      </c>
      <c r="AM156" s="365">
        <v>0</v>
      </c>
      <c r="AN156" s="9"/>
      <c r="BQ156" s="451"/>
    </row>
    <row r="157" spans="1:69" s="372" customFormat="1" ht="24.95" customHeight="1">
      <c r="A157" s="734"/>
      <c r="B157" s="643"/>
      <c r="N157" s="9"/>
      <c r="P157" s="9"/>
      <c r="Q157" s="9"/>
      <c r="R157" s="9"/>
      <c r="S157" s="688">
        <f>+IF(NOVIEMBRE!S157=0,"",NOVIEMBRE!S157)</f>
        <v>2020202</v>
      </c>
      <c r="T157" s="664" t="str">
        <f>+IF(NOVIEMBRE!T157=0,"",NOVIEMBRE!T157)</f>
        <v>Otros</v>
      </c>
      <c r="U157" s="27">
        <f t="shared" ref="U157:AJ157" si="149">SUM(U158:U167)</f>
        <v>2609712263</v>
      </c>
      <c r="V157" s="15">
        <f t="shared" si="149"/>
        <v>-35000000</v>
      </c>
      <c r="W157" s="15">
        <f t="shared" si="149"/>
        <v>520000000</v>
      </c>
      <c r="X157" s="18">
        <f t="shared" si="149"/>
        <v>3094712263</v>
      </c>
      <c r="Y157" s="19">
        <f t="shared" si="149"/>
        <v>2935227415</v>
      </c>
      <c r="Z157" s="142">
        <f t="shared" si="149"/>
        <v>-65027643</v>
      </c>
      <c r="AA157" s="18">
        <f t="shared" si="149"/>
        <v>2870199772</v>
      </c>
      <c r="AB157" s="19">
        <f t="shared" si="149"/>
        <v>2680494912</v>
      </c>
      <c r="AC157" s="142">
        <f t="shared" si="149"/>
        <v>189704860</v>
      </c>
      <c r="AD157" s="18">
        <f t="shared" si="149"/>
        <v>2870199772</v>
      </c>
      <c r="AE157" s="19">
        <f t="shared" si="149"/>
        <v>1846355297</v>
      </c>
      <c r="AF157" s="142">
        <f t="shared" si="149"/>
        <v>318625128</v>
      </c>
      <c r="AG157" s="18">
        <f t="shared" si="149"/>
        <v>2164980425</v>
      </c>
      <c r="AH157" s="19">
        <f t="shared" si="149"/>
        <v>224512491</v>
      </c>
      <c r="AI157" s="15">
        <f t="shared" si="149"/>
        <v>224512491</v>
      </c>
      <c r="AJ157" s="16">
        <f t="shared" si="149"/>
        <v>929731838</v>
      </c>
      <c r="AK157" s="10"/>
      <c r="AL157" s="29">
        <f>SUM(AL158:AL167)</f>
        <v>0</v>
      </c>
      <c r="AM157" s="26">
        <f>SUM(AM158:AM167)</f>
        <v>0</v>
      </c>
      <c r="AN157" s="9"/>
      <c r="BQ157" s="451"/>
    </row>
    <row r="158" spans="1:69" s="372" customFormat="1" ht="24.95" customHeight="1">
      <c r="A158" s="734"/>
      <c r="B158" s="643"/>
      <c r="N158" s="9"/>
      <c r="P158" s="9"/>
      <c r="Q158" s="9"/>
      <c r="R158" s="9"/>
      <c r="S158" s="689" t="str">
        <f>+IF(NOVIEMBRE!S158=0,"",NOVIEMBRE!S158)</f>
        <v>2020202-1</v>
      </c>
      <c r="T158" s="665" t="str">
        <f>+IF(NOVIEMBRE!T158=0,"",NOVIEMBRE!T158)</f>
        <v>Seguros</v>
      </c>
      <c r="U158" s="27">
        <f>+ENERO!U158</f>
        <v>200000000</v>
      </c>
      <c r="V158" s="15">
        <f>NOVIEMBRE!V158+DICIEMBRE!AL158</f>
        <v>0</v>
      </c>
      <c r="W158" s="15">
        <f>NOVIEMBRE!W158+DICIEMBRE!AM158</f>
        <v>0</v>
      </c>
      <c r="X158" s="18">
        <f t="shared" ref="X158:X168" si="150">SUM(U158:W158)</f>
        <v>200000000</v>
      </c>
      <c r="Y158" s="19">
        <f>NOVIEMBRE!AA158</f>
        <v>188107397</v>
      </c>
      <c r="Z158" s="364">
        <v>0</v>
      </c>
      <c r="AA158" s="18">
        <f t="shared" ref="AA158:AA168" si="151">SUM(Y158:Z158)</f>
        <v>188107397</v>
      </c>
      <c r="AB158" s="19">
        <f>NOVIEMBRE!AD158</f>
        <v>188107397</v>
      </c>
      <c r="AC158" s="364">
        <v>0</v>
      </c>
      <c r="AD158" s="18">
        <f t="shared" ref="AD158:AD168" si="152">SUM(AB158:AC158)</f>
        <v>188107397</v>
      </c>
      <c r="AE158" s="19">
        <f>NOVIEMBRE!AG158</f>
        <v>188107397</v>
      </c>
      <c r="AF158" s="364">
        <v>0</v>
      </c>
      <c r="AG158" s="18">
        <f t="shared" ref="AG158:AG168" si="153">SUM(AE158:AF158)</f>
        <v>188107397</v>
      </c>
      <c r="AH158" s="19">
        <f t="shared" ref="AH158:AH168" si="154">X158-AA158</f>
        <v>11892603</v>
      </c>
      <c r="AI158" s="15">
        <f t="shared" ref="AI158:AI168" si="155">X158-AD158</f>
        <v>11892603</v>
      </c>
      <c r="AJ158" s="16">
        <f t="shared" ref="AJ158:AJ168" si="156">X158-AG158</f>
        <v>11892603</v>
      </c>
      <c r="AK158" s="9"/>
      <c r="AL158" s="362">
        <v>0</v>
      </c>
      <c r="AM158" s="365">
        <v>0</v>
      </c>
      <c r="AN158" s="9"/>
      <c r="BQ158" s="451"/>
    </row>
    <row r="159" spans="1:69" s="372" customFormat="1" ht="24.95" customHeight="1">
      <c r="A159" s="734"/>
      <c r="B159" s="643"/>
      <c r="N159" s="9"/>
      <c r="P159" s="9"/>
      <c r="Q159" s="9"/>
      <c r="R159" s="9"/>
      <c r="S159" s="689" t="str">
        <f>+IF(NOVIEMBRE!S159=0,"",NOVIEMBRE!S159)</f>
        <v>2020202-2</v>
      </c>
      <c r="T159" s="665" t="str">
        <f>+IF(NOVIEMBRE!T159=0,"",NOVIEMBRE!T159)</f>
        <v>Impresos y Publicaciones</v>
      </c>
      <c r="U159" s="27">
        <f>+ENERO!U159</f>
        <v>40000000</v>
      </c>
      <c r="V159" s="15">
        <f>NOVIEMBRE!V159+DICIEMBRE!AL159</f>
        <v>0</v>
      </c>
      <c r="W159" s="15">
        <f>NOVIEMBRE!W159+DICIEMBRE!AM159</f>
        <v>0</v>
      </c>
      <c r="X159" s="18">
        <f t="shared" si="150"/>
        <v>40000000</v>
      </c>
      <c r="Y159" s="19">
        <f>NOVIEMBRE!AA159</f>
        <v>35420000</v>
      </c>
      <c r="Z159" s="364">
        <v>1016400</v>
      </c>
      <c r="AA159" s="18">
        <f t="shared" si="151"/>
        <v>36436400</v>
      </c>
      <c r="AB159" s="19">
        <f>NOVIEMBRE!AD159</f>
        <v>35420000</v>
      </c>
      <c r="AC159" s="364">
        <v>1016400</v>
      </c>
      <c r="AD159" s="18">
        <f t="shared" si="152"/>
        <v>36436400</v>
      </c>
      <c r="AE159" s="19">
        <f>NOVIEMBRE!AG159</f>
        <v>33249873</v>
      </c>
      <c r="AF159" s="364">
        <v>1016400</v>
      </c>
      <c r="AG159" s="18">
        <f t="shared" si="153"/>
        <v>34266273</v>
      </c>
      <c r="AH159" s="19">
        <f t="shared" si="154"/>
        <v>3563600</v>
      </c>
      <c r="AI159" s="15">
        <f t="shared" si="155"/>
        <v>3563600</v>
      </c>
      <c r="AJ159" s="16">
        <f t="shared" si="156"/>
        <v>5733727</v>
      </c>
      <c r="AK159" s="9"/>
      <c r="AL159" s="362">
        <v>0</v>
      </c>
      <c r="AM159" s="365">
        <v>0</v>
      </c>
      <c r="AN159" s="9"/>
      <c r="BQ159" s="451"/>
    </row>
    <row r="160" spans="1:69" s="372" customFormat="1" ht="24.95" customHeight="1">
      <c r="A160" s="734"/>
      <c r="B160" s="643"/>
      <c r="N160" s="9"/>
      <c r="P160" s="9"/>
      <c r="Q160" s="9"/>
      <c r="R160" s="9"/>
      <c r="S160" s="689" t="str">
        <f>+IF(NOVIEMBRE!S160=0,"",NOVIEMBRE!S160)</f>
        <v>2020202-3</v>
      </c>
      <c r="T160" s="665" t="str">
        <f>+IF(NOVIEMBRE!T160=0,"",NOVIEMBRE!T160)</f>
        <v>Pago a otras IPS</v>
      </c>
      <c r="U160" s="27">
        <f>+ENERO!U160</f>
        <v>0</v>
      </c>
      <c r="V160" s="15">
        <f>NOVIEMBRE!V160+DICIEMBRE!AL160</f>
        <v>0</v>
      </c>
      <c r="W160" s="15">
        <f>NOVIEMBRE!W160+DICIEMBRE!AM160</f>
        <v>0</v>
      </c>
      <c r="X160" s="18">
        <f t="shared" si="150"/>
        <v>0</v>
      </c>
      <c r="Y160" s="19">
        <f>NOVIEMBRE!AA160</f>
        <v>0</v>
      </c>
      <c r="Z160" s="364">
        <v>0</v>
      </c>
      <c r="AA160" s="18">
        <f t="shared" si="151"/>
        <v>0</v>
      </c>
      <c r="AB160" s="19">
        <f>NOVIEMBRE!AD160</f>
        <v>0</v>
      </c>
      <c r="AC160" s="364">
        <v>0</v>
      </c>
      <c r="AD160" s="18">
        <f t="shared" si="152"/>
        <v>0</v>
      </c>
      <c r="AE160" s="19">
        <f>NOVIEMBRE!AG160</f>
        <v>0</v>
      </c>
      <c r="AF160" s="364">
        <v>0</v>
      </c>
      <c r="AG160" s="18">
        <f t="shared" si="153"/>
        <v>0</v>
      </c>
      <c r="AH160" s="19">
        <f t="shared" si="154"/>
        <v>0</v>
      </c>
      <c r="AI160" s="15">
        <f t="shared" si="155"/>
        <v>0</v>
      </c>
      <c r="AJ160" s="16">
        <f t="shared" si="156"/>
        <v>0</v>
      </c>
      <c r="AK160" s="9"/>
      <c r="AL160" s="362">
        <v>0</v>
      </c>
      <c r="AM160" s="365">
        <v>0</v>
      </c>
      <c r="AN160" s="9"/>
      <c r="BQ160" s="451"/>
    </row>
    <row r="161" spans="1:69" s="372" customFormat="1" ht="24.95" customHeight="1">
      <c r="A161" s="734"/>
      <c r="B161" s="643"/>
      <c r="N161" s="9"/>
      <c r="P161" s="9"/>
      <c r="Q161" s="9"/>
      <c r="R161" s="9"/>
      <c r="S161" s="689" t="str">
        <f>+IF(NOVIEMBRE!S161=0,"",NOVIEMBRE!S161)</f>
        <v>2020202-4</v>
      </c>
      <c r="T161" s="665" t="str">
        <f>+IF(NOVIEMBRE!T161=0,"",NOVIEMBRE!T161)</f>
        <v>Comunicaciones y Transportes</v>
      </c>
      <c r="U161" s="27">
        <f>+ENERO!U161</f>
        <v>5000000</v>
      </c>
      <c r="V161" s="15">
        <f>NOVIEMBRE!V161+DICIEMBRE!AL161</f>
        <v>0</v>
      </c>
      <c r="W161" s="15">
        <f>NOVIEMBRE!W161+DICIEMBRE!AM161</f>
        <v>0</v>
      </c>
      <c r="X161" s="18">
        <f t="shared" si="150"/>
        <v>5000000</v>
      </c>
      <c r="Y161" s="19">
        <f>NOVIEMBRE!AA161</f>
        <v>4182846</v>
      </c>
      <c r="Z161" s="364">
        <v>0</v>
      </c>
      <c r="AA161" s="18">
        <f t="shared" si="151"/>
        <v>4182846</v>
      </c>
      <c r="AB161" s="19">
        <f>NOVIEMBRE!AD161</f>
        <v>4182846</v>
      </c>
      <c r="AC161" s="364">
        <v>0</v>
      </c>
      <c r="AD161" s="18">
        <f t="shared" si="152"/>
        <v>4182846</v>
      </c>
      <c r="AE161" s="19">
        <f>NOVIEMBRE!AG161</f>
        <v>942846</v>
      </c>
      <c r="AF161" s="364">
        <v>2920000</v>
      </c>
      <c r="AG161" s="18">
        <f t="shared" si="153"/>
        <v>3862846</v>
      </c>
      <c r="AH161" s="19">
        <f t="shared" si="154"/>
        <v>817154</v>
      </c>
      <c r="AI161" s="15">
        <f t="shared" si="155"/>
        <v>817154</v>
      </c>
      <c r="AJ161" s="16">
        <f t="shared" si="156"/>
        <v>1137154</v>
      </c>
      <c r="AK161" s="9"/>
      <c r="AL161" s="362">
        <v>0</v>
      </c>
      <c r="AM161" s="365">
        <v>0</v>
      </c>
      <c r="AN161" s="9"/>
      <c r="BQ161" s="451"/>
    </row>
    <row r="162" spans="1:69" s="372" customFormat="1" ht="24.95" customHeight="1">
      <c r="A162" s="734"/>
      <c r="B162" s="643"/>
      <c r="N162" s="9"/>
      <c r="P162" s="9"/>
      <c r="Q162" s="9"/>
      <c r="R162" s="9"/>
      <c r="S162" s="689" t="str">
        <f>+IF(NOVIEMBRE!S162=0,"",NOVIEMBRE!S162)</f>
        <v>2020202-5</v>
      </c>
      <c r="T162" s="665" t="str">
        <f>+IF(NOVIEMBRE!T162=0,"",NOVIEMBRE!T162)</f>
        <v>Viáticos y Gastos de Viaje</v>
      </c>
      <c r="U162" s="27">
        <f>+ENERO!U162</f>
        <v>5000000</v>
      </c>
      <c r="V162" s="15">
        <f>NOVIEMBRE!V162+DICIEMBRE!AL162</f>
        <v>0</v>
      </c>
      <c r="W162" s="15">
        <f>NOVIEMBRE!W162+DICIEMBRE!AM162</f>
        <v>0</v>
      </c>
      <c r="X162" s="18">
        <f t="shared" si="150"/>
        <v>5000000</v>
      </c>
      <c r="Y162" s="19">
        <f>NOVIEMBRE!AA162</f>
        <v>712500</v>
      </c>
      <c r="Z162" s="364">
        <v>600000</v>
      </c>
      <c r="AA162" s="18">
        <f t="shared" si="151"/>
        <v>1312500</v>
      </c>
      <c r="AB162" s="19">
        <f>NOVIEMBRE!AD162</f>
        <v>712500</v>
      </c>
      <c r="AC162" s="364">
        <v>600000</v>
      </c>
      <c r="AD162" s="18">
        <f t="shared" si="152"/>
        <v>1312500</v>
      </c>
      <c r="AE162" s="19">
        <f>NOVIEMBRE!AG162</f>
        <v>712500</v>
      </c>
      <c r="AF162" s="364">
        <v>600000</v>
      </c>
      <c r="AG162" s="18">
        <f t="shared" si="153"/>
        <v>1312500</v>
      </c>
      <c r="AH162" s="19">
        <f t="shared" si="154"/>
        <v>3687500</v>
      </c>
      <c r="AI162" s="15">
        <f t="shared" si="155"/>
        <v>3687500</v>
      </c>
      <c r="AJ162" s="16">
        <f t="shared" si="156"/>
        <v>3687500</v>
      </c>
      <c r="AK162" s="9"/>
      <c r="AL162" s="362">
        <v>0</v>
      </c>
      <c r="AM162" s="365">
        <v>0</v>
      </c>
      <c r="AN162" s="9"/>
      <c r="BQ162" s="451"/>
    </row>
    <row r="163" spans="1:69" s="372" customFormat="1" ht="24.95" customHeight="1">
      <c r="A163" s="734"/>
      <c r="B163" s="643"/>
      <c r="N163" s="9"/>
      <c r="P163" s="9"/>
      <c r="Q163" s="9"/>
      <c r="R163" s="9"/>
      <c r="S163" s="689" t="str">
        <f>+IF(NOVIEMBRE!S163=0,"",NOVIEMBRE!S163)</f>
        <v>2020202-6</v>
      </c>
      <c r="T163" s="665" t="str">
        <f>+IF(NOVIEMBRE!T163=0,"",NOVIEMBRE!T163)</f>
        <v>Plan Integral de Manejo de Residuos Sólidos Hospitalarios</v>
      </c>
      <c r="U163" s="27">
        <f>+ENERO!U163</f>
        <v>300000000</v>
      </c>
      <c r="V163" s="15">
        <f>NOVIEMBRE!V163+DICIEMBRE!AL163</f>
        <v>0</v>
      </c>
      <c r="W163" s="15">
        <f>NOVIEMBRE!W163+DICIEMBRE!AM163</f>
        <v>20000000</v>
      </c>
      <c r="X163" s="18">
        <f t="shared" si="150"/>
        <v>320000000</v>
      </c>
      <c r="Y163" s="19">
        <f>NOVIEMBRE!AA163</f>
        <v>273081537</v>
      </c>
      <c r="Z163" s="364">
        <v>-860366</v>
      </c>
      <c r="AA163" s="18">
        <f t="shared" si="151"/>
        <v>272221171</v>
      </c>
      <c r="AB163" s="19">
        <f>NOVIEMBRE!AD163</f>
        <v>246097090</v>
      </c>
      <c r="AC163" s="364">
        <v>26124081</v>
      </c>
      <c r="AD163" s="18">
        <f t="shared" si="152"/>
        <v>272221171</v>
      </c>
      <c r="AE163" s="19">
        <f>NOVIEMBRE!AG163</f>
        <v>180599621</v>
      </c>
      <c r="AF163" s="364">
        <v>53832977</v>
      </c>
      <c r="AG163" s="18">
        <f t="shared" si="153"/>
        <v>234432598</v>
      </c>
      <c r="AH163" s="19">
        <f t="shared" si="154"/>
        <v>47778829</v>
      </c>
      <c r="AI163" s="15">
        <f t="shared" si="155"/>
        <v>47778829</v>
      </c>
      <c r="AJ163" s="16">
        <f t="shared" si="156"/>
        <v>85567402</v>
      </c>
      <c r="AK163" s="9"/>
      <c r="AL163" s="362">
        <v>0</v>
      </c>
      <c r="AM163" s="365">
        <v>0</v>
      </c>
      <c r="AN163" s="9"/>
      <c r="BQ163" s="451"/>
    </row>
    <row r="164" spans="1:69" s="372" customFormat="1" ht="24.95" customHeight="1">
      <c r="A164" s="734"/>
      <c r="B164" s="643"/>
      <c r="N164" s="9"/>
      <c r="P164" s="9"/>
      <c r="Q164" s="9"/>
      <c r="R164" s="9"/>
      <c r="S164" s="689" t="str">
        <f>+IF(NOVIEMBRE!S164=0,"",NOVIEMBRE!S164)</f>
        <v>2020202-7</v>
      </c>
      <c r="T164" s="665" t="str">
        <f>+IF(NOVIEMBRE!T164=0,"",NOVIEMBRE!T164)</f>
        <v>Servicios de Laboratorio contratados con terceros</v>
      </c>
      <c r="U164" s="27">
        <f>+ENERO!U164</f>
        <v>778712263</v>
      </c>
      <c r="V164" s="15">
        <f>NOVIEMBRE!V164+DICIEMBRE!AL164</f>
        <v>100000000</v>
      </c>
      <c r="W164" s="15">
        <f>NOVIEMBRE!W164+DICIEMBRE!AM164</f>
        <v>0</v>
      </c>
      <c r="X164" s="18">
        <f t="shared" si="150"/>
        <v>878712263</v>
      </c>
      <c r="Y164" s="19">
        <f>NOVIEMBRE!AA164</f>
        <v>836909635</v>
      </c>
      <c r="Z164" s="364">
        <v>-25818517</v>
      </c>
      <c r="AA164" s="18">
        <f t="shared" si="151"/>
        <v>811091118</v>
      </c>
      <c r="AB164" s="19">
        <f>NOVIEMBRE!AD164</f>
        <v>777216587</v>
      </c>
      <c r="AC164" s="364">
        <v>33874531</v>
      </c>
      <c r="AD164" s="18">
        <f t="shared" si="152"/>
        <v>811091118</v>
      </c>
      <c r="AE164" s="19">
        <f>NOVIEMBRE!AG164</f>
        <v>410035828</v>
      </c>
      <c r="AF164" s="364">
        <v>121891454</v>
      </c>
      <c r="AG164" s="18">
        <f t="shared" si="153"/>
        <v>531927282</v>
      </c>
      <c r="AH164" s="19">
        <f t="shared" si="154"/>
        <v>67621145</v>
      </c>
      <c r="AI164" s="15">
        <f t="shared" si="155"/>
        <v>67621145</v>
      </c>
      <c r="AJ164" s="16">
        <f t="shared" si="156"/>
        <v>346784981</v>
      </c>
      <c r="AK164" s="9"/>
      <c r="AL164" s="362">
        <v>0</v>
      </c>
      <c r="AM164" s="365">
        <v>0</v>
      </c>
      <c r="AN164" s="9"/>
      <c r="BQ164" s="451"/>
    </row>
    <row r="165" spans="1:69" s="372" customFormat="1" ht="24.95" customHeight="1">
      <c r="A165" s="734"/>
      <c r="B165" s="643"/>
      <c r="N165" s="9"/>
      <c r="P165" s="9"/>
      <c r="Q165" s="9"/>
      <c r="R165" s="9"/>
      <c r="S165" s="689" t="str">
        <f>+IF(NOVIEMBRE!S165=0,"",NOVIEMBRE!S165)</f>
        <v>2020202-8</v>
      </c>
      <c r="T165" s="665" t="str">
        <f>+IF(NOVIEMBRE!T165=0,"",NOVIEMBRE!T165)</f>
        <v>Servicios de Rayos X e Imaginología contratado con terceros</v>
      </c>
      <c r="U165" s="27">
        <f>+ENERO!U165</f>
        <v>1116000000</v>
      </c>
      <c r="V165" s="15">
        <f>NOVIEMBRE!V165+DICIEMBRE!AL165</f>
        <v>0</v>
      </c>
      <c r="W165" s="15">
        <f>NOVIEMBRE!W165+DICIEMBRE!AM165</f>
        <v>500000000</v>
      </c>
      <c r="X165" s="18">
        <f t="shared" si="150"/>
        <v>1616000000</v>
      </c>
      <c r="Y165" s="19">
        <f>NOVIEMBRE!AA165</f>
        <v>1577000000</v>
      </c>
      <c r="Z165" s="364">
        <v>-40060160</v>
      </c>
      <c r="AA165" s="18">
        <f t="shared" si="151"/>
        <v>1536939840</v>
      </c>
      <c r="AB165" s="19">
        <f>NOVIEMBRE!AD165</f>
        <v>1408944992</v>
      </c>
      <c r="AC165" s="364">
        <v>127994848</v>
      </c>
      <c r="AD165" s="18">
        <f t="shared" si="152"/>
        <v>1536939840</v>
      </c>
      <c r="AE165" s="19">
        <f>NOVIEMBRE!AG165</f>
        <v>1012893732</v>
      </c>
      <c r="AF165" s="364">
        <v>138269297</v>
      </c>
      <c r="AG165" s="18">
        <f t="shared" si="153"/>
        <v>1151163029</v>
      </c>
      <c r="AH165" s="19">
        <f t="shared" si="154"/>
        <v>79060160</v>
      </c>
      <c r="AI165" s="15">
        <f t="shared" si="155"/>
        <v>79060160</v>
      </c>
      <c r="AJ165" s="16">
        <f t="shared" si="156"/>
        <v>464836971</v>
      </c>
      <c r="AK165" s="9"/>
      <c r="AL165" s="362">
        <v>0</v>
      </c>
      <c r="AM165" s="365">
        <v>0</v>
      </c>
      <c r="AN165" s="9"/>
      <c r="BQ165" s="451"/>
    </row>
    <row r="166" spans="1:69" s="372" customFormat="1" ht="24.95" customHeight="1">
      <c r="A166" s="734"/>
      <c r="B166" s="643"/>
      <c r="N166" s="9"/>
      <c r="P166" s="9"/>
      <c r="Q166" s="9"/>
      <c r="R166" s="9"/>
      <c r="S166" s="689" t="str">
        <f>+IF(NOVIEMBRE!S166=0,"",NOVIEMBRE!S166)</f>
        <v>2020202-9</v>
      </c>
      <c r="T166" s="665" t="str">
        <f>+IF(NOVIEMBRE!T166=0,"",NOVIEMBRE!T166)</f>
        <v>Arrendamientos</v>
      </c>
      <c r="U166" s="27">
        <f>+ENERO!U166</f>
        <v>165000000</v>
      </c>
      <c r="V166" s="15">
        <f>NOVIEMBRE!V166+DICIEMBRE!AL166</f>
        <v>-135000000</v>
      </c>
      <c r="W166" s="15">
        <f>NOVIEMBRE!W166+DICIEMBRE!AM166</f>
        <v>0</v>
      </c>
      <c r="X166" s="18">
        <f t="shared" si="150"/>
        <v>30000000</v>
      </c>
      <c r="Y166" s="19">
        <f>NOVIEMBRE!AA166</f>
        <v>19813500</v>
      </c>
      <c r="Z166" s="364">
        <v>95000</v>
      </c>
      <c r="AA166" s="18">
        <f t="shared" si="151"/>
        <v>19908500</v>
      </c>
      <c r="AB166" s="19">
        <f>NOVIEMBRE!AD166</f>
        <v>19813500</v>
      </c>
      <c r="AC166" s="364">
        <v>95000</v>
      </c>
      <c r="AD166" s="18">
        <f t="shared" si="152"/>
        <v>19908500</v>
      </c>
      <c r="AE166" s="19">
        <f>NOVIEMBRE!AG166</f>
        <v>19813500</v>
      </c>
      <c r="AF166" s="364">
        <v>95000</v>
      </c>
      <c r="AG166" s="18">
        <f t="shared" si="153"/>
        <v>19908500</v>
      </c>
      <c r="AH166" s="19">
        <f t="shared" si="154"/>
        <v>10091500</v>
      </c>
      <c r="AI166" s="15">
        <f t="shared" si="155"/>
        <v>10091500</v>
      </c>
      <c r="AJ166" s="16">
        <f t="shared" si="156"/>
        <v>10091500</v>
      </c>
      <c r="AK166" s="9"/>
      <c r="AL166" s="362">
        <v>0</v>
      </c>
      <c r="AM166" s="365">
        <v>0</v>
      </c>
      <c r="AN166" s="9"/>
      <c r="BQ166" s="451"/>
    </row>
    <row r="167" spans="1:69" s="372" customFormat="1" ht="24.95" customHeight="1">
      <c r="A167" s="734"/>
      <c r="B167" s="643"/>
      <c r="N167" s="9"/>
      <c r="P167" s="9"/>
      <c r="Q167" s="9"/>
      <c r="R167" s="9"/>
      <c r="S167" s="689" t="str">
        <f>+IF(NOVIEMBRE!S167=0,"",NOVIEMBRE!S167)</f>
        <v>2020202-10</v>
      </c>
      <c r="T167" s="665" t="str">
        <f>+IF(NOVIEMBRE!T167=0,"",NOVIEMBRE!T167)</f>
        <v>Servicios Públicos</v>
      </c>
      <c r="U167" s="27">
        <f>+ENERO!U167</f>
        <v>0</v>
      </c>
      <c r="V167" s="15">
        <f>NOVIEMBRE!V167+DICIEMBRE!AL167</f>
        <v>0</v>
      </c>
      <c r="W167" s="15">
        <f>NOVIEMBRE!W167+DICIEMBRE!AM167</f>
        <v>0</v>
      </c>
      <c r="X167" s="18">
        <f>SUM(U167:W167)</f>
        <v>0</v>
      </c>
      <c r="Y167" s="19">
        <f>NOVIEMBRE!AA167</f>
        <v>0</v>
      </c>
      <c r="Z167" s="364">
        <v>0</v>
      </c>
      <c r="AA167" s="18">
        <f>SUM(Y167:Z167)</f>
        <v>0</v>
      </c>
      <c r="AB167" s="19">
        <f>NOVIEMBRE!AD167</f>
        <v>0</v>
      </c>
      <c r="AC167" s="364">
        <v>0</v>
      </c>
      <c r="AD167" s="18">
        <f>SUM(AB167:AC167)</f>
        <v>0</v>
      </c>
      <c r="AE167" s="19">
        <f>NOVIEMBRE!AG167</f>
        <v>0</v>
      </c>
      <c r="AF167" s="364">
        <v>0</v>
      </c>
      <c r="AG167" s="18">
        <f>SUM(AE167:AF167)</f>
        <v>0</v>
      </c>
      <c r="AH167" s="19">
        <f>X167-AA167</f>
        <v>0</v>
      </c>
      <c r="AI167" s="15">
        <f>X167-AD167</f>
        <v>0</v>
      </c>
      <c r="AJ167" s="16">
        <f>X167-AG167</f>
        <v>0</v>
      </c>
      <c r="AK167" s="9"/>
      <c r="AL167" s="362"/>
      <c r="AM167" s="365"/>
      <c r="AN167" s="9"/>
      <c r="BQ167" s="451"/>
    </row>
    <row r="168" spans="1:69" s="372" customFormat="1" ht="24.95" customHeight="1">
      <c r="A168" s="734"/>
      <c r="B168" s="643"/>
      <c r="N168" s="9"/>
      <c r="P168" s="9"/>
      <c r="Q168" s="9"/>
      <c r="R168" s="9"/>
      <c r="S168" s="688">
        <f>+IF(NOVIEMBRE!S168=0,"",NOVIEMBRE!S168)</f>
        <v>2020299</v>
      </c>
      <c r="T168" s="664" t="str">
        <f>+IF(NOVIEMBRE!T168=0,"",NOVIEMBRE!T168)</f>
        <v>Vigencias Anteriores</v>
      </c>
      <c r="U168" s="27">
        <f>+ENERO!U168</f>
        <v>100900000</v>
      </c>
      <c r="V168" s="15">
        <f>NOVIEMBRE!V168+DICIEMBRE!AL168</f>
        <v>170000000</v>
      </c>
      <c r="W168" s="15">
        <f>NOVIEMBRE!W168+DICIEMBRE!AM168</f>
        <v>1302301905</v>
      </c>
      <c r="X168" s="18">
        <f t="shared" si="150"/>
        <v>1573201905</v>
      </c>
      <c r="Y168" s="19">
        <f>NOVIEMBRE!AA168</f>
        <v>986806426</v>
      </c>
      <c r="Z168" s="364">
        <v>2841720</v>
      </c>
      <c r="AA168" s="18">
        <f t="shared" si="151"/>
        <v>989648146</v>
      </c>
      <c r="AB168" s="19">
        <f>NOVIEMBRE!AD168</f>
        <v>986806426</v>
      </c>
      <c r="AC168" s="364">
        <v>2841720</v>
      </c>
      <c r="AD168" s="18">
        <f t="shared" si="152"/>
        <v>989648146</v>
      </c>
      <c r="AE168" s="19">
        <f>NOVIEMBRE!AG168</f>
        <v>986806426</v>
      </c>
      <c r="AF168" s="364">
        <v>2841720</v>
      </c>
      <c r="AG168" s="18">
        <f t="shared" si="153"/>
        <v>989648146</v>
      </c>
      <c r="AH168" s="19">
        <f t="shared" si="154"/>
        <v>583553759</v>
      </c>
      <c r="AI168" s="15">
        <f t="shared" si="155"/>
        <v>583553759</v>
      </c>
      <c r="AJ168" s="16">
        <f t="shared" si="156"/>
        <v>583553759</v>
      </c>
      <c r="AK168" s="9"/>
      <c r="AL168" s="362">
        <v>0</v>
      </c>
      <c r="AM168" s="365">
        <v>400000000</v>
      </c>
      <c r="AN168" s="9"/>
      <c r="BQ168" s="451"/>
    </row>
    <row r="169" spans="1:69" s="372" customFormat="1" ht="24.95" customHeight="1">
      <c r="A169" s="734"/>
      <c r="B169" s="643"/>
      <c r="N169" s="9"/>
      <c r="P169" s="9"/>
      <c r="Q169" s="9"/>
      <c r="R169" s="9"/>
      <c r="S169" s="356" t="str">
        <f>+IF(NOVIEMBRE!S169=0,"",NOVIEMBRE!S169)</f>
        <v/>
      </c>
      <c r="T169" s="678" t="str">
        <f>+IF(NOVIEMBRE!T169=0,"",NOVIEMBRE!T169)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c r="BQ169" s="451"/>
    </row>
    <row r="170" spans="1:69" s="372" customFormat="1" ht="24.95" customHeight="1">
      <c r="A170" s="734"/>
      <c r="B170" s="643"/>
      <c r="N170" s="9"/>
      <c r="P170" s="9"/>
      <c r="Q170" s="9"/>
      <c r="R170" s="9"/>
      <c r="S170" s="686">
        <f>+IF(NOVIEMBRE!S170=0,"",NOVIEMBRE!S170)</f>
        <v>3000000</v>
      </c>
      <c r="T170" s="668" t="str">
        <f>+IF(NOVIEMBRE!T170=0,"",NOVIEMBRE!T170)</f>
        <v>TRANSFERENCIAS CORRIENTES</v>
      </c>
      <c r="U170" s="460">
        <f t="shared" ref="U170:AJ170" si="157">U172+U176+U185</f>
        <v>1240354144</v>
      </c>
      <c r="V170" s="461">
        <f t="shared" si="157"/>
        <v>52000000</v>
      </c>
      <c r="W170" s="461">
        <f t="shared" si="157"/>
        <v>0</v>
      </c>
      <c r="X170" s="462">
        <f t="shared" si="157"/>
        <v>1292354144</v>
      </c>
      <c r="Y170" s="369">
        <f t="shared" si="157"/>
        <v>982765246</v>
      </c>
      <c r="Z170" s="461">
        <f t="shared" si="157"/>
        <v>87794688</v>
      </c>
      <c r="AA170" s="462">
        <f t="shared" si="157"/>
        <v>1070559934</v>
      </c>
      <c r="AB170" s="369">
        <f t="shared" si="157"/>
        <v>982765246</v>
      </c>
      <c r="AC170" s="461">
        <f t="shared" si="157"/>
        <v>87794688</v>
      </c>
      <c r="AD170" s="462">
        <f t="shared" si="157"/>
        <v>1070559934</v>
      </c>
      <c r="AE170" s="369">
        <f t="shared" si="157"/>
        <v>972221416</v>
      </c>
      <c r="AF170" s="461">
        <f t="shared" si="157"/>
        <v>87720340</v>
      </c>
      <c r="AG170" s="462">
        <f t="shared" si="157"/>
        <v>1059941756</v>
      </c>
      <c r="AH170" s="369">
        <f t="shared" si="157"/>
        <v>221794210</v>
      </c>
      <c r="AI170" s="461">
        <f t="shared" si="157"/>
        <v>221794210</v>
      </c>
      <c r="AJ170" s="370">
        <f t="shared" si="157"/>
        <v>232412388</v>
      </c>
      <c r="AK170" s="9"/>
      <c r="AL170" s="128">
        <f>AL172+AL176+AL185</f>
        <v>0</v>
      </c>
      <c r="AM170" s="130">
        <f>AM172+AM176+AM185</f>
        <v>0</v>
      </c>
      <c r="AN170" s="9"/>
      <c r="BQ170" s="451"/>
    </row>
    <row r="171" spans="1:69" s="372" customFormat="1" ht="24.95" customHeight="1">
      <c r="A171" s="734"/>
      <c r="B171" s="643"/>
      <c r="N171" s="9"/>
      <c r="P171" s="9"/>
      <c r="Q171" s="9"/>
      <c r="R171" s="9"/>
      <c r="S171" s="356" t="str">
        <f>+IF(NOVIEMBRE!S171=0,"",NOVIEMBRE!S171)</f>
        <v/>
      </c>
      <c r="T171" s="678" t="str">
        <f>+IF(NOVIEMBRE!T171=0,"",NOVIEMBRE!T171)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c r="BQ171" s="451"/>
    </row>
    <row r="172" spans="1:69" s="372" customFormat="1" ht="24.95" customHeight="1">
      <c r="A172" s="734"/>
      <c r="B172" s="643"/>
      <c r="N172" s="9"/>
      <c r="P172" s="9"/>
      <c r="Q172" s="9"/>
      <c r="R172" s="9"/>
      <c r="S172" s="687">
        <f>+IF(NOVIEMBRE!S172=0,"",NOVIEMBRE!S172)</f>
        <v>3100000</v>
      </c>
      <c r="T172" s="663" t="str">
        <f>+IF(NOVIEMBRE!T172=0,"",NOVIEMBRE!T172)</f>
        <v>Transferencias al Sector Público</v>
      </c>
      <c r="U172" s="132">
        <f t="shared" ref="U172:AJ172" si="158">SUM(U173:U174)</f>
        <v>50000000</v>
      </c>
      <c r="V172" s="122">
        <f t="shared" si="158"/>
        <v>44000000</v>
      </c>
      <c r="W172" s="122">
        <f t="shared" si="158"/>
        <v>0</v>
      </c>
      <c r="X172" s="129">
        <f t="shared" si="158"/>
        <v>94000000</v>
      </c>
      <c r="Y172" s="128">
        <f t="shared" si="158"/>
        <v>91353733</v>
      </c>
      <c r="Z172" s="122">
        <f t="shared" si="158"/>
        <v>0</v>
      </c>
      <c r="AA172" s="129">
        <f t="shared" si="158"/>
        <v>91353733</v>
      </c>
      <c r="AB172" s="128">
        <f t="shared" si="158"/>
        <v>91353733</v>
      </c>
      <c r="AC172" s="122">
        <f t="shared" si="158"/>
        <v>0</v>
      </c>
      <c r="AD172" s="129">
        <f t="shared" si="158"/>
        <v>91353733</v>
      </c>
      <c r="AE172" s="128">
        <f t="shared" si="158"/>
        <v>91353733</v>
      </c>
      <c r="AF172" s="122">
        <f t="shared" si="158"/>
        <v>0</v>
      </c>
      <c r="AG172" s="129">
        <f t="shared" si="158"/>
        <v>91353733</v>
      </c>
      <c r="AH172" s="128">
        <f t="shared" si="158"/>
        <v>2646267</v>
      </c>
      <c r="AI172" s="122">
        <f t="shared" si="158"/>
        <v>2646267</v>
      </c>
      <c r="AJ172" s="130">
        <f t="shared" si="158"/>
        <v>2646267</v>
      </c>
      <c r="AK172" s="9"/>
      <c r="AL172" s="128">
        <f>SUM(AL173:AL174)</f>
        <v>0</v>
      </c>
      <c r="AM172" s="130">
        <f>SUM(AM173:AM174)</f>
        <v>0</v>
      </c>
      <c r="AN172" s="9"/>
      <c r="BQ172" s="451"/>
    </row>
    <row r="173" spans="1:69" s="372" customFormat="1" ht="24.95" customHeight="1">
      <c r="A173" s="734"/>
      <c r="B173" s="643"/>
      <c r="N173" s="9"/>
      <c r="P173" s="9"/>
      <c r="Q173" s="9"/>
      <c r="R173" s="9"/>
      <c r="S173" s="688">
        <f>+IF(NOVIEMBRE!S173=0,"",NOVIEMBRE!S173)</f>
        <v>3100003</v>
      </c>
      <c r="T173" s="664" t="str">
        <f>+IF(NOVIEMBRE!T173=0,"",NOVIEMBRE!T173)</f>
        <v>Entidades Públicas (Contraloria, Supersalud,…)</v>
      </c>
      <c r="U173" s="27">
        <f>+ENERO!U173</f>
        <v>50000000</v>
      </c>
      <c r="V173" s="15">
        <f>NOVIEMBRE!V173+DICIEMBRE!AL173</f>
        <v>44000000</v>
      </c>
      <c r="W173" s="15">
        <f>NOVIEMBRE!W173+DICIEMBRE!AM173</f>
        <v>0</v>
      </c>
      <c r="X173" s="18">
        <f>SUM(U173:W173)</f>
        <v>94000000</v>
      </c>
      <c r="Y173" s="19">
        <f>NOVIEMBRE!AA173</f>
        <v>91353733</v>
      </c>
      <c r="Z173" s="364">
        <v>0</v>
      </c>
      <c r="AA173" s="18">
        <f>SUM(Y173:Z173)</f>
        <v>91353733</v>
      </c>
      <c r="AB173" s="19">
        <f>NOVIEMBRE!AD173</f>
        <v>91353733</v>
      </c>
      <c r="AC173" s="364">
        <v>0</v>
      </c>
      <c r="AD173" s="18">
        <f>SUM(AB173:AC173)</f>
        <v>91353733</v>
      </c>
      <c r="AE173" s="19">
        <f>NOVIEMBRE!AG173</f>
        <v>91353733</v>
      </c>
      <c r="AF173" s="364">
        <v>0</v>
      </c>
      <c r="AG173" s="18">
        <f>SUM(AE173:AF173)</f>
        <v>91353733</v>
      </c>
      <c r="AH173" s="19">
        <f>X173-AA173</f>
        <v>2646267</v>
      </c>
      <c r="AI173" s="15">
        <f>X173-AD173</f>
        <v>2646267</v>
      </c>
      <c r="AJ173" s="16">
        <f>X173-AG173</f>
        <v>2646267</v>
      </c>
      <c r="AK173" s="9"/>
      <c r="AL173" s="362">
        <v>0</v>
      </c>
      <c r="AM173" s="365">
        <v>0</v>
      </c>
      <c r="AN173" s="9"/>
      <c r="BQ173" s="451"/>
    </row>
    <row r="174" spans="1:69" s="372" customFormat="1" ht="24.95" customHeight="1">
      <c r="A174" s="734"/>
      <c r="B174" s="643"/>
      <c r="N174" s="9"/>
      <c r="P174" s="9"/>
      <c r="Q174" s="9"/>
      <c r="R174" s="9"/>
      <c r="S174" s="688">
        <f>+IF(NOVIEMBRE!S174=0,"",NOVIEMBRE!S174)</f>
        <v>3199999</v>
      </c>
      <c r="T174" s="664" t="str">
        <f>+IF(NOVIEMBRE!T174=0,"",NOVIEMBRE!T174)</f>
        <v>Vigencias Anteriores</v>
      </c>
      <c r="U174" s="27">
        <f>+ENERO!U174</f>
        <v>0</v>
      </c>
      <c r="V174" s="15">
        <f>NOVIEMBRE!V174+DICIEMBRE!AL174</f>
        <v>0</v>
      </c>
      <c r="W174" s="15">
        <f>NOVIEMBRE!W174+DICIEMBRE!AM174</f>
        <v>0</v>
      </c>
      <c r="X174" s="18">
        <f>SUM(U174:W174)</f>
        <v>0</v>
      </c>
      <c r="Y174" s="19">
        <f>NOVIEMBRE!AA174</f>
        <v>0</v>
      </c>
      <c r="Z174" s="364">
        <v>0</v>
      </c>
      <c r="AA174" s="18">
        <f>SUM(Y174:Z174)</f>
        <v>0</v>
      </c>
      <c r="AB174" s="19">
        <f>NOVIEMBRE!AD174</f>
        <v>0</v>
      </c>
      <c r="AC174" s="364">
        <v>0</v>
      </c>
      <c r="AD174" s="18">
        <f>SUM(AB174:AC174)</f>
        <v>0</v>
      </c>
      <c r="AE174" s="19">
        <f>NOVIEMBRE!AG174</f>
        <v>0</v>
      </c>
      <c r="AF174" s="364">
        <v>0</v>
      </c>
      <c r="AG174" s="18">
        <f>SUM(AE174:AF174)</f>
        <v>0</v>
      </c>
      <c r="AH174" s="19">
        <f>X174-AA174</f>
        <v>0</v>
      </c>
      <c r="AI174" s="15">
        <f>X174-AD174</f>
        <v>0</v>
      </c>
      <c r="AJ174" s="16">
        <f>X174-AG174</f>
        <v>0</v>
      </c>
      <c r="AK174" s="9"/>
      <c r="AL174" s="362">
        <v>0</v>
      </c>
      <c r="AM174" s="365">
        <v>0</v>
      </c>
      <c r="AN174" s="9"/>
      <c r="BQ174" s="451"/>
    </row>
    <row r="175" spans="1:69" s="372" customFormat="1" ht="24.95" customHeight="1">
      <c r="A175" s="734"/>
      <c r="B175" s="643"/>
      <c r="N175" s="9"/>
      <c r="P175" s="9"/>
      <c r="Q175" s="9"/>
      <c r="R175" s="9"/>
      <c r="S175" s="356" t="str">
        <f>+IF(NOVIEMBRE!S175=0,"",NOVIEMBRE!S175)</f>
        <v/>
      </c>
      <c r="T175" s="678" t="str">
        <f>+IF(NOVIEMBRE!T175=0,"",NOVIEMBRE!T175)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c r="BQ175" s="451"/>
    </row>
    <row r="176" spans="1:69" s="372" customFormat="1" ht="24.95" customHeight="1">
      <c r="A176" s="734"/>
      <c r="B176" s="643"/>
      <c r="N176" s="9"/>
      <c r="P176" s="9"/>
      <c r="Q176" s="9"/>
      <c r="R176" s="9"/>
      <c r="S176" s="687">
        <f>+IF(NOVIEMBRE!S176=0,"",NOVIEMBRE!S176)</f>
        <v>320000</v>
      </c>
      <c r="T176" s="663" t="str">
        <f>+IF(NOVIEMBRE!T176=0,"",NOVIEMBRE!T176)</f>
        <v>Transf. Previsión y Seguridad Social</v>
      </c>
      <c r="U176" s="132">
        <f t="shared" ref="U176:AJ176" si="159">SUM(U177:U183)</f>
        <v>1110354144</v>
      </c>
      <c r="V176" s="122">
        <f t="shared" si="159"/>
        <v>0</v>
      </c>
      <c r="W176" s="122">
        <f t="shared" si="159"/>
        <v>0</v>
      </c>
      <c r="X176" s="129">
        <f t="shared" si="159"/>
        <v>1110354144</v>
      </c>
      <c r="Y176" s="128">
        <f t="shared" si="159"/>
        <v>866577533</v>
      </c>
      <c r="Z176" s="122">
        <f t="shared" si="159"/>
        <v>86538455</v>
      </c>
      <c r="AA176" s="129">
        <f t="shared" si="159"/>
        <v>953115988</v>
      </c>
      <c r="AB176" s="128">
        <f t="shared" si="159"/>
        <v>866577533</v>
      </c>
      <c r="AC176" s="122">
        <f t="shared" si="159"/>
        <v>86538455</v>
      </c>
      <c r="AD176" s="129">
        <f t="shared" si="159"/>
        <v>953115988</v>
      </c>
      <c r="AE176" s="128">
        <f t="shared" si="159"/>
        <v>858413703</v>
      </c>
      <c r="AF176" s="122">
        <f t="shared" si="159"/>
        <v>87720340</v>
      </c>
      <c r="AG176" s="129">
        <f t="shared" si="159"/>
        <v>946134043</v>
      </c>
      <c r="AH176" s="128">
        <f t="shared" si="159"/>
        <v>157238156</v>
      </c>
      <c r="AI176" s="122">
        <f t="shared" si="159"/>
        <v>157238156</v>
      </c>
      <c r="AJ176" s="130">
        <f t="shared" si="159"/>
        <v>164220101</v>
      </c>
      <c r="AK176" s="9"/>
      <c r="AL176" s="128">
        <f>SUM(AL177:AL183)</f>
        <v>0</v>
      </c>
      <c r="AM176" s="130">
        <f>SUM(AM177:AM183)</f>
        <v>0</v>
      </c>
      <c r="AN176" s="9"/>
      <c r="BQ176" s="451"/>
    </row>
    <row r="177" spans="1:69" s="372" customFormat="1" ht="24.95" customHeight="1">
      <c r="A177" s="734"/>
      <c r="B177" s="643"/>
      <c r="N177" s="9"/>
      <c r="P177" s="9"/>
      <c r="Q177" s="9"/>
      <c r="R177" s="9"/>
      <c r="S177" s="688">
        <f>+IF(NOVIEMBRE!S177=0,"",NOVIEMBRE!S177)</f>
        <v>3200100</v>
      </c>
      <c r="T177" s="664" t="str">
        <f>+IF(NOVIEMBRE!T177=0,"",NOVIEMBRE!T177)</f>
        <v>Pensiones y Jubilaciones (Pago Directo)</v>
      </c>
      <c r="U177" s="27">
        <f>+ENERO!U177</f>
        <v>965336472</v>
      </c>
      <c r="V177" s="15">
        <f>NOVIEMBRE!V177+DICIEMBRE!AL177</f>
        <v>0</v>
      </c>
      <c r="W177" s="15">
        <f>NOVIEMBRE!W177+DICIEMBRE!AM177</f>
        <v>0</v>
      </c>
      <c r="X177" s="18">
        <f t="shared" ref="X177:X183" si="160">SUM(U177:W177)</f>
        <v>965336472</v>
      </c>
      <c r="Y177" s="19">
        <f>NOVIEMBRE!AA177</f>
        <v>807500458</v>
      </c>
      <c r="Z177" s="364">
        <v>62227976</v>
      </c>
      <c r="AA177" s="18">
        <f t="shared" ref="AA177:AA183" si="161">SUM(Y177:Z177)</f>
        <v>869728434</v>
      </c>
      <c r="AB177" s="19">
        <f>NOVIEMBRE!AD177</f>
        <v>807500458</v>
      </c>
      <c r="AC177" s="364">
        <v>62227976</v>
      </c>
      <c r="AD177" s="18">
        <f t="shared" ref="AD177:AD183" si="162">SUM(AB177:AC177)</f>
        <v>869728434</v>
      </c>
      <c r="AE177" s="19">
        <f>NOVIEMBRE!AG177</f>
        <v>799818317</v>
      </c>
      <c r="AF177" s="364">
        <v>68737907</v>
      </c>
      <c r="AG177" s="18">
        <f t="shared" ref="AG177:AG183" si="163">SUM(AE177:AF177)</f>
        <v>868556224</v>
      </c>
      <c r="AH177" s="19">
        <f t="shared" ref="AH177:AH183" si="164">X177-AA177</f>
        <v>95608038</v>
      </c>
      <c r="AI177" s="15">
        <f t="shared" ref="AI177:AI183" si="165">X177-AD177</f>
        <v>95608038</v>
      </c>
      <c r="AJ177" s="16">
        <f t="shared" ref="AJ177:AJ183" si="166">X177-AG177</f>
        <v>96780248</v>
      </c>
      <c r="AK177" s="9"/>
      <c r="AL177" s="362">
        <v>0</v>
      </c>
      <c r="AM177" s="365">
        <v>0</v>
      </c>
      <c r="AN177" s="9"/>
      <c r="BQ177" s="451"/>
    </row>
    <row r="178" spans="1:69" s="372" customFormat="1" ht="24.95" customHeight="1">
      <c r="A178" s="734"/>
      <c r="B178" s="643"/>
      <c r="N178" s="9"/>
      <c r="P178" s="9"/>
      <c r="Q178" s="9"/>
      <c r="R178" s="9"/>
      <c r="S178" s="688">
        <f>+IF(NOVIEMBRE!S178=0,"",NOVIEMBRE!S178)</f>
        <v>3200200</v>
      </c>
      <c r="T178" s="664" t="str">
        <f>+IF(NOVIEMBRE!T178=0,"",NOVIEMBRE!T178)</f>
        <v>Cesantías Pago Directo (Pago Directo)</v>
      </c>
      <c r="U178" s="27">
        <f>+ENERO!U178</f>
        <v>20000000</v>
      </c>
      <c r="V178" s="15">
        <f>NOVIEMBRE!V178+DICIEMBRE!AL178</f>
        <v>20000000</v>
      </c>
      <c r="W178" s="15">
        <f>NOVIEMBRE!W178+DICIEMBRE!AM178</f>
        <v>0</v>
      </c>
      <c r="X178" s="18">
        <f t="shared" si="160"/>
        <v>40000000</v>
      </c>
      <c r="Y178" s="19">
        <f>NOVIEMBRE!AA178</f>
        <v>22540478</v>
      </c>
      <c r="Z178" s="364">
        <v>8112058</v>
      </c>
      <c r="AA178" s="18">
        <f t="shared" si="161"/>
        <v>30652536</v>
      </c>
      <c r="AB178" s="19">
        <f>NOVIEMBRE!AD178</f>
        <v>22540478</v>
      </c>
      <c r="AC178" s="364">
        <v>8112058</v>
      </c>
      <c r="AD178" s="18">
        <f t="shared" si="162"/>
        <v>30652536</v>
      </c>
      <c r="AE178" s="19">
        <f>NOVIEMBRE!AG178</f>
        <v>22064930</v>
      </c>
      <c r="AF178" s="364">
        <v>3333411</v>
      </c>
      <c r="AG178" s="18">
        <f t="shared" si="163"/>
        <v>25398341</v>
      </c>
      <c r="AH178" s="19">
        <f t="shared" si="164"/>
        <v>9347464</v>
      </c>
      <c r="AI178" s="15">
        <f t="shared" si="165"/>
        <v>9347464</v>
      </c>
      <c r="AJ178" s="16">
        <f t="shared" si="166"/>
        <v>14601659</v>
      </c>
      <c r="AK178" s="9"/>
      <c r="AL178" s="362">
        <v>0</v>
      </c>
      <c r="AM178" s="365">
        <v>0</v>
      </c>
      <c r="AN178" s="9"/>
      <c r="BQ178" s="451"/>
    </row>
    <row r="179" spans="1:69" s="372" customFormat="1" ht="24.95" customHeight="1">
      <c r="A179" s="734"/>
      <c r="B179" s="643"/>
      <c r="N179" s="9"/>
      <c r="P179" s="9"/>
      <c r="Q179" s="9"/>
      <c r="R179" s="9"/>
      <c r="S179" s="688">
        <f>+IF(NOVIEMBRE!S179=0,"",NOVIEMBRE!S179)</f>
        <v>3200300</v>
      </c>
      <c r="T179" s="664" t="str">
        <f>+IF(NOVIEMBRE!T179=0,"",NOVIEMBRE!T179)</f>
        <v>Bonos, Cuotas de Bonos y cuotas partes jubilatorias</v>
      </c>
      <c r="U179" s="27">
        <f>+ENERO!U179</f>
        <v>20000000</v>
      </c>
      <c r="V179" s="15">
        <f>NOVIEMBRE!V179+DICIEMBRE!AL179</f>
        <v>0</v>
      </c>
      <c r="W179" s="15">
        <f>NOVIEMBRE!W179+DICIEMBRE!AM179</f>
        <v>0</v>
      </c>
      <c r="X179" s="18">
        <f t="shared" si="160"/>
        <v>20000000</v>
      </c>
      <c r="Y179" s="19">
        <f>NOVIEMBRE!AA179</f>
        <v>0</v>
      </c>
      <c r="Z179" s="364">
        <v>15364282</v>
      </c>
      <c r="AA179" s="18">
        <f t="shared" si="161"/>
        <v>15364282</v>
      </c>
      <c r="AB179" s="19">
        <f>NOVIEMBRE!AD179</f>
        <v>0</v>
      </c>
      <c r="AC179" s="364">
        <v>15364282</v>
      </c>
      <c r="AD179" s="18">
        <f t="shared" si="162"/>
        <v>15364282</v>
      </c>
      <c r="AE179" s="19">
        <f>NOVIEMBRE!AG179</f>
        <v>0</v>
      </c>
      <c r="AF179" s="364">
        <v>15364282</v>
      </c>
      <c r="AG179" s="18">
        <f t="shared" si="163"/>
        <v>15364282</v>
      </c>
      <c r="AH179" s="19">
        <f t="shared" si="164"/>
        <v>4635718</v>
      </c>
      <c r="AI179" s="15">
        <f t="shared" si="165"/>
        <v>4635718</v>
      </c>
      <c r="AJ179" s="16">
        <f t="shared" si="166"/>
        <v>4635718</v>
      </c>
      <c r="AK179" s="9"/>
      <c r="AL179" s="362">
        <v>0</v>
      </c>
      <c r="AM179" s="365">
        <v>0</v>
      </c>
      <c r="AN179" s="9"/>
      <c r="BQ179" s="451"/>
    </row>
    <row r="180" spans="1:69" s="372" customFormat="1" ht="24.95" customHeight="1">
      <c r="A180" s="734"/>
      <c r="B180" s="643"/>
      <c r="N180" s="9"/>
      <c r="P180" s="9"/>
      <c r="Q180" s="9"/>
      <c r="R180" s="9"/>
      <c r="S180" s="688">
        <f>+IF(NOVIEMBRE!S180=0,"",NOVIEMBRE!S180)</f>
        <v>3200400</v>
      </c>
      <c r="T180" s="664" t="str">
        <f>+IF(NOVIEMBRE!T180=0,"",NOVIEMBRE!T180)</f>
        <v>Intereses a las cesantias</v>
      </c>
      <c r="U180" s="27">
        <f>+ENERO!U180</f>
        <v>105017672</v>
      </c>
      <c r="V180" s="15">
        <f>NOVIEMBRE!V180+DICIEMBRE!AL180</f>
        <v>-20000000</v>
      </c>
      <c r="W180" s="15">
        <f>NOVIEMBRE!W180+DICIEMBRE!AM180</f>
        <v>0</v>
      </c>
      <c r="X180" s="18">
        <f t="shared" si="160"/>
        <v>85017672</v>
      </c>
      <c r="Y180" s="19">
        <f>NOVIEMBRE!AA180</f>
        <v>36536597</v>
      </c>
      <c r="Z180" s="364">
        <v>834139</v>
      </c>
      <c r="AA180" s="18">
        <f t="shared" si="161"/>
        <v>37370736</v>
      </c>
      <c r="AB180" s="19">
        <f>NOVIEMBRE!AD180</f>
        <v>36536597</v>
      </c>
      <c r="AC180" s="364">
        <v>834139</v>
      </c>
      <c r="AD180" s="18">
        <f t="shared" si="162"/>
        <v>37370736</v>
      </c>
      <c r="AE180" s="19">
        <f>NOVIEMBRE!AG180</f>
        <v>36530456</v>
      </c>
      <c r="AF180" s="364">
        <v>284740</v>
      </c>
      <c r="AG180" s="18">
        <f t="shared" si="163"/>
        <v>36815196</v>
      </c>
      <c r="AH180" s="19">
        <f t="shared" si="164"/>
        <v>47646936</v>
      </c>
      <c r="AI180" s="15">
        <f t="shared" si="165"/>
        <v>47646936</v>
      </c>
      <c r="AJ180" s="16">
        <f t="shared" si="166"/>
        <v>48202476</v>
      </c>
      <c r="AK180" s="9"/>
      <c r="AL180" s="362">
        <v>0</v>
      </c>
      <c r="AM180" s="365">
        <v>0</v>
      </c>
      <c r="AN180" s="9"/>
      <c r="BQ180" s="451"/>
    </row>
    <row r="181" spans="1:69" s="372" customFormat="1" ht="24.95" customHeight="1">
      <c r="A181" s="734"/>
      <c r="B181" s="643"/>
      <c r="N181" s="9"/>
      <c r="P181" s="9"/>
      <c r="Q181" s="9"/>
      <c r="R181" s="9"/>
      <c r="S181" s="688">
        <f>+IF(NOVIEMBRE!S181=0,"",NOVIEMBRE!S181)</f>
        <v>3200500</v>
      </c>
      <c r="T181" s="664" t="str">
        <f>+IF(NOVIEMBRE!T181=0,"",NOVIEMBRE!T181)</f>
        <v/>
      </c>
      <c r="U181" s="27">
        <f>+ENERO!U181</f>
        <v>0</v>
      </c>
      <c r="V181" s="15">
        <f>NOVIEMBRE!V181+DICIEMBRE!AL181</f>
        <v>0</v>
      </c>
      <c r="W181" s="15">
        <f>NOVIEMBRE!W181+DICIEMBRE!AM181</f>
        <v>0</v>
      </c>
      <c r="X181" s="18">
        <f t="shared" si="160"/>
        <v>0</v>
      </c>
      <c r="Y181" s="19">
        <f>NOVIEMBRE!AA181</f>
        <v>0</v>
      </c>
      <c r="Z181" s="364">
        <v>0</v>
      </c>
      <c r="AA181" s="18">
        <f t="shared" si="161"/>
        <v>0</v>
      </c>
      <c r="AB181" s="19">
        <f>NOVIEMBRE!AD181</f>
        <v>0</v>
      </c>
      <c r="AC181" s="364">
        <v>0</v>
      </c>
      <c r="AD181" s="18">
        <f t="shared" si="162"/>
        <v>0</v>
      </c>
      <c r="AE181" s="19">
        <f>NOVIEMBRE!AG181</f>
        <v>0</v>
      </c>
      <c r="AF181" s="364">
        <v>0</v>
      </c>
      <c r="AG181" s="18">
        <f t="shared" si="163"/>
        <v>0</v>
      </c>
      <c r="AH181" s="19">
        <f t="shared" si="164"/>
        <v>0</v>
      </c>
      <c r="AI181" s="15">
        <f t="shared" si="165"/>
        <v>0</v>
      </c>
      <c r="AJ181" s="16">
        <f t="shared" si="166"/>
        <v>0</v>
      </c>
      <c r="AK181" s="9"/>
      <c r="AL181" s="362">
        <v>0</v>
      </c>
      <c r="AM181" s="365">
        <v>0</v>
      </c>
      <c r="AN181" s="9"/>
      <c r="BQ181" s="451"/>
    </row>
    <row r="182" spans="1:69" s="372" customFormat="1" ht="24.95" customHeight="1">
      <c r="A182" s="734"/>
      <c r="B182" s="643"/>
      <c r="N182" s="9"/>
      <c r="P182" s="9"/>
      <c r="Q182" s="9"/>
      <c r="R182" s="9"/>
      <c r="S182" s="688">
        <f>+IF(NOVIEMBRE!S182=0,"",NOVIEMBRE!S182)</f>
        <v>3200600</v>
      </c>
      <c r="T182" s="664" t="str">
        <f>+IF(NOVIEMBRE!T182=0,"",NOVIEMBRE!T182)</f>
        <v/>
      </c>
      <c r="U182" s="27">
        <f>+ENERO!U182</f>
        <v>0</v>
      </c>
      <c r="V182" s="15">
        <f>NOVIEMBRE!V182+DICIEMBRE!AL182</f>
        <v>0</v>
      </c>
      <c r="W182" s="15">
        <f>NOVIEMBRE!W182+DICIEMBRE!AM182</f>
        <v>0</v>
      </c>
      <c r="X182" s="18">
        <f t="shared" si="160"/>
        <v>0</v>
      </c>
      <c r="Y182" s="19">
        <f>NOVIEMBRE!AA182</f>
        <v>0</v>
      </c>
      <c r="Z182" s="364">
        <v>0</v>
      </c>
      <c r="AA182" s="18">
        <f t="shared" si="161"/>
        <v>0</v>
      </c>
      <c r="AB182" s="19">
        <f>NOVIEMBRE!AD182</f>
        <v>0</v>
      </c>
      <c r="AC182" s="364">
        <v>0</v>
      </c>
      <c r="AD182" s="18">
        <f t="shared" si="162"/>
        <v>0</v>
      </c>
      <c r="AE182" s="19">
        <f>NOVIEMBRE!AG182</f>
        <v>0</v>
      </c>
      <c r="AF182" s="364">
        <v>0</v>
      </c>
      <c r="AG182" s="18">
        <f t="shared" si="163"/>
        <v>0</v>
      </c>
      <c r="AH182" s="19">
        <f t="shared" si="164"/>
        <v>0</v>
      </c>
      <c r="AI182" s="15">
        <f t="shared" si="165"/>
        <v>0</v>
      </c>
      <c r="AJ182" s="16">
        <f t="shared" si="166"/>
        <v>0</v>
      </c>
      <c r="AK182" s="9"/>
      <c r="AL182" s="362">
        <v>0</v>
      </c>
      <c r="AM182" s="365">
        <v>0</v>
      </c>
      <c r="AN182" s="9"/>
      <c r="BQ182" s="451"/>
    </row>
    <row r="183" spans="1:69" s="372" customFormat="1" ht="24.95" customHeight="1">
      <c r="A183" s="734"/>
      <c r="B183" s="643"/>
      <c r="N183" s="9"/>
      <c r="P183" s="9"/>
      <c r="Q183" s="9"/>
      <c r="R183" s="9"/>
      <c r="S183" s="688">
        <f>+IF(NOVIEMBRE!S183=0,"",NOVIEMBRE!S183)</f>
        <v>3299999</v>
      </c>
      <c r="T183" s="664" t="str">
        <f>+IF(NOVIEMBRE!T183=0,"",NOVIEMBRE!T183)</f>
        <v>Vigencias Anteriores</v>
      </c>
      <c r="U183" s="27">
        <f>+ENERO!U183</f>
        <v>0</v>
      </c>
      <c r="V183" s="15">
        <f>NOVIEMBRE!V183+DICIEMBRE!AL183</f>
        <v>0</v>
      </c>
      <c r="W183" s="15">
        <f>NOVIEMBRE!W183+DICIEMBRE!AM183</f>
        <v>0</v>
      </c>
      <c r="X183" s="18">
        <f t="shared" si="160"/>
        <v>0</v>
      </c>
      <c r="Y183" s="19">
        <f>NOVIEMBRE!AA183</f>
        <v>0</v>
      </c>
      <c r="Z183" s="364">
        <v>0</v>
      </c>
      <c r="AA183" s="18">
        <f t="shared" si="161"/>
        <v>0</v>
      </c>
      <c r="AB183" s="19">
        <f>NOVIEMBRE!AD183</f>
        <v>0</v>
      </c>
      <c r="AC183" s="364">
        <v>0</v>
      </c>
      <c r="AD183" s="18">
        <f t="shared" si="162"/>
        <v>0</v>
      </c>
      <c r="AE183" s="19">
        <f>NOVIEMBRE!AG183</f>
        <v>0</v>
      </c>
      <c r="AF183" s="364">
        <v>0</v>
      </c>
      <c r="AG183" s="18">
        <f t="shared" si="163"/>
        <v>0</v>
      </c>
      <c r="AH183" s="19">
        <f t="shared" si="164"/>
        <v>0</v>
      </c>
      <c r="AI183" s="15">
        <f t="shared" si="165"/>
        <v>0</v>
      </c>
      <c r="AJ183" s="16">
        <f t="shared" si="166"/>
        <v>0</v>
      </c>
      <c r="AK183" s="9"/>
      <c r="AL183" s="362">
        <v>0</v>
      </c>
      <c r="AM183" s="365">
        <v>0</v>
      </c>
      <c r="AN183" s="9"/>
      <c r="BQ183" s="451"/>
    </row>
    <row r="184" spans="1:69" s="372" customFormat="1" ht="24.95" customHeight="1">
      <c r="A184" s="734"/>
      <c r="B184" s="643"/>
      <c r="N184" s="9"/>
      <c r="P184" s="9"/>
      <c r="Q184" s="9"/>
      <c r="R184" s="9"/>
      <c r="S184" s="356" t="str">
        <f>+IF(NOVIEMBRE!S184=0,"",NOVIEMBRE!S184)</f>
        <v/>
      </c>
      <c r="T184" s="678" t="str">
        <f>+IF(NOVIEMBRE!T184=0,"",NOVIEMBRE!T184)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c r="BQ184" s="451"/>
    </row>
    <row r="185" spans="1:69" s="372" customFormat="1" ht="24.95" customHeight="1">
      <c r="A185" s="734"/>
      <c r="B185" s="643"/>
      <c r="N185" s="9"/>
      <c r="P185" s="9"/>
      <c r="Q185" s="9"/>
      <c r="R185" s="9"/>
      <c r="S185" s="687">
        <f>+IF(NOVIEMBRE!S185=0,"",NOVIEMBRE!S185)</f>
        <v>3300000</v>
      </c>
      <c r="T185" s="663" t="str">
        <f>+IF(NOVIEMBRE!T185=0,"",NOVIEMBRE!T185)</f>
        <v>Otras Transferencias</v>
      </c>
      <c r="U185" s="132">
        <f t="shared" ref="U185:AJ185" si="167">U186+U187+U191</f>
        <v>80000000</v>
      </c>
      <c r="V185" s="122">
        <f t="shared" si="167"/>
        <v>8000000</v>
      </c>
      <c r="W185" s="122">
        <f t="shared" si="167"/>
        <v>0</v>
      </c>
      <c r="X185" s="129">
        <f t="shared" si="167"/>
        <v>88000000</v>
      </c>
      <c r="Y185" s="128">
        <f t="shared" si="167"/>
        <v>24833980</v>
      </c>
      <c r="Z185" s="122">
        <f t="shared" si="167"/>
        <v>1256233</v>
      </c>
      <c r="AA185" s="129">
        <f t="shared" si="167"/>
        <v>26090213</v>
      </c>
      <c r="AB185" s="128">
        <f t="shared" si="167"/>
        <v>24833980</v>
      </c>
      <c r="AC185" s="122">
        <f t="shared" si="167"/>
        <v>1256233</v>
      </c>
      <c r="AD185" s="129">
        <f t="shared" si="167"/>
        <v>26090213</v>
      </c>
      <c r="AE185" s="128">
        <f t="shared" si="167"/>
        <v>22453980</v>
      </c>
      <c r="AF185" s="122">
        <f t="shared" si="167"/>
        <v>0</v>
      </c>
      <c r="AG185" s="129">
        <f t="shared" si="167"/>
        <v>22453980</v>
      </c>
      <c r="AH185" s="128">
        <f t="shared" si="167"/>
        <v>61909787</v>
      </c>
      <c r="AI185" s="122">
        <f t="shared" si="167"/>
        <v>61909787</v>
      </c>
      <c r="AJ185" s="130">
        <f t="shared" si="167"/>
        <v>65546020</v>
      </c>
      <c r="AK185" s="9"/>
      <c r="AL185" s="128">
        <f>AL186+AL187+AL191</f>
        <v>0</v>
      </c>
      <c r="AM185" s="130">
        <f>AM186+AM187+AM191</f>
        <v>0</v>
      </c>
      <c r="AN185" s="9"/>
      <c r="BQ185" s="451"/>
    </row>
    <row r="186" spans="1:69" s="372" customFormat="1" ht="24.95" customHeight="1">
      <c r="A186" s="734"/>
      <c r="B186" s="643"/>
      <c r="N186" s="9"/>
      <c r="P186" s="9"/>
      <c r="Q186" s="9"/>
      <c r="R186" s="9"/>
      <c r="S186" s="688">
        <f>+IF(NOVIEMBRE!S186=0,"",NOVIEMBRE!S186)</f>
        <v>3300100</v>
      </c>
      <c r="T186" s="664" t="str">
        <f>+IF(NOVIEMBRE!T186=0,"",NOVIEMBRE!T186)</f>
        <v>Sentencias y Conciliaciones</v>
      </c>
      <c r="U186" s="27">
        <f>+ENERO!U186</f>
        <v>60000000</v>
      </c>
      <c r="V186" s="15">
        <f>NOVIEMBRE!V186+DICIEMBRE!AL186</f>
        <v>0</v>
      </c>
      <c r="W186" s="15">
        <f>NOVIEMBRE!W186+DICIEMBRE!AM186</f>
        <v>0</v>
      </c>
      <c r="X186" s="18">
        <f>SUM(U186:W186)</f>
        <v>60000000</v>
      </c>
      <c r="Y186" s="19">
        <f>NOVIEMBRE!AA186</f>
        <v>0</v>
      </c>
      <c r="Z186" s="364">
        <v>0</v>
      </c>
      <c r="AA186" s="18">
        <f>SUM(Y186:Z186)</f>
        <v>0</v>
      </c>
      <c r="AB186" s="19">
        <f>NOVIEMBRE!AD186</f>
        <v>0</v>
      </c>
      <c r="AC186" s="364">
        <v>0</v>
      </c>
      <c r="AD186" s="18">
        <f>SUM(AB186:AC186)</f>
        <v>0</v>
      </c>
      <c r="AE186" s="19">
        <f>NOVIEMBRE!AG186</f>
        <v>0</v>
      </c>
      <c r="AF186" s="364">
        <v>0</v>
      </c>
      <c r="AG186" s="18">
        <f>SUM(AE186:AF186)</f>
        <v>0</v>
      </c>
      <c r="AH186" s="19">
        <f>X186-AA186</f>
        <v>60000000</v>
      </c>
      <c r="AI186" s="15">
        <f>X186-AD186</f>
        <v>60000000</v>
      </c>
      <c r="AJ186" s="16">
        <f>X186-AG186</f>
        <v>60000000</v>
      </c>
      <c r="AK186" s="9"/>
      <c r="AL186" s="362">
        <v>0</v>
      </c>
      <c r="AM186" s="365">
        <v>0</v>
      </c>
      <c r="AN186" s="9"/>
      <c r="BQ186" s="451"/>
    </row>
    <row r="187" spans="1:69" s="372" customFormat="1" ht="24.95" customHeight="1">
      <c r="A187" s="734"/>
      <c r="B187" s="643"/>
      <c r="N187" s="9"/>
      <c r="P187" s="9"/>
      <c r="Q187" s="9"/>
      <c r="R187" s="9"/>
      <c r="S187" s="688">
        <f>+IF(NOVIEMBRE!S187=0,"",NOVIEMBRE!S187)</f>
        <v>3300200</v>
      </c>
      <c r="T187" s="664" t="str">
        <f>+IF(NOVIEMBRE!T187=0,"",NOVIEMBRE!T187)</f>
        <v>Destinatarios de otras transferencias</v>
      </c>
      <c r="U187" s="27">
        <f t="shared" ref="U187:AM187" si="168">SUM(U188:U190)</f>
        <v>20000000</v>
      </c>
      <c r="V187" s="15">
        <f t="shared" si="168"/>
        <v>8000000</v>
      </c>
      <c r="W187" s="15">
        <f t="shared" si="168"/>
        <v>0</v>
      </c>
      <c r="X187" s="18">
        <f t="shared" si="168"/>
        <v>28000000</v>
      </c>
      <c r="Y187" s="19">
        <f t="shared" si="168"/>
        <v>24833980</v>
      </c>
      <c r="Z187" s="142">
        <f t="shared" si="168"/>
        <v>1256233</v>
      </c>
      <c r="AA187" s="18">
        <f t="shared" si="168"/>
        <v>26090213</v>
      </c>
      <c r="AB187" s="19">
        <f t="shared" si="168"/>
        <v>24833980</v>
      </c>
      <c r="AC187" s="142">
        <f t="shared" si="168"/>
        <v>1256233</v>
      </c>
      <c r="AD187" s="18">
        <f t="shared" si="168"/>
        <v>26090213</v>
      </c>
      <c r="AE187" s="19">
        <f t="shared" si="168"/>
        <v>22453980</v>
      </c>
      <c r="AF187" s="142">
        <f t="shared" si="168"/>
        <v>0</v>
      </c>
      <c r="AG187" s="18">
        <f t="shared" si="168"/>
        <v>22453980</v>
      </c>
      <c r="AH187" s="19">
        <f t="shared" si="168"/>
        <v>1909787</v>
      </c>
      <c r="AI187" s="15">
        <f t="shared" si="168"/>
        <v>1909787</v>
      </c>
      <c r="AJ187" s="16">
        <f t="shared" si="168"/>
        <v>5546020</v>
      </c>
      <c r="AK187" s="9"/>
      <c r="AL187" s="29">
        <f t="shared" si="168"/>
        <v>0</v>
      </c>
      <c r="AM187" s="26">
        <f t="shared" si="168"/>
        <v>0</v>
      </c>
      <c r="AN187" s="9"/>
      <c r="BQ187" s="451"/>
    </row>
    <row r="188" spans="1:69" s="372" customFormat="1" ht="24.95" customHeight="1">
      <c r="A188" s="734"/>
      <c r="B188" s="644"/>
      <c r="N188" s="9"/>
      <c r="P188" s="9"/>
      <c r="Q188" s="9"/>
      <c r="R188" s="9"/>
      <c r="S188" s="689" t="str">
        <f>+IF(NOVIEMBRE!S188=0,"",NOVIEMBRE!S188)</f>
        <v>3300200-1</v>
      </c>
      <c r="T188" s="664" t="str">
        <f>+IF(NOVIEMBRE!T188=0,"",NOVIEMBRE!T188)</f>
        <v>COHAN</v>
      </c>
      <c r="U188" s="27">
        <f>+ENERO!U188</f>
        <v>10000000</v>
      </c>
      <c r="V188" s="15">
        <f>NOVIEMBRE!V188+DICIEMBRE!AL188</f>
        <v>8000000</v>
      </c>
      <c r="W188" s="15">
        <f>NOVIEMBRE!W188+DICIEMBRE!AM188</f>
        <v>0</v>
      </c>
      <c r="X188" s="18">
        <f>SUM(U188:W188)</f>
        <v>18000000</v>
      </c>
      <c r="Y188" s="19">
        <f>NOVIEMBRE!AA188</f>
        <v>17803516</v>
      </c>
      <c r="Z188" s="364">
        <v>0</v>
      </c>
      <c r="AA188" s="18">
        <f>SUM(Y188:Z188)</f>
        <v>17803516</v>
      </c>
      <c r="AB188" s="19">
        <f>NOVIEMBRE!AD188</f>
        <v>17803516</v>
      </c>
      <c r="AC188" s="364">
        <v>0</v>
      </c>
      <c r="AD188" s="18">
        <f>SUM(AB188:AC188)</f>
        <v>17803516</v>
      </c>
      <c r="AE188" s="19">
        <f>NOVIEMBRE!AG188</f>
        <v>17803516</v>
      </c>
      <c r="AF188" s="364">
        <v>0</v>
      </c>
      <c r="AG188" s="18">
        <f>SUM(AE188:AF188)</f>
        <v>17803516</v>
      </c>
      <c r="AH188" s="19">
        <f>X188-AA188</f>
        <v>196484</v>
      </c>
      <c r="AI188" s="15">
        <f>X188-AD188</f>
        <v>196484</v>
      </c>
      <c r="AJ188" s="16">
        <f>X188-AG188</f>
        <v>196484</v>
      </c>
      <c r="AK188" s="9"/>
      <c r="AL188" s="362">
        <v>0</v>
      </c>
      <c r="AM188" s="365">
        <v>0</v>
      </c>
      <c r="AN188" s="9"/>
      <c r="BQ188" s="451"/>
    </row>
    <row r="189" spans="1:69" s="372" customFormat="1" ht="24.95" customHeight="1">
      <c r="A189" s="734"/>
      <c r="B189" s="644"/>
      <c r="N189" s="9"/>
      <c r="P189" s="9"/>
      <c r="Q189" s="9"/>
      <c r="R189" s="9"/>
      <c r="S189" s="689" t="str">
        <f>+IF(NOVIEMBRE!S189=0,"",NOVIEMBRE!S189)</f>
        <v>3300200-2</v>
      </c>
      <c r="T189" s="664" t="str">
        <f>+IF(NOVIEMBRE!T189=0,"",NOVIEMBRE!T189)</f>
        <v>AESA</v>
      </c>
      <c r="U189" s="27">
        <f>+ENERO!U189</f>
        <v>5000000</v>
      </c>
      <c r="V189" s="15">
        <f>NOVIEMBRE!V189+DICIEMBRE!AL189</f>
        <v>0</v>
      </c>
      <c r="W189" s="15">
        <f>NOVIEMBRE!W189+DICIEMBRE!AM189</f>
        <v>0</v>
      </c>
      <c r="X189" s="18">
        <f>SUM(U189:W189)</f>
        <v>5000000</v>
      </c>
      <c r="Y189" s="19">
        <f>NOVIEMBRE!AA189</f>
        <v>3312464</v>
      </c>
      <c r="Z189" s="364">
        <v>0</v>
      </c>
      <c r="AA189" s="18">
        <f>SUM(Y189:Z189)</f>
        <v>3312464</v>
      </c>
      <c r="AB189" s="19">
        <f>NOVIEMBRE!AD189</f>
        <v>3312464</v>
      </c>
      <c r="AC189" s="364">
        <v>0</v>
      </c>
      <c r="AD189" s="18">
        <f>SUM(AB189:AC189)</f>
        <v>3312464</v>
      </c>
      <c r="AE189" s="19">
        <f>NOVIEMBRE!AG189</f>
        <v>3312464</v>
      </c>
      <c r="AF189" s="364">
        <v>0</v>
      </c>
      <c r="AG189" s="18">
        <f>SUM(AE189:AF189)</f>
        <v>3312464</v>
      </c>
      <c r="AH189" s="19">
        <f>X189-AA189</f>
        <v>1687536</v>
      </c>
      <c r="AI189" s="15">
        <f>X189-AD189</f>
        <v>1687536</v>
      </c>
      <c r="AJ189" s="16">
        <f>X189-AG189</f>
        <v>1687536</v>
      </c>
      <c r="AK189" s="9"/>
      <c r="AL189" s="362">
        <v>0</v>
      </c>
      <c r="AM189" s="365">
        <v>0</v>
      </c>
      <c r="AN189" s="9"/>
      <c r="BQ189" s="451"/>
    </row>
    <row r="190" spans="1:69" s="372" customFormat="1" ht="24.95" customHeight="1">
      <c r="A190" s="734"/>
      <c r="B190" s="644"/>
      <c r="N190" s="9"/>
      <c r="P190" s="9"/>
      <c r="Q190" s="9"/>
      <c r="R190" s="9"/>
      <c r="S190" s="689" t="str">
        <f>+IF(NOVIEMBRE!S190=0,"",NOVIEMBRE!S190)</f>
        <v>3300200-3</v>
      </c>
      <c r="T190" s="664" t="str">
        <f>+IF(NOVIEMBRE!T190=0,"",NOVIEMBRE!T190)</f>
        <v xml:space="preserve">OTRAS </v>
      </c>
      <c r="U190" s="27">
        <f>+ENERO!U190</f>
        <v>5000000</v>
      </c>
      <c r="V190" s="15">
        <f>NOVIEMBRE!V190+DICIEMBRE!AL190</f>
        <v>0</v>
      </c>
      <c r="W190" s="15">
        <f>NOVIEMBRE!W190+DICIEMBRE!AM190</f>
        <v>0</v>
      </c>
      <c r="X190" s="18">
        <f>SUM(U190:W190)</f>
        <v>5000000</v>
      </c>
      <c r="Y190" s="19">
        <f>NOVIEMBRE!AA190</f>
        <v>3718000</v>
      </c>
      <c r="Z190" s="364">
        <v>1256233</v>
      </c>
      <c r="AA190" s="18">
        <f>SUM(Y190:Z190)</f>
        <v>4974233</v>
      </c>
      <c r="AB190" s="19">
        <f>NOVIEMBRE!AD190</f>
        <v>3718000</v>
      </c>
      <c r="AC190" s="364">
        <v>1256233</v>
      </c>
      <c r="AD190" s="18">
        <f>SUM(AB190:AC190)</f>
        <v>4974233</v>
      </c>
      <c r="AE190" s="19">
        <f>NOVIEMBRE!AG190</f>
        <v>1338000</v>
      </c>
      <c r="AF190" s="364">
        <v>0</v>
      </c>
      <c r="AG190" s="18">
        <f>SUM(AE190:AF190)</f>
        <v>1338000</v>
      </c>
      <c r="AH190" s="19">
        <f>X190-AA190</f>
        <v>25767</v>
      </c>
      <c r="AI190" s="15">
        <f>X190-AD190</f>
        <v>25767</v>
      </c>
      <c r="AJ190" s="16">
        <f>X190-AG190</f>
        <v>3662000</v>
      </c>
      <c r="AK190" s="9"/>
      <c r="AL190" s="362">
        <v>0</v>
      </c>
      <c r="AM190" s="365">
        <v>0</v>
      </c>
      <c r="AN190" s="9"/>
      <c r="BQ190" s="451"/>
    </row>
    <row r="191" spans="1:69" s="372" customFormat="1" ht="24.95" customHeight="1">
      <c r="A191" s="734"/>
      <c r="B191" s="644"/>
      <c r="N191" s="9"/>
      <c r="P191" s="9"/>
      <c r="Q191" s="9"/>
      <c r="R191" s="9"/>
      <c r="S191" s="688">
        <f>+IF(NOVIEMBRE!S191=0,"",NOVIEMBRE!S191)</f>
        <v>3399999</v>
      </c>
      <c r="T191" s="664" t="str">
        <f>+IF(NOVIEMBRE!T191=0,"",NOVIEMBRE!T191)</f>
        <v>Vigencias Anteriores</v>
      </c>
      <c r="U191" s="27">
        <f>+ENERO!U191</f>
        <v>0</v>
      </c>
      <c r="V191" s="15">
        <f>NOVIEMBRE!V191+DICIEMBRE!AL191</f>
        <v>0</v>
      </c>
      <c r="W191" s="15">
        <f>NOVIEMBRE!W191+DICIEMBRE!AM191</f>
        <v>0</v>
      </c>
      <c r="X191" s="18">
        <f>SUM(U191:W191)</f>
        <v>0</v>
      </c>
      <c r="Y191" s="19">
        <f>NOVIEMBRE!AA191</f>
        <v>0</v>
      </c>
      <c r="Z191" s="364">
        <v>0</v>
      </c>
      <c r="AA191" s="18">
        <f>SUM(Y191:Z191)</f>
        <v>0</v>
      </c>
      <c r="AB191" s="19">
        <f>NOVIEMBRE!AD191</f>
        <v>0</v>
      </c>
      <c r="AC191" s="364">
        <v>0</v>
      </c>
      <c r="AD191" s="18">
        <f>SUM(AB191:AC191)</f>
        <v>0</v>
      </c>
      <c r="AE191" s="19">
        <f>NOVIEMBRE!AG191</f>
        <v>0</v>
      </c>
      <c r="AF191" s="364">
        <v>0</v>
      </c>
      <c r="AG191" s="18">
        <f>SUM(AE191:AF191)</f>
        <v>0</v>
      </c>
      <c r="AH191" s="19">
        <f>X191-AA191</f>
        <v>0</v>
      </c>
      <c r="AI191" s="15">
        <f>X191-AD191</f>
        <v>0</v>
      </c>
      <c r="AJ191" s="16">
        <f>X191-AG191</f>
        <v>0</v>
      </c>
      <c r="AK191" s="9"/>
      <c r="AL191" s="362">
        <v>0</v>
      </c>
      <c r="AM191" s="365">
        <v>0</v>
      </c>
      <c r="AN191" s="9"/>
      <c r="BQ191" s="451"/>
    </row>
    <row r="192" spans="1:69"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c r="BQ192" s="451"/>
    </row>
    <row r="193" spans="1:69" s="372" customFormat="1" ht="39.75" customHeight="1">
      <c r="A193" s="734"/>
      <c r="B193" s="644"/>
      <c r="N193" s="9"/>
      <c r="P193" s="9"/>
      <c r="Q193" s="9"/>
      <c r="R193" s="9"/>
      <c r="S193" s="483" t="s">
        <v>318</v>
      </c>
      <c r="T193" s="672" t="s">
        <v>561</v>
      </c>
      <c r="U193" s="460">
        <f>U195+U209</f>
        <v>10282942055</v>
      </c>
      <c r="V193" s="461">
        <f t="shared" ref="V193:AJ193" si="169">V195+V209</f>
        <v>5485317789</v>
      </c>
      <c r="W193" s="461">
        <f t="shared" si="169"/>
        <v>14538629482</v>
      </c>
      <c r="X193" s="370">
        <f t="shared" si="169"/>
        <v>30306889326</v>
      </c>
      <c r="Y193" s="369">
        <f t="shared" si="169"/>
        <v>26588150843</v>
      </c>
      <c r="Z193" s="484">
        <f t="shared" si="169"/>
        <v>1099448924</v>
      </c>
      <c r="AA193" s="370">
        <f t="shared" si="169"/>
        <v>27687599767</v>
      </c>
      <c r="AB193" s="460">
        <f t="shared" si="169"/>
        <v>25698144240</v>
      </c>
      <c r="AC193" s="484">
        <f t="shared" si="169"/>
        <v>1989455527</v>
      </c>
      <c r="AD193" s="462">
        <f t="shared" si="169"/>
        <v>27687599767</v>
      </c>
      <c r="AE193" s="369">
        <f t="shared" si="169"/>
        <v>18953008223</v>
      </c>
      <c r="AF193" s="484">
        <f t="shared" si="169"/>
        <v>3627640130</v>
      </c>
      <c r="AG193" s="370">
        <f t="shared" si="169"/>
        <v>22580648353</v>
      </c>
      <c r="AH193" s="369">
        <f t="shared" si="169"/>
        <v>2619289559</v>
      </c>
      <c r="AI193" s="461">
        <f t="shared" si="169"/>
        <v>2619289559</v>
      </c>
      <c r="AJ193" s="370">
        <f t="shared" si="169"/>
        <v>7726240973</v>
      </c>
      <c r="AK193" s="9"/>
      <c r="AL193" s="369">
        <f>AL195+AL209</f>
        <v>0</v>
      </c>
      <c r="AM193" s="370">
        <f>AM195+AM209</f>
        <v>1734823992</v>
      </c>
      <c r="AN193" s="9"/>
      <c r="BQ193" s="451"/>
    </row>
    <row r="194" spans="1:69" s="372" customFormat="1" ht="24.95" customHeight="1">
      <c r="A194" s="734"/>
      <c r="B194" s="644"/>
      <c r="N194" s="9"/>
      <c r="P194" s="9"/>
      <c r="Q194" s="9"/>
      <c r="R194" s="9"/>
      <c r="S194" s="356" t="str">
        <f>+IF(NOVIEMBRE!S192=0,"",NOVIEMBRE!S192)</f>
        <v/>
      </c>
      <c r="T194" s="678" t="str">
        <f>+IF(NOVIEMBRE!T192=0,"",NOVIEMBRE!T192)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c r="BQ194" s="451"/>
    </row>
    <row r="195" spans="1:69" s="372" customFormat="1" ht="24.95" customHeight="1">
      <c r="A195" s="734"/>
      <c r="B195" s="644"/>
      <c r="N195" s="9"/>
      <c r="P195" s="9"/>
      <c r="Q195" s="9"/>
      <c r="R195" s="9"/>
      <c r="S195" s="686">
        <f>+IF(NOVIEMBRE!S195=0,"",NOVIEMBRE!S195)</f>
        <v>4000000</v>
      </c>
      <c r="T195" s="668" t="str">
        <f>+IF(NOVIEMBRE!T195=0,"",NOVIEMBRE!T195)</f>
        <v>GASTOS  DE PRESTACION DE SERVICIOS</v>
      </c>
      <c r="U195" s="460">
        <f t="shared" ref="U195:AJ195" si="170">U196</f>
        <v>10282942055</v>
      </c>
      <c r="V195" s="461">
        <f t="shared" si="170"/>
        <v>5485317789</v>
      </c>
      <c r="W195" s="461">
        <f t="shared" si="170"/>
        <v>14538629482</v>
      </c>
      <c r="X195" s="462">
        <f t="shared" si="170"/>
        <v>30306889326</v>
      </c>
      <c r="Y195" s="369">
        <f t="shared" si="170"/>
        <v>26588150843</v>
      </c>
      <c r="Z195" s="461">
        <f t="shared" si="170"/>
        <v>1099448924</v>
      </c>
      <c r="AA195" s="462">
        <f t="shared" si="170"/>
        <v>27687599767</v>
      </c>
      <c r="AB195" s="369">
        <f t="shared" si="170"/>
        <v>25698144240</v>
      </c>
      <c r="AC195" s="461">
        <f t="shared" si="170"/>
        <v>1989455527</v>
      </c>
      <c r="AD195" s="462">
        <f t="shared" si="170"/>
        <v>27687599767</v>
      </c>
      <c r="AE195" s="369">
        <f t="shared" si="170"/>
        <v>18953008223</v>
      </c>
      <c r="AF195" s="461">
        <f t="shared" si="170"/>
        <v>3627640130</v>
      </c>
      <c r="AG195" s="462">
        <f t="shared" si="170"/>
        <v>22580648353</v>
      </c>
      <c r="AH195" s="369">
        <f t="shared" si="170"/>
        <v>2619289559</v>
      </c>
      <c r="AI195" s="461">
        <f t="shared" si="170"/>
        <v>2619289559</v>
      </c>
      <c r="AJ195" s="370">
        <f t="shared" si="170"/>
        <v>7726240973</v>
      </c>
      <c r="AK195" s="9"/>
      <c r="AL195" s="128">
        <f>AL196</f>
        <v>0</v>
      </c>
      <c r="AM195" s="130">
        <f>AM196</f>
        <v>1734823992</v>
      </c>
      <c r="AN195" s="9"/>
      <c r="BQ195" s="451"/>
    </row>
    <row r="196" spans="1:69" s="372" customFormat="1" ht="24.95" customHeight="1">
      <c r="A196" s="734"/>
      <c r="B196" s="644"/>
      <c r="N196" s="9"/>
      <c r="P196" s="9"/>
      <c r="Q196" s="9"/>
      <c r="R196" s="9"/>
      <c r="S196" s="687">
        <f>+IF(NOVIEMBRE!S196=0,"",NOVIEMBRE!S196)</f>
        <v>4100000</v>
      </c>
      <c r="T196" s="663" t="str">
        <f>+IF(NOVIEMBRE!T196=0,"",NOVIEMBRE!T196)</f>
        <v>Insumos y Suministros Hospitalarios</v>
      </c>
      <c r="U196" s="132">
        <f t="shared" ref="U196:AJ196" si="171">U197+U205+U207</f>
        <v>10282942055</v>
      </c>
      <c r="V196" s="122">
        <f t="shared" si="171"/>
        <v>5485317789</v>
      </c>
      <c r="W196" s="122">
        <f t="shared" si="171"/>
        <v>14538629482</v>
      </c>
      <c r="X196" s="129">
        <f t="shared" si="171"/>
        <v>30306889326</v>
      </c>
      <c r="Y196" s="128">
        <f t="shared" si="171"/>
        <v>26588150843</v>
      </c>
      <c r="Z196" s="122">
        <f t="shared" si="171"/>
        <v>1099448924</v>
      </c>
      <c r="AA196" s="129">
        <f t="shared" si="171"/>
        <v>27687599767</v>
      </c>
      <c r="AB196" s="128">
        <f t="shared" si="171"/>
        <v>25698144240</v>
      </c>
      <c r="AC196" s="122">
        <f t="shared" si="171"/>
        <v>1989455527</v>
      </c>
      <c r="AD196" s="129">
        <f t="shared" si="171"/>
        <v>27687599767</v>
      </c>
      <c r="AE196" s="128">
        <f t="shared" si="171"/>
        <v>18953008223</v>
      </c>
      <c r="AF196" s="122">
        <f t="shared" si="171"/>
        <v>3627640130</v>
      </c>
      <c r="AG196" s="129">
        <f t="shared" si="171"/>
        <v>22580648353</v>
      </c>
      <c r="AH196" s="128">
        <f t="shared" si="171"/>
        <v>2619289559</v>
      </c>
      <c r="AI196" s="122">
        <f t="shared" si="171"/>
        <v>2619289559</v>
      </c>
      <c r="AJ196" s="130">
        <f t="shared" si="171"/>
        <v>7726240973</v>
      </c>
      <c r="AK196" s="10"/>
      <c r="AL196" s="128">
        <f>AL197+AL205+AL207</f>
        <v>0</v>
      </c>
      <c r="AM196" s="130">
        <f>AM197+AM205+AM207</f>
        <v>1734823992</v>
      </c>
      <c r="AN196" s="9"/>
      <c r="BQ196" s="451"/>
    </row>
    <row r="197" spans="1:69" s="372" customFormat="1" ht="24.95" customHeight="1">
      <c r="A197" s="734"/>
      <c r="B197" s="644"/>
      <c r="N197" s="9"/>
      <c r="P197" s="9"/>
      <c r="Q197" s="9"/>
      <c r="R197" s="9"/>
      <c r="S197" s="688">
        <f>+IF(NOVIEMBRE!S197=0,"",NOVIEMBRE!S197)</f>
        <v>4100100</v>
      </c>
      <c r="T197" s="664" t="str">
        <f>+IF(NOVIEMBRE!T197=0,"",NOVIEMBRE!T197)</f>
        <v>Compra de Bienes para la Prestacion de servicios</v>
      </c>
      <c r="U197" s="27">
        <f t="shared" ref="U197:AJ197" si="172">SUM(U198:U204)</f>
        <v>8084311192</v>
      </c>
      <c r="V197" s="15">
        <f t="shared" si="172"/>
        <v>4040190078</v>
      </c>
      <c r="W197" s="15">
        <f t="shared" si="172"/>
        <v>8061436703</v>
      </c>
      <c r="X197" s="18">
        <f t="shared" si="172"/>
        <v>20185937973</v>
      </c>
      <c r="Y197" s="19">
        <f t="shared" si="172"/>
        <v>18061650274</v>
      </c>
      <c r="Z197" s="142">
        <f t="shared" si="172"/>
        <v>961174888</v>
      </c>
      <c r="AA197" s="18">
        <f t="shared" si="172"/>
        <v>19022825162</v>
      </c>
      <c r="AB197" s="19">
        <f t="shared" si="172"/>
        <v>17386227759</v>
      </c>
      <c r="AC197" s="142">
        <f t="shared" si="172"/>
        <v>1636597403</v>
      </c>
      <c r="AD197" s="18">
        <f t="shared" si="172"/>
        <v>19022825162</v>
      </c>
      <c r="AE197" s="19">
        <f t="shared" si="172"/>
        <v>10797832623</v>
      </c>
      <c r="AF197" s="142">
        <f t="shared" si="172"/>
        <v>3279053505</v>
      </c>
      <c r="AG197" s="18">
        <f t="shared" si="172"/>
        <v>14076886128</v>
      </c>
      <c r="AH197" s="19">
        <f t="shared" si="172"/>
        <v>1163112811</v>
      </c>
      <c r="AI197" s="15">
        <f t="shared" si="172"/>
        <v>1163112811</v>
      </c>
      <c r="AJ197" s="16">
        <f t="shared" si="172"/>
        <v>6109051845</v>
      </c>
      <c r="AK197" s="9"/>
      <c r="AL197" s="29">
        <f>SUM(AL198:AL204)</f>
        <v>0</v>
      </c>
      <c r="AM197" s="26">
        <f>SUM(AM198:AM204)</f>
        <v>970000000</v>
      </c>
      <c r="AN197" s="9"/>
      <c r="BQ197" s="451"/>
    </row>
    <row r="198" spans="1:69" s="372" customFormat="1" ht="24.95" customHeight="1">
      <c r="A198" s="734"/>
      <c r="B198" s="644"/>
      <c r="N198" s="9"/>
      <c r="P198" s="9"/>
      <c r="Q198" s="9"/>
      <c r="R198" s="9"/>
      <c r="S198" s="689" t="str">
        <f>+IF(NOVIEMBRE!S198=0,"",NOVIEMBRE!S198)</f>
        <v>4100100-1</v>
      </c>
      <c r="T198" s="665" t="str">
        <f>+IF(NOVIEMBRE!T198=0,"",NOVIEMBRE!T198)</f>
        <v>Productos Farmaceuticos</v>
      </c>
      <c r="U198" s="27">
        <f>+ENERO!U198</f>
        <v>4000000000</v>
      </c>
      <c r="V198" s="15">
        <f>NOVIEMBRE!V198+DICIEMBRE!AL198</f>
        <v>1735190078</v>
      </c>
      <c r="W198" s="15">
        <f>NOVIEMBRE!W198+DICIEMBRE!AM198</f>
        <v>3813303536</v>
      </c>
      <c r="X198" s="18">
        <f t="shared" ref="X198:X204" si="173">SUM(U198:W198)</f>
        <v>9548493614</v>
      </c>
      <c r="Y198" s="19">
        <f>NOVIEMBRE!AA198</f>
        <v>8643301417</v>
      </c>
      <c r="Z198" s="364">
        <v>239693873</v>
      </c>
      <c r="AA198" s="18">
        <f t="shared" ref="AA198:AA204" si="174">SUM(Y198:Z198)</f>
        <v>8882995290</v>
      </c>
      <c r="AB198" s="19">
        <f>NOVIEMBRE!AD198</f>
        <v>8003338072</v>
      </c>
      <c r="AC198" s="364">
        <v>879657218</v>
      </c>
      <c r="AD198" s="18">
        <f t="shared" ref="AD198:AD204" si="175">SUM(AB198:AC198)</f>
        <v>8882995290</v>
      </c>
      <c r="AE198" s="19">
        <f>NOVIEMBRE!AG198</f>
        <v>4463813931</v>
      </c>
      <c r="AF198" s="364">
        <v>1624569142</v>
      </c>
      <c r="AG198" s="18">
        <f t="shared" ref="AG198:AG204" si="176">SUM(AE198:AF198)</f>
        <v>6088383073</v>
      </c>
      <c r="AH198" s="19">
        <f t="shared" ref="AH198:AH204" si="177">X198-AA198</f>
        <v>665498324</v>
      </c>
      <c r="AI198" s="15">
        <f t="shared" ref="AI198:AI204" si="178">X198-AD198</f>
        <v>665498324</v>
      </c>
      <c r="AJ198" s="16">
        <f t="shared" ref="AJ198:AJ204" si="179">X198-AG198</f>
        <v>3460110541</v>
      </c>
      <c r="AK198" s="9"/>
      <c r="AL198" s="362">
        <v>0</v>
      </c>
      <c r="AM198" s="365">
        <v>300000000</v>
      </c>
      <c r="AN198" s="9"/>
      <c r="BQ198" s="451"/>
    </row>
    <row r="199" spans="1:69" s="372" customFormat="1" ht="24.95" customHeight="1">
      <c r="A199" s="734"/>
      <c r="B199" s="644"/>
      <c r="N199" s="9"/>
      <c r="P199" s="9"/>
      <c r="Q199" s="9"/>
      <c r="R199" s="9"/>
      <c r="S199" s="689" t="str">
        <f>+IF(NOVIEMBRE!S199=0,"",NOVIEMBRE!S199)</f>
        <v>4100100-2</v>
      </c>
      <c r="T199" s="665" t="str">
        <f>+IF(NOVIEMBRE!T199=0,"",NOVIEMBRE!T199)</f>
        <v>Material Médico Quirúrgico</v>
      </c>
      <c r="U199" s="27">
        <f>+ENERO!U199</f>
        <v>3244311192</v>
      </c>
      <c r="V199" s="15">
        <f>NOVIEMBRE!V199+DICIEMBRE!AL199</f>
        <v>2305000000</v>
      </c>
      <c r="W199" s="15">
        <f>NOVIEMBRE!W199+DICIEMBRE!AM199</f>
        <v>4178133167</v>
      </c>
      <c r="X199" s="18">
        <f t="shared" si="173"/>
        <v>9727444359</v>
      </c>
      <c r="Y199" s="19">
        <f>NOVIEMBRE!AA199</f>
        <v>8632620980</v>
      </c>
      <c r="Z199" s="364">
        <v>649350710</v>
      </c>
      <c r="AA199" s="18">
        <f t="shared" si="174"/>
        <v>9281971690</v>
      </c>
      <c r="AB199" s="19">
        <f>NOVIEMBRE!AD199</f>
        <v>8597161810</v>
      </c>
      <c r="AC199" s="364">
        <v>684809880</v>
      </c>
      <c r="AD199" s="18">
        <f t="shared" si="175"/>
        <v>9281971690</v>
      </c>
      <c r="AE199" s="19">
        <f>NOVIEMBRE!AG199</f>
        <v>5827690011</v>
      </c>
      <c r="AF199" s="364">
        <v>1554991314</v>
      </c>
      <c r="AG199" s="18">
        <f t="shared" si="176"/>
        <v>7382681325</v>
      </c>
      <c r="AH199" s="19">
        <f t="shared" si="177"/>
        <v>445472669</v>
      </c>
      <c r="AI199" s="15">
        <f t="shared" si="178"/>
        <v>445472669</v>
      </c>
      <c r="AJ199" s="16">
        <f t="shared" si="179"/>
        <v>2344763034</v>
      </c>
      <c r="AK199" s="9"/>
      <c r="AL199" s="362">
        <v>0</v>
      </c>
      <c r="AM199" s="365">
        <v>600000000</v>
      </c>
      <c r="AN199" s="9"/>
      <c r="BQ199" s="451"/>
    </row>
    <row r="200" spans="1:69" s="372" customFormat="1" ht="24.95" customHeight="1">
      <c r="A200" s="734"/>
      <c r="B200" s="644"/>
      <c r="N200" s="9"/>
      <c r="P200" s="9"/>
      <c r="Q200" s="9"/>
      <c r="R200" s="9"/>
      <c r="S200" s="689" t="str">
        <f>+IF(NOVIEMBRE!S200=0,"",NOVIEMBRE!S200)</f>
        <v>4100100-3</v>
      </c>
      <c r="T200" s="665" t="str">
        <f>+IF(NOVIEMBRE!T200=0,"",NOVIEMBRE!T200)</f>
        <v>Material de Laboratorio</v>
      </c>
      <c r="U200" s="27">
        <f>+ENERO!U200</f>
        <v>840000000</v>
      </c>
      <c r="V200" s="15">
        <f>NOVIEMBRE!V200+DICIEMBRE!AL200</f>
        <v>0</v>
      </c>
      <c r="W200" s="15">
        <f>NOVIEMBRE!W200+DICIEMBRE!AM200</f>
        <v>70000000</v>
      </c>
      <c r="X200" s="18">
        <f t="shared" si="173"/>
        <v>910000000</v>
      </c>
      <c r="Y200" s="19">
        <f>NOVIEMBRE!AA200</f>
        <v>785727877</v>
      </c>
      <c r="Z200" s="364">
        <v>72130305</v>
      </c>
      <c r="AA200" s="18">
        <f t="shared" si="174"/>
        <v>857858182</v>
      </c>
      <c r="AB200" s="19">
        <f>NOVIEMBRE!AD200</f>
        <v>785727877</v>
      </c>
      <c r="AC200" s="364">
        <v>72130305</v>
      </c>
      <c r="AD200" s="18">
        <f t="shared" si="175"/>
        <v>857858182</v>
      </c>
      <c r="AE200" s="19">
        <f>NOVIEMBRE!AG200</f>
        <v>506328681</v>
      </c>
      <c r="AF200" s="364">
        <v>99493049</v>
      </c>
      <c r="AG200" s="18">
        <f t="shared" si="176"/>
        <v>605821730</v>
      </c>
      <c r="AH200" s="19">
        <f t="shared" si="177"/>
        <v>52141818</v>
      </c>
      <c r="AI200" s="15">
        <f t="shared" si="178"/>
        <v>52141818</v>
      </c>
      <c r="AJ200" s="16">
        <f t="shared" si="179"/>
        <v>304178270</v>
      </c>
      <c r="AK200" s="9"/>
      <c r="AL200" s="362">
        <v>0</v>
      </c>
      <c r="AM200" s="365">
        <v>70000000</v>
      </c>
      <c r="AN200" s="9"/>
      <c r="BQ200" s="451"/>
    </row>
    <row r="201" spans="1:69" s="372" customFormat="1" ht="24.95" customHeight="1">
      <c r="A201" s="734"/>
      <c r="B201" s="644"/>
      <c r="N201" s="9"/>
      <c r="P201" s="9"/>
      <c r="Q201" s="9"/>
      <c r="R201" s="9"/>
      <c r="S201" s="689" t="str">
        <f>+IF(NOVIEMBRE!S201=0,"",NOVIEMBRE!S201)</f>
        <v>4100100-4</v>
      </c>
      <c r="T201" s="665" t="str">
        <f>+IF(NOVIEMBRE!T201=0,"",NOVIEMBRE!T201)</f>
        <v>Material para Odontologia</v>
      </c>
      <c r="U201" s="27">
        <f>+ENERO!U201</f>
        <v>0</v>
      </c>
      <c r="V201" s="15">
        <f>NOVIEMBRE!V201+DICIEMBRE!AL201</f>
        <v>0</v>
      </c>
      <c r="W201" s="15">
        <f>NOVIEMBRE!W201+DICIEMBRE!AM201</f>
        <v>0</v>
      </c>
      <c r="X201" s="18">
        <f t="shared" si="173"/>
        <v>0</v>
      </c>
      <c r="Y201" s="19">
        <f>NOVIEMBRE!AA201</f>
        <v>0</v>
      </c>
      <c r="Z201" s="364">
        <v>0</v>
      </c>
      <c r="AA201" s="18">
        <f t="shared" si="174"/>
        <v>0</v>
      </c>
      <c r="AB201" s="19">
        <f>NOVIEMBRE!AD201</f>
        <v>0</v>
      </c>
      <c r="AC201" s="364">
        <v>0</v>
      </c>
      <c r="AD201" s="18">
        <f t="shared" si="175"/>
        <v>0</v>
      </c>
      <c r="AE201" s="19">
        <f>NOVIEMBRE!AG201</f>
        <v>0</v>
      </c>
      <c r="AF201" s="364">
        <v>0</v>
      </c>
      <c r="AG201" s="18">
        <f t="shared" si="176"/>
        <v>0</v>
      </c>
      <c r="AH201" s="19">
        <f t="shared" si="177"/>
        <v>0</v>
      </c>
      <c r="AI201" s="15">
        <f t="shared" si="178"/>
        <v>0</v>
      </c>
      <c r="AJ201" s="16">
        <f t="shared" si="179"/>
        <v>0</v>
      </c>
      <c r="AK201" s="9"/>
      <c r="AL201" s="362">
        <v>0</v>
      </c>
      <c r="AM201" s="365">
        <v>0</v>
      </c>
      <c r="AN201" s="9"/>
      <c r="BQ201" s="451"/>
    </row>
    <row r="202" spans="1:69" s="372" customFormat="1" ht="24.95" customHeight="1">
      <c r="A202" s="734"/>
      <c r="B202" s="644"/>
      <c r="N202" s="9"/>
      <c r="P202" s="9"/>
      <c r="Q202" s="9"/>
      <c r="R202" s="9"/>
      <c r="S202" s="689" t="str">
        <f>+IF(NOVIEMBRE!S202=0,"",NOVIEMBRE!S202)</f>
        <v>4100100-5</v>
      </c>
      <c r="T202" s="665" t="str">
        <f>+IF(NOVIEMBRE!T202=0,"",NOVIEMBRE!T202)</f>
        <v>Material para Rayos X</v>
      </c>
      <c r="U202" s="27">
        <f>+ENERO!U202</f>
        <v>0</v>
      </c>
      <c r="V202" s="15">
        <f>NOVIEMBRE!V202+DICIEMBRE!AL202</f>
        <v>0</v>
      </c>
      <c r="W202" s="15">
        <f>NOVIEMBRE!W202+DICIEMBRE!AM202</f>
        <v>0</v>
      </c>
      <c r="X202" s="18">
        <f t="shared" si="173"/>
        <v>0</v>
      </c>
      <c r="Y202" s="19">
        <f>NOVIEMBRE!AA202</f>
        <v>0</v>
      </c>
      <c r="Z202" s="364">
        <v>0</v>
      </c>
      <c r="AA202" s="18">
        <f t="shared" si="174"/>
        <v>0</v>
      </c>
      <c r="AB202" s="19">
        <f>NOVIEMBRE!AD202</f>
        <v>0</v>
      </c>
      <c r="AC202" s="364">
        <v>0</v>
      </c>
      <c r="AD202" s="18">
        <f t="shared" si="175"/>
        <v>0</v>
      </c>
      <c r="AE202" s="19">
        <f>NOVIEMBRE!AG202</f>
        <v>0</v>
      </c>
      <c r="AF202" s="364">
        <v>0</v>
      </c>
      <c r="AG202" s="18">
        <f t="shared" si="176"/>
        <v>0</v>
      </c>
      <c r="AH202" s="19">
        <f t="shared" si="177"/>
        <v>0</v>
      </c>
      <c r="AI202" s="15">
        <f t="shared" si="178"/>
        <v>0</v>
      </c>
      <c r="AJ202" s="16">
        <f t="shared" si="179"/>
        <v>0</v>
      </c>
      <c r="AK202" s="9"/>
      <c r="AL202" s="362">
        <v>0</v>
      </c>
      <c r="AM202" s="365">
        <v>0</v>
      </c>
      <c r="AN202" s="9"/>
      <c r="BQ202" s="451"/>
    </row>
    <row r="203" spans="1:69" s="372" customFormat="1" ht="24.95" customHeight="1">
      <c r="A203" s="734"/>
      <c r="B203" s="644"/>
      <c r="N203" s="9"/>
      <c r="P203" s="9"/>
      <c r="Q203" s="9"/>
      <c r="R203" s="9"/>
      <c r="S203" s="689" t="str">
        <f>+IF(NOVIEMBRE!S203=0,"",NOVIEMBRE!S203)</f>
        <v>4100100-6</v>
      </c>
      <c r="T203" s="665" t="str">
        <f>+IF(NOVIEMBRE!T203=0,"",NOVIEMBRE!T203)</f>
        <v/>
      </c>
      <c r="U203" s="27">
        <f>+ENERO!U203</f>
        <v>0</v>
      </c>
      <c r="V203" s="15">
        <f>NOVIEMBRE!V203+DICIEMBRE!AL203</f>
        <v>0</v>
      </c>
      <c r="W203" s="15">
        <f>NOVIEMBRE!W203+DICIEMBRE!AM203</f>
        <v>0</v>
      </c>
      <c r="X203" s="18">
        <f t="shared" si="173"/>
        <v>0</v>
      </c>
      <c r="Y203" s="19">
        <f>NOVIEMBRE!AA203</f>
        <v>0</v>
      </c>
      <c r="Z203" s="364">
        <v>0</v>
      </c>
      <c r="AA203" s="18">
        <f t="shared" si="174"/>
        <v>0</v>
      </c>
      <c r="AB203" s="19">
        <f>NOVIEMBRE!AD203</f>
        <v>0</v>
      </c>
      <c r="AC203" s="364">
        <v>0</v>
      </c>
      <c r="AD203" s="18">
        <f t="shared" si="175"/>
        <v>0</v>
      </c>
      <c r="AE203" s="19">
        <f>NOVIEMBRE!AG203</f>
        <v>0</v>
      </c>
      <c r="AF203" s="364">
        <v>0</v>
      </c>
      <c r="AG203" s="18">
        <f t="shared" si="176"/>
        <v>0</v>
      </c>
      <c r="AH203" s="19">
        <f t="shared" si="177"/>
        <v>0</v>
      </c>
      <c r="AI203" s="15">
        <f t="shared" si="178"/>
        <v>0</v>
      </c>
      <c r="AJ203" s="16">
        <f t="shared" si="179"/>
        <v>0</v>
      </c>
      <c r="AK203" s="9"/>
      <c r="AL203" s="362">
        <v>0</v>
      </c>
      <c r="AM203" s="365">
        <v>0</v>
      </c>
      <c r="AN203" s="9"/>
      <c r="BQ203" s="451"/>
    </row>
    <row r="204" spans="1:69" s="372" customFormat="1" ht="24.95" customHeight="1">
      <c r="A204" s="734"/>
      <c r="B204" s="644"/>
      <c r="N204" s="9"/>
      <c r="P204" s="9"/>
      <c r="Q204" s="9"/>
      <c r="R204" s="9"/>
      <c r="S204" s="689" t="str">
        <f>+IF(NOVIEMBRE!S204=0,"",NOVIEMBRE!S204)</f>
        <v>4100100-7</v>
      </c>
      <c r="T204" s="665" t="str">
        <f>+IF(NOVIEMBRE!T204=0,"",NOVIEMBRE!T204)</f>
        <v/>
      </c>
      <c r="U204" s="27">
        <f>+ENERO!U204</f>
        <v>0</v>
      </c>
      <c r="V204" s="15">
        <f>NOVIEMBRE!V204+DICIEMBRE!AL204</f>
        <v>0</v>
      </c>
      <c r="W204" s="15">
        <f>NOVIEMBRE!W204+DICIEMBRE!AM204</f>
        <v>0</v>
      </c>
      <c r="X204" s="18">
        <f t="shared" si="173"/>
        <v>0</v>
      </c>
      <c r="Y204" s="19">
        <f>NOVIEMBRE!AA204</f>
        <v>0</v>
      </c>
      <c r="Z204" s="364">
        <v>0</v>
      </c>
      <c r="AA204" s="18">
        <f t="shared" si="174"/>
        <v>0</v>
      </c>
      <c r="AB204" s="19">
        <f>NOVIEMBRE!AD204</f>
        <v>0</v>
      </c>
      <c r="AC204" s="364">
        <v>0</v>
      </c>
      <c r="AD204" s="18">
        <f t="shared" si="175"/>
        <v>0</v>
      </c>
      <c r="AE204" s="19">
        <f>NOVIEMBRE!AG204</f>
        <v>0</v>
      </c>
      <c r="AF204" s="364">
        <v>0</v>
      </c>
      <c r="AG204" s="18">
        <f t="shared" si="176"/>
        <v>0</v>
      </c>
      <c r="AH204" s="19">
        <f t="shared" si="177"/>
        <v>0</v>
      </c>
      <c r="AI204" s="15">
        <f t="shared" si="178"/>
        <v>0</v>
      </c>
      <c r="AJ204" s="16">
        <f t="shared" si="179"/>
        <v>0</v>
      </c>
      <c r="AK204" s="9"/>
      <c r="AL204" s="362">
        <v>0</v>
      </c>
      <c r="AM204" s="365">
        <v>0</v>
      </c>
      <c r="AN204" s="9"/>
      <c r="BQ204" s="451"/>
    </row>
    <row r="205" spans="1:69" s="372" customFormat="1" ht="24.95" customHeight="1">
      <c r="A205" s="734"/>
      <c r="B205" s="644"/>
      <c r="N205" s="9"/>
      <c r="P205" s="9"/>
      <c r="Q205" s="9"/>
      <c r="R205" s="9"/>
      <c r="S205" s="688">
        <f>+IF(NOVIEMBRE!S205=0,"",NOVIEMBRE!S205)</f>
        <v>4100200</v>
      </c>
      <c r="T205" s="664" t="str">
        <f>+IF(NOVIEMBRE!T205=0,"",NOVIEMBRE!T205)</f>
        <v>Gastos Complementarios e Intermedios</v>
      </c>
      <c r="U205" s="27">
        <f t="shared" ref="U205:AJ205" si="180">U206</f>
        <v>1200000000</v>
      </c>
      <c r="V205" s="15">
        <f t="shared" si="180"/>
        <v>0</v>
      </c>
      <c r="W205" s="15">
        <f t="shared" si="180"/>
        <v>20000000</v>
      </c>
      <c r="X205" s="18">
        <f t="shared" si="180"/>
        <v>1220000000</v>
      </c>
      <c r="Y205" s="19">
        <f t="shared" si="180"/>
        <v>1197660240</v>
      </c>
      <c r="Z205" s="142">
        <f t="shared" si="180"/>
        <v>-133384448</v>
      </c>
      <c r="AA205" s="18">
        <f t="shared" si="180"/>
        <v>1064275792</v>
      </c>
      <c r="AB205" s="19">
        <f t="shared" si="180"/>
        <v>983076152</v>
      </c>
      <c r="AC205" s="142">
        <f t="shared" si="180"/>
        <v>81199640</v>
      </c>
      <c r="AD205" s="18">
        <f t="shared" si="180"/>
        <v>1064275792</v>
      </c>
      <c r="AE205" s="19">
        <f t="shared" si="180"/>
        <v>826335271</v>
      </c>
      <c r="AF205" s="142">
        <f t="shared" si="180"/>
        <v>76928141</v>
      </c>
      <c r="AG205" s="18">
        <f t="shared" si="180"/>
        <v>903263412</v>
      </c>
      <c r="AH205" s="19">
        <f t="shared" si="180"/>
        <v>155724208</v>
      </c>
      <c r="AI205" s="15">
        <f t="shared" si="180"/>
        <v>155724208</v>
      </c>
      <c r="AJ205" s="16">
        <f t="shared" si="180"/>
        <v>316736588</v>
      </c>
      <c r="AK205" s="9"/>
      <c r="AL205" s="29">
        <f>AL206</f>
        <v>0</v>
      </c>
      <c r="AM205" s="26">
        <f>AM206</f>
        <v>0</v>
      </c>
      <c r="AN205" s="9"/>
      <c r="BQ205" s="451"/>
    </row>
    <row r="206" spans="1:69" s="372" customFormat="1" ht="24.95" customHeight="1">
      <c r="A206" s="734"/>
      <c r="B206" s="644"/>
      <c r="N206" s="9"/>
      <c r="P206" s="9"/>
      <c r="Q206" s="9"/>
      <c r="R206" s="9"/>
      <c r="S206" s="689" t="str">
        <f>+IF(NOVIEMBRE!S206=0,"",NOVIEMBRE!S206)</f>
        <v>4100200-1</v>
      </c>
      <c r="T206" s="665" t="str">
        <f>+IF(NOVIEMBRE!T206=0,"",NOVIEMBRE!T206)</f>
        <v>Alimentación</v>
      </c>
      <c r="U206" s="27">
        <f>+ENERO!U206</f>
        <v>1200000000</v>
      </c>
      <c r="V206" s="15">
        <f>NOVIEMBRE!V206+DICIEMBRE!AL206</f>
        <v>0</v>
      </c>
      <c r="W206" s="15">
        <f>NOVIEMBRE!W206+DICIEMBRE!AM206</f>
        <v>20000000</v>
      </c>
      <c r="X206" s="18">
        <f>SUM(U206:W206)</f>
        <v>1220000000</v>
      </c>
      <c r="Y206" s="19">
        <f>NOVIEMBRE!AA206</f>
        <v>1197660240</v>
      </c>
      <c r="Z206" s="364">
        <v>-133384448</v>
      </c>
      <c r="AA206" s="18">
        <f>SUM(Y206:Z206)</f>
        <v>1064275792</v>
      </c>
      <c r="AB206" s="19">
        <f>NOVIEMBRE!AD206</f>
        <v>983076152</v>
      </c>
      <c r="AC206" s="364">
        <v>81199640</v>
      </c>
      <c r="AD206" s="18">
        <f>SUM(AB206:AC206)</f>
        <v>1064275792</v>
      </c>
      <c r="AE206" s="19">
        <f>NOVIEMBRE!AG206</f>
        <v>826335271</v>
      </c>
      <c r="AF206" s="364">
        <v>76928141</v>
      </c>
      <c r="AG206" s="18">
        <f>SUM(AE206:AF206)</f>
        <v>903263412</v>
      </c>
      <c r="AH206" s="19">
        <f>X206-AA206</f>
        <v>155724208</v>
      </c>
      <c r="AI206" s="15">
        <f>X206-AD206</f>
        <v>155724208</v>
      </c>
      <c r="AJ206" s="16">
        <f>X206-AG206</f>
        <v>316736588</v>
      </c>
      <c r="AK206" s="9"/>
      <c r="AL206" s="362">
        <v>0</v>
      </c>
      <c r="AM206" s="365">
        <v>0</v>
      </c>
      <c r="AN206" s="9"/>
      <c r="BQ206" s="451"/>
    </row>
    <row r="207" spans="1:69" s="372" customFormat="1" ht="24.95" customHeight="1" thickBot="1">
      <c r="A207" s="734"/>
      <c r="B207" s="644"/>
      <c r="N207" s="9"/>
      <c r="P207" s="9"/>
      <c r="Q207" s="9"/>
      <c r="R207" s="9"/>
      <c r="S207" s="691">
        <f>+IF(NOVIEMBRE!S207=0,"",NOVIEMBRE!S207)</f>
        <v>4199999</v>
      </c>
      <c r="T207" s="670" t="str">
        <f>+IF(NOVIEMBRE!T207=0,"",NOVIEMBRE!T207)</f>
        <v>Vigencias Anteriores</v>
      </c>
      <c r="U207" s="133">
        <f>+ENERO!U207</f>
        <v>998630863</v>
      </c>
      <c r="V207" s="121">
        <f>NOVIEMBRE!V207+DICIEMBRE!AL207</f>
        <v>1445127711</v>
      </c>
      <c r="W207" s="121">
        <f>NOVIEMBRE!W207+DICIEMBRE!AM207</f>
        <v>6457192779</v>
      </c>
      <c r="X207" s="126">
        <f>SUM(U207:W207)</f>
        <v>8900951353</v>
      </c>
      <c r="Y207" s="124">
        <f>NOVIEMBRE!AA207</f>
        <v>7328840329</v>
      </c>
      <c r="Z207" s="378">
        <v>271658484</v>
      </c>
      <c r="AA207" s="126">
        <f>SUM(Y207:Z207)</f>
        <v>7600498813</v>
      </c>
      <c r="AB207" s="124">
        <f>NOVIEMBRE!AD207</f>
        <v>7328840329</v>
      </c>
      <c r="AC207" s="378">
        <v>271658484</v>
      </c>
      <c r="AD207" s="126">
        <f>SUM(AB207:AC207)</f>
        <v>7600498813</v>
      </c>
      <c r="AE207" s="124">
        <f>NOVIEMBRE!AG207</f>
        <v>7328840329</v>
      </c>
      <c r="AF207" s="378">
        <v>271658484</v>
      </c>
      <c r="AG207" s="126">
        <f>SUM(AE207:AF207)</f>
        <v>7600498813</v>
      </c>
      <c r="AH207" s="124">
        <f>X207-AA207</f>
        <v>1300452540</v>
      </c>
      <c r="AI207" s="121">
        <f>X207-AD207</f>
        <v>1300452540</v>
      </c>
      <c r="AJ207" s="125">
        <f>X207-AG207</f>
        <v>1300452540</v>
      </c>
      <c r="AK207" s="9"/>
      <c r="AL207" s="374">
        <v>0</v>
      </c>
      <c r="AM207" s="379">
        <v>764823992</v>
      </c>
      <c r="AN207" s="9"/>
      <c r="BQ207" s="451"/>
    </row>
    <row r="208" spans="1:69" s="372" customFormat="1" ht="24.95" customHeight="1">
      <c r="A208" s="734"/>
      <c r="B208" s="644"/>
      <c r="N208" s="9"/>
      <c r="P208" s="9"/>
      <c r="Q208" s="9"/>
      <c r="R208" s="9"/>
      <c r="S208" s="479" t="str">
        <f>+IF(NOVIEMBRE!S208=0,"",NOVIEMBRE!S208)</f>
        <v/>
      </c>
      <c r="T208" s="671" t="str">
        <f>+IF(NOVIEMBRE!T208=0,"",NOVIEMBRE!T208)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c r="BQ208" s="451"/>
    </row>
    <row r="209" spans="1:69" s="372" customFormat="1" ht="24.95" customHeight="1">
      <c r="A209" s="734"/>
      <c r="B209" s="644"/>
      <c r="N209" s="9"/>
      <c r="P209" s="9"/>
      <c r="Q209" s="9"/>
      <c r="R209" s="9"/>
      <c r="S209" s="686">
        <f>+IF(NOVIEMBRE!S209=0,"",NOVIEMBRE!S209)</f>
        <v>5000000</v>
      </c>
      <c r="T209" s="668" t="s">
        <v>435</v>
      </c>
      <c r="U209" s="460">
        <f t="shared" ref="U209:AJ209" si="181">U210</f>
        <v>0</v>
      </c>
      <c r="V209" s="461">
        <f t="shared" si="181"/>
        <v>0</v>
      </c>
      <c r="W209" s="461">
        <f t="shared" si="181"/>
        <v>0</v>
      </c>
      <c r="X209" s="462">
        <f t="shared" si="181"/>
        <v>0</v>
      </c>
      <c r="Y209" s="369">
        <f t="shared" si="181"/>
        <v>0</v>
      </c>
      <c r="Z209" s="461">
        <f t="shared" si="181"/>
        <v>0</v>
      </c>
      <c r="AA209" s="462">
        <f t="shared" si="181"/>
        <v>0</v>
      </c>
      <c r="AB209" s="369">
        <f t="shared" si="181"/>
        <v>0</v>
      </c>
      <c r="AC209" s="461">
        <f t="shared" si="181"/>
        <v>0</v>
      </c>
      <c r="AD209" s="462">
        <f t="shared" si="181"/>
        <v>0</v>
      </c>
      <c r="AE209" s="369">
        <f t="shared" si="181"/>
        <v>0</v>
      </c>
      <c r="AF209" s="461">
        <f t="shared" si="181"/>
        <v>0</v>
      </c>
      <c r="AG209" s="462">
        <f t="shared" si="181"/>
        <v>0</v>
      </c>
      <c r="AH209" s="369">
        <f t="shared" si="181"/>
        <v>0</v>
      </c>
      <c r="AI209" s="461">
        <f t="shared" si="181"/>
        <v>0</v>
      </c>
      <c r="AJ209" s="370">
        <f t="shared" si="181"/>
        <v>0</v>
      </c>
      <c r="AK209" s="9"/>
      <c r="AL209" s="128">
        <f>AL210</f>
        <v>0</v>
      </c>
      <c r="AM209" s="130">
        <f>AM210</f>
        <v>0</v>
      </c>
      <c r="AN209" s="9"/>
      <c r="BQ209" s="451"/>
    </row>
    <row r="210" spans="1:69" s="372" customFormat="1" ht="24.95" customHeight="1">
      <c r="A210" s="734"/>
      <c r="B210" s="644"/>
      <c r="N210" s="9"/>
      <c r="P210" s="9"/>
      <c r="Q210" s="9"/>
      <c r="R210" s="9"/>
      <c r="S210" s="687">
        <f>+IF(NOVIEMBRE!S210=0,"",NOVIEMBRE!S210)</f>
        <v>5100000</v>
      </c>
      <c r="T210" s="663" t="str">
        <f>+IF(NOVIEMBRE!T210=0,"",NOVIEMBRE!T210)</f>
        <v>Insumos y Suministros para Venta al Público</v>
      </c>
      <c r="U210" s="132">
        <f t="shared" ref="U210:AJ210" si="182">U211+U218</f>
        <v>0</v>
      </c>
      <c r="V210" s="122">
        <f t="shared" si="182"/>
        <v>0</v>
      </c>
      <c r="W210" s="122">
        <f t="shared" si="182"/>
        <v>0</v>
      </c>
      <c r="X210" s="129">
        <f t="shared" si="182"/>
        <v>0</v>
      </c>
      <c r="Y210" s="128">
        <f t="shared" si="182"/>
        <v>0</v>
      </c>
      <c r="Z210" s="122">
        <f t="shared" si="182"/>
        <v>0</v>
      </c>
      <c r="AA210" s="129">
        <f t="shared" si="182"/>
        <v>0</v>
      </c>
      <c r="AB210" s="128">
        <f t="shared" si="182"/>
        <v>0</v>
      </c>
      <c r="AC210" s="122">
        <f t="shared" si="182"/>
        <v>0</v>
      </c>
      <c r="AD210" s="129">
        <f t="shared" si="182"/>
        <v>0</v>
      </c>
      <c r="AE210" s="128">
        <f t="shared" si="182"/>
        <v>0</v>
      </c>
      <c r="AF210" s="122">
        <f t="shared" si="182"/>
        <v>0</v>
      </c>
      <c r="AG210" s="129">
        <f t="shared" si="182"/>
        <v>0</v>
      </c>
      <c r="AH210" s="128">
        <f t="shared" si="182"/>
        <v>0</v>
      </c>
      <c r="AI210" s="122">
        <f t="shared" si="182"/>
        <v>0</v>
      </c>
      <c r="AJ210" s="130">
        <f t="shared" si="182"/>
        <v>0</v>
      </c>
      <c r="AK210" s="9"/>
      <c r="AL210" s="128">
        <f>AL211+AL218</f>
        <v>0</v>
      </c>
      <c r="AM210" s="130">
        <f>AM211+AM218</f>
        <v>0</v>
      </c>
      <c r="AN210" s="9"/>
      <c r="BQ210" s="451"/>
    </row>
    <row r="211" spans="1:69" s="372" customFormat="1" ht="24.95" customHeight="1">
      <c r="A211" s="734"/>
      <c r="B211" s="644"/>
      <c r="N211" s="9"/>
      <c r="P211" s="9"/>
      <c r="Q211" s="9"/>
      <c r="R211" s="9"/>
      <c r="S211" s="688">
        <f>+IF(NOVIEMBRE!S211=0,"",NOVIEMBRE!S211)</f>
        <v>5100100</v>
      </c>
      <c r="T211" s="664" t="str">
        <f>+IF(NOVIEMBRE!T211=0,"",NOVIEMBRE!T211)</f>
        <v>Compra de Bienes para la venta</v>
      </c>
      <c r="U211" s="27">
        <f t="shared" ref="U211:AJ211" si="183">SUM(U212:U217)</f>
        <v>0</v>
      </c>
      <c r="V211" s="15">
        <f t="shared" si="183"/>
        <v>0</v>
      </c>
      <c r="W211" s="15">
        <f t="shared" si="183"/>
        <v>0</v>
      </c>
      <c r="X211" s="18">
        <f t="shared" si="183"/>
        <v>0</v>
      </c>
      <c r="Y211" s="19">
        <f t="shared" si="183"/>
        <v>0</v>
      </c>
      <c r="Z211" s="142">
        <f t="shared" si="183"/>
        <v>0</v>
      </c>
      <c r="AA211" s="18">
        <f t="shared" si="183"/>
        <v>0</v>
      </c>
      <c r="AB211" s="19">
        <f t="shared" si="183"/>
        <v>0</v>
      </c>
      <c r="AC211" s="142">
        <f t="shared" si="183"/>
        <v>0</v>
      </c>
      <c r="AD211" s="18">
        <f t="shared" si="183"/>
        <v>0</v>
      </c>
      <c r="AE211" s="19">
        <f t="shared" si="183"/>
        <v>0</v>
      </c>
      <c r="AF211" s="142">
        <f t="shared" si="183"/>
        <v>0</v>
      </c>
      <c r="AG211" s="18">
        <f t="shared" si="183"/>
        <v>0</v>
      </c>
      <c r="AH211" s="19">
        <f t="shared" si="183"/>
        <v>0</v>
      </c>
      <c r="AI211" s="15">
        <f t="shared" si="183"/>
        <v>0</v>
      </c>
      <c r="AJ211" s="16">
        <f t="shared" si="183"/>
        <v>0</v>
      </c>
      <c r="AK211" s="10"/>
      <c r="AL211" s="29">
        <f>SUM(AL212:AL217)</f>
        <v>0</v>
      </c>
      <c r="AM211" s="26">
        <f>SUM(AM212:AM217)</f>
        <v>0</v>
      </c>
      <c r="AN211" s="9"/>
      <c r="BQ211" s="451"/>
    </row>
    <row r="212" spans="1:69" s="372" customFormat="1" ht="24.95" customHeight="1">
      <c r="A212" s="734"/>
      <c r="B212" s="644"/>
      <c r="N212" s="9"/>
      <c r="P212" s="9"/>
      <c r="Q212" s="9"/>
      <c r="R212" s="9"/>
      <c r="S212" s="689" t="str">
        <f>+IF(NOVIEMBRE!S212=0,"",NOVIEMBRE!S212)</f>
        <v>5100100-1</v>
      </c>
      <c r="T212" s="665" t="str">
        <f>+IF(NOVIEMBRE!T212=0,"",NOVIEMBRE!T212)</f>
        <v>Productos Farmaceuticos</v>
      </c>
      <c r="U212" s="27">
        <f>+ENERO!U212</f>
        <v>0</v>
      </c>
      <c r="V212" s="15">
        <f>NOVIEMBRE!V212+DICIEMBRE!AL212</f>
        <v>0</v>
      </c>
      <c r="W212" s="15">
        <f>NOVIEMBRE!W212+DICIEMBRE!AM212</f>
        <v>0</v>
      </c>
      <c r="X212" s="18">
        <f t="shared" ref="X212:X218" si="184">SUM(U212:W212)</f>
        <v>0</v>
      </c>
      <c r="Y212" s="19">
        <f>NOVIEMBRE!AA212</f>
        <v>0</v>
      </c>
      <c r="Z212" s="364">
        <v>0</v>
      </c>
      <c r="AA212" s="18">
        <f t="shared" ref="AA212:AA218" si="185">SUM(Y212:Z212)</f>
        <v>0</v>
      </c>
      <c r="AB212" s="19">
        <f>NOVIEMBRE!AD212</f>
        <v>0</v>
      </c>
      <c r="AC212" s="364">
        <v>0</v>
      </c>
      <c r="AD212" s="18">
        <f t="shared" ref="AD212:AD218" si="186">SUM(AB212:AC212)</f>
        <v>0</v>
      </c>
      <c r="AE212" s="19">
        <f>NOVIEMBRE!AG212</f>
        <v>0</v>
      </c>
      <c r="AF212" s="364">
        <v>0</v>
      </c>
      <c r="AG212" s="18">
        <f t="shared" ref="AG212:AG218" si="187">SUM(AE212:AF212)</f>
        <v>0</v>
      </c>
      <c r="AH212" s="19">
        <f t="shared" ref="AH212:AH218" si="188">X212-AA212</f>
        <v>0</v>
      </c>
      <c r="AI212" s="15">
        <f t="shared" ref="AI212:AI218" si="189">X212-AD212</f>
        <v>0</v>
      </c>
      <c r="AJ212" s="16">
        <f t="shared" ref="AJ212:AJ218" si="190">X212-AG212</f>
        <v>0</v>
      </c>
      <c r="AK212" s="9"/>
      <c r="AL212" s="362">
        <v>0</v>
      </c>
      <c r="AM212" s="365">
        <v>0</v>
      </c>
      <c r="AN212" s="9"/>
      <c r="BQ212" s="451"/>
    </row>
    <row r="213" spans="1:69" s="372" customFormat="1" ht="24.95" customHeight="1">
      <c r="A213" s="734"/>
      <c r="B213" s="644"/>
      <c r="N213" s="9"/>
      <c r="P213" s="9"/>
      <c r="Q213" s="9"/>
      <c r="R213" s="9"/>
      <c r="S213" s="689" t="str">
        <f>+IF(NOVIEMBRE!S213=0,"",NOVIEMBRE!S213)</f>
        <v>5100100-2</v>
      </c>
      <c r="T213" s="665" t="str">
        <f>+IF(NOVIEMBRE!T213=0,"",NOVIEMBRE!T213)</f>
        <v>Material Médico Quirúrgico</v>
      </c>
      <c r="U213" s="27">
        <f>+ENERO!U213</f>
        <v>0</v>
      </c>
      <c r="V213" s="15">
        <f>NOVIEMBRE!V213+DICIEMBRE!AL213</f>
        <v>0</v>
      </c>
      <c r="W213" s="15">
        <f>NOVIEMBRE!W213+DICIEMBRE!AM213</f>
        <v>0</v>
      </c>
      <c r="X213" s="18">
        <f t="shared" si="184"/>
        <v>0</v>
      </c>
      <c r="Y213" s="19">
        <f>NOVIEMBRE!AA213</f>
        <v>0</v>
      </c>
      <c r="Z213" s="364">
        <v>0</v>
      </c>
      <c r="AA213" s="18">
        <f t="shared" si="185"/>
        <v>0</v>
      </c>
      <c r="AB213" s="19">
        <f>NOVIEMBRE!AD213</f>
        <v>0</v>
      </c>
      <c r="AC213" s="364">
        <v>0</v>
      </c>
      <c r="AD213" s="18">
        <f t="shared" si="186"/>
        <v>0</v>
      </c>
      <c r="AE213" s="19">
        <f>NOVIEMBRE!AG213</f>
        <v>0</v>
      </c>
      <c r="AF213" s="364">
        <v>0</v>
      </c>
      <c r="AG213" s="18">
        <f t="shared" si="187"/>
        <v>0</v>
      </c>
      <c r="AH213" s="19">
        <f t="shared" si="188"/>
        <v>0</v>
      </c>
      <c r="AI213" s="15">
        <f t="shared" si="189"/>
        <v>0</v>
      </c>
      <c r="AJ213" s="16">
        <f t="shared" si="190"/>
        <v>0</v>
      </c>
      <c r="AK213" s="9"/>
      <c r="AL213" s="362">
        <v>0</v>
      </c>
      <c r="AM213" s="365">
        <v>0</v>
      </c>
      <c r="AN213" s="9"/>
      <c r="BQ213" s="451"/>
    </row>
    <row r="214" spans="1:69" s="372" customFormat="1" ht="24.95" customHeight="1">
      <c r="A214" s="734"/>
      <c r="B214" s="644"/>
      <c r="N214" s="9"/>
      <c r="P214" s="9"/>
      <c r="Q214" s="9"/>
      <c r="R214" s="9"/>
      <c r="S214" s="689" t="str">
        <f>+IF(NOVIEMBRE!S214=0,"",NOVIEMBRE!S214)</f>
        <v>5100100-3</v>
      </c>
      <c r="T214" s="665" t="str">
        <f>+IF(NOVIEMBRE!T214=0,"",NOVIEMBRE!T214)</f>
        <v>Material de Laboratorio</v>
      </c>
      <c r="U214" s="27">
        <f>+ENERO!U214</f>
        <v>0</v>
      </c>
      <c r="V214" s="15">
        <f>NOVIEMBRE!V214+DICIEMBRE!AL214</f>
        <v>0</v>
      </c>
      <c r="W214" s="15">
        <f>NOVIEMBRE!W214+DICIEMBRE!AM214</f>
        <v>0</v>
      </c>
      <c r="X214" s="18">
        <f t="shared" si="184"/>
        <v>0</v>
      </c>
      <c r="Y214" s="19">
        <f>NOVIEMBRE!AA214</f>
        <v>0</v>
      </c>
      <c r="Z214" s="364">
        <v>0</v>
      </c>
      <c r="AA214" s="18">
        <f t="shared" si="185"/>
        <v>0</v>
      </c>
      <c r="AB214" s="19">
        <f>NOVIEMBRE!AD214</f>
        <v>0</v>
      </c>
      <c r="AC214" s="364">
        <v>0</v>
      </c>
      <c r="AD214" s="18">
        <f t="shared" si="186"/>
        <v>0</v>
      </c>
      <c r="AE214" s="19">
        <f>NOVIEMBRE!AG214</f>
        <v>0</v>
      </c>
      <c r="AF214" s="364">
        <v>0</v>
      </c>
      <c r="AG214" s="18">
        <f t="shared" si="187"/>
        <v>0</v>
      </c>
      <c r="AH214" s="19">
        <f t="shared" si="188"/>
        <v>0</v>
      </c>
      <c r="AI214" s="15">
        <f t="shared" si="189"/>
        <v>0</v>
      </c>
      <c r="AJ214" s="16">
        <f t="shared" si="190"/>
        <v>0</v>
      </c>
      <c r="AK214" s="9"/>
      <c r="AL214" s="362">
        <v>0</v>
      </c>
      <c r="AM214" s="365">
        <v>0</v>
      </c>
      <c r="AN214" s="9"/>
      <c r="BQ214" s="451"/>
    </row>
    <row r="215" spans="1:69" s="372" customFormat="1" ht="24.95" customHeight="1">
      <c r="A215" s="734"/>
      <c r="B215" s="644"/>
      <c r="N215" s="9"/>
      <c r="P215" s="9"/>
      <c r="Q215" s="9"/>
      <c r="R215" s="9"/>
      <c r="S215" s="689" t="str">
        <f>+IF(NOVIEMBRE!S215=0,"",NOVIEMBRE!S215)</f>
        <v>5100100-4</v>
      </c>
      <c r="T215" s="665" t="str">
        <f>+IF(NOVIEMBRE!T215=0,"",NOVIEMBRE!T215)</f>
        <v>Material para Odontologia</v>
      </c>
      <c r="U215" s="27">
        <f>+ENERO!U215</f>
        <v>0</v>
      </c>
      <c r="V215" s="15">
        <f>NOVIEMBRE!V215+DICIEMBRE!AL215</f>
        <v>0</v>
      </c>
      <c r="W215" s="15">
        <f>NOVIEMBRE!W215+DICIEMBRE!AM215</f>
        <v>0</v>
      </c>
      <c r="X215" s="18">
        <f t="shared" si="184"/>
        <v>0</v>
      </c>
      <c r="Y215" s="19">
        <f>NOVIEMBRE!AA215</f>
        <v>0</v>
      </c>
      <c r="Z215" s="364">
        <v>0</v>
      </c>
      <c r="AA215" s="18">
        <f t="shared" si="185"/>
        <v>0</v>
      </c>
      <c r="AB215" s="19">
        <f>NOVIEMBRE!AD215</f>
        <v>0</v>
      </c>
      <c r="AC215" s="364">
        <v>0</v>
      </c>
      <c r="AD215" s="18">
        <f t="shared" si="186"/>
        <v>0</v>
      </c>
      <c r="AE215" s="19">
        <f>NOVIEMBRE!AG215</f>
        <v>0</v>
      </c>
      <c r="AF215" s="364">
        <v>0</v>
      </c>
      <c r="AG215" s="18">
        <f t="shared" si="187"/>
        <v>0</v>
      </c>
      <c r="AH215" s="19">
        <f t="shared" si="188"/>
        <v>0</v>
      </c>
      <c r="AI215" s="15">
        <f t="shared" si="189"/>
        <v>0</v>
      </c>
      <c r="AJ215" s="16">
        <f t="shared" si="190"/>
        <v>0</v>
      </c>
      <c r="AK215" s="9"/>
      <c r="AL215" s="362">
        <v>0</v>
      </c>
      <c r="AM215" s="365">
        <v>0</v>
      </c>
      <c r="AN215" s="9"/>
      <c r="BQ215" s="451"/>
    </row>
    <row r="216" spans="1:69" s="372" customFormat="1" ht="24.95" customHeight="1">
      <c r="A216" s="734"/>
      <c r="B216" s="644"/>
      <c r="N216" s="9"/>
      <c r="P216" s="9"/>
      <c r="Q216" s="9"/>
      <c r="R216" s="9"/>
      <c r="S216" s="689" t="str">
        <f>+IF(NOVIEMBRE!S216=0,"",NOVIEMBRE!S216)</f>
        <v>5100100-5</v>
      </c>
      <c r="T216" s="665" t="str">
        <f>+IF(NOVIEMBRE!T216=0,"",NOVIEMBRE!T216)</f>
        <v>Material para Rayos X</v>
      </c>
      <c r="U216" s="27">
        <f>+ENERO!U216</f>
        <v>0</v>
      </c>
      <c r="V216" s="15">
        <f>NOVIEMBRE!V216+DICIEMBRE!AL216</f>
        <v>0</v>
      </c>
      <c r="W216" s="15">
        <f>NOVIEMBRE!W216+DICIEMBRE!AM216</f>
        <v>0</v>
      </c>
      <c r="X216" s="18">
        <f t="shared" si="184"/>
        <v>0</v>
      </c>
      <c r="Y216" s="19">
        <f>NOVIEMBRE!AA216</f>
        <v>0</v>
      </c>
      <c r="Z216" s="364">
        <v>0</v>
      </c>
      <c r="AA216" s="18">
        <f t="shared" si="185"/>
        <v>0</v>
      </c>
      <c r="AB216" s="19">
        <f>NOVIEMBRE!AD216</f>
        <v>0</v>
      </c>
      <c r="AC216" s="364">
        <v>0</v>
      </c>
      <c r="AD216" s="18">
        <f t="shared" si="186"/>
        <v>0</v>
      </c>
      <c r="AE216" s="19">
        <f>NOVIEMBRE!AG216</f>
        <v>0</v>
      </c>
      <c r="AF216" s="364">
        <v>0</v>
      </c>
      <c r="AG216" s="18">
        <f t="shared" si="187"/>
        <v>0</v>
      </c>
      <c r="AH216" s="19">
        <f t="shared" si="188"/>
        <v>0</v>
      </c>
      <c r="AI216" s="15">
        <f t="shared" si="189"/>
        <v>0</v>
      </c>
      <c r="AJ216" s="16">
        <f t="shared" si="190"/>
        <v>0</v>
      </c>
      <c r="AK216" s="9"/>
      <c r="AL216" s="362">
        <v>0</v>
      </c>
      <c r="AM216" s="365">
        <v>0</v>
      </c>
      <c r="AN216" s="9"/>
      <c r="BQ216" s="451"/>
    </row>
    <row r="217" spans="1:69" s="372" customFormat="1" ht="24.95" customHeight="1">
      <c r="A217" s="734"/>
      <c r="B217" s="644"/>
      <c r="N217" s="9"/>
      <c r="P217" s="9"/>
      <c r="Q217" s="9"/>
      <c r="R217" s="9"/>
      <c r="S217" s="689" t="str">
        <f>+IF(NOVIEMBRE!S217=0,"",NOVIEMBRE!S217)</f>
        <v>5100100-6</v>
      </c>
      <c r="T217" s="665" t="str">
        <f>+IF(NOVIEMBRE!T217=0,"",NOVIEMBRE!T217)</f>
        <v>Material aseo personal, etc.</v>
      </c>
      <c r="U217" s="27">
        <f>+ENERO!U217</f>
        <v>0</v>
      </c>
      <c r="V217" s="15">
        <f>NOVIEMBRE!V217+DICIEMBRE!AL217</f>
        <v>0</v>
      </c>
      <c r="W217" s="15">
        <f>NOVIEMBRE!W217+DICIEMBRE!AM217</f>
        <v>0</v>
      </c>
      <c r="X217" s="18">
        <f t="shared" si="184"/>
        <v>0</v>
      </c>
      <c r="Y217" s="19">
        <f>NOVIEMBRE!AA217</f>
        <v>0</v>
      </c>
      <c r="Z217" s="364">
        <v>0</v>
      </c>
      <c r="AA217" s="18">
        <f t="shared" si="185"/>
        <v>0</v>
      </c>
      <c r="AB217" s="19">
        <f>NOVIEMBRE!AD217</f>
        <v>0</v>
      </c>
      <c r="AC217" s="364">
        <v>0</v>
      </c>
      <c r="AD217" s="18">
        <f t="shared" si="186"/>
        <v>0</v>
      </c>
      <c r="AE217" s="19">
        <f>NOVIEMBRE!AG217</f>
        <v>0</v>
      </c>
      <c r="AF217" s="364">
        <v>0</v>
      </c>
      <c r="AG217" s="18">
        <f t="shared" si="187"/>
        <v>0</v>
      </c>
      <c r="AH217" s="19">
        <f t="shared" si="188"/>
        <v>0</v>
      </c>
      <c r="AI217" s="15">
        <f t="shared" si="189"/>
        <v>0</v>
      </c>
      <c r="AJ217" s="16">
        <f t="shared" si="190"/>
        <v>0</v>
      </c>
      <c r="AK217" s="9"/>
      <c r="AL217" s="362">
        <v>0</v>
      </c>
      <c r="AM217" s="365">
        <v>0</v>
      </c>
      <c r="AN217" s="9"/>
      <c r="BQ217" s="451"/>
    </row>
    <row r="218" spans="1:69" s="372" customFormat="1" ht="24.95" customHeight="1" thickBot="1">
      <c r="A218" s="734"/>
      <c r="B218" s="644"/>
      <c r="N218" s="9"/>
      <c r="P218" s="9"/>
      <c r="Q218" s="9"/>
      <c r="R218" s="9"/>
      <c r="S218" s="698">
        <f>+IF(NOVIEMBRE!S218=0,"",NOVIEMBRE!S218)</f>
        <v>5199999</v>
      </c>
      <c r="T218" s="680" t="str">
        <f>+IF(NOVIEMBRE!T218=0,"",NOVIEMBRE!T218)</f>
        <v>Vigencias Anteriores</v>
      </c>
      <c r="U218" s="133">
        <f>+ENERO!U218</f>
        <v>0</v>
      </c>
      <c r="V218" s="121">
        <f>NOVIEMBRE!V218+DICIEMBRE!AL218</f>
        <v>0</v>
      </c>
      <c r="W218" s="121">
        <f>NOVIEMBRE!W218+DICIEMBRE!AM218</f>
        <v>0</v>
      </c>
      <c r="X218" s="126">
        <f t="shared" si="184"/>
        <v>0</v>
      </c>
      <c r="Y218" s="124">
        <f>NOVIEMBRE!AA218</f>
        <v>0</v>
      </c>
      <c r="Z218" s="378">
        <v>0</v>
      </c>
      <c r="AA218" s="126">
        <f t="shared" si="185"/>
        <v>0</v>
      </c>
      <c r="AB218" s="124">
        <f>NOVIEMBRE!AD218</f>
        <v>0</v>
      </c>
      <c r="AC218" s="378">
        <v>0</v>
      </c>
      <c r="AD218" s="126">
        <f t="shared" si="186"/>
        <v>0</v>
      </c>
      <c r="AE218" s="124">
        <f>NOVIEMBRE!AG218</f>
        <v>0</v>
      </c>
      <c r="AF218" s="378">
        <v>0</v>
      </c>
      <c r="AG218" s="126">
        <f t="shared" si="187"/>
        <v>0</v>
      </c>
      <c r="AH218" s="124">
        <f t="shared" si="188"/>
        <v>0</v>
      </c>
      <c r="AI218" s="121">
        <f t="shared" si="189"/>
        <v>0</v>
      </c>
      <c r="AJ218" s="125">
        <f t="shared" si="190"/>
        <v>0</v>
      </c>
      <c r="AK218" s="9"/>
      <c r="AL218" s="491">
        <v>0</v>
      </c>
      <c r="AM218" s="492">
        <v>0</v>
      </c>
      <c r="AN218" s="9"/>
      <c r="BQ218" s="451"/>
    </row>
    <row r="219" spans="1:69" s="372" customFormat="1" ht="24.95" customHeight="1" thickBot="1">
      <c r="A219" s="734"/>
      <c r="B219" s="644"/>
      <c r="N219" s="9"/>
      <c r="P219" s="9"/>
      <c r="Q219" s="9"/>
      <c r="R219" s="9"/>
      <c r="S219" s="485" t="str">
        <f>+IF(NOVIEMBRE!S219=0,"",NOVIEMBRE!S219)</f>
        <v/>
      </c>
      <c r="T219" s="677" t="str">
        <f>+IF(NOVIEMBRE!T219=0,"",NOVIEMBRE!T219)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c r="BQ219" s="451"/>
    </row>
    <row r="220" spans="1:69" s="372" customFormat="1" ht="24.95" customHeight="1">
      <c r="A220" s="734"/>
      <c r="B220" s="644"/>
      <c r="N220" s="9"/>
      <c r="P220" s="9"/>
      <c r="Q220" s="9"/>
      <c r="R220" s="9"/>
      <c r="S220" s="347" t="str">
        <f>+IF(NOVIEMBRE!S220=0,"",NOVIEMBRE!S220)</f>
        <v>C</v>
      </c>
      <c r="T220" s="659" t="str">
        <f>+IF(NOVIEMBRE!T220=0,"",NOVIEMBRE!T220)</f>
        <v xml:space="preserve">SERVICIO DE LA DEUDA </v>
      </c>
      <c r="U220" s="348">
        <f t="shared" ref="U220:AJ220" si="191">U222+U227</f>
        <v>262344980</v>
      </c>
      <c r="V220" s="349">
        <f t="shared" si="191"/>
        <v>-15000000</v>
      </c>
      <c r="W220" s="349">
        <f t="shared" si="191"/>
        <v>27000000</v>
      </c>
      <c r="X220" s="352">
        <f t="shared" si="191"/>
        <v>274344980</v>
      </c>
      <c r="Y220" s="351">
        <f t="shared" si="191"/>
        <v>253165186</v>
      </c>
      <c r="Z220" s="349">
        <f t="shared" si="191"/>
        <v>0</v>
      </c>
      <c r="AA220" s="352">
        <f t="shared" si="191"/>
        <v>253165186</v>
      </c>
      <c r="AB220" s="351">
        <f t="shared" si="191"/>
        <v>253165186</v>
      </c>
      <c r="AC220" s="349">
        <f t="shared" si="191"/>
        <v>0</v>
      </c>
      <c r="AD220" s="352">
        <f t="shared" si="191"/>
        <v>253165186</v>
      </c>
      <c r="AE220" s="351">
        <f t="shared" si="191"/>
        <v>253165186</v>
      </c>
      <c r="AF220" s="349">
        <f t="shared" si="191"/>
        <v>0</v>
      </c>
      <c r="AG220" s="352">
        <f t="shared" si="191"/>
        <v>253165186</v>
      </c>
      <c r="AH220" s="351">
        <f t="shared" si="191"/>
        <v>21179794</v>
      </c>
      <c r="AI220" s="349">
        <f t="shared" si="191"/>
        <v>21179794</v>
      </c>
      <c r="AJ220" s="350">
        <f t="shared" si="191"/>
        <v>21179794</v>
      </c>
      <c r="AK220" s="490"/>
      <c r="AL220" s="351">
        <f>AL222+AL227</f>
        <v>0</v>
      </c>
      <c r="AM220" s="350">
        <f>AM222+AM227</f>
        <v>0</v>
      </c>
      <c r="AN220" s="9"/>
      <c r="BQ220" s="451"/>
    </row>
    <row r="221" spans="1:69" s="372" customFormat="1" ht="24.95" customHeight="1">
      <c r="A221" s="734"/>
      <c r="B221" s="644"/>
      <c r="N221" s="9"/>
      <c r="P221" s="9"/>
      <c r="Q221" s="9"/>
      <c r="R221" s="9"/>
      <c r="S221" s="356" t="str">
        <f>+IF(NOVIEMBRE!S221=0,"",NOVIEMBRE!S221)</f>
        <v/>
      </c>
      <c r="T221" s="678" t="str">
        <f>+IF(NOVIEMBRE!T221=0,"",NOVIEMBRE!T221)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c r="BQ221" s="451"/>
    </row>
    <row r="222" spans="1:69" s="372" customFormat="1" ht="24.95" customHeight="1">
      <c r="A222" s="734"/>
      <c r="B222" s="644"/>
      <c r="N222" s="9"/>
      <c r="P222" s="9"/>
      <c r="Q222" s="9"/>
      <c r="R222" s="9"/>
      <c r="S222" s="687">
        <f>+IF(NOVIEMBRE!S222=0,"",NOVIEMBRE!S222)</f>
        <v>7001000</v>
      </c>
      <c r="T222" s="663" t="str">
        <f>+IF(NOVIEMBRE!T222=0,"",NOVIEMBRE!T222)</f>
        <v>SERVICIO DE LA DEUDA INTERNA</v>
      </c>
      <c r="U222" s="132">
        <f t="shared" ref="U222:AJ222" si="192">SUM(U223:U225)</f>
        <v>262344980</v>
      </c>
      <c r="V222" s="122">
        <f t="shared" si="192"/>
        <v>-15000000</v>
      </c>
      <c r="W222" s="122">
        <f t="shared" si="192"/>
        <v>27000000</v>
      </c>
      <c r="X222" s="129">
        <f t="shared" si="192"/>
        <v>274344980</v>
      </c>
      <c r="Y222" s="128">
        <f t="shared" si="192"/>
        <v>253165186</v>
      </c>
      <c r="Z222" s="122">
        <f t="shared" si="192"/>
        <v>0</v>
      </c>
      <c r="AA222" s="129">
        <f t="shared" si="192"/>
        <v>253165186</v>
      </c>
      <c r="AB222" s="128">
        <f t="shared" si="192"/>
        <v>253165186</v>
      </c>
      <c r="AC222" s="122">
        <f t="shared" si="192"/>
        <v>0</v>
      </c>
      <c r="AD222" s="129">
        <f t="shared" si="192"/>
        <v>253165186</v>
      </c>
      <c r="AE222" s="128">
        <f t="shared" si="192"/>
        <v>253165186</v>
      </c>
      <c r="AF222" s="122">
        <f t="shared" si="192"/>
        <v>0</v>
      </c>
      <c r="AG222" s="129">
        <f t="shared" si="192"/>
        <v>253165186</v>
      </c>
      <c r="AH222" s="128">
        <f t="shared" si="192"/>
        <v>21179794</v>
      </c>
      <c r="AI222" s="122">
        <f t="shared" si="192"/>
        <v>21179794</v>
      </c>
      <c r="AJ222" s="130">
        <f t="shared" si="192"/>
        <v>21179794</v>
      </c>
      <c r="AK222" s="9"/>
      <c r="AL222" s="128">
        <f>SUM(AL223:AL225)</f>
        <v>0</v>
      </c>
      <c r="AM222" s="130">
        <f>SUM(AM223:AM225)</f>
        <v>0</v>
      </c>
      <c r="AN222" s="9"/>
      <c r="BQ222" s="451"/>
    </row>
    <row r="223" spans="1:69" s="372" customFormat="1" ht="24.95" customHeight="1">
      <c r="A223" s="734"/>
      <c r="B223" s="644"/>
      <c r="N223" s="9"/>
      <c r="P223" s="9"/>
      <c r="Q223" s="9"/>
      <c r="R223" s="9"/>
      <c r="S223" s="688">
        <f>+IF(NOVIEMBRE!S223=0,"",NOVIEMBRE!S223)</f>
        <v>7001100</v>
      </c>
      <c r="T223" s="664" t="str">
        <f>+IF(NOVIEMBRE!T223=0,"",NOVIEMBRE!T223)</f>
        <v>Amortización deuda Pública Interna</v>
      </c>
      <c r="U223" s="27">
        <f>+ENERO!U223</f>
        <v>250000000</v>
      </c>
      <c r="V223" s="15">
        <f>NOVIEMBRE!V223+DICIEMBRE!AL223</f>
        <v>-15000000</v>
      </c>
      <c r="W223" s="15">
        <f>NOVIEMBRE!W223+DICIEMBRE!AM223</f>
        <v>0</v>
      </c>
      <c r="X223" s="18">
        <f>SUM(U223:W223)</f>
        <v>235000000</v>
      </c>
      <c r="Y223" s="19">
        <f>NOVIEMBRE!AA223</f>
        <v>221195509</v>
      </c>
      <c r="Z223" s="364">
        <v>0</v>
      </c>
      <c r="AA223" s="18">
        <f>SUM(Y223:Z223)</f>
        <v>221195509</v>
      </c>
      <c r="AB223" s="19">
        <f>NOVIEMBRE!AD223</f>
        <v>221195509</v>
      </c>
      <c r="AC223" s="364">
        <v>0</v>
      </c>
      <c r="AD223" s="18">
        <f>SUM(AB223:AC223)</f>
        <v>221195509</v>
      </c>
      <c r="AE223" s="19">
        <f>NOVIEMBRE!AG223</f>
        <v>221195509</v>
      </c>
      <c r="AF223" s="364">
        <v>0</v>
      </c>
      <c r="AG223" s="18">
        <f>SUM(AE223:AF223)</f>
        <v>221195509</v>
      </c>
      <c r="AH223" s="19">
        <f>X223-AA223</f>
        <v>13804491</v>
      </c>
      <c r="AI223" s="15">
        <f>X223-AD223</f>
        <v>13804491</v>
      </c>
      <c r="AJ223" s="16">
        <f>X223-AG223</f>
        <v>13804491</v>
      </c>
      <c r="AK223" s="9"/>
      <c r="AL223" s="362">
        <v>0</v>
      </c>
      <c r="AM223" s="365">
        <v>0</v>
      </c>
      <c r="AN223" s="9"/>
      <c r="BQ223" s="451"/>
    </row>
    <row r="224" spans="1:69" s="372" customFormat="1" ht="24.95" customHeight="1">
      <c r="A224" s="734"/>
      <c r="B224" s="644"/>
      <c r="N224" s="9"/>
      <c r="P224" s="9"/>
      <c r="Q224" s="9"/>
      <c r="R224" s="9"/>
      <c r="S224" s="688">
        <f>+IF(NOVIEMBRE!S224=0,"",NOVIEMBRE!S224)</f>
        <v>7001200</v>
      </c>
      <c r="T224" s="664" t="str">
        <f>+IF(NOVIEMBRE!T224=0,"",NOVIEMBRE!T224)</f>
        <v>Intereses Comisiones y gastos de la Deuda Pública</v>
      </c>
      <c r="U224" s="27">
        <f>+ENERO!U224</f>
        <v>12344980</v>
      </c>
      <c r="V224" s="15">
        <f>NOVIEMBRE!V224+DICIEMBRE!AL224</f>
        <v>0</v>
      </c>
      <c r="W224" s="15">
        <f>NOVIEMBRE!W224+DICIEMBRE!AM224</f>
        <v>0</v>
      </c>
      <c r="X224" s="18">
        <f>SUM(U224:W224)</f>
        <v>12344980</v>
      </c>
      <c r="Y224" s="19">
        <f>NOVIEMBRE!AA224</f>
        <v>5697023</v>
      </c>
      <c r="Z224" s="364">
        <v>0</v>
      </c>
      <c r="AA224" s="18">
        <f>SUM(Y224:Z224)</f>
        <v>5697023</v>
      </c>
      <c r="AB224" s="19">
        <f>NOVIEMBRE!AD224</f>
        <v>5697023</v>
      </c>
      <c r="AC224" s="364">
        <v>0</v>
      </c>
      <c r="AD224" s="18">
        <f>SUM(AB224:AC224)</f>
        <v>5697023</v>
      </c>
      <c r="AE224" s="19">
        <f>NOVIEMBRE!AG224</f>
        <v>5697023</v>
      </c>
      <c r="AF224" s="364">
        <v>0</v>
      </c>
      <c r="AG224" s="18">
        <f>SUM(AE224:AF224)</f>
        <v>5697023</v>
      </c>
      <c r="AH224" s="19">
        <f>X224-AA224</f>
        <v>6647957</v>
      </c>
      <c r="AI224" s="15">
        <f>X224-AD224</f>
        <v>6647957</v>
      </c>
      <c r="AJ224" s="16">
        <f>X224-AG224</f>
        <v>6647957</v>
      </c>
      <c r="AK224" s="9"/>
      <c r="AL224" s="362">
        <v>0</v>
      </c>
      <c r="AM224" s="365">
        <v>0</v>
      </c>
      <c r="AN224" s="9"/>
      <c r="BQ224" s="451"/>
    </row>
    <row r="225" spans="1:69" s="372" customFormat="1" ht="24.95" customHeight="1">
      <c r="A225" s="734"/>
      <c r="B225" s="644"/>
      <c r="N225" s="9"/>
      <c r="P225" s="9"/>
      <c r="Q225" s="9"/>
      <c r="R225" s="9"/>
      <c r="S225" s="688">
        <f>+IF(NOVIEMBRE!S225=0,"",NOVIEMBRE!S225)</f>
        <v>7001999</v>
      </c>
      <c r="T225" s="664" t="str">
        <f>+IF(NOVIEMBRE!T225=0,"",NOVIEMBRE!T225)</f>
        <v>Vigencias Anteriores</v>
      </c>
      <c r="U225" s="27">
        <f>+ENERO!U225</f>
        <v>0</v>
      </c>
      <c r="V225" s="15">
        <f>NOVIEMBRE!V225+DICIEMBRE!AL225</f>
        <v>0</v>
      </c>
      <c r="W225" s="15">
        <f>NOVIEMBRE!W225+DICIEMBRE!AM225</f>
        <v>27000000</v>
      </c>
      <c r="X225" s="18">
        <f>SUM(U225:W225)</f>
        <v>27000000</v>
      </c>
      <c r="Y225" s="19">
        <f>NOVIEMBRE!AA225</f>
        <v>26272654</v>
      </c>
      <c r="Z225" s="364">
        <v>0</v>
      </c>
      <c r="AA225" s="18">
        <f>SUM(Y225:Z225)</f>
        <v>26272654</v>
      </c>
      <c r="AB225" s="19">
        <f>NOVIEMBRE!AD225</f>
        <v>26272654</v>
      </c>
      <c r="AC225" s="364">
        <v>0</v>
      </c>
      <c r="AD225" s="18">
        <f>SUM(AB225:AC225)</f>
        <v>26272654</v>
      </c>
      <c r="AE225" s="19">
        <f>NOVIEMBRE!AG225</f>
        <v>26272654</v>
      </c>
      <c r="AF225" s="364">
        <v>0</v>
      </c>
      <c r="AG225" s="18">
        <f>SUM(AE225:AF225)</f>
        <v>26272654</v>
      </c>
      <c r="AH225" s="19">
        <f>X225-AA225</f>
        <v>727346</v>
      </c>
      <c r="AI225" s="15">
        <f>X225-AD225</f>
        <v>727346</v>
      </c>
      <c r="AJ225" s="16">
        <f>X225-AG225</f>
        <v>727346</v>
      </c>
      <c r="AK225" s="9"/>
      <c r="AL225" s="362">
        <v>0</v>
      </c>
      <c r="AM225" s="365">
        <v>0</v>
      </c>
      <c r="AN225" s="9"/>
      <c r="BQ225" s="451"/>
    </row>
    <row r="226" spans="1:69" s="372" customFormat="1" ht="24.95" customHeight="1">
      <c r="A226" s="734"/>
      <c r="B226" s="644"/>
      <c r="N226" s="9"/>
      <c r="P226" s="9"/>
      <c r="Q226" s="9"/>
      <c r="R226" s="9"/>
      <c r="S226" s="356" t="str">
        <f>+IF(NOVIEMBRE!S226=0,"",NOVIEMBRE!S226)</f>
        <v/>
      </c>
      <c r="T226" s="678" t="str">
        <f>+IF(NOVIEMBRE!T226=0,"",NOVIEMBRE!T226)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c r="BQ226" s="451"/>
    </row>
    <row r="227" spans="1:69" s="372" customFormat="1" ht="24.95" customHeight="1">
      <c r="A227" s="734"/>
      <c r="B227" s="644"/>
      <c r="N227" s="9"/>
      <c r="P227" s="9"/>
      <c r="Q227" s="9"/>
      <c r="R227" s="9"/>
      <c r="S227" s="687">
        <f>+IF(NOVIEMBRE!S227=0,"",NOVIEMBRE!S227)</f>
        <v>7002001</v>
      </c>
      <c r="T227" s="663" t="str">
        <f>+IF(NOVIEMBRE!T227=0,"",NOVIEMBRE!T227)</f>
        <v>SERVICIO DE LA DEUDA EXTERNA</v>
      </c>
      <c r="U227" s="132">
        <f t="shared" ref="U227:AJ227" si="193">SUM(U228:U230)</f>
        <v>0</v>
      </c>
      <c r="V227" s="122">
        <f t="shared" si="193"/>
        <v>0</v>
      </c>
      <c r="W227" s="122">
        <f t="shared" si="193"/>
        <v>0</v>
      </c>
      <c r="X227" s="129">
        <f t="shared" si="193"/>
        <v>0</v>
      </c>
      <c r="Y227" s="128">
        <f t="shared" si="193"/>
        <v>0</v>
      </c>
      <c r="Z227" s="122">
        <f t="shared" si="193"/>
        <v>0</v>
      </c>
      <c r="AA227" s="129">
        <f t="shared" si="193"/>
        <v>0</v>
      </c>
      <c r="AB227" s="128">
        <f t="shared" si="193"/>
        <v>0</v>
      </c>
      <c r="AC227" s="122">
        <f t="shared" si="193"/>
        <v>0</v>
      </c>
      <c r="AD227" s="129">
        <f t="shared" si="193"/>
        <v>0</v>
      </c>
      <c r="AE227" s="128">
        <f t="shared" si="193"/>
        <v>0</v>
      </c>
      <c r="AF227" s="122">
        <f t="shared" si="193"/>
        <v>0</v>
      </c>
      <c r="AG227" s="129">
        <f t="shared" si="193"/>
        <v>0</v>
      </c>
      <c r="AH227" s="128">
        <f t="shared" si="193"/>
        <v>0</v>
      </c>
      <c r="AI227" s="122">
        <f t="shared" si="193"/>
        <v>0</v>
      </c>
      <c r="AJ227" s="130">
        <f t="shared" si="193"/>
        <v>0</v>
      </c>
      <c r="AK227" s="10"/>
      <c r="AL227" s="128">
        <f>SUM(AL228:AL230)</f>
        <v>0</v>
      </c>
      <c r="AM227" s="130">
        <f>SUM(AM228:AM230)</f>
        <v>0</v>
      </c>
      <c r="AN227" s="9"/>
      <c r="BQ227" s="451"/>
    </row>
    <row r="228" spans="1:69" s="372" customFormat="1" ht="24.95" customHeight="1">
      <c r="A228" s="734"/>
      <c r="B228" s="644"/>
      <c r="N228" s="9"/>
      <c r="P228" s="9"/>
      <c r="Q228" s="9"/>
      <c r="R228" s="9"/>
      <c r="S228" s="688">
        <f>+IF(NOVIEMBRE!S228=0,"",NOVIEMBRE!S228)</f>
        <v>7002100</v>
      </c>
      <c r="T228" s="664" t="str">
        <f>+IF(NOVIEMBRE!T228=0,"",NOVIEMBRE!T228)</f>
        <v>Amortización deuda Pública Externa</v>
      </c>
      <c r="U228" s="27">
        <f>+ENERO!U228</f>
        <v>0</v>
      </c>
      <c r="V228" s="15">
        <f>NOVIEMBRE!V228+DICIEMBRE!AL228</f>
        <v>0</v>
      </c>
      <c r="W228" s="15">
        <f>NOVIEMBRE!W228+DICIEMBRE!AM228</f>
        <v>0</v>
      </c>
      <c r="X228" s="18">
        <f>SUM(U228:W228)</f>
        <v>0</v>
      </c>
      <c r="Y228" s="19">
        <f>NOVIEMBRE!AA228</f>
        <v>0</v>
      </c>
      <c r="Z228" s="364">
        <v>0</v>
      </c>
      <c r="AA228" s="18">
        <f>SUM(Y228:Z228)</f>
        <v>0</v>
      </c>
      <c r="AB228" s="19">
        <f>NOVIEMBRE!AD228</f>
        <v>0</v>
      </c>
      <c r="AC228" s="364">
        <v>0</v>
      </c>
      <c r="AD228" s="18">
        <f>SUM(AB228:AC228)</f>
        <v>0</v>
      </c>
      <c r="AE228" s="19">
        <f>NOVIEMBRE!AG228</f>
        <v>0</v>
      </c>
      <c r="AF228" s="364">
        <v>0</v>
      </c>
      <c r="AG228" s="18">
        <f>SUM(AE228:AF228)</f>
        <v>0</v>
      </c>
      <c r="AH228" s="19">
        <f>X228-AA228</f>
        <v>0</v>
      </c>
      <c r="AI228" s="15">
        <f>X228-AD228</f>
        <v>0</v>
      </c>
      <c r="AJ228" s="16">
        <f>X228-AG228</f>
        <v>0</v>
      </c>
      <c r="AK228" s="9"/>
      <c r="AL228" s="362">
        <v>0</v>
      </c>
      <c r="AM228" s="365">
        <v>0</v>
      </c>
      <c r="AN228" s="9"/>
      <c r="BQ228" s="451"/>
    </row>
    <row r="229" spans="1:69" s="372" customFormat="1" ht="24.95" customHeight="1">
      <c r="A229" s="734"/>
      <c r="B229" s="644"/>
      <c r="N229" s="9"/>
      <c r="P229" s="9"/>
      <c r="Q229" s="9"/>
      <c r="R229" s="9"/>
      <c r="S229" s="688">
        <f>+IF(NOVIEMBRE!S229=0,"",NOVIEMBRE!S229)</f>
        <v>7002200</v>
      </c>
      <c r="T229" s="664" t="str">
        <f>+IF(NOVIEMBRE!T229=0,"",NOVIEMBRE!T229)</f>
        <v>Intereses Comisiones y gastos de la Deuda Pública</v>
      </c>
      <c r="U229" s="27">
        <f>+ENERO!U229</f>
        <v>0</v>
      </c>
      <c r="V229" s="15">
        <f>NOVIEMBRE!V229+DICIEMBRE!AL229</f>
        <v>0</v>
      </c>
      <c r="W229" s="15">
        <f>NOVIEMBRE!W229+DICIEMBRE!AM229</f>
        <v>0</v>
      </c>
      <c r="X229" s="18">
        <f>SUM(U229:W229)</f>
        <v>0</v>
      </c>
      <c r="Y229" s="19">
        <f>NOVIEMBRE!AA229</f>
        <v>0</v>
      </c>
      <c r="Z229" s="364">
        <v>0</v>
      </c>
      <c r="AA229" s="18">
        <f>SUM(Y229:Z229)</f>
        <v>0</v>
      </c>
      <c r="AB229" s="19">
        <f>NOVIEMBRE!AD229</f>
        <v>0</v>
      </c>
      <c r="AC229" s="364">
        <v>0</v>
      </c>
      <c r="AD229" s="18">
        <f>SUM(AB229:AC229)</f>
        <v>0</v>
      </c>
      <c r="AE229" s="19">
        <f>NOVIEMBRE!AG229</f>
        <v>0</v>
      </c>
      <c r="AF229" s="364">
        <v>0</v>
      </c>
      <c r="AG229" s="18">
        <f>SUM(AE229:AF229)</f>
        <v>0</v>
      </c>
      <c r="AH229" s="19">
        <f>X229-AA229</f>
        <v>0</v>
      </c>
      <c r="AI229" s="15">
        <f>X229-AD229</f>
        <v>0</v>
      </c>
      <c r="AJ229" s="16">
        <f>X229-AG229</f>
        <v>0</v>
      </c>
      <c r="AK229" s="9"/>
      <c r="AL229" s="362">
        <v>0</v>
      </c>
      <c r="AM229" s="365">
        <v>0</v>
      </c>
      <c r="AN229" s="9"/>
      <c r="BQ229" s="451"/>
    </row>
    <row r="230" spans="1:69" s="372" customFormat="1" ht="24.95" customHeight="1" thickBot="1">
      <c r="A230" s="734"/>
      <c r="B230" s="644"/>
      <c r="N230" s="9"/>
      <c r="P230" s="9"/>
      <c r="Q230" s="9"/>
      <c r="R230" s="9"/>
      <c r="S230" s="691">
        <f>+IF(NOVIEMBRE!S230=0,"",NOVIEMBRE!S230)</f>
        <v>7002999</v>
      </c>
      <c r="T230" s="670" t="str">
        <f>+IF(NOVIEMBRE!T230=0,"",NOVIEMBRE!T230)</f>
        <v>Vigencias Anteriores</v>
      </c>
      <c r="U230" s="133">
        <f>+ENERO!U230</f>
        <v>0</v>
      </c>
      <c r="V230" s="121">
        <f>NOVIEMBRE!V230+DICIEMBRE!AL230</f>
        <v>0</v>
      </c>
      <c r="W230" s="121">
        <f>NOVIEMBRE!W230+DICIEMBRE!AM230</f>
        <v>0</v>
      </c>
      <c r="X230" s="126">
        <f>SUM(U230:W230)</f>
        <v>0</v>
      </c>
      <c r="Y230" s="124">
        <f>NOVIEMBRE!AA230</f>
        <v>0</v>
      </c>
      <c r="Z230" s="378">
        <v>0</v>
      </c>
      <c r="AA230" s="126">
        <f>SUM(Y230:Z230)</f>
        <v>0</v>
      </c>
      <c r="AB230" s="124">
        <f>NOVIEMBRE!AD230</f>
        <v>0</v>
      </c>
      <c r="AC230" s="378">
        <v>0</v>
      </c>
      <c r="AD230" s="126">
        <f>SUM(AB230:AC230)</f>
        <v>0</v>
      </c>
      <c r="AE230" s="124">
        <f>NOVIEMBRE!AG230</f>
        <v>0</v>
      </c>
      <c r="AF230" s="378">
        <v>0</v>
      </c>
      <c r="AG230" s="126">
        <f>SUM(AE230:AF230)</f>
        <v>0</v>
      </c>
      <c r="AH230" s="124">
        <f>X230-AA230</f>
        <v>0</v>
      </c>
      <c r="AI230" s="121">
        <f>X230-AD230</f>
        <v>0</v>
      </c>
      <c r="AJ230" s="125">
        <f>X230-AG230</f>
        <v>0</v>
      </c>
      <c r="AK230" s="9"/>
      <c r="AL230" s="491">
        <v>0</v>
      </c>
      <c r="AM230" s="492">
        <v>0</v>
      </c>
      <c r="AN230" s="9"/>
      <c r="BQ230" s="451"/>
    </row>
    <row r="231" spans="1:69" s="372" customFormat="1" ht="24.95" customHeight="1">
      <c r="A231" s="734"/>
      <c r="B231" s="644"/>
      <c r="N231" s="9"/>
      <c r="P231" s="9"/>
      <c r="Q231" s="9"/>
      <c r="R231" s="9"/>
      <c r="S231" s="479" t="str">
        <f>+IF(NOVIEMBRE!S231=0,"",NOVIEMBRE!S231)</f>
        <v/>
      </c>
      <c r="T231" s="671" t="str">
        <f>+IF(NOVIEMBRE!T231=0,"",NOVIEMBRE!T231)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c r="BQ231" s="451"/>
    </row>
    <row r="232" spans="1:69" s="372" customFormat="1" ht="24.95" customHeight="1">
      <c r="A232" s="734"/>
      <c r="B232" s="644"/>
      <c r="N232" s="9"/>
      <c r="P232" s="9"/>
      <c r="Q232" s="9"/>
      <c r="R232" s="9"/>
      <c r="S232" s="495" t="str">
        <f>+IF(NOVIEMBRE!S232=0,"",NOVIEMBRE!S232)</f>
        <v>D</v>
      </c>
      <c r="T232" s="679" t="str">
        <f>+IF(NOVIEMBRE!T232=0,"",NOVIEMBRE!T232)</f>
        <v>INVERSION</v>
      </c>
      <c r="U232" s="460">
        <f>U234+U243</f>
        <v>5765730053</v>
      </c>
      <c r="V232" s="461">
        <f t="shared" ref="V232:AJ232" si="194">V234+V243</f>
        <v>0</v>
      </c>
      <c r="W232" s="461">
        <f t="shared" si="194"/>
        <v>48257523310</v>
      </c>
      <c r="X232" s="462">
        <f t="shared" si="194"/>
        <v>54023253363</v>
      </c>
      <c r="Y232" s="369">
        <f t="shared" si="194"/>
        <v>29143787375</v>
      </c>
      <c r="Z232" s="461">
        <f t="shared" si="194"/>
        <v>-8227428878</v>
      </c>
      <c r="AA232" s="462">
        <f t="shared" si="194"/>
        <v>20916358497</v>
      </c>
      <c r="AB232" s="369">
        <f t="shared" si="194"/>
        <v>17912179221</v>
      </c>
      <c r="AC232" s="461">
        <f t="shared" si="194"/>
        <v>3004179276</v>
      </c>
      <c r="AD232" s="462">
        <f t="shared" si="194"/>
        <v>20916358497</v>
      </c>
      <c r="AE232" s="369">
        <f t="shared" si="194"/>
        <v>16227033096</v>
      </c>
      <c r="AF232" s="461">
        <f t="shared" si="194"/>
        <v>3424541296</v>
      </c>
      <c r="AG232" s="462">
        <f t="shared" si="194"/>
        <v>19651574392</v>
      </c>
      <c r="AH232" s="369">
        <f t="shared" si="194"/>
        <v>33106894866</v>
      </c>
      <c r="AI232" s="461">
        <f t="shared" si="194"/>
        <v>33106894866</v>
      </c>
      <c r="AJ232" s="370">
        <f t="shared" si="194"/>
        <v>34371678971</v>
      </c>
      <c r="AK232" s="490"/>
      <c r="AL232" s="369">
        <f>AL234+AL243</f>
        <v>0</v>
      </c>
      <c r="AM232" s="370">
        <f>AM234+AM243</f>
        <v>18035000000</v>
      </c>
      <c r="AN232" s="9"/>
      <c r="BQ232" s="451"/>
    </row>
    <row r="233" spans="1:69" s="372" customFormat="1" ht="24.95" customHeight="1">
      <c r="A233" s="734"/>
      <c r="B233" s="644"/>
      <c r="N233" s="9"/>
      <c r="P233" s="9"/>
      <c r="Q233" s="9"/>
      <c r="R233" s="9"/>
      <c r="S233" s="356" t="str">
        <f>+IF(NOVIEMBRE!S233=0,"",NOVIEMBRE!S233)</f>
        <v/>
      </c>
      <c r="T233" s="678" t="str">
        <f>+IF(NOVIEMBRE!T233=0,"",NOVIEMBRE!T233)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c r="BQ233" s="451"/>
    </row>
    <row r="234" spans="1:69" s="372" customFormat="1" ht="24.95" customHeight="1">
      <c r="A234" s="734"/>
      <c r="B234" s="644"/>
      <c r="N234" s="9"/>
      <c r="P234" s="9"/>
      <c r="Q234" s="9"/>
      <c r="R234" s="9"/>
      <c r="S234" s="687">
        <f>+IF(NOVIEMBRE!S234=0,"",NOVIEMBRE!S234)</f>
        <v>8000000</v>
      </c>
      <c r="T234" s="663" t="str">
        <f>+IF(NOVIEMBRE!T234=0,"",NOVIEMBRE!T234)</f>
        <v>Programas de Inversión</v>
      </c>
      <c r="U234" s="132">
        <f>U235</f>
        <v>5265730053</v>
      </c>
      <c r="V234" s="122">
        <f t="shared" ref="V234:AJ234" si="195">V235</f>
        <v>100000000</v>
      </c>
      <c r="W234" s="122">
        <f t="shared" si="195"/>
        <v>34987626782</v>
      </c>
      <c r="X234" s="129">
        <f t="shared" si="195"/>
        <v>40353356835</v>
      </c>
      <c r="Y234" s="128">
        <f t="shared" si="195"/>
        <v>21945560072</v>
      </c>
      <c r="Z234" s="122">
        <f t="shared" si="195"/>
        <v>-8568900721</v>
      </c>
      <c r="AA234" s="129">
        <f t="shared" si="195"/>
        <v>13376659351</v>
      </c>
      <c r="AB234" s="128">
        <f t="shared" si="195"/>
        <v>11477198100</v>
      </c>
      <c r="AC234" s="122">
        <f t="shared" si="195"/>
        <v>1899461251</v>
      </c>
      <c r="AD234" s="129">
        <f t="shared" si="195"/>
        <v>13376659351</v>
      </c>
      <c r="AE234" s="128">
        <f t="shared" si="195"/>
        <v>11126691910</v>
      </c>
      <c r="AF234" s="122">
        <f t="shared" si="195"/>
        <v>2249967441</v>
      </c>
      <c r="AG234" s="129">
        <f t="shared" si="195"/>
        <v>13376659351</v>
      </c>
      <c r="AH234" s="128">
        <f t="shared" si="195"/>
        <v>26976697484</v>
      </c>
      <c r="AI234" s="122">
        <f t="shared" si="195"/>
        <v>26976697484</v>
      </c>
      <c r="AJ234" s="130">
        <f t="shared" si="195"/>
        <v>26976697484</v>
      </c>
      <c r="AK234" s="9"/>
      <c r="AL234" s="128">
        <f>AL235</f>
        <v>0</v>
      </c>
      <c r="AM234" s="130">
        <f>AM235</f>
        <v>18035000000</v>
      </c>
      <c r="AN234" s="9"/>
      <c r="BQ234" s="451"/>
    </row>
    <row r="235" spans="1:69" s="372" customFormat="1" ht="24.95" customHeight="1">
      <c r="A235" s="734"/>
      <c r="B235" s="644"/>
      <c r="N235" s="9"/>
      <c r="P235" s="9"/>
      <c r="Q235" s="9"/>
      <c r="R235" s="9"/>
      <c r="S235" s="688">
        <f>+IF(NOVIEMBRE!S235=0,"",NOVIEMBRE!S235)</f>
        <v>8001000</v>
      </c>
      <c r="T235" s="664" t="str">
        <f>+IF(NOVIEMBRE!T235=0,"",NOVIEMBRE!T235)</f>
        <v>Formación Bruta del Capital</v>
      </c>
      <c r="U235" s="27">
        <f t="shared" ref="U235:AJ235" si="196">SUM(U236:U241)</f>
        <v>5265730053</v>
      </c>
      <c r="V235" s="15">
        <f t="shared" si="196"/>
        <v>100000000</v>
      </c>
      <c r="W235" s="15">
        <f t="shared" si="196"/>
        <v>34987626782</v>
      </c>
      <c r="X235" s="18">
        <f t="shared" si="196"/>
        <v>40353356835</v>
      </c>
      <c r="Y235" s="19">
        <f t="shared" si="196"/>
        <v>21945560072</v>
      </c>
      <c r="Z235" s="142">
        <f t="shared" si="196"/>
        <v>-8568900721</v>
      </c>
      <c r="AA235" s="18">
        <f t="shared" si="196"/>
        <v>13376659351</v>
      </c>
      <c r="AB235" s="19">
        <f t="shared" si="196"/>
        <v>11477198100</v>
      </c>
      <c r="AC235" s="142">
        <f t="shared" si="196"/>
        <v>1899461251</v>
      </c>
      <c r="AD235" s="18">
        <f t="shared" si="196"/>
        <v>13376659351</v>
      </c>
      <c r="AE235" s="19">
        <f t="shared" si="196"/>
        <v>11126691910</v>
      </c>
      <c r="AF235" s="142">
        <f t="shared" si="196"/>
        <v>2249967441</v>
      </c>
      <c r="AG235" s="18">
        <f t="shared" si="196"/>
        <v>13376659351</v>
      </c>
      <c r="AH235" s="19">
        <f t="shared" si="196"/>
        <v>26976697484</v>
      </c>
      <c r="AI235" s="15">
        <f t="shared" si="196"/>
        <v>26976697484</v>
      </c>
      <c r="AJ235" s="16">
        <f t="shared" si="196"/>
        <v>26976697484</v>
      </c>
      <c r="AK235" s="9"/>
      <c r="AL235" s="29">
        <f>SUM(AL236:AL241)</f>
        <v>0</v>
      </c>
      <c r="AM235" s="26">
        <f>SUM(AM236:AM241)</f>
        <v>18035000000</v>
      </c>
      <c r="AN235" s="9"/>
      <c r="BQ235" s="451"/>
    </row>
    <row r="236" spans="1:69" s="372" customFormat="1" ht="24.95" customHeight="1">
      <c r="A236" s="734"/>
      <c r="B236" s="644"/>
      <c r="N236" s="9"/>
      <c r="P236" s="9"/>
      <c r="Q236" s="9"/>
      <c r="R236" s="9"/>
      <c r="S236" s="689" t="str">
        <f>+IF(NOVIEMBRE!S236=0,"",NOVIEMBRE!S236)</f>
        <v>8001000-1</v>
      </c>
      <c r="T236" s="665" t="str">
        <f>+IF(NOVIEMBRE!T236=0,"",NOVIEMBRE!T236)</f>
        <v>Subprogr.Construc. Remodelac. Adecuación y Apliac.1</v>
      </c>
      <c r="U236" s="27">
        <f>+ENERO!U236</f>
        <v>4765730053</v>
      </c>
      <c r="V236" s="15">
        <f>NOVIEMBRE!V236+DICIEMBRE!AL236</f>
        <v>0</v>
      </c>
      <c r="W236" s="15">
        <f>NOVIEMBRE!W236+DICIEMBRE!AM236</f>
        <v>29235000000</v>
      </c>
      <c r="X236" s="18">
        <f t="shared" ref="X236:X241" si="197">SUM(U236:W236)</f>
        <v>34000730053</v>
      </c>
      <c r="Y236" s="19">
        <f>NOVIEMBRE!AA236</f>
        <v>15807424776</v>
      </c>
      <c r="Z236" s="364">
        <v>-5804250694</v>
      </c>
      <c r="AA236" s="18">
        <f t="shared" ref="AA236:AA241" si="198">SUM(Y236:Z236)</f>
        <v>10003174082</v>
      </c>
      <c r="AB236" s="19">
        <f>NOVIEMBRE!AD236</f>
        <v>8223091048</v>
      </c>
      <c r="AC236" s="364">
        <v>1780083034</v>
      </c>
      <c r="AD236" s="18">
        <f t="shared" ref="AD236:AD241" si="199">SUM(AB236:AC236)</f>
        <v>10003174082</v>
      </c>
      <c r="AE236" s="19">
        <f>NOVIEMBRE!AG236</f>
        <v>8188353516</v>
      </c>
      <c r="AF236" s="364">
        <v>1814820566</v>
      </c>
      <c r="AG236" s="18">
        <f t="shared" ref="AG236:AG241" si="200">SUM(AE236:AF236)</f>
        <v>10003174082</v>
      </c>
      <c r="AH236" s="19">
        <f t="shared" ref="AH236:AH241" si="201">X236-AA236</f>
        <v>23997555971</v>
      </c>
      <c r="AI236" s="15">
        <f t="shared" ref="AI236:AI241" si="202">X236-AD236</f>
        <v>23997555971</v>
      </c>
      <c r="AJ236" s="16">
        <f t="shared" ref="AJ236:AJ241" si="203">X236-AG236</f>
        <v>23997555971</v>
      </c>
      <c r="AK236" s="9"/>
      <c r="AL236" s="362">
        <v>0</v>
      </c>
      <c r="AM236" s="365">
        <f>17000000000+1035000000</f>
        <v>18035000000</v>
      </c>
      <c r="AN236" s="9"/>
      <c r="BQ236" s="451"/>
    </row>
    <row r="237" spans="1:69" s="372" customFormat="1" ht="24.95" customHeight="1">
      <c r="A237" s="734"/>
      <c r="B237" s="644"/>
      <c r="N237" s="9"/>
      <c r="P237" s="9"/>
      <c r="Q237" s="9"/>
      <c r="R237" s="9"/>
      <c r="S237" s="689" t="str">
        <f>+IF(NOVIEMBRE!S237=0,"",NOVIEMBRE!S237)</f>
        <v>8001000-2</v>
      </c>
      <c r="T237" s="665" t="str">
        <f>+IF(NOVIEMBRE!T237=0,"",NOVIEMBRE!T237)</f>
        <v>Subprogr.Construc. Remodelac. Adecuación y Apliac.2</v>
      </c>
      <c r="U237" s="27">
        <f>+ENERO!U237</f>
        <v>500000000</v>
      </c>
      <c r="V237" s="15">
        <f>NOVIEMBRE!V237+DICIEMBRE!AL237</f>
        <v>100000000</v>
      </c>
      <c r="W237" s="15">
        <f>NOVIEMBRE!W237+DICIEMBRE!AM237</f>
        <v>719283217</v>
      </c>
      <c r="X237" s="18">
        <f t="shared" si="197"/>
        <v>1319283217</v>
      </c>
      <c r="Y237" s="19">
        <f>NOVIEMBRE!AA237</f>
        <v>1219283217</v>
      </c>
      <c r="Z237" s="364">
        <v>-1201283217</v>
      </c>
      <c r="AA237" s="18">
        <f t="shared" si="198"/>
        <v>18000000</v>
      </c>
      <c r="AB237" s="19">
        <f>NOVIEMBRE!AD237</f>
        <v>307382324</v>
      </c>
      <c r="AC237" s="364">
        <v>-289382324</v>
      </c>
      <c r="AD237" s="18">
        <f t="shared" si="199"/>
        <v>18000000</v>
      </c>
      <c r="AE237" s="19">
        <f>NOVIEMBRE!AG237</f>
        <v>0</v>
      </c>
      <c r="AF237" s="364">
        <v>18000000</v>
      </c>
      <c r="AG237" s="18">
        <f t="shared" si="200"/>
        <v>18000000</v>
      </c>
      <c r="AH237" s="19">
        <f t="shared" si="201"/>
        <v>1301283217</v>
      </c>
      <c r="AI237" s="15">
        <f t="shared" si="202"/>
        <v>1301283217</v>
      </c>
      <c r="AJ237" s="16">
        <f t="shared" si="203"/>
        <v>1301283217</v>
      </c>
      <c r="AK237" s="9"/>
      <c r="AL237" s="362">
        <v>0</v>
      </c>
      <c r="AM237" s="365">
        <v>0</v>
      </c>
      <c r="AN237" s="9"/>
      <c r="BQ237" s="451"/>
    </row>
    <row r="238" spans="1:69" s="372" customFormat="1" ht="24.95" customHeight="1">
      <c r="A238" s="734"/>
      <c r="B238" s="644"/>
      <c r="N238" s="9"/>
      <c r="P238" s="9"/>
      <c r="Q238" s="9"/>
      <c r="R238" s="9"/>
      <c r="S238" s="689" t="str">
        <f>+IF(NOVIEMBRE!S238=0,"",NOVIEMBRE!S238)</f>
        <v>8001000-3</v>
      </c>
      <c r="T238" s="665" t="str">
        <f>+IF(NOVIEMBRE!T238=0,"",NOVIEMBRE!T238)</f>
        <v>Subprogr.Construc. Remodelac. Adecuación y Apliac.3</v>
      </c>
      <c r="U238" s="27">
        <f>+ENERO!U238</f>
        <v>0</v>
      </c>
      <c r="V238" s="15">
        <f>NOVIEMBRE!V238+DICIEMBRE!AL238</f>
        <v>0</v>
      </c>
      <c r="W238" s="15">
        <f>NOVIEMBRE!W238+DICIEMBRE!AM238</f>
        <v>0</v>
      </c>
      <c r="X238" s="18">
        <f t="shared" si="197"/>
        <v>0</v>
      </c>
      <c r="Y238" s="19">
        <f>NOVIEMBRE!AA238</f>
        <v>0</v>
      </c>
      <c r="Z238" s="364">
        <v>0</v>
      </c>
      <c r="AA238" s="18">
        <f t="shared" si="198"/>
        <v>0</v>
      </c>
      <c r="AB238" s="19">
        <f>NOVIEMBRE!AD238</f>
        <v>0</v>
      </c>
      <c r="AC238" s="364">
        <v>0</v>
      </c>
      <c r="AD238" s="18">
        <f t="shared" si="199"/>
        <v>0</v>
      </c>
      <c r="AE238" s="19">
        <f>NOVIEMBRE!AG238</f>
        <v>0</v>
      </c>
      <c r="AF238" s="364">
        <v>0</v>
      </c>
      <c r="AG238" s="18">
        <f t="shared" si="200"/>
        <v>0</v>
      </c>
      <c r="AH238" s="19">
        <f t="shared" si="201"/>
        <v>0</v>
      </c>
      <c r="AI238" s="15">
        <f t="shared" si="202"/>
        <v>0</v>
      </c>
      <c r="AJ238" s="16">
        <f t="shared" si="203"/>
        <v>0</v>
      </c>
      <c r="AK238" s="9"/>
      <c r="AL238" s="362">
        <v>0</v>
      </c>
      <c r="AM238" s="365">
        <v>0</v>
      </c>
      <c r="AN238" s="9"/>
      <c r="BQ238" s="451"/>
    </row>
    <row r="239" spans="1:69" s="372" customFormat="1" ht="24.95" customHeight="1">
      <c r="A239" s="734"/>
      <c r="B239" s="644"/>
      <c r="N239" s="9"/>
      <c r="P239" s="9"/>
      <c r="Q239" s="9"/>
      <c r="S239" s="689" t="str">
        <f>+IF(NOVIEMBRE!S239=0,"",NOVIEMBRE!S239)</f>
        <v>8001000-4</v>
      </c>
      <c r="T239" s="665" t="str">
        <f>+IF(NOVIEMBRE!T239=0,"",NOVIEMBRE!T239)</f>
        <v>Subprogr.Construc. Remodelac. Adecuación y Apliac.4</v>
      </c>
      <c r="U239" s="27">
        <f>+ENERO!U239</f>
        <v>0</v>
      </c>
      <c r="V239" s="15">
        <f>NOVIEMBRE!V239+DICIEMBRE!AL239</f>
        <v>0</v>
      </c>
      <c r="W239" s="15">
        <f>NOVIEMBRE!W239+DICIEMBRE!AM239</f>
        <v>0</v>
      </c>
      <c r="X239" s="18">
        <f t="shared" si="197"/>
        <v>0</v>
      </c>
      <c r="Y239" s="19">
        <f>NOVIEMBRE!AA239</f>
        <v>0</v>
      </c>
      <c r="Z239" s="364">
        <v>0</v>
      </c>
      <c r="AA239" s="18">
        <f t="shared" si="198"/>
        <v>0</v>
      </c>
      <c r="AB239" s="19">
        <f>NOVIEMBRE!AD239</f>
        <v>0</v>
      </c>
      <c r="AC239" s="364">
        <v>0</v>
      </c>
      <c r="AD239" s="18">
        <f t="shared" si="199"/>
        <v>0</v>
      </c>
      <c r="AE239" s="19">
        <f>NOVIEMBRE!AG239</f>
        <v>0</v>
      </c>
      <c r="AF239" s="364">
        <v>0</v>
      </c>
      <c r="AG239" s="18">
        <f t="shared" si="200"/>
        <v>0</v>
      </c>
      <c r="AH239" s="19">
        <f t="shared" si="201"/>
        <v>0</v>
      </c>
      <c r="AI239" s="15">
        <f t="shared" si="202"/>
        <v>0</v>
      </c>
      <c r="AJ239" s="16">
        <f t="shared" si="203"/>
        <v>0</v>
      </c>
      <c r="AK239" s="9"/>
      <c r="AL239" s="362">
        <v>0</v>
      </c>
      <c r="AM239" s="365">
        <v>0</v>
      </c>
      <c r="AN239" s="9"/>
      <c r="BQ239" s="451"/>
    </row>
    <row r="240" spans="1:69" s="372" customFormat="1" ht="24.95" customHeight="1">
      <c r="A240" s="734"/>
      <c r="B240" s="644"/>
      <c r="N240" s="9"/>
      <c r="P240" s="9"/>
      <c r="Q240" s="9"/>
      <c r="S240" s="689" t="str">
        <f>+IF(NOVIEMBRE!S240=0,"",NOVIEMBRE!S240)</f>
        <v>8001000-5</v>
      </c>
      <c r="T240" s="665" t="str">
        <f>+IF(NOVIEMBRE!T240=0,"",NOVIEMBRE!T240)</f>
        <v>Subprogr.Construc. Remodelac. Adecuación y Apliac.5</v>
      </c>
      <c r="U240" s="27">
        <f>+ENERO!U240</f>
        <v>0</v>
      </c>
      <c r="V240" s="15">
        <f>NOVIEMBRE!V240+DICIEMBRE!AL240</f>
        <v>0</v>
      </c>
      <c r="W240" s="15">
        <f>NOVIEMBRE!W240+DICIEMBRE!AM240</f>
        <v>0</v>
      </c>
      <c r="X240" s="18">
        <f t="shared" si="197"/>
        <v>0</v>
      </c>
      <c r="Y240" s="19">
        <f>NOVIEMBRE!AA240</f>
        <v>0</v>
      </c>
      <c r="Z240" s="364">
        <v>0</v>
      </c>
      <c r="AA240" s="18">
        <f t="shared" si="198"/>
        <v>0</v>
      </c>
      <c r="AB240" s="19">
        <f>NOVIEMBRE!AD240</f>
        <v>0</v>
      </c>
      <c r="AC240" s="364">
        <v>0</v>
      </c>
      <c r="AD240" s="18">
        <f t="shared" si="199"/>
        <v>0</v>
      </c>
      <c r="AE240" s="19">
        <f>NOVIEMBRE!AG240</f>
        <v>0</v>
      </c>
      <c r="AF240" s="364">
        <v>0</v>
      </c>
      <c r="AG240" s="18">
        <f t="shared" si="200"/>
        <v>0</v>
      </c>
      <c r="AH240" s="19">
        <f t="shared" si="201"/>
        <v>0</v>
      </c>
      <c r="AI240" s="15">
        <f t="shared" si="202"/>
        <v>0</v>
      </c>
      <c r="AJ240" s="16">
        <f t="shared" si="203"/>
        <v>0</v>
      </c>
      <c r="AK240" s="9"/>
      <c r="AL240" s="362">
        <v>0</v>
      </c>
      <c r="AM240" s="365">
        <v>0</v>
      </c>
      <c r="AN240" s="9"/>
      <c r="BQ240" s="451"/>
    </row>
    <row r="241" spans="1:70" s="372" customFormat="1" ht="24.95" customHeight="1">
      <c r="A241" s="734"/>
      <c r="B241" s="644"/>
      <c r="N241" s="9"/>
      <c r="P241" s="9"/>
      <c r="Q241" s="9"/>
      <c r="S241" s="697">
        <f>+IF(NOVIEMBRE!S241=0,"",NOVIEMBRE!S241)</f>
        <v>8001999</v>
      </c>
      <c r="T241" s="665" t="str">
        <f>+IF(NOVIEMBRE!T241=0,"",NOVIEMBRE!T241)</f>
        <v>Vigencias Anteriores</v>
      </c>
      <c r="U241" s="27">
        <f>+ENERO!U241</f>
        <v>0</v>
      </c>
      <c r="V241" s="15">
        <f>NOVIEMBRE!V241+DICIEMBRE!AL241</f>
        <v>0</v>
      </c>
      <c r="W241" s="15">
        <f>NOVIEMBRE!W241+DICIEMBRE!AM241</f>
        <v>5033343565</v>
      </c>
      <c r="X241" s="18">
        <f t="shared" si="197"/>
        <v>5033343565</v>
      </c>
      <c r="Y241" s="19">
        <f>NOVIEMBRE!AA241</f>
        <v>4918852079</v>
      </c>
      <c r="Z241" s="364">
        <v>-1563366810</v>
      </c>
      <c r="AA241" s="18">
        <f t="shared" si="198"/>
        <v>3355485269</v>
      </c>
      <c r="AB241" s="19">
        <f>NOVIEMBRE!AD241</f>
        <v>2946724728</v>
      </c>
      <c r="AC241" s="364">
        <v>408760541</v>
      </c>
      <c r="AD241" s="18">
        <f t="shared" si="199"/>
        <v>3355485269</v>
      </c>
      <c r="AE241" s="19">
        <f>NOVIEMBRE!AG241</f>
        <v>2938338394</v>
      </c>
      <c r="AF241" s="364">
        <v>417146875</v>
      </c>
      <c r="AG241" s="18">
        <f t="shared" si="200"/>
        <v>3355485269</v>
      </c>
      <c r="AH241" s="19">
        <f t="shared" si="201"/>
        <v>1677858296</v>
      </c>
      <c r="AI241" s="15">
        <f t="shared" si="202"/>
        <v>1677858296</v>
      </c>
      <c r="AJ241" s="16">
        <f t="shared" si="203"/>
        <v>1677858296</v>
      </c>
      <c r="AK241" s="9"/>
      <c r="AL241" s="362">
        <v>0</v>
      </c>
      <c r="AM241" s="365">
        <v>0</v>
      </c>
      <c r="AN241" s="9"/>
      <c r="BQ241" s="451"/>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+IF(NOVIEMBRE!S242=0,"",NOVIEMBRE!S242)</f>
        <v/>
      </c>
      <c r="T242" s="678" t="str">
        <f>+IF(NOVIEMBRE!T242=0,"",NOVIEMBRE!T242)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451"/>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+IF(NOVIEMBRE!S243=0,"",NOVIEMBRE!S243)</f>
        <v>8002001</v>
      </c>
      <c r="T243" s="663" t="str">
        <f>+IF(NOVIEMBRE!T243=0,"",NOVIEMBRE!T243)</f>
        <v>Gastos Operativos de Inversion   (Programas Especiales)</v>
      </c>
      <c r="U243" s="132">
        <f t="shared" ref="U243:AJ243" si="204">SUM(U244:U256)</f>
        <v>500000000</v>
      </c>
      <c r="V243" s="122">
        <f t="shared" si="204"/>
        <v>-100000000</v>
      </c>
      <c r="W243" s="122">
        <f t="shared" si="204"/>
        <v>13269896528</v>
      </c>
      <c r="X243" s="129">
        <f t="shared" si="204"/>
        <v>13669896528</v>
      </c>
      <c r="Y243" s="128">
        <f t="shared" si="204"/>
        <v>7198227303</v>
      </c>
      <c r="Z243" s="122">
        <f t="shared" si="204"/>
        <v>341471843</v>
      </c>
      <c r="AA243" s="129">
        <f t="shared" si="204"/>
        <v>7539699146</v>
      </c>
      <c r="AB243" s="128">
        <f t="shared" si="204"/>
        <v>6434981121</v>
      </c>
      <c r="AC243" s="122">
        <f t="shared" si="204"/>
        <v>1104718025</v>
      </c>
      <c r="AD243" s="129">
        <f t="shared" si="204"/>
        <v>7539699146</v>
      </c>
      <c r="AE243" s="128">
        <f t="shared" si="204"/>
        <v>5100341186</v>
      </c>
      <c r="AF243" s="122">
        <f t="shared" si="204"/>
        <v>1174573855</v>
      </c>
      <c r="AG243" s="129">
        <f t="shared" si="204"/>
        <v>6274915041</v>
      </c>
      <c r="AH243" s="128">
        <f t="shared" si="204"/>
        <v>6130197382</v>
      </c>
      <c r="AI243" s="122">
        <f t="shared" si="204"/>
        <v>6130197382</v>
      </c>
      <c r="AJ243" s="130">
        <f t="shared" si="204"/>
        <v>7394981487</v>
      </c>
      <c r="AK243" s="9"/>
      <c r="AL243" s="128">
        <f>SUM(AL244:AL256)</f>
        <v>0</v>
      </c>
      <c r="AM243" s="130">
        <f>SUM(AM244:AM256)</f>
        <v>0</v>
      </c>
      <c r="BM243" s="372"/>
      <c r="BN243" s="372"/>
      <c r="BO243" s="372"/>
      <c r="BP243" s="372"/>
      <c r="BQ243" s="451"/>
      <c r="BR243" s="372"/>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+IF(NOVIEMBRE!S244=0,"",NOVIEMBRE!S244)</f>
        <v>8002100-1</v>
      </c>
      <c r="T244" s="665" t="str">
        <f>+IF(NOVIEMBRE!T244=0,"",NOVIEMBRE!T244)</f>
        <v>Fondo de la Vivienda</v>
      </c>
      <c r="U244" s="27">
        <f>+ENERO!U244</f>
        <v>0</v>
      </c>
      <c r="V244" s="15">
        <f>NOVIEMBRE!V244+DICIEMBRE!AL244</f>
        <v>0</v>
      </c>
      <c r="W244" s="15">
        <f>NOVIEMBRE!W244+DICIEMBRE!AM244</f>
        <v>0</v>
      </c>
      <c r="X244" s="18">
        <f t="shared" ref="X244:X256" si="205">SUM(U244:W244)</f>
        <v>0</v>
      </c>
      <c r="Y244" s="19">
        <f>NOVIEMBRE!AA244</f>
        <v>0</v>
      </c>
      <c r="Z244" s="364">
        <v>0</v>
      </c>
      <c r="AA244" s="18">
        <f t="shared" ref="AA244:AA256" si="206">SUM(Y244:Z244)</f>
        <v>0</v>
      </c>
      <c r="AB244" s="19">
        <f>NOVIEMBRE!AD244</f>
        <v>0</v>
      </c>
      <c r="AC244" s="364">
        <v>0</v>
      </c>
      <c r="AD244" s="18">
        <f t="shared" ref="AD244:AD256" si="207">SUM(AB244:AC244)</f>
        <v>0</v>
      </c>
      <c r="AE244" s="19">
        <f>NOVIEMBRE!AG244</f>
        <v>0</v>
      </c>
      <c r="AF244" s="364">
        <v>0</v>
      </c>
      <c r="AG244" s="18">
        <f t="shared" ref="AG244:AG256" si="208">SUM(AE244:AF244)</f>
        <v>0</v>
      </c>
      <c r="AH244" s="19">
        <f t="shared" ref="AH244:AH256" si="209">X244-AA244</f>
        <v>0</v>
      </c>
      <c r="AI244" s="15">
        <f t="shared" ref="AI244:AI256" si="210">X244-AD244</f>
        <v>0</v>
      </c>
      <c r="AJ244" s="16">
        <f t="shared" ref="AJ244:AJ256" si="211">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+IF(NOVIEMBRE!S245=0,"",NOVIEMBRE!S245)</f>
        <v>8002100-2</v>
      </c>
      <c r="T245" s="665" t="str">
        <f>+IF(NOVIEMBRE!T245=0,"",NOVIEMBRE!T245)</f>
        <v>Programas Especial 01</v>
      </c>
      <c r="U245" s="27">
        <f>+ENERO!U245</f>
        <v>0</v>
      </c>
      <c r="V245" s="15">
        <f>NOVIEMBRE!V245+DICIEMBRE!AL245</f>
        <v>-100000000</v>
      </c>
      <c r="W245" s="15">
        <f>NOVIEMBRE!W245+DICIEMBRE!AM245</f>
        <v>152517826</v>
      </c>
      <c r="X245" s="18">
        <f t="shared" si="205"/>
        <v>52517826</v>
      </c>
      <c r="Y245" s="19">
        <f>NOVIEMBRE!AA245</f>
        <v>0</v>
      </c>
      <c r="Z245" s="364">
        <v>0</v>
      </c>
      <c r="AA245" s="18">
        <f t="shared" si="206"/>
        <v>0</v>
      </c>
      <c r="AB245" s="19">
        <f>NOVIEMBRE!AD245</f>
        <v>0</v>
      </c>
      <c r="AC245" s="364">
        <v>0</v>
      </c>
      <c r="AD245" s="18">
        <f t="shared" si="207"/>
        <v>0</v>
      </c>
      <c r="AE245" s="19">
        <f>NOVIEMBRE!AG245</f>
        <v>0</v>
      </c>
      <c r="AF245" s="364">
        <v>0</v>
      </c>
      <c r="AG245" s="18">
        <f t="shared" si="208"/>
        <v>0</v>
      </c>
      <c r="AH245" s="19">
        <f t="shared" si="209"/>
        <v>52517826</v>
      </c>
      <c r="AI245" s="15">
        <f t="shared" si="210"/>
        <v>52517826</v>
      </c>
      <c r="AJ245" s="16">
        <f t="shared" si="211"/>
        <v>52517826</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+IF(NOVIEMBRE!S246=0,"",NOVIEMBRE!S246)</f>
        <v>8002100-3</v>
      </c>
      <c r="T246" s="665" t="str">
        <f>+IF(NOVIEMBRE!T246=0,"",NOVIEMBRE!T246)</f>
        <v>Programas Especial 02</v>
      </c>
      <c r="U246" s="27">
        <f>+ENERO!U246</f>
        <v>0</v>
      </c>
      <c r="V246" s="15">
        <f>NOVIEMBRE!V246+DICIEMBRE!AL246</f>
        <v>0</v>
      </c>
      <c r="W246" s="15">
        <f>NOVIEMBRE!W246+DICIEMBRE!AM246</f>
        <v>450000000</v>
      </c>
      <c r="X246" s="18">
        <f t="shared" si="205"/>
        <v>450000000</v>
      </c>
      <c r="Y246" s="19">
        <f>NOVIEMBRE!AA246</f>
        <v>403998600</v>
      </c>
      <c r="Z246" s="364">
        <v>0</v>
      </c>
      <c r="AA246" s="18">
        <f t="shared" si="206"/>
        <v>403998600</v>
      </c>
      <c r="AB246" s="19">
        <f>NOVIEMBRE!AD246</f>
        <v>154119100</v>
      </c>
      <c r="AC246" s="364">
        <v>249879500</v>
      </c>
      <c r="AD246" s="18">
        <f t="shared" si="207"/>
        <v>403998600</v>
      </c>
      <c r="AE246" s="19">
        <f>NOVIEMBRE!AG246</f>
        <v>116884000</v>
      </c>
      <c r="AF246" s="364">
        <v>287114600</v>
      </c>
      <c r="AG246" s="18">
        <f t="shared" si="208"/>
        <v>403998600</v>
      </c>
      <c r="AH246" s="19">
        <f t="shared" si="209"/>
        <v>46001400</v>
      </c>
      <c r="AI246" s="15">
        <f t="shared" si="210"/>
        <v>46001400</v>
      </c>
      <c r="AJ246" s="16">
        <f t="shared" si="211"/>
        <v>46001400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+IF(NOVIEMBRE!S247=0,"",NOVIEMBRE!S247)</f>
        <v>8002100-4</v>
      </c>
      <c r="T247" s="665" t="str">
        <f>+IF(NOVIEMBRE!T247=0,"",NOVIEMBRE!T247)</f>
        <v>Programas Especial 03</v>
      </c>
      <c r="U247" s="27">
        <f>+ENERO!U247</f>
        <v>0</v>
      </c>
      <c r="V247" s="15">
        <f>NOVIEMBRE!V247+DICIEMBRE!AL247</f>
        <v>0</v>
      </c>
      <c r="W247" s="15">
        <f>NOVIEMBRE!W247+DICIEMBRE!AM247</f>
        <v>193911300</v>
      </c>
      <c r="X247" s="18">
        <f t="shared" si="205"/>
        <v>193911300</v>
      </c>
      <c r="Y247" s="19">
        <f>NOVIEMBRE!AA247</f>
        <v>135471040</v>
      </c>
      <c r="Z247" s="364">
        <v>0</v>
      </c>
      <c r="AA247" s="18">
        <f t="shared" si="206"/>
        <v>135471040</v>
      </c>
      <c r="AB247" s="19">
        <f>NOVIEMBRE!AD247</f>
        <v>135471040</v>
      </c>
      <c r="AC247" s="364">
        <v>0</v>
      </c>
      <c r="AD247" s="18">
        <f t="shared" si="207"/>
        <v>135471040</v>
      </c>
      <c r="AE247" s="19">
        <f>NOVIEMBRE!AG247</f>
        <v>133299600</v>
      </c>
      <c r="AF247" s="364">
        <v>2171440</v>
      </c>
      <c r="AG247" s="18">
        <f t="shared" si="208"/>
        <v>135471040</v>
      </c>
      <c r="AH247" s="19">
        <f t="shared" si="209"/>
        <v>58440260</v>
      </c>
      <c r="AI247" s="15">
        <f t="shared" si="210"/>
        <v>58440260</v>
      </c>
      <c r="AJ247" s="16">
        <f t="shared" si="211"/>
        <v>58440260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+IF(NOVIEMBRE!S248=0,"",NOVIEMBRE!S248)</f>
        <v>8002100-5</v>
      </c>
      <c r="T248" s="665" t="str">
        <f>+IF(NOVIEMBRE!T248=0,"",NOVIEMBRE!T248)</f>
        <v>Programas Especial 04</v>
      </c>
      <c r="U248" s="27">
        <f>+ENERO!U248</f>
        <v>500000000</v>
      </c>
      <c r="V248" s="15">
        <f>NOVIEMBRE!V248+DICIEMBRE!AL248</f>
        <v>0</v>
      </c>
      <c r="W248" s="15">
        <f>NOVIEMBRE!W248+DICIEMBRE!AM248</f>
        <v>2619976000</v>
      </c>
      <c r="X248" s="18">
        <f t="shared" si="205"/>
        <v>3119976000</v>
      </c>
      <c r="Y248" s="19">
        <f>NOVIEMBRE!AA248</f>
        <v>2235396726</v>
      </c>
      <c r="Z248" s="364">
        <v>0</v>
      </c>
      <c r="AA248" s="18">
        <f t="shared" si="206"/>
        <v>2235396726</v>
      </c>
      <c r="AB248" s="19">
        <f>NOVIEMBRE!AD248</f>
        <v>2235396726</v>
      </c>
      <c r="AC248" s="364">
        <v>0</v>
      </c>
      <c r="AD248" s="18">
        <f t="shared" si="207"/>
        <v>2235396726</v>
      </c>
      <c r="AE248" s="19">
        <f>NOVIEMBRE!AG248</f>
        <v>2235396726</v>
      </c>
      <c r="AF248" s="364">
        <v>0</v>
      </c>
      <c r="AG248" s="18">
        <f t="shared" si="208"/>
        <v>2235396726</v>
      </c>
      <c r="AH248" s="19">
        <f t="shared" si="209"/>
        <v>884579274</v>
      </c>
      <c r="AI248" s="15">
        <f t="shared" si="210"/>
        <v>884579274</v>
      </c>
      <c r="AJ248" s="16">
        <f t="shared" si="211"/>
        <v>884579274</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+IF(NOVIEMBRE!S249=0,"",NOVIEMBRE!S249)</f>
        <v>8002100-6</v>
      </c>
      <c r="T249" s="665" t="str">
        <f>+IF(NOVIEMBRE!T249=0,"",NOVIEMBRE!T249)</f>
        <v>Programas Especial 05</v>
      </c>
      <c r="U249" s="27">
        <f>+ENERO!U249</f>
        <v>0</v>
      </c>
      <c r="V249" s="15">
        <f>NOVIEMBRE!V249+DICIEMBRE!AL249</f>
        <v>0</v>
      </c>
      <c r="W249" s="15">
        <f>NOVIEMBRE!W249+DICIEMBRE!AM249</f>
        <v>20000000</v>
      </c>
      <c r="X249" s="18">
        <f t="shared" si="205"/>
        <v>20000000</v>
      </c>
      <c r="Y249" s="19">
        <f>NOVIEMBRE!AA249</f>
        <v>0</v>
      </c>
      <c r="Z249" s="364">
        <v>0</v>
      </c>
      <c r="AA249" s="18">
        <f t="shared" si="206"/>
        <v>0</v>
      </c>
      <c r="AB249" s="19">
        <f>NOVIEMBRE!AD249</f>
        <v>0</v>
      </c>
      <c r="AC249" s="364">
        <v>0</v>
      </c>
      <c r="AD249" s="18">
        <f t="shared" si="207"/>
        <v>0</v>
      </c>
      <c r="AE249" s="19">
        <f>NOVIEMBRE!AG249</f>
        <v>0</v>
      </c>
      <c r="AF249" s="364">
        <v>0</v>
      </c>
      <c r="AG249" s="18">
        <f t="shared" si="208"/>
        <v>0</v>
      </c>
      <c r="AH249" s="19">
        <f t="shared" si="209"/>
        <v>20000000</v>
      </c>
      <c r="AI249" s="15">
        <f t="shared" si="210"/>
        <v>20000000</v>
      </c>
      <c r="AJ249" s="16">
        <f t="shared" si="211"/>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+IF(NOVIEMBRE!S250=0,"",NOVIEMBRE!S250)</f>
        <v>8002100-7</v>
      </c>
      <c r="T250" s="665" t="str">
        <f>+IF(NOVIEMBRE!T250=0,"",NOVIEMBRE!T250)</f>
        <v>Programas Especial 06</v>
      </c>
      <c r="U250" s="27">
        <f>+ENERO!U250</f>
        <v>0</v>
      </c>
      <c r="V250" s="15">
        <f>NOVIEMBRE!V250+DICIEMBRE!AL250</f>
        <v>0</v>
      </c>
      <c r="W250" s="15">
        <f>NOVIEMBRE!W250+DICIEMBRE!AM250</f>
        <v>9358200000</v>
      </c>
      <c r="X250" s="18">
        <f>SUM(U250:W250)</f>
        <v>9358200000</v>
      </c>
      <c r="Y250" s="19">
        <f>NOVIEMBRE!AA250</f>
        <v>3957453453</v>
      </c>
      <c r="Z250" s="364">
        <v>341471843</v>
      </c>
      <c r="AA250" s="18">
        <f>SUM(Y250:Z250)</f>
        <v>4298925296</v>
      </c>
      <c r="AB250" s="19">
        <f>NOVIEMBRE!AD250</f>
        <v>3444086771</v>
      </c>
      <c r="AC250" s="364">
        <v>854838525</v>
      </c>
      <c r="AD250" s="18">
        <f>SUM(AB250:AC250)</f>
        <v>4298925296</v>
      </c>
      <c r="AE250" s="19">
        <f>NOVIEMBRE!AG250</f>
        <v>2148853376</v>
      </c>
      <c r="AF250" s="364">
        <v>885287815</v>
      </c>
      <c r="AG250" s="18">
        <f>SUM(AE250:AF250)</f>
        <v>3034141191</v>
      </c>
      <c r="AH250" s="19">
        <f>X250-AA250</f>
        <v>5059274704</v>
      </c>
      <c r="AI250" s="15">
        <f>X250-AD250</f>
        <v>5059274704</v>
      </c>
      <c r="AJ250" s="16">
        <f>X250-AG250</f>
        <v>6324058809</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+IF(NOVIEMBRE!S251=0,"",NOVIEMBRE!S251)</f>
        <v>8002100-8</v>
      </c>
      <c r="T251" s="665" t="str">
        <f>+IF(NOVIEMBRE!T251=0,"",NOVIEMBRE!T251)</f>
        <v>Programas Especial 07</v>
      </c>
      <c r="U251" s="27">
        <f>+ENERO!U251</f>
        <v>0</v>
      </c>
      <c r="V251" s="15">
        <f>NOVIEMBRE!V251+DICIEMBRE!AL251</f>
        <v>0</v>
      </c>
      <c r="W251" s="15">
        <f>NOVIEMBRE!W251+DICIEMBRE!AM251</f>
        <v>0</v>
      </c>
      <c r="X251" s="18">
        <f>SUM(U251:W251)</f>
        <v>0</v>
      </c>
      <c r="Y251" s="19">
        <f>NOVIEMBRE!AA251</f>
        <v>0</v>
      </c>
      <c r="Z251" s="364">
        <v>0</v>
      </c>
      <c r="AA251" s="18">
        <f>SUM(Y251:Z251)</f>
        <v>0</v>
      </c>
      <c r="AB251" s="19">
        <f>NOVIEMBRE!AD251</f>
        <v>0</v>
      </c>
      <c r="AC251" s="364">
        <v>0</v>
      </c>
      <c r="AD251" s="18">
        <f>SUM(AB251:AC251)</f>
        <v>0</v>
      </c>
      <c r="AE251" s="19">
        <f>NOVIEMBRE!AG251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+IF(NOVIEMBRE!S252=0,"",NOVIEMBRE!S252)</f>
        <v>8002100-9</v>
      </c>
      <c r="T252" s="665" t="str">
        <f>+IF(NOVIEMBRE!T252=0,"",NOVIEMBRE!T252)</f>
        <v>Programas Especial 08</v>
      </c>
      <c r="U252" s="27">
        <f>+ENERO!U252</f>
        <v>0</v>
      </c>
      <c r="V252" s="15">
        <f>NOVIEMBRE!V252+DICIEMBRE!AL252</f>
        <v>0</v>
      </c>
      <c r="W252" s="15">
        <f>NOVIEMBRE!W252+DICIEMBRE!AM252</f>
        <v>0</v>
      </c>
      <c r="X252" s="18">
        <f>SUM(U252:W252)</f>
        <v>0</v>
      </c>
      <c r="Y252" s="19">
        <f>NOVIEMBRE!AA252</f>
        <v>0</v>
      </c>
      <c r="Z252" s="364">
        <v>0</v>
      </c>
      <c r="AA252" s="18">
        <f>SUM(Y252:Z252)</f>
        <v>0</v>
      </c>
      <c r="AB252" s="19">
        <f>NOVIEMBRE!AD252</f>
        <v>0</v>
      </c>
      <c r="AC252" s="364">
        <v>0</v>
      </c>
      <c r="AD252" s="18">
        <f>SUM(AB252:AC252)</f>
        <v>0</v>
      </c>
      <c r="AE252" s="19">
        <f>NOVIEMBRE!AG252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+IF(NOVIEMBRE!S253=0,"",NOVIEMBRE!S253)</f>
        <v>8002100-10</v>
      </c>
      <c r="T253" s="665" t="str">
        <f>+IF(NOVIEMBRE!T253=0,"",NOVIEMBRE!T253)</f>
        <v>Programas Especial 09</v>
      </c>
      <c r="U253" s="27">
        <f>+ENERO!U253</f>
        <v>0</v>
      </c>
      <c r="V253" s="15">
        <f>NOVIEMBRE!V253+DICIEMBRE!AL253</f>
        <v>0</v>
      </c>
      <c r="W253" s="15">
        <f>NOVIEMBRE!W253+DICIEMBRE!AM253</f>
        <v>0</v>
      </c>
      <c r="X253" s="18">
        <f>SUM(U253:W253)</f>
        <v>0</v>
      </c>
      <c r="Y253" s="19">
        <f>NOVIEMBRE!AA253</f>
        <v>0</v>
      </c>
      <c r="Z253" s="364">
        <v>0</v>
      </c>
      <c r="AA253" s="18">
        <f>SUM(Y253:Z253)</f>
        <v>0</v>
      </c>
      <c r="AB253" s="19">
        <f>NOVIEMBRE!AD253</f>
        <v>0</v>
      </c>
      <c r="AC253" s="364">
        <v>0</v>
      </c>
      <c r="AD253" s="18">
        <f>SUM(AB253:AC253)</f>
        <v>0</v>
      </c>
      <c r="AE253" s="19">
        <f>NOVIEMBRE!AG253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+IF(NOVIEMBRE!S254=0,"",NOVIEMBRE!S254)</f>
        <v>8002100-11</v>
      </c>
      <c r="T254" s="665" t="str">
        <f>+IF(NOVIEMBRE!T254=0,"",NOVIEMBRE!T254)</f>
        <v>Programas Especial 10</v>
      </c>
      <c r="U254" s="27">
        <f>+ENERO!U254</f>
        <v>0</v>
      </c>
      <c r="V254" s="15">
        <f>NOVIEMBRE!V254+DICIEMBRE!AL254</f>
        <v>0</v>
      </c>
      <c r="W254" s="15">
        <f>NOVIEMBRE!W254+DICIEMBRE!AM254</f>
        <v>0</v>
      </c>
      <c r="X254" s="18">
        <f>SUM(U254:W254)</f>
        <v>0</v>
      </c>
      <c r="Y254" s="19">
        <f>NOVIEMBRE!AA254</f>
        <v>0</v>
      </c>
      <c r="Z254" s="364">
        <v>0</v>
      </c>
      <c r="AA254" s="18">
        <f>SUM(Y254:Z254)</f>
        <v>0</v>
      </c>
      <c r="AB254" s="19">
        <f>NOVIEMBRE!AD254</f>
        <v>0</v>
      </c>
      <c r="AC254" s="364">
        <v>0</v>
      </c>
      <c r="AD254" s="18">
        <f>SUM(AB254:AC254)</f>
        <v>0</v>
      </c>
      <c r="AE254" s="19">
        <f>NOVIEMBRE!AG254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+IF(NOVIEMBRE!S255=0,"",NOVIEMBRE!S255)</f>
        <v>8002100-12</v>
      </c>
      <c r="T255" s="665" t="str">
        <f>+IF(NOVIEMBRE!T255=0,"",NOVIEMBRE!T255)</f>
        <v>Programas Especial 11</v>
      </c>
      <c r="U255" s="27">
        <f>+ENERO!U255</f>
        <v>0</v>
      </c>
      <c r="V255" s="15">
        <f>NOVIEMBRE!V255+DICIEMBRE!AL255</f>
        <v>0</v>
      </c>
      <c r="W255" s="15">
        <f>NOVIEMBRE!W255+DICIEMBRE!AM255</f>
        <v>0</v>
      </c>
      <c r="X255" s="18">
        <f t="shared" si="205"/>
        <v>0</v>
      </c>
      <c r="Y255" s="19">
        <f>NOVIEMBRE!AA255</f>
        <v>0</v>
      </c>
      <c r="Z255" s="364">
        <v>0</v>
      </c>
      <c r="AA255" s="18">
        <f t="shared" si="206"/>
        <v>0</v>
      </c>
      <c r="AB255" s="19">
        <f>NOVIEMBRE!AD255</f>
        <v>0</v>
      </c>
      <c r="AC255" s="364">
        <v>0</v>
      </c>
      <c r="AD255" s="18">
        <f t="shared" si="207"/>
        <v>0</v>
      </c>
      <c r="AE255" s="19">
        <f>NOVIEMBRE!AG255</f>
        <v>0</v>
      </c>
      <c r="AF255" s="364">
        <v>0</v>
      </c>
      <c r="AG255" s="18">
        <f t="shared" si="208"/>
        <v>0</v>
      </c>
      <c r="AH255" s="19">
        <f t="shared" si="209"/>
        <v>0</v>
      </c>
      <c r="AI255" s="15">
        <f t="shared" si="210"/>
        <v>0</v>
      </c>
      <c r="AJ255" s="16">
        <f t="shared" si="211"/>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+IF(NOVIEMBRE!S256=0,"",NOVIEMBRE!S256)</f>
        <v>8002999</v>
      </c>
      <c r="T256" s="680" t="str">
        <f>+IF(NOVIEMBRE!T256=0,"",NOVIEMBRE!T256)</f>
        <v>Vigencias Anteriores</v>
      </c>
      <c r="U256" s="133">
        <f>+ENERO!U256</f>
        <v>0</v>
      </c>
      <c r="V256" s="121">
        <f>NOVIEMBRE!V256+DICIEMBRE!AL256</f>
        <v>0</v>
      </c>
      <c r="W256" s="121">
        <f>NOVIEMBRE!W256+DICIEMBRE!AM256</f>
        <v>475291402</v>
      </c>
      <c r="X256" s="126">
        <f t="shared" si="205"/>
        <v>475291402</v>
      </c>
      <c r="Y256" s="124">
        <f>NOVIEMBRE!AA256</f>
        <v>465907484</v>
      </c>
      <c r="Z256" s="378">
        <v>0</v>
      </c>
      <c r="AA256" s="126">
        <f t="shared" si="206"/>
        <v>465907484</v>
      </c>
      <c r="AB256" s="124">
        <f>NOVIEMBRE!AD256</f>
        <v>465907484</v>
      </c>
      <c r="AC256" s="378">
        <v>0</v>
      </c>
      <c r="AD256" s="126">
        <f t="shared" si="207"/>
        <v>465907484</v>
      </c>
      <c r="AE256" s="124">
        <f>NOVIEMBRE!AG256</f>
        <v>465907484</v>
      </c>
      <c r="AF256" s="378">
        <v>0</v>
      </c>
      <c r="AG256" s="126">
        <f t="shared" si="208"/>
        <v>465907484</v>
      </c>
      <c r="AH256" s="124">
        <f t="shared" si="209"/>
        <v>9383918</v>
      </c>
      <c r="AI256" s="121">
        <f t="shared" si="210"/>
        <v>9383918</v>
      </c>
      <c r="AJ256" s="125">
        <f t="shared" si="211"/>
        <v>9383918</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+IF(NOVIEMBRE!S257=0,"",NOVIEMBRE!S257)</f>
        <v/>
      </c>
      <c r="T257" s="677" t="str">
        <f>+IF(NOVIEMBRE!T257=0,"",NOVIEMBRE!T257)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2">+(D10+D17+D113)-(V10+V193+V220+V232)</f>
        <v>0</v>
      </c>
      <c r="W258" s="330">
        <f t="shared" si="212"/>
        <v>0</v>
      </c>
      <c r="X258" s="330">
        <f t="shared" si="212"/>
        <v>0</v>
      </c>
      <c r="Y258" s="330">
        <f t="shared" si="212"/>
        <v>12679137758</v>
      </c>
      <c r="Z258" s="330">
        <f t="shared" si="212"/>
        <v>39400568557</v>
      </c>
      <c r="AA258" s="330">
        <f t="shared" si="212"/>
        <v>52079706315</v>
      </c>
      <c r="AB258" s="330">
        <f t="shared" si="212"/>
        <v>-7678396417.2399902</v>
      </c>
      <c r="AC258" s="330">
        <f t="shared" si="212"/>
        <v>21330393796</v>
      </c>
      <c r="AD258" s="330">
        <f t="shared" si="212"/>
        <v>13651997378.76001</v>
      </c>
      <c r="AE258" s="330">
        <f t="shared" si="212"/>
        <v>-80856186005</v>
      </c>
      <c r="AF258" s="330">
        <f t="shared" si="212"/>
        <v>15413012379.240002</v>
      </c>
      <c r="AG258" s="330">
        <f t="shared" si="212"/>
        <v>-82035324444</v>
      </c>
      <c r="AH258" s="330">
        <f t="shared" si="212"/>
        <v>-41161927256</v>
      </c>
      <c r="AI258" s="330">
        <f t="shared" si="212"/>
        <v>-20532103264</v>
      </c>
      <c r="AJ258" s="768">
        <f t="shared" si="212"/>
        <v>-55219790664</v>
      </c>
      <c r="AK258" s="9"/>
      <c r="AL258" s="328">
        <v>0</v>
      </c>
      <c r="AM258" s="329">
        <v>0</v>
      </c>
    </row>
    <row r="259" spans="1:39" ht="24.95" customHeight="1" thickBot="1">
      <c r="S259" s="971"/>
      <c r="T259" s="97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104549119960</v>
      </c>
    </row>
    <row r="260" spans="1:39" ht="24.95" customHeight="1" thickBot="1">
      <c r="S260" s="785" t="s">
        <v>562</v>
      </c>
      <c r="T260" s="786"/>
      <c r="U260" s="761">
        <f>+U8-U262</f>
        <v>62391028787</v>
      </c>
      <c r="V260" s="761">
        <f t="shared" ref="V260:AJ260" si="213">+V8-V262</f>
        <v>-3245127711</v>
      </c>
      <c r="W260" s="761">
        <f t="shared" si="213"/>
        <v>54846442778</v>
      </c>
      <c r="X260" s="761">
        <f t="shared" si="213"/>
        <v>113992343854</v>
      </c>
      <c r="Y260" s="761">
        <f t="shared" si="213"/>
        <v>82871063658</v>
      </c>
      <c r="Z260" s="761">
        <f t="shared" si="213"/>
        <v>-6206587696</v>
      </c>
      <c r="AA260" s="761">
        <f t="shared" si="213"/>
        <v>76664475962</v>
      </c>
      <c r="AB260" s="761">
        <f t="shared" si="213"/>
        <v>68384547853</v>
      </c>
      <c r="AC260" s="761">
        <f t="shared" si="213"/>
        <v>8279928109</v>
      </c>
      <c r="AD260" s="761">
        <f t="shared" si="213"/>
        <v>76664475962</v>
      </c>
      <c r="AE260" s="761">
        <f t="shared" si="213"/>
        <v>51276199153</v>
      </c>
      <c r="AF260" s="761">
        <f t="shared" si="213"/>
        <v>11330413401</v>
      </c>
      <c r="AG260" s="761">
        <f t="shared" si="213"/>
        <v>62606612554</v>
      </c>
      <c r="AH260" s="761">
        <f t="shared" si="213"/>
        <v>37327867892</v>
      </c>
      <c r="AI260" s="761">
        <f t="shared" si="213"/>
        <v>37327867892</v>
      </c>
      <c r="AJ260" s="762">
        <f t="shared" si="213"/>
        <v>51385731300</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c r="S262" s="787" t="s">
        <v>563</v>
      </c>
      <c r="T262" s="788"/>
      <c r="U262" s="765">
        <f>+SUMIF($T$8:$T$256,$T$33,U8:U256)</f>
        <v>4029331818</v>
      </c>
      <c r="V262" s="765">
        <f t="shared" ref="V262:AJ262" si="214">+SUMIF($T$8:$T$256,$T$33,V8:V256)</f>
        <v>3245127711</v>
      </c>
      <c r="W262" s="765">
        <f t="shared" si="214"/>
        <v>15988311725</v>
      </c>
      <c r="X262" s="765">
        <f t="shared" si="214"/>
        <v>23262771254</v>
      </c>
      <c r="Y262" s="765">
        <f t="shared" si="214"/>
        <v>20642721478</v>
      </c>
      <c r="Z262" s="765">
        <f t="shared" si="214"/>
        <v>-1214009588</v>
      </c>
      <c r="AA262" s="765">
        <f t="shared" si="214"/>
        <v>19428711890</v>
      </c>
      <c r="AB262" s="765">
        <f t="shared" si="214"/>
        <v>18670594127</v>
      </c>
      <c r="AC262" s="765">
        <f t="shared" si="214"/>
        <v>758117763</v>
      </c>
      <c r="AD262" s="765">
        <f t="shared" si="214"/>
        <v>19428711890</v>
      </c>
      <c r="AE262" s="765">
        <f t="shared" si="214"/>
        <v>18662207793</v>
      </c>
      <c r="AF262" s="765">
        <f t="shared" si="214"/>
        <v>766504097</v>
      </c>
      <c r="AG262" s="765">
        <f t="shared" si="214"/>
        <v>19428711890</v>
      </c>
      <c r="AH262" s="765">
        <f t="shared" si="214"/>
        <v>3834059364</v>
      </c>
      <c r="AI262" s="765">
        <f t="shared" si="214"/>
        <v>3834059364</v>
      </c>
      <c r="AJ262" s="789">
        <f t="shared" si="214"/>
        <v>3834059364</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564</v>
      </c>
      <c r="T264" s="764"/>
      <c r="U264" s="783">
        <f>+U260+U262</f>
        <v>66420360605</v>
      </c>
      <c r="V264" s="783">
        <f t="shared" ref="V264:AJ264" si="215">+V260+V262</f>
        <v>0</v>
      </c>
      <c r="W264" s="783">
        <f t="shared" si="215"/>
        <v>70834754503</v>
      </c>
      <c r="X264" s="783">
        <f t="shared" si="215"/>
        <v>137255115108</v>
      </c>
      <c r="Y264" s="783">
        <f t="shared" si="215"/>
        <v>103513785136</v>
      </c>
      <c r="Z264" s="783">
        <f t="shared" si="215"/>
        <v>-7420597284</v>
      </c>
      <c r="AA264" s="783">
        <f t="shared" si="215"/>
        <v>96093187852</v>
      </c>
      <c r="AB264" s="783">
        <f t="shared" si="215"/>
        <v>87055141980</v>
      </c>
      <c r="AC264" s="783">
        <f t="shared" si="215"/>
        <v>9038045872</v>
      </c>
      <c r="AD264" s="783">
        <f t="shared" si="215"/>
        <v>96093187852</v>
      </c>
      <c r="AE264" s="783">
        <f t="shared" si="215"/>
        <v>69938406946</v>
      </c>
      <c r="AF264" s="783">
        <f t="shared" si="215"/>
        <v>12096917498</v>
      </c>
      <c r="AG264" s="783">
        <f t="shared" si="215"/>
        <v>82035324444</v>
      </c>
      <c r="AH264" s="783">
        <f t="shared" si="215"/>
        <v>41161927256</v>
      </c>
      <c r="AI264" s="783">
        <f t="shared" si="215"/>
        <v>41161927256</v>
      </c>
      <c r="AJ264" s="784">
        <f t="shared" si="215"/>
        <v>55219790664</v>
      </c>
    </row>
  </sheetData>
  <sheetProtection password="E776" sheet="1" objects="1" scenarios="1" formatCells="0" formatColumns="0"/>
  <mergeCells count="49">
    <mergeCell ref="A1:B1"/>
    <mergeCell ref="A5:A6"/>
    <mergeCell ref="B5:B6"/>
    <mergeCell ref="B3:B4"/>
    <mergeCell ref="P3:P5"/>
    <mergeCell ref="C5:F5"/>
    <mergeCell ref="C1:J1"/>
    <mergeCell ref="G5:I5"/>
    <mergeCell ref="J5:L5"/>
    <mergeCell ref="F3:K4"/>
    <mergeCell ref="K1:N1"/>
    <mergeCell ref="D3:E4"/>
    <mergeCell ref="D2:E2"/>
    <mergeCell ref="S259:T259"/>
    <mergeCell ref="BM5:BM6"/>
    <mergeCell ref="AH2:AI2"/>
    <mergeCell ref="AH3:AI4"/>
    <mergeCell ref="AJ3:AJ4"/>
    <mergeCell ref="BM2:BO2"/>
    <mergeCell ref="BM3:BO3"/>
    <mergeCell ref="BB3:BC3"/>
    <mergeCell ref="BG2:BI2"/>
    <mergeCell ref="Y2:AG2"/>
    <mergeCell ref="T3:T4"/>
    <mergeCell ref="V2:X2"/>
    <mergeCell ref="Y3:AG4"/>
    <mergeCell ref="V3:X4"/>
    <mergeCell ref="AW4:AZ4"/>
    <mergeCell ref="BF5:BF6"/>
    <mergeCell ref="AL2:AM2"/>
    <mergeCell ref="BB2:BC2"/>
    <mergeCell ref="BL5:BL6"/>
    <mergeCell ref="M5:N5"/>
    <mergeCell ref="L2:M2"/>
    <mergeCell ref="L3:M4"/>
    <mergeCell ref="N3:N4"/>
    <mergeCell ref="P2:Q2"/>
    <mergeCell ref="AL3:AL5"/>
    <mergeCell ref="BG3:BI3"/>
    <mergeCell ref="Q3:Q5"/>
    <mergeCell ref="AH5:AJ5"/>
    <mergeCell ref="S5:S6"/>
    <mergeCell ref="T5:T6"/>
    <mergeCell ref="AB5:AD5"/>
    <mergeCell ref="AW19:AZ19"/>
    <mergeCell ref="BH5:BK5"/>
    <mergeCell ref="AE5:AG5"/>
    <mergeCell ref="AM3:AM5"/>
    <mergeCell ref="BR5:BR6"/>
  </mergeCells>
  <phoneticPr fontId="1" type="noConversion"/>
  <conditionalFormatting sqref="B5:B7">
    <cfRule type="expression" dxfId="0"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IR121"/>
  <sheetViews>
    <sheetView showGridLines="0" showZeros="0" view="pageBreakPreview" zoomScale="80" zoomScaleNormal="80" zoomScaleSheetLayoutView="80" workbookViewId="0">
      <selection activeCell="L11" sqref="L11"/>
    </sheetView>
  </sheetViews>
  <sheetFormatPr baseColWidth="10" defaultColWidth="0" defaultRowHeight="24.95" customHeight="1"/>
  <cols>
    <col min="1" max="1" width="1.5703125" style="583" customWidth="1"/>
    <col min="2" max="2" width="53.42578125" style="741" customWidth="1"/>
    <col min="3" max="3" width="37.42578125" style="583" customWidth="1"/>
    <col min="4" max="4" width="34.140625" style="583" customWidth="1"/>
    <col min="5" max="5" width="30" style="583" customWidth="1"/>
    <col min="6" max="17" width="15.85546875" style="583" customWidth="1"/>
    <col min="18" max="18" width="31" style="583" customWidth="1"/>
    <col min="19" max="19" width="2.85546875" style="574" customWidth="1"/>
    <col min="20" max="20" width="5.28515625" style="583" hidden="1" customWidth="1"/>
    <col min="21" max="16384" width="0" style="583" hidden="1"/>
  </cols>
  <sheetData>
    <row r="1" spans="1:19" s="574" customFormat="1" ht="40.5" customHeight="1">
      <c r="A1" s="572">
        <v>123</v>
      </c>
      <c r="B1" s="1030" t="s">
        <v>587</v>
      </c>
      <c r="C1" s="1030"/>
      <c r="D1" s="1030"/>
      <c r="E1" s="1030"/>
      <c r="F1" s="1030"/>
      <c r="G1" s="1030"/>
      <c r="H1" s="1030"/>
      <c r="I1" s="1030"/>
      <c r="J1" s="1030"/>
      <c r="K1" s="744" t="str">
        <f>+CONCATENATE("VIGENCIA ",INSTRUCCIONES!F3)</f>
        <v>VIGENCIA 2019</v>
      </c>
      <c r="L1" s="744"/>
      <c r="M1" s="744"/>
      <c r="N1" s="573"/>
      <c r="O1" s="573"/>
      <c r="P1" s="573"/>
      <c r="Q1" s="573"/>
      <c r="R1" s="573"/>
    </row>
    <row r="2" spans="1:19" s="578" customFormat="1" ht="24.95" customHeight="1">
      <c r="A2" s="575"/>
      <c r="B2" s="736"/>
      <c r="C2" s="576"/>
      <c r="D2" s="577"/>
      <c r="E2" s="577"/>
      <c r="F2" s="577"/>
      <c r="G2" s="577"/>
      <c r="H2" s="1031" t="str">
        <f>+IF((G4+I4+K4+M4)&gt;1,"OJO - SOLO DEBE SECCIONAR UNO DE LOS TRIMESTRES A LA VEZ","")</f>
        <v/>
      </c>
      <c r="I2" s="1031"/>
      <c r="J2" s="1031"/>
      <c r="K2" s="1031"/>
      <c r="L2" s="1031"/>
      <c r="M2" s="1031"/>
      <c r="N2" s="1031"/>
      <c r="O2" s="1031"/>
      <c r="P2" s="1031"/>
      <c r="Q2" s="1031"/>
      <c r="R2" s="1031"/>
      <c r="S2" s="574"/>
    </row>
    <row r="3" spans="1:19" s="578" customFormat="1" ht="45" customHeight="1">
      <c r="A3" s="575"/>
      <c r="B3" s="1036" t="str">
        <f>+CONCATENATE(INSTRUCCIONES!B5," - ",INSTRUCCIONES!B3)</f>
        <v>ESE HOSPITAL LA MARIA - MEDELLIN</v>
      </c>
      <c r="C3" s="1036"/>
      <c r="D3" s="1036"/>
      <c r="E3" s="1036"/>
      <c r="F3" s="1036"/>
      <c r="G3" s="1036"/>
      <c r="H3" s="1036"/>
      <c r="I3" s="1036"/>
      <c r="J3" s="1036"/>
      <c r="K3" s="1036"/>
      <c r="L3" s="1036"/>
      <c r="M3" s="1036"/>
      <c r="N3" s="579"/>
      <c r="O3" s="579"/>
      <c r="P3" s="579"/>
      <c r="Q3" s="579"/>
      <c r="R3" s="579"/>
    </row>
    <row r="4" spans="1:19" s="578" customFormat="1" ht="42" customHeight="1">
      <c r="A4" s="575"/>
      <c r="B4" s="1032" t="s">
        <v>377</v>
      </c>
      <c r="C4" s="1032"/>
      <c r="D4" s="1032"/>
      <c r="E4" s="806"/>
      <c r="F4" s="580" t="s">
        <v>369</v>
      </c>
      <c r="G4" s="141">
        <v>1</v>
      </c>
      <c r="H4" s="580" t="s">
        <v>370</v>
      </c>
      <c r="I4" s="141"/>
      <c r="J4" s="580" t="s">
        <v>371</v>
      </c>
      <c r="K4" s="141"/>
      <c r="L4" s="580" t="s">
        <v>372</v>
      </c>
      <c r="M4" s="141"/>
    </row>
    <row r="5" spans="1:19" s="574" customFormat="1" ht="24.95" customHeight="1" thickBot="1">
      <c r="A5" s="572"/>
      <c r="B5" s="737"/>
      <c r="C5" s="581"/>
      <c r="D5" s="581"/>
      <c r="E5" s="581"/>
      <c r="F5" s="582"/>
      <c r="G5" s="582"/>
      <c r="H5" s="582"/>
      <c r="I5" s="582"/>
      <c r="J5" s="582"/>
      <c r="K5" s="582"/>
      <c r="L5" s="582"/>
      <c r="M5" s="582"/>
      <c r="N5" s="582"/>
      <c r="O5" s="582"/>
      <c r="P5" s="582"/>
      <c r="Q5" s="582"/>
      <c r="R5" s="573"/>
    </row>
    <row r="6" spans="1:19" ht="24.95" customHeight="1" thickBot="1">
      <c r="B6" s="1014" t="s">
        <v>31</v>
      </c>
      <c r="C6" s="1019" t="s">
        <v>525</v>
      </c>
      <c r="D6" s="1019" t="s">
        <v>498</v>
      </c>
      <c r="E6" s="1020"/>
      <c r="F6" s="245" t="s">
        <v>373</v>
      </c>
      <c r="G6" s="246"/>
      <c r="H6" s="246"/>
      <c r="I6" s="246"/>
      <c r="J6" s="246"/>
      <c r="K6" s="246"/>
      <c r="L6" s="246"/>
      <c r="M6" s="246"/>
      <c r="N6" s="246"/>
      <c r="O6" s="246"/>
      <c r="P6" s="246"/>
      <c r="Q6" s="246"/>
      <c r="R6" s="1034" t="s">
        <v>374</v>
      </c>
    </row>
    <row r="7" spans="1:19" ht="24.95" customHeight="1" thickBot="1">
      <c r="B7" s="1033"/>
      <c r="C7" s="1021"/>
      <c r="D7" s="1021"/>
      <c r="E7" s="1022"/>
      <c r="F7" s="815" t="s">
        <v>9</v>
      </c>
      <c r="G7" s="816" t="s">
        <v>356</v>
      </c>
      <c r="H7" s="816" t="s">
        <v>357</v>
      </c>
      <c r="I7" s="816" t="s">
        <v>360</v>
      </c>
      <c r="J7" s="816" t="s">
        <v>361</v>
      </c>
      <c r="K7" s="816" t="s">
        <v>362</v>
      </c>
      <c r="L7" s="816" t="s">
        <v>363</v>
      </c>
      <c r="M7" s="816" t="s">
        <v>364</v>
      </c>
      <c r="N7" s="816" t="s">
        <v>365</v>
      </c>
      <c r="O7" s="816" t="s">
        <v>366</v>
      </c>
      <c r="P7" s="816" t="s">
        <v>367</v>
      </c>
      <c r="Q7" s="817" t="s">
        <v>368</v>
      </c>
      <c r="R7" s="1035"/>
    </row>
    <row r="8" spans="1:19" s="584" customFormat="1" ht="24.95" customHeight="1">
      <c r="B8" s="247" t="s">
        <v>55</v>
      </c>
      <c r="C8" s="530">
        <f>+DICIEMBRE!F10</f>
        <v>10176865038</v>
      </c>
      <c r="D8" s="1023">
        <f>+DICIEMBRE!I10</f>
        <v>10176865038</v>
      </c>
      <c r="E8" s="1024"/>
      <c r="F8" s="248">
        <f>+DICIEMBRE!L10</f>
        <v>10176865038</v>
      </c>
      <c r="G8" s="531">
        <f t="shared" ref="G8:Q8" si="0">F56</f>
        <v>11207581331</v>
      </c>
      <c r="H8" s="531">
        <f t="shared" si="0"/>
        <v>10990927117</v>
      </c>
      <c r="I8" s="531">
        <f t="shared" si="0"/>
        <v>10680383224</v>
      </c>
      <c r="J8" s="531">
        <f t="shared" si="0"/>
        <v>10174790384.150002</v>
      </c>
      <c r="K8" s="531">
        <f t="shared" si="0"/>
        <v>7990683727.7600021</v>
      </c>
      <c r="L8" s="531">
        <f t="shared" si="0"/>
        <v>15234213806.760002</v>
      </c>
      <c r="M8" s="531">
        <f t="shared" si="0"/>
        <v>11995649075.760002</v>
      </c>
      <c r="N8" s="531">
        <f t="shared" si="0"/>
        <v>12011926472.760002</v>
      </c>
      <c r="O8" s="531">
        <f t="shared" si="0"/>
        <v>11424060013.760002</v>
      </c>
      <c r="P8" s="531">
        <f t="shared" si="0"/>
        <v>10128777169.760002</v>
      </c>
      <c r="Q8" s="532">
        <f t="shared" si="0"/>
        <v>9438338616.7600021</v>
      </c>
      <c r="R8" s="810">
        <f>F8</f>
        <v>10176865038</v>
      </c>
      <c r="S8" s="585"/>
    </row>
    <row r="9" spans="1:19" s="584" customFormat="1" ht="24.95" customHeight="1">
      <c r="B9" s="249" t="s">
        <v>57</v>
      </c>
      <c r="C9" s="533">
        <f>C10+C18+C19+C20+C21+C22</f>
        <v>73575883736</v>
      </c>
      <c r="D9" s="1025">
        <f>D10+D18+D19+D20+D21+D22</f>
        <v>18494944434</v>
      </c>
      <c r="E9" s="1026" t="e">
        <f>E10+E18+E19+E20+#REF!+E21+E22</f>
        <v>#REF!</v>
      </c>
      <c r="F9" s="534">
        <f t="shared" ref="F9:R9" si="1">F10+F18+F19+F20+F21+F22</f>
        <v>93541219</v>
      </c>
      <c r="G9" s="535">
        <f t="shared" si="1"/>
        <v>1059327041</v>
      </c>
      <c r="H9" s="535">
        <f t="shared" si="1"/>
        <v>1967362211</v>
      </c>
      <c r="I9" s="535">
        <f t="shared" si="1"/>
        <v>7464871562.1499996</v>
      </c>
      <c r="J9" s="535">
        <f t="shared" si="1"/>
        <v>4442145855.9200001</v>
      </c>
      <c r="K9" s="535">
        <f t="shared" si="1"/>
        <v>11175052998</v>
      </c>
      <c r="L9" s="535">
        <f t="shared" si="1"/>
        <v>7011334888</v>
      </c>
      <c r="M9" s="535">
        <f t="shared" si="1"/>
        <v>3412571111</v>
      </c>
      <c r="N9" s="535">
        <f t="shared" si="1"/>
        <v>2803003725</v>
      </c>
      <c r="O9" s="535">
        <f t="shared" si="1"/>
        <v>6721510864</v>
      </c>
      <c r="P9" s="535">
        <f t="shared" si="1"/>
        <v>1834040266</v>
      </c>
      <c r="Q9" s="536">
        <f t="shared" si="1"/>
        <v>28371762136</v>
      </c>
      <c r="R9" s="811">
        <f t="shared" si="1"/>
        <v>76356523877.070007</v>
      </c>
      <c r="S9" s="585"/>
    </row>
    <row r="10" spans="1:19" s="584" customFormat="1" ht="24.95" customHeight="1">
      <c r="B10" s="250" t="s">
        <v>413</v>
      </c>
      <c r="C10" s="533">
        <f>C11+C12+C13+C14+C15+C16+C17</f>
        <v>65494812540</v>
      </c>
      <c r="D10" s="1025">
        <f t="shared" ref="D10:R10" si="2">D11+D12+D13+D14+D15+D16+D17</f>
        <v>18463103889</v>
      </c>
      <c r="E10" s="1026"/>
      <c r="F10" s="534">
        <f t="shared" si="2"/>
        <v>89250733</v>
      </c>
      <c r="G10" s="535">
        <f t="shared" si="2"/>
        <v>1055732147</v>
      </c>
      <c r="H10" s="535">
        <f t="shared" si="2"/>
        <v>1965251099</v>
      </c>
      <c r="I10" s="535">
        <f t="shared" si="2"/>
        <v>4106247793.1500001</v>
      </c>
      <c r="J10" s="535">
        <f t="shared" si="2"/>
        <v>4440020113.9200001</v>
      </c>
      <c r="K10" s="535">
        <f t="shared" si="2"/>
        <v>3173818706</v>
      </c>
      <c r="L10" s="535">
        <f t="shared" si="2"/>
        <v>3521766320</v>
      </c>
      <c r="M10" s="535">
        <f t="shared" si="2"/>
        <v>3410702619</v>
      </c>
      <c r="N10" s="535">
        <f t="shared" si="2"/>
        <v>2799349033</v>
      </c>
      <c r="O10" s="535">
        <f t="shared" si="2"/>
        <v>3241217176</v>
      </c>
      <c r="P10" s="535">
        <f t="shared" si="2"/>
        <v>1832556167</v>
      </c>
      <c r="Q10" s="536">
        <f t="shared" si="2"/>
        <v>8167164370</v>
      </c>
      <c r="R10" s="812">
        <f t="shared" si="2"/>
        <v>37803076277.07</v>
      </c>
      <c r="S10" s="585"/>
    </row>
    <row r="11" spans="1:19" s="584" customFormat="1" ht="24.95" customHeight="1">
      <c r="B11" s="738" t="s">
        <v>414</v>
      </c>
      <c r="C11" s="519">
        <f>MARZO!$BC11*$G$4+JUNIO!$BC11*$I$4+SEPTIEMBRE!$BC11*$K$4+DICIEMBRE!$BC11*$M$4</f>
        <v>32167564656</v>
      </c>
      <c r="D11" s="1012">
        <f>MARZO!$BD11*$G$4+JUNIO!$BD11*$I$4+SEPTIEMBRE!$BD11*$K$4+DICIEMBRE!$BD11*$M$4</f>
        <v>9639990031</v>
      </c>
      <c r="E11" s="1013"/>
      <c r="F11" s="251">
        <f>ENERO!$BE11</f>
        <v>0</v>
      </c>
      <c r="G11" s="252">
        <f>FEBRERO!$BE11</f>
        <v>0</v>
      </c>
      <c r="H11" s="252">
        <f>MARZO!$BE11</f>
        <v>130232753</v>
      </c>
      <c r="I11" s="252">
        <f>ABRIL!$BE11</f>
        <v>3016679918</v>
      </c>
      <c r="J11" s="252">
        <f>MAYO!$BE11</f>
        <v>2144510080</v>
      </c>
      <c r="K11" s="252">
        <f>JUNIO!$BE11</f>
        <v>2838955914</v>
      </c>
      <c r="L11" s="252">
        <f>JULIO!$BE11</f>
        <v>2634290212</v>
      </c>
      <c r="M11" s="252">
        <f>AGOSTO!$BE11</f>
        <v>2638725639</v>
      </c>
      <c r="N11" s="252">
        <f>SEPTIEMBRE!$BE11</f>
        <v>1816217328</v>
      </c>
      <c r="O11" s="252">
        <f>OCTUBRE!$BE11</f>
        <v>1925531612</v>
      </c>
      <c r="P11" s="252">
        <f>NOVIEMBRE!$BE11</f>
        <v>4084944</v>
      </c>
      <c r="Q11" s="523">
        <f>DICIEMBRE!$BE11</f>
        <v>3129359344</v>
      </c>
      <c r="R11" s="813">
        <f t="shared" ref="R11:R24" si="3">SUM(F11:Q11)</f>
        <v>20278587744</v>
      </c>
      <c r="S11" s="585"/>
    </row>
    <row r="12" spans="1:19" s="584" customFormat="1" ht="24.95" customHeight="1">
      <c r="B12" s="738" t="s">
        <v>415</v>
      </c>
      <c r="C12" s="519">
        <f>MARZO!$BC12*$G$4+JUNIO!$BC12*$I$4+SEPTIEMBRE!$BC12*$K$4+DICIEMBRE!$BC12*$M$4</f>
        <v>3087894380</v>
      </c>
      <c r="D12" s="1012">
        <f>MARZO!$BD12*$G$4+JUNIO!$BD12*$I$4+SEPTIEMBRE!$BD12*$K$4+DICIEMBRE!$BD12*$M$4</f>
        <v>962107221</v>
      </c>
      <c r="E12" s="1013"/>
      <c r="F12" s="251">
        <f>ENERO!$BE12</f>
        <v>0</v>
      </c>
      <c r="G12" s="252">
        <f>FEBRERO!$BE12</f>
        <v>0</v>
      </c>
      <c r="H12" s="252">
        <f>MARZO!$BE12</f>
        <v>971478</v>
      </c>
      <c r="I12" s="252">
        <f>ABRIL!$BE12</f>
        <v>136546399</v>
      </c>
      <c r="J12" s="252">
        <f>MAYO!$BE12</f>
        <v>201646</v>
      </c>
      <c r="K12" s="252">
        <f>JUNIO!$BE12</f>
        <v>45186883</v>
      </c>
      <c r="L12" s="252">
        <f>JULIO!$BE12</f>
        <v>383530594</v>
      </c>
      <c r="M12" s="252">
        <f>AGOSTO!$BE12</f>
        <v>168832926</v>
      </c>
      <c r="N12" s="252">
        <f>SEPTIEMBRE!$BE12</f>
        <v>58301683</v>
      </c>
      <c r="O12" s="252">
        <f>OCTUBRE!$BE12</f>
        <v>163837831</v>
      </c>
      <c r="P12" s="252">
        <f>NOVIEMBRE!$BE12</f>
        <v>227888881</v>
      </c>
      <c r="Q12" s="523">
        <f>DICIEMBRE!$BE12</f>
        <v>494568708</v>
      </c>
      <c r="R12" s="813">
        <f t="shared" si="3"/>
        <v>1679867029</v>
      </c>
      <c r="S12" s="585"/>
    </row>
    <row r="13" spans="1:19" s="584" customFormat="1" ht="24.95" customHeight="1">
      <c r="B13" s="738" t="s">
        <v>416</v>
      </c>
      <c r="C13" s="519">
        <f>MARZO!$BC13*$G$4+JUNIO!$BC13*$I$4+SEPTIEMBRE!$BC13*$K$4+DICIEMBRE!$BC13*$M$4</f>
        <v>8952361140</v>
      </c>
      <c r="D13" s="1012">
        <f>MARZO!$BD13*$G$4+JUNIO!$BD13*$I$4+SEPTIEMBRE!$BD13*$K$4+DICIEMBRE!$BD13*$M$4</f>
        <v>2783569794</v>
      </c>
      <c r="E13" s="1013"/>
      <c r="F13" s="251">
        <f>ENERO!$BE13</f>
        <v>0</v>
      </c>
      <c r="G13" s="252">
        <f>FEBRERO!$BE13</f>
        <v>110396695</v>
      </c>
      <c r="H13" s="252">
        <f>MARZO!$BE13</f>
        <v>518136620</v>
      </c>
      <c r="I13" s="252">
        <f>ABRIL!$BE13</f>
        <v>110453375</v>
      </c>
      <c r="J13" s="252">
        <f>MAYO!$BE13</f>
        <v>111106207</v>
      </c>
      <c r="K13" s="252">
        <f>JUNIO!$BE13</f>
        <v>110396695</v>
      </c>
      <c r="L13" s="252">
        <f>JULIO!$BE13</f>
        <v>110396695</v>
      </c>
      <c r="M13" s="252">
        <f>AGOSTO!$BE13</f>
        <v>110781598</v>
      </c>
      <c r="N13" s="252">
        <f>SEPTIEMBRE!$BE13</f>
        <v>110582566</v>
      </c>
      <c r="O13" s="252">
        <f>OCTUBRE!$BE13</f>
        <v>111016841</v>
      </c>
      <c r="P13" s="252">
        <f>NOVIEMBRE!$BE13</f>
        <v>789925962</v>
      </c>
      <c r="Q13" s="523">
        <f>DICIEMBRE!$BE13</f>
        <v>4171406202</v>
      </c>
      <c r="R13" s="813">
        <f t="shared" si="3"/>
        <v>6364599456</v>
      </c>
      <c r="S13" s="585"/>
    </row>
    <row r="14" spans="1:19" s="584" customFormat="1" ht="24.95" customHeight="1">
      <c r="B14" s="738" t="s">
        <v>616</v>
      </c>
      <c r="C14" s="519">
        <f>MARZO!$BC14*$G$4+JUNIO!$BC14*$I$4+SEPTIEMBRE!$BC14*$K$4+DICIEMBRE!$BC14*$M$4</f>
        <v>8371510292</v>
      </c>
      <c r="D14" s="1012">
        <f>MARZO!$BD14*$G$4+JUNIO!$BD14*$I$4+SEPTIEMBRE!$BD14*$K$4+DICIEMBRE!$BD14*$M$4</f>
        <v>2768797525</v>
      </c>
      <c r="E14" s="1013"/>
      <c r="F14" s="251">
        <f>ENERO!$BE14</f>
        <v>0</v>
      </c>
      <c r="G14" s="252">
        <f>FEBRERO!$BE14</f>
        <v>61647947</v>
      </c>
      <c r="H14" s="252">
        <f>MARZO!$BE14</f>
        <v>470185729</v>
      </c>
      <c r="I14" s="252">
        <f>ABRIL!$BE14</f>
        <v>229979961.15000001</v>
      </c>
      <c r="J14" s="252">
        <f>MAYO!$BE14</f>
        <v>328972730.92000002</v>
      </c>
      <c r="K14" s="252">
        <f>JUNIO!$BE14</f>
        <v>123863707</v>
      </c>
      <c r="L14" s="252">
        <f>JULIO!$BE14</f>
        <v>281232224</v>
      </c>
      <c r="M14" s="252">
        <f>AGOSTO!$BE14</f>
        <v>430057082</v>
      </c>
      <c r="N14" s="252">
        <f>SEPTIEMBRE!$BE14</f>
        <v>228542050</v>
      </c>
      <c r="O14" s="252">
        <f>OCTUBRE!$BE14</f>
        <v>360567621</v>
      </c>
      <c r="P14" s="252">
        <f>NOVIEMBRE!$BE14</f>
        <v>311897291</v>
      </c>
      <c r="Q14" s="523">
        <f>DICIEMBRE!$BE14</f>
        <v>309448188</v>
      </c>
      <c r="R14" s="813">
        <f t="shared" si="3"/>
        <v>3136394531.0699997</v>
      </c>
      <c r="S14" s="585"/>
    </row>
    <row r="15" spans="1:19" s="584" customFormat="1" ht="24.95" customHeight="1">
      <c r="B15" s="738" t="s">
        <v>617</v>
      </c>
      <c r="C15" s="519">
        <f>MARZO!$BC15*$G$4+JUNIO!$BC15*$I$4+SEPTIEMBRE!$BC15*$K$4+DICIEMBRE!$BC15*$M$4</f>
        <v>130489617</v>
      </c>
      <c r="D15" s="1012">
        <f>MARZO!$BD15*$G$4+JUNIO!$BD15*$I$4+SEPTIEMBRE!$BD15*$K$4+DICIEMBRE!$BD15*$M$4</f>
        <v>273127315</v>
      </c>
      <c r="E15" s="1013"/>
      <c r="F15" s="251">
        <f>ENERO!$BE15</f>
        <v>0</v>
      </c>
      <c r="G15" s="252">
        <f>FEBRERO!$BE15</f>
        <v>0</v>
      </c>
      <c r="H15" s="252">
        <f>MARZO!$BE15</f>
        <v>0</v>
      </c>
      <c r="I15" s="252">
        <f>ABRIL!$BE15</f>
        <v>0</v>
      </c>
      <c r="J15" s="252">
        <f>MAYO!$BE15</f>
        <v>0</v>
      </c>
      <c r="K15" s="252">
        <f>JUNIO!$BE15</f>
        <v>0</v>
      </c>
      <c r="L15" s="252">
        <f>JULIO!$BE15</f>
        <v>0</v>
      </c>
      <c r="M15" s="252">
        <f>AGOSTO!$BE15</f>
        <v>0</v>
      </c>
      <c r="N15" s="252">
        <f>SEPTIEMBRE!$BE15</f>
        <v>0</v>
      </c>
      <c r="O15" s="252">
        <f>OCTUBRE!$BE15</f>
        <v>0</v>
      </c>
      <c r="P15" s="252">
        <f>NOVIEMBRE!$BE15</f>
        <v>230100</v>
      </c>
      <c r="Q15" s="523">
        <f>DICIEMBRE!$BE15</f>
        <v>0</v>
      </c>
      <c r="R15" s="813">
        <f t="shared" si="3"/>
        <v>230100</v>
      </c>
      <c r="S15" s="585"/>
    </row>
    <row r="16" spans="1:19" s="584" customFormat="1" ht="24.95" customHeight="1">
      <c r="B16" s="738" t="s">
        <v>418</v>
      </c>
      <c r="C16" s="519">
        <f>MARZO!$BC16*$G$4+JUNIO!$BC16*$I$4+SEPTIEMBRE!$BC16*$K$4+DICIEMBRE!$BC16*$M$4</f>
        <v>0</v>
      </c>
      <c r="D16" s="1012">
        <f>MARZO!$BD16*$G$4+JUNIO!$BD16*$I$4+SEPTIEMBRE!$BD16*$K$4+DICIEMBRE!$BD16*$M$4</f>
        <v>0</v>
      </c>
      <c r="E16" s="1013"/>
      <c r="F16" s="251">
        <f>ENERO!$BE16</f>
        <v>0</v>
      </c>
      <c r="G16" s="252">
        <f>FEBRERO!$BE16</f>
        <v>0</v>
      </c>
      <c r="H16" s="252">
        <f>MARZO!$BE16</f>
        <v>0</v>
      </c>
      <c r="I16" s="252">
        <f>ABRIL!$BE16</f>
        <v>0</v>
      </c>
      <c r="J16" s="252">
        <f>MAYO!$BE16</f>
        <v>0</v>
      </c>
      <c r="K16" s="252">
        <f>JUNIO!$BE16</f>
        <v>0</v>
      </c>
      <c r="L16" s="252">
        <f>JULIO!$BE16</f>
        <v>0</v>
      </c>
      <c r="M16" s="252">
        <f>AGOSTO!$BE16</f>
        <v>0</v>
      </c>
      <c r="N16" s="252">
        <f>SEPTIEMBRE!$BE16</f>
        <v>0</v>
      </c>
      <c r="O16" s="252">
        <f>OCTUBRE!$BE16</f>
        <v>0</v>
      </c>
      <c r="P16" s="252">
        <f>NOVIEMBRE!$BE16</f>
        <v>0</v>
      </c>
      <c r="Q16" s="523">
        <f>DICIEMBRE!$BE16</f>
        <v>0</v>
      </c>
      <c r="R16" s="813">
        <f t="shared" si="3"/>
        <v>0</v>
      </c>
      <c r="S16" s="585"/>
    </row>
    <row r="17" spans="1:252" s="584" customFormat="1" ht="24.95" customHeight="1">
      <c r="B17" s="738" t="s">
        <v>419</v>
      </c>
      <c r="C17" s="519">
        <f>MARZO!$BC17*$G$4+JUNIO!$BC17*$I$4+SEPTIEMBRE!$BC17*$K$4+DICIEMBRE!$BC17*$M$4</f>
        <v>12784992455</v>
      </c>
      <c r="D17" s="1012">
        <f>MARZO!$BD17*$G$4+JUNIO!$BD17*$I$4+SEPTIEMBRE!$BD17*$K$4+DICIEMBRE!$BD17*$M$4</f>
        <v>2035512003</v>
      </c>
      <c r="E17" s="1013"/>
      <c r="F17" s="251">
        <f>ENERO!$BE17</f>
        <v>89250733</v>
      </c>
      <c r="G17" s="252">
        <f>FEBRERO!$BE17</f>
        <v>883687505</v>
      </c>
      <c r="H17" s="252">
        <f>MARZO!$BE17</f>
        <v>845724519</v>
      </c>
      <c r="I17" s="252">
        <f>ABRIL!$BE17</f>
        <v>612588140</v>
      </c>
      <c r="J17" s="252">
        <f>MAYO!$BE17</f>
        <v>1855229450</v>
      </c>
      <c r="K17" s="252">
        <f>JUNIO!$BE17</f>
        <v>55415507</v>
      </c>
      <c r="L17" s="252">
        <f>JULIO!$BE17</f>
        <v>112316595</v>
      </c>
      <c r="M17" s="252">
        <f>AGOSTO!$BE17</f>
        <v>62305374</v>
      </c>
      <c r="N17" s="252">
        <f>SEPTIEMBRE!$BE17</f>
        <v>585705406</v>
      </c>
      <c r="O17" s="252">
        <f>OCTUBRE!$BE17</f>
        <v>680263271</v>
      </c>
      <c r="P17" s="252">
        <f>NOVIEMBRE!$BE17</f>
        <v>498528989</v>
      </c>
      <c r="Q17" s="523">
        <f>DICIEMBRE!$BE17</f>
        <v>62381928</v>
      </c>
      <c r="R17" s="813">
        <f t="shared" si="3"/>
        <v>6343397417</v>
      </c>
      <c r="S17" s="585"/>
    </row>
    <row r="18" spans="1:252" s="584" customFormat="1" ht="36.75" customHeight="1">
      <c r="B18" s="537" t="s">
        <v>526</v>
      </c>
      <c r="C18" s="519">
        <f>+MARZO!$F95*$G$4+JUNIO!$F95*$I$4+SEPTIEMBRE!$F95*$K$4+DICIEMBRE!$F95*$M$4</f>
        <v>0</v>
      </c>
      <c r="D18" s="1012">
        <f>+MARZO!I95*$G$4+JUNIO!$I95*$I$4+SEPTIEMBRE!$I95*$K$4+DICIEMBRE!$I95*$M$4</f>
        <v>0</v>
      </c>
      <c r="E18" s="1013"/>
      <c r="F18" s="251">
        <f>+ENERO!$K$95</f>
        <v>0</v>
      </c>
      <c r="G18" s="252">
        <f>+FEBRERO!$K$95</f>
        <v>0</v>
      </c>
      <c r="H18" s="252">
        <f>+MARZO!$K$95</f>
        <v>0</v>
      </c>
      <c r="I18" s="252">
        <f>+ABRIL!$K$95</f>
        <v>0</v>
      </c>
      <c r="J18" s="252">
        <f>+MAYO!$K$95</f>
        <v>0</v>
      </c>
      <c r="K18" s="252">
        <f>+JUNIO!$K$95</f>
        <v>0</v>
      </c>
      <c r="L18" s="252">
        <f>+JULIO!$K$95</f>
        <v>0</v>
      </c>
      <c r="M18" s="252">
        <f>+AGOSTO!$K$95</f>
        <v>0</v>
      </c>
      <c r="N18" s="252">
        <f>+SEPTIEMBRE!$K$95</f>
        <v>0</v>
      </c>
      <c r="O18" s="252">
        <f>+OCTUBRE!$K$95</f>
        <v>0</v>
      </c>
      <c r="P18" s="252">
        <f>+NOVIEMBRE!$K$95</f>
        <v>0</v>
      </c>
      <c r="Q18" s="523">
        <f>+DICIEMBRE!$K$95</f>
        <v>0</v>
      </c>
      <c r="R18" s="813">
        <f t="shared" si="3"/>
        <v>0</v>
      </c>
      <c r="S18" s="585"/>
    </row>
    <row r="19" spans="1:252" s="584" customFormat="1" ht="32.25" customHeight="1">
      <c r="B19" s="537" t="s">
        <v>527</v>
      </c>
      <c r="C19" s="519">
        <f>+MARZO!$F96*$G$4+JUNIO!$F96*$I$4+SEPTIEMBRE!$F96*$K$4+DICIEMBRE!$F96*$M$4</f>
        <v>7982899073</v>
      </c>
      <c r="D19" s="1012">
        <f>+MARZO!I96*$G$4+JUNIO!$I96*$I$4+SEPTIEMBRE!$I96*$K$4+DICIEMBRE!$I96*$M$4</f>
        <v>0</v>
      </c>
      <c r="E19" s="1013"/>
      <c r="F19" s="251">
        <f>+ENERO!$K$96</f>
        <v>0</v>
      </c>
      <c r="G19" s="252">
        <f>+FEBRERO!$K$96</f>
        <v>0</v>
      </c>
      <c r="H19" s="252">
        <f>+MARZO!$K$96</f>
        <v>0</v>
      </c>
      <c r="I19" s="252">
        <f>+ABRIL!$K$96</f>
        <v>3354444422</v>
      </c>
      <c r="J19" s="252">
        <f>+MAYO!$K$96</f>
        <v>0</v>
      </c>
      <c r="K19" s="252">
        <f>+JUNIO!$K$96</f>
        <v>8000000000</v>
      </c>
      <c r="L19" s="252">
        <f>+JULIO!$K$96</f>
        <v>3458043932</v>
      </c>
      <c r="M19" s="252">
        <f>+AGOSTO!$K$96</f>
        <v>0</v>
      </c>
      <c r="N19" s="252">
        <f>+SEPTIEMBRE!$K$96</f>
        <v>0</v>
      </c>
      <c r="O19" s="252">
        <f>+OCTUBRE!$K$96</f>
        <v>3469774402</v>
      </c>
      <c r="P19" s="252">
        <f>+NOVIEMBRE!$K$96</f>
        <v>0</v>
      </c>
      <c r="Q19" s="523">
        <f>+DICIEMBRE!$K$96</f>
        <v>20200000000</v>
      </c>
      <c r="R19" s="813">
        <f t="shared" si="3"/>
        <v>38482262756</v>
      </c>
      <c r="S19" s="585"/>
    </row>
    <row r="20" spans="1:252" s="584" customFormat="1" ht="39.75" customHeight="1">
      <c r="B20" s="537" t="s">
        <v>528</v>
      </c>
      <c r="C20" s="519">
        <f>+MARZO!$F97*$G$4+JUNIO!$F97*$I$4+SEPTIEMBRE!$F97*$K$4+DICIEMBRE!$F97*$M$4</f>
        <v>0</v>
      </c>
      <c r="D20" s="1012">
        <f>+MARZO!I97*$G$4+JUNIO!$I97*$I$4+SEPTIEMBRE!$I97*$K$4+DICIEMBRE!$I97*$M$4</f>
        <v>0</v>
      </c>
      <c r="E20" s="1013"/>
      <c r="F20" s="251">
        <f>+ENERO!$K$97</f>
        <v>0</v>
      </c>
      <c r="G20" s="252">
        <f>+FEBRERO!$K$97</f>
        <v>0</v>
      </c>
      <c r="H20" s="252">
        <f>+MARZO!$K$97</f>
        <v>0</v>
      </c>
      <c r="I20" s="252">
        <f>+ABRIL!$K$97</f>
        <v>0</v>
      </c>
      <c r="J20" s="252">
        <f>+MAYO!$K$97</f>
        <v>0</v>
      </c>
      <c r="K20" s="252">
        <f>+JUNIO!$K$97</f>
        <v>0</v>
      </c>
      <c r="L20" s="252">
        <f>+JULIO!$K$97</f>
        <v>0</v>
      </c>
      <c r="M20" s="252">
        <f>+AGOSTO!$K$97</f>
        <v>0</v>
      </c>
      <c r="N20" s="252">
        <f>+SEPTIEMBRE!$K$97</f>
        <v>0</v>
      </c>
      <c r="O20" s="252">
        <f>+OCTUBRE!$K$97</f>
        <v>0</v>
      </c>
      <c r="P20" s="252">
        <f>+NOVIEMBRE!$K$97</f>
        <v>0</v>
      </c>
      <c r="Q20" s="523">
        <f>+DICIEMBRE!$K$97</f>
        <v>0</v>
      </c>
      <c r="R20" s="813">
        <f t="shared" si="3"/>
        <v>0</v>
      </c>
      <c r="S20" s="585"/>
    </row>
    <row r="21" spans="1:252" s="584" customFormat="1" ht="29.25" customHeight="1">
      <c r="B21" s="537" t="s">
        <v>559</v>
      </c>
      <c r="C21" s="519">
        <f>+MARZO!$F99*$G$4+JUNIO!$F99*$I$4+SEPTIEMBRE!$F99*$K$4+DICIEMBRE!$F99*$M$4</f>
        <v>0</v>
      </c>
      <c r="D21" s="1012">
        <f>+MARZO!$I99*$G$4+JUNIO!$I99*$I$4+SEPTIEMBRE!$I99*$K$4+DICIEMBRE!$I99*$M$4</f>
        <v>0</v>
      </c>
      <c r="E21" s="1013"/>
      <c r="F21" s="251">
        <f>+ENERO!$K$99</f>
        <v>0</v>
      </c>
      <c r="G21" s="252">
        <f>+FEBRERO!$K$99</f>
        <v>0</v>
      </c>
      <c r="H21" s="252">
        <f>+MARZO!$K$99</f>
        <v>0</v>
      </c>
      <c r="I21" s="252">
        <f>+ABRIL!$K$99</f>
        <v>0</v>
      </c>
      <c r="J21" s="252">
        <f>+MAYO!$K$99</f>
        <v>0</v>
      </c>
      <c r="K21" s="252">
        <f>+JUNIO!$K$99</f>
        <v>0</v>
      </c>
      <c r="L21" s="252">
        <f>+JULIO!$K$99</f>
        <v>0</v>
      </c>
      <c r="M21" s="252">
        <f>+AGOSTO!$K$99</f>
        <v>0</v>
      </c>
      <c r="N21" s="252">
        <f>+SEPTIEMBRE!$K$99</f>
        <v>0</v>
      </c>
      <c r="O21" s="252">
        <f>+OCTUBRE!$K$99</f>
        <v>0</v>
      </c>
      <c r="P21" s="252">
        <f>+NOVIEMBRE!$K$99</f>
        <v>0</v>
      </c>
      <c r="Q21" s="523">
        <f>+DICIEMBRE!$K$99</f>
        <v>0</v>
      </c>
      <c r="R21" s="813">
        <f t="shared" si="3"/>
        <v>0</v>
      </c>
      <c r="S21" s="585"/>
    </row>
    <row r="22" spans="1:252" s="584" customFormat="1" ht="24.95" customHeight="1">
      <c r="B22" s="537" t="s">
        <v>93</v>
      </c>
      <c r="C22" s="519">
        <f>MARZO!$BC19*$G$4+JUNIO!$BC19*$I$4+SEPTIEMBRE!$BC19*$K$4+DICIEMBRE!$BC19*$M$4</f>
        <v>98172123</v>
      </c>
      <c r="D22" s="1012">
        <f>MARZO!$BD19*$G$4+JUNIO!$BD19*$I$4+SEPTIEMBRE!$BD19*$K$4+DICIEMBRE!$BD19*$M$4</f>
        <v>31840545</v>
      </c>
      <c r="E22" s="1013"/>
      <c r="F22" s="251">
        <f>ENERO!$BE19</f>
        <v>4290486</v>
      </c>
      <c r="G22" s="252">
        <f>FEBRERO!$BE19</f>
        <v>3594894</v>
      </c>
      <c r="H22" s="252">
        <f>MARZO!$BE19</f>
        <v>2111112</v>
      </c>
      <c r="I22" s="252">
        <f>ABRIL!$BE19</f>
        <v>4179347</v>
      </c>
      <c r="J22" s="252">
        <f>MAYO!$BE19</f>
        <v>2125742</v>
      </c>
      <c r="K22" s="252">
        <f>JUNIO!$BE19</f>
        <v>1234292</v>
      </c>
      <c r="L22" s="252">
        <f>JULIO!$BE19</f>
        <v>31524636</v>
      </c>
      <c r="M22" s="252">
        <f>AGOSTO!$BE19</f>
        <v>1868492</v>
      </c>
      <c r="N22" s="252">
        <f>SEPTIEMBRE!$BE19</f>
        <v>3654692</v>
      </c>
      <c r="O22" s="252">
        <f>OCTUBRE!$BE19</f>
        <v>10519286</v>
      </c>
      <c r="P22" s="252">
        <f>NOVIEMBRE!$BE19</f>
        <v>1484099</v>
      </c>
      <c r="Q22" s="523">
        <f>DICIEMBRE!$BE19</f>
        <v>4597766</v>
      </c>
      <c r="R22" s="813">
        <f t="shared" si="3"/>
        <v>71184844</v>
      </c>
      <c r="S22" s="585"/>
    </row>
    <row r="23" spans="1:252" s="584" customFormat="1" ht="24.95" customHeight="1">
      <c r="B23" s="250" t="s">
        <v>421</v>
      </c>
      <c r="C23" s="533">
        <f>MARZO!$BC20*$G$4+JUNIO!$BC20*$I$4+SEPTIEMBRE!$BC20*$K$4+DICIEMBRE!$BC20*$M$4</f>
        <v>203293306</v>
      </c>
      <c r="D23" s="1025">
        <f>MARZO!$BD20*$G$4+JUNIO!$BD20*$I$4+SEPTIEMBRE!$BD20*$K$4+DICIEMBRE!$BD20*$M$4</f>
        <v>70324503</v>
      </c>
      <c r="E23" s="1026"/>
      <c r="F23" s="534">
        <f>ENERO!$BE20</f>
        <v>2997987</v>
      </c>
      <c r="G23" s="535">
        <f>FEBRERO!$BE20</f>
        <v>8782287</v>
      </c>
      <c r="H23" s="535">
        <f>MARZO!$BE20</f>
        <v>58544229</v>
      </c>
      <c r="I23" s="535">
        <f>ABRIL!$BE20</f>
        <v>3806233</v>
      </c>
      <c r="J23" s="535">
        <f>MAYO!$BE20</f>
        <v>52274365</v>
      </c>
      <c r="K23" s="535">
        <f>JUNIO!$BE20</f>
        <v>808246</v>
      </c>
      <c r="L23" s="535">
        <f>JULIO!$BE20</f>
        <v>458562713</v>
      </c>
      <c r="M23" s="535">
        <f>AGOSTO!$BE20</f>
        <v>8468613</v>
      </c>
      <c r="N23" s="535">
        <f>SEPTIEMBRE!$BE20</f>
        <v>8791380</v>
      </c>
      <c r="O23" s="535">
        <f>OCTUBRE!$BE20</f>
        <v>154293922</v>
      </c>
      <c r="P23" s="535">
        <f>NOVIEMBRE!$BE20</f>
        <v>21175100</v>
      </c>
      <c r="Q23" s="536">
        <f>DICIEMBRE!$BE20</f>
        <v>21433027</v>
      </c>
      <c r="R23" s="812">
        <f t="shared" si="3"/>
        <v>799938102</v>
      </c>
      <c r="S23" s="585"/>
    </row>
    <row r="24" spans="1:252" s="584" customFormat="1" ht="42.75" customHeight="1" thickBot="1">
      <c r="B24" s="253" t="s">
        <v>422</v>
      </c>
      <c r="C24" s="533">
        <f>MARZO!$BC21*$G$4+JUNIO!$BC21*$I$4+SEPTIEMBRE!$BC21*$K$4+DICIEMBRE!$BC21*$M$4</f>
        <v>10903031070</v>
      </c>
      <c r="D24" s="1028">
        <f>MARZO!$BD21*$G$4+JUNIO!$BD21*$I$4+SEPTIEMBRE!$BD21*$K$4+DICIEMBRE!$BD21*$M$4</f>
        <v>11507515594</v>
      </c>
      <c r="E24" s="1029"/>
      <c r="F24" s="520">
        <f>ENERO!$BE21</f>
        <v>4103647701</v>
      </c>
      <c r="G24" s="521">
        <f>FEBRERO!$BE21</f>
        <v>3122252530</v>
      </c>
      <c r="H24" s="521">
        <f>MARZO!$BE21</f>
        <v>4281615363</v>
      </c>
      <c r="I24" s="521">
        <f>ABRIL!$BE21</f>
        <v>156937893</v>
      </c>
      <c r="J24" s="521">
        <f>MAYO!$BE21</f>
        <v>130058137.69</v>
      </c>
      <c r="K24" s="521">
        <f>JUNIO!$BE21</f>
        <v>186327990</v>
      </c>
      <c r="L24" s="521">
        <f>JULIO!$BE21</f>
        <v>1477228970</v>
      </c>
      <c r="M24" s="521">
        <f>AGOSTO!$BE21</f>
        <v>643003193</v>
      </c>
      <c r="N24" s="521">
        <f>SEPTIEMBRE!$BE21</f>
        <v>2042239983</v>
      </c>
      <c r="O24" s="521">
        <f>OCTUBRE!$BE21</f>
        <v>1741918315</v>
      </c>
      <c r="P24" s="521">
        <f>NOVIEMBRE!$BE21</f>
        <v>2551383633</v>
      </c>
      <c r="Q24" s="524">
        <f>DICIEMBRE!$BE21</f>
        <v>1975244505</v>
      </c>
      <c r="R24" s="814">
        <f t="shared" si="3"/>
        <v>22411858213.690002</v>
      </c>
      <c r="S24" s="585"/>
    </row>
    <row r="25" spans="1:252" s="584" customFormat="1" ht="24.95" customHeight="1" thickBot="1">
      <c r="B25" s="538" t="s">
        <v>533</v>
      </c>
      <c r="C25" s="539">
        <f t="shared" ref="C25:R25" si="4">C8+C9+C23+C24</f>
        <v>94859073150</v>
      </c>
      <c r="D25" s="1010">
        <f t="shared" si="4"/>
        <v>40249649569</v>
      </c>
      <c r="E25" s="1011" t="e">
        <f t="shared" si="4"/>
        <v>#REF!</v>
      </c>
      <c r="F25" s="818">
        <f t="shared" si="4"/>
        <v>14377051945</v>
      </c>
      <c r="G25" s="819">
        <f t="shared" si="4"/>
        <v>15397943189</v>
      </c>
      <c r="H25" s="819">
        <f t="shared" si="4"/>
        <v>17298448920</v>
      </c>
      <c r="I25" s="819">
        <f t="shared" si="4"/>
        <v>18305998912.150002</v>
      </c>
      <c r="J25" s="819">
        <f t="shared" si="4"/>
        <v>14799268742.760002</v>
      </c>
      <c r="K25" s="819">
        <f t="shared" si="4"/>
        <v>19352872961.760002</v>
      </c>
      <c r="L25" s="819">
        <f t="shared" si="4"/>
        <v>24181340377.760002</v>
      </c>
      <c r="M25" s="819">
        <f t="shared" si="4"/>
        <v>16059691992.760002</v>
      </c>
      <c r="N25" s="819">
        <f t="shared" si="4"/>
        <v>16865961560.760002</v>
      </c>
      <c r="O25" s="819">
        <f t="shared" si="4"/>
        <v>20041783114.760002</v>
      </c>
      <c r="P25" s="819">
        <f t="shared" si="4"/>
        <v>14535376168.760002</v>
      </c>
      <c r="Q25" s="820">
        <f t="shared" si="4"/>
        <v>39806778284.760002</v>
      </c>
      <c r="R25" s="540">
        <f t="shared" si="4"/>
        <v>109745185230.76001</v>
      </c>
      <c r="S25" s="585"/>
    </row>
    <row r="26" spans="1:252" s="584" customFormat="1" ht="24.95" customHeight="1" thickBot="1">
      <c r="B26" s="254"/>
      <c r="C26" s="254"/>
      <c r="D26" s="255"/>
      <c r="E26" s="255"/>
      <c r="F26" s="255"/>
      <c r="G26" s="255"/>
      <c r="H26" s="255"/>
      <c r="I26" s="255"/>
      <c r="J26" s="255"/>
      <c r="K26" s="255"/>
      <c r="L26" s="255"/>
      <c r="M26" s="255"/>
      <c r="N26" s="255"/>
      <c r="O26" s="255"/>
      <c r="P26" s="255"/>
      <c r="Q26" s="255"/>
      <c r="R26" s="522"/>
      <c r="S26" s="585"/>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c r="CA26" s="586"/>
      <c r="CB26" s="586"/>
      <c r="CC26" s="586"/>
      <c r="CD26" s="586"/>
      <c r="CE26" s="586"/>
      <c r="CF26" s="586"/>
      <c r="CG26" s="586"/>
      <c r="CH26" s="586"/>
      <c r="CI26" s="586"/>
      <c r="CJ26" s="586"/>
      <c r="CK26" s="586"/>
      <c r="CL26" s="586"/>
      <c r="CM26" s="586"/>
      <c r="CN26" s="586"/>
      <c r="CO26" s="586"/>
      <c r="CP26" s="586"/>
      <c r="CQ26" s="586"/>
      <c r="CR26" s="586"/>
      <c r="CS26" s="586"/>
      <c r="CT26" s="586"/>
      <c r="CU26" s="586"/>
      <c r="CV26" s="586"/>
      <c r="CW26" s="586"/>
      <c r="CX26" s="586"/>
      <c r="CY26" s="586"/>
      <c r="CZ26" s="586"/>
      <c r="DA26" s="586"/>
      <c r="DB26" s="586"/>
      <c r="DC26" s="586"/>
      <c r="DD26" s="586"/>
      <c r="DE26" s="586"/>
      <c r="DF26" s="586"/>
      <c r="DG26" s="586"/>
      <c r="DH26" s="586"/>
      <c r="DI26" s="586"/>
      <c r="DJ26" s="586"/>
      <c r="DK26" s="586"/>
      <c r="DL26" s="586"/>
      <c r="DM26" s="586"/>
      <c r="DN26" s="586"/>
      <c r="DO26" s="586"/>
      <c r="DP26" s="586"/>
      <c r="DQ26" s="586"/>
      <c r="DR26" s="586"/>
      <c r="DS26" s="586"/>
      <c r="DT26" s="586"/>
      <c r="DU26" s="586"/>
      <c r="DV26" s="586"/>
      <c r="DW26" s="586"/>
      <c r="DX26" s="586"/>
      <c r="DY26" s="586"/>
      <c r="DZ26" s="586"/>
      <c r="EA26" s="586"/>
      <c r="EB26" s="586"/>
      <c r="EC26" s="586"/>
      <c r="ED26" s="586"/>
      <c r="EE26" s="586"/>
      <c r="EF26" s="586"/>
      <c r="EG26" s="586"/>
      <c r="EH26" s="586"/>
      <c r="EI26" s="586"/>
      <c r="EJ26" s="586"/>
      <c r="EK26" s="586"/>
      <c r="EL26" s="586"/>
      <c r="EM26" s="586"/>
      <c r="EN26" s="586"/>
      <c r="EO26" s="586"/>
      <c r="EP26" s="586"/>
      <c r="EQ26" s="586"/>
      <c r="ER26" s="586"/>
      <c r="ES26" s="586"/>
      <c r="ET26" s="586"/>
      <c r="EU26" s="586"/>
      <c r="EV26" s="586"/>
      <c r="EW26" s="586"/>
      <c r="EX26" s="586"/>
      <c r="EY26" s="586"/>
      <c r="EZ26" s="586"/>
      <c r="FA26" s="586"/>
      <c r="FB26" s="586"/>
      <c r="FC26" s="586"/>
      <c r="FD26" s="586"/>
      <c r="FE26" s="586"/>
      <c r="FF26" s="586"/>
      <c r="FG26" s="586"/>
      <c r="FH26" s="586"/>
      <c r="FI26" s="586"/>
      <c r="FJ26" s="586"/>
      <c r="FK26" s="586"/>
      <c r="FL26" s="586"/>
      <c r="FM26" s="586"/>
      <c r="FN26" s="586"/>
      <c r="FO26" s="586"/>
      <c r="FP26" s="586"/>
      <c r="FQ26" s="586"/>
      <c r="FR26" s="586"/>
      <c r="FS26" s="586"/>
      <c r="FT26" s="586"/>
      <c r="FU26" s="586"/>
      <c r="FV26" s="586"/>
      <c r="FW26" s="586"/>
      <c r="FX26" s="586"/>
      <c r="FY26" s="586"/>
      <c r="FZ26" s="586"/>
      <c r="GA26" s="586"/>
      <c r="GB26" s="586"/>
      <c r="GC26" s="586"/>
      <c r="GD26" s="586"/>
      <c r="GE26" s="586"/>
      <c r="GF26" s="586"/>
      <c r="GG26" s="586"/>
      <c r="GH26" s="586"/>
      <c r="GI26" s="586"/>
      <c r="GJ26" s="586"/>
      <c r="GK26" s="586"/>
      <c r="GL26" s="586"/>
      <c r="GM26" s="586"/>
      <c r="GN26" s="586"/>
      <c r="GO26" s="586"/>
      <c r="GP26" s="586"/>
      <c r="GQ26" s="586"/>
      <c r="GR26" s="586"/>
      <c r="GS26" s="586"/>
      <c r="GT26" s="586"/>
      <c r="GU26" s="586"/>
      <c r="GV26" s="586"/>
      <c r="GW26" s="586"/>
      <c r="GX26" s="586"/>
      <c r="GY26" s="586"/>
      <c r="GZ26" s="586"/>
      <c r="HA26" s="586"/>
      <c r="HB26" s="586"/>
      <c r="HC26" s="586"/>
      <c r="HD26" s="586"/>
      <c r="HE26" s="586"/>
      <c r="HF26" s="586"/>
      <c r="HG26" s="586"/>
      <c r="HH26" s="586"/>
      <c r="HI26" s="586"/>
      <c r="HJ26" s="586"/>
      <c r="HK26" s="586"/>
      <c r="HL26" s="586"/>
      <c r="HM26" s="586"/>
      <c r="HN26" s="586"/>
      <c r="HO26" s="586"/>
      <c r="HP26" s="586"/>
      <c r="HQ26" s="586"/>
      <c r="HR26" s="586"/>
      <c r="HS26" s="586"/>
      <c r="HT26" s="586"/>
      <c r="HU26" s="586"/>
      <c r="HV26" s="586"/>
      <c r="HW26" s="586"/>
      <c r="HX26" s="586"/>
      <c r="HY26" s="586"/>
      <c r="HZ26" s="586"/>
      <c r="IA26" s="586"/>
      <c r="IB26" s="586"/>
      <c r="IC26" s="586"/>
      <c r="ID26" s="586"/>
      <c r="IE26" s="586"/>
      <c r="IF26" s="586"/>
      <c r="IG26" s="586"/>
      <c r="IH26" s="586"/>
      <c r="II26" s="586"/>
      <c r="IJ26" s="586"/>
      <c r="IK26" s="586"/>
      <c r="IL26" s="586"/>
      <c r="IM26" s="586"/>
      <c r="IN26" s="586"/>
      <c r="IO26" s="586"/>
      <c r="IP26" s="586"/>
      <c r="IQ26" s="586"/>
      <c r="IR26" s="586"/>
    </row>
    <row r="27" spans="1:252" s="584" customFormat="1" ht="24.95" customHeight="1" thickBot="1">
      <c r="A27" s="587"/>
      <c r="B27" s="1014" t="s">
        <v>32</v>
      </c>
      <c r="C27" s="1019" t="s">
        <v>525</v>
      </c>
      <c r="D27" s="1016" t="s">
        <v>499</v>
      </c>
      <c r="E27" s="1016" t="s">
        <v>500</v>
      </c>
      <c r="F27" s="560" t="s">
        <v>375</v>
      </c>
      <c r="G27" s="246"/>
      <c r="H27" s="246"/>
      <c r="I27" s="246"/>
      <c r="J27" s="246"/>
      <c r="K27" s="246"/>
      <c r="L27" s="246"/>
      <c r="M27" s="246"/>
      <c r="N27" s="246"/>
      <c r="O27" s="246"/>
      <c r="P27" s="246"/>
      <c r="Q27" s="246"/>
      <c r="R27" s="1016" t="s">
        <v>376</v>
      </c>
      <c r="S27" s="585"/>
    </row>
    <row r="28" spans="1:252" s="584" customFormat="1" ht="24.95" customHeight="1" thickBot="1">
      <c r="A28" s="587"/>
      <c r="B28" s="1015"/>
      <c r="C28" s="1027"/>
      <c r="D28" s="1017"/>
      <c r="E28" s="1018"/>
      <c r="F28" s="562" t="str">
        <f t="shared" ref="F28:Q28" si="5">+F7</f>
        <v>ENERO</v>
      </c>
      <c r="G28" s="563" t="str">
        <f t="shared" si="5"/>
        <v>FEBRERO</v>
      </c>
      <c r="H28" s="563" t="str">
        <f t="shared" si="5"/>
        <v>MARZO</v>
      </c>
      <c r="I28" s="563" t="str">
        <f t="shared" si="5"/>
        <v>ABRIL</v>
      </c>
      <c r="J28" s="563" t="str">
        <f t="shared" si="5"/>
        <v>MAYO</v>
      </c>
      <c r="K28" s="563" t="str">
        <f t="shared" si="5"/>
        <v>JUNIO</v>
      </c>
      <c r="L28" s="563" t="str">
        <f t="shared" si="5"/>
        <v>JULIO</v>
      </c>
      <c r="M28" s="563" t="str">
        <f t="shared" si="5"/>
        <v>AGOSTO</v>
      </c>
      <c r="N28" s="563" t="str">
        <f t="shared" si="5"/>
        <v>SEPTIEMBRE</v>
      </c>
      <c r="O28" s="563" t="str">
        <f t="shared" si="5"/>
        <v>OCTUBRE</v>
      </c>
      <c r="P28" s="563" t="str">
        <f t="shared" si="5"/>
        <v>NOVIEMBRE</v>
      </c>
      <c r="Q28" s="564" t="str">
        <f t="shared" si="5"/>
        <v>DICIEMBRE</v>
      </c>
      <c r="R28" s="1017"/>
      <c r="S28" s="585"/>
    </row>
    <row r="29" spans="1:252" s="584" customFormat="1" ht="24.95" customHeight="1">
      <c r="A29" s="587"/>
      <c r="B29" s="546" t="s">
        <v>54</v>
      </c>
      <c r="C29" s="527">
        <f>+C30+C38+C45</f>
        <v>47418642562</v>
      </c>
      <c r="D29" s="527">
        <f t="shared" ref="D29:R29" si="6">+D30+D38+D45</f>
        <v>28760720684</v>
      </c>
      <c r="E29" s="528">
        <f t="shared" si="6"/>
        <v>8958488030</v>
      </c>
      <c r="F29" s="525">
        <f t="shared" si="6"/>
        <v>598898298</v>
      </c>
      <c r="G29" s="526">
        <f t="shared" si="6"/>
        <v>883441915</v>
      </c>
      <c r="H29" s="526">
        <f t="shared" si="6"/>
        <v>1366832750</v>
      </c>
      <c r="I29" s="526">
        <f t="shared" si="6"/>
        <v>2135435337</v>
      </c>
      <c r="J29" s="526">
        <f t="shared" si="6"/>
        <v>2840690868</v>
      </c>
      <c r="K29" s="526">
        <f t="shared" si="6"/>
        <v>2206463245</v>
      </c>
      <c r="L29" s="526">
        <f t="shared" si="6"/>
        <v>4386202402</v>
      </c>
      <c r="M29" s="526">
        <f t="shared" si="6"/>
        <v>2256889683</v>
      </c>
      <c r="N29" s="526">
        <f t="shared" si="6"/>
        <v>3346224277</v>
      </c>
      <c r="O29" s="526">
        <f t="shared" si="6"/>
        <v>3246224342</v>
      </c>
      <c r="P29" s="526">
        <f t="shared" si="6"/>
        <v>3335048392</v>
      </c>
      <c r="Q29" s="566">
        <f t="shared" si="6"/>
        <v>4967037334</v>
      </c>
      <c r="R29" s="529">
        <f t="shared" si="6"/>
        <v>31569388843</v>
      </c>
      <c r="S29" s="585"/>
    </row>
    <row r="30" spans="1:252" s="584" customFormat="1" ht="24.95" customHeight="1">
      <c r="A30" s="587"/>
      <c r="B30" s="547" t="s">
        <v>60</v>
      </c>
      <c r="C30" s="529">
        <f>+C31+C37</f>
        <v>34464468891</v>
      </c>
      <c r="D30" s="529">
        <f t="shared" ref="D30:R30" si="7">+D31+D37</f>
        <v>21988332859</v>
      </c>
      <c r="E30" s="529">
        <f t="shared" si="7"/>
        <v>6416351333</v>
      </c>
      <c r="F30" s="567">
        <f t="shared" si="7"/>
        <v>378473908</v>
      </c>
      <c r="G30" s="552">
        <f t="shared" si="7"/>
        <v>520007578</v>
      </c>
      <c r="H30" s="552">
        <f t="shared" si="7"/>
        <v>733830162</v>
      </c>
      <c r="I30" s="552">
        <f t="shared" si="7"/>
        <v>1503679877</v>
      </c>
      <c r="J30" s="552">
        <f t="shared" si="7"/>
        <v>1902976505</v>
      </c>
      <c r="K30" s="552">
        <f t="shared" si="7"/>
        <v>1473718479</v>
      </c>
      <c r="L30" s="552">
        <f t="shared" si="7"/>
        <v>2723596779</v>
      </c>
      <c r="M30" s="552">
        <f t="shared" si="7"/>
        <v>1682426983</v>
      </c>
      <c r="N30" s="552">
        <f t="shared" si="7"/>
        <v>2640165133</v>
      </c>
      <c r="O30" s="552">
        <f t="shared" si="7"/>
        <v>2182165441</v>
      </c>
      <c r="P30" s="552">
        <f t="shared" si="7"/>
        <v>2579709817</v>
      </c>
      <c r="Q30" s="568">
        <f t="shared" si="7"/>
        <v>3372304294</v>
      </c>
      <c r="R30" s="529">
        <f t="shared" si="7"/>
        <v>21693054956</v>
      </c>
      <c r="S30" s="585"/>
    </row>
    <row r="31" spans="1:252" s="584" customFormat="1" ht="24.95" customHeight="1">
      <c r="A31" s="587"/>
      <c r="B31" s="739" t="s">
        <v>423</v>
      </c>
      <c r="C31" s="553">
        <f>+C32+C36</f>
        <v>11066915508</v>
      </c>
      <c r="D31" s="553">
        <f t="shared" ref="D31:R31" si="8">+D32+D36</f>
        <v>1102570498</v>
      </c>
      <c r="E31" s="553">
        <f t="shared" si="8"/>
        <v>1102550498</v>
      </c>
      <c r="F31" s="544">
        <f t="shared" si="8"/>
        <v>284278135</v>
      </c>
      <c r="G31" s="545">
        <f t="shared" si="8"/>
        <v>405853366</v>
      </c>
      <c r="H31" s="545">
        <f t="shared" si="8"/>
        <v>387132327</v>
      </c>
      <c r="I31" s="545">
        <f t="shared" si="8"/>
        <v>393635178</v>
      </c>
      <c r="J31" s="545">
        <f t="shared" si="8"/>
        <v>394719162</v>
      </c>
      <c r="K31" s="545">
        <f t="shared" si="8"/>
        <v>561876416</v>
      </c>
      <c r="L31" s="545">
        <f t="shared" si="8"/>
        <v>477552457</v>
      </c>
      <c r="M31" s="545">
        <f t="shared" si="8"/>
        <v>451849150</v>
      </c>
      <c r="N31" s="545">
        <f t="shared" si="8"/>
        <v>420350230</v>
      </c>
      <c r="O31" s="545">
        <f t="shared" si="8"/>
        <v>405937001</v>
      </c>
      <c r="P31" s="545">
        <f t="shared" si="8"/>
        <v>736820518</v>
      </c>
      <c r="Q31" s="569">
        <f t="shared" si="8"/>
        <v>574385870</v>
      </c>
      <c r="R31" s="553">
        <f t="shared" si="8"/>
        <v>5494389810</v>
      </c>
      <c r="S31" s="585"/>
    </row>
    <row r="32" spans="1:252" s="584" customFormat="1" ht="24.95" customHeight="1">
      <c r="A32" s="587"/>
      <c r="B32" s="739" t="s">
        <v>529</v>
      </c>
      <c r="C32" s="553">
        <f>SUM(C33:C35)</f>
        <v>7152685503</v>
      </c>
      <c r="D32" s="553">
        <f t="shared" ref="D32:R32" si="9">SUM(D33:D35)</f>
        <v>884354973</v>
      </c>
      <c r="E32" s="553">
        <f t="shared" si="9"/>
        <v>884334973</v>
      </c>
      <c r="F32" s="544">
        <f t="shared" si="9"/>
        <v>284278135</v>
      </c>
      <c r="G32" s="545">
        <f t="shared" si="9"/>
        <v>309300571</v>
      </c>
      <c r="H32" s="545">
        <f t="shared" si="9"/>
        <v>290756267</v>
      </c>
      <c r="I32" s="545">
        <f t="shared" si="9"/>
        <v>297894779</v>
      </c>
      <c r="J32" s="545">
        <f t="shared" si="9"/>
        <v>298598853</v>
      </c>
      <c r="K32" s="545">
        <f t="shared" si="9"/>
        <v>467473048</v>
      </c>
      <c r="L32" s="545">
        <f t="shared" si="9"/>
        <v>368214824</v>
      </c>
      <c r="M32" s="545">
        <f t="shared" si="9"/>
        <v>351567299</v>
      </c>
      <c r="N32" s="545">
        <f t="shared" si="9"/>
        <v>305655341</v>
      </c>
      <c r="O32" s="545">
        <f t="shared" si="9"/>
        <v>303837770</v>
      </c>
      <c r="P32" s="545">
        <f t="shared" si="9"/>
        <v>637893767</v>
      </c>
      <c r="Q32" s="569">
        <f t="shared" si="9"/>
        <v>362573019</v>
      </c>
      <c r="R32" s="553">
        <f t="shared" si="9"/>
        <v>4278043673</v>
      </c>
      <c r="S32" s="585"/>
    </row>
    <row r="33" spans="1:19" s="584" customFormat="1" ht="24.95" customHeight="1">
      <c r="A33" s="587"/>
      <c r="B33" s="740" t="s">
        <v>425</v>
      </c>
      <c r="C33" s="554">
        <f>MARZO!$BN10*$G$4+JUNIO!$BN10*$I$4+SEPTIEMBRE!$BN10*$K$4+DICIEMBRE!$BN10*$M$4</f>
        <v>5293004812</v>
      </c>
      <c r="D33" s="554">
        <f>MARZO!$BO10*$G$4+JUNIO!$BO10*$I$4+SEPTIEMBRE!$BO10*$K$4+DICIEMBRE!$BO10*$M$4</f>
        <v>809953121</v>
      </c>
      <c r="E33" s="554">
        <f>MARZO!$BP10*$G$4+JUNIO!$BP10*$I$4+SEPTIEMBRE!$BP10*$K$4+DICIEMBRE!$BP10*$M$4</f>
        <v>809933121</v>
      </c>
      <c r="F33" s="256">
        <f>ENERO!$BQ10</f>
        <v>261283380</v>
      </c>
      <c r="G33" s="257">
        <f>FEBRERO!$BQ10</f>
        <v>279905055</v>
      </c>
      <c r="H33" s="257">
        <f>MARZO!$BQ10</f>
        <v>268744686</v>
      </c>
      <c r="I33" s="257">
        <f>ABRIL!$BQ10</f>
        <v>269651065</v>
      </c>
      <c r="J33" s="257">
        <f>MAYO!$BQ10</f>
        <v>271548212</v>
      </c>
      <c r="K33" s="257">
        <f>JUNIO!$BQ10</f>
        <v>292637595</v>
      </c>
      <c r="L33" s="257">
        <f>JULIO!$BQ10</f>
        <v>292209855</v>
      </c>
      <c r="M33" s="257">
        <f>AGOSTO!$BQ10</f>
        <v>307053130</v>
      </c>
      <c r="N33" s="257">
        <f>SEPTIEMBRE!$BQ10</f>
        <v>281327867</v>
      </c>
      <c r="O33" s="257">
        <f>OCTUBRE!$BQ10</f>
        <v>280984762</v>
      </c>
      <c r="P33" s="257">
        <f>NOVIEMBRE!$BQ10</f>
        <v>292652407</v>
      </c>
      <c r="Q33" s="570">
        <f>DICIEMBRE!$BQ10</f>
        <v>297491343</v>
      </c>
      <c r="R33" s="541">
        <f t="shared" ref="R33:R54" si="10">SUM(F33:Q33)</f>
        <v>3395489357</v>
      </c>
      <c r="S33" s="585"/>
    </row>
    <row r="34" spans="1:19" s="584" customFormat="1" ht="24.95" customHeight="1">
      <c r="A34" s="587"/>
      <c r="B34" s="740" t="s">
        <v>426</v>
      </c>
      <c r="C34" s="554">
        <f>MARZO!$BN11*$G$4+JUNIO!$BN11*$I$4+SEPTIEMBRE!$BN11*$K$4+DICIEMBRE!$BN11*$M$4</f>
        <v>336902465</v>
      </c>
      <c r="D34" s="554">
        <f>MARZO!$BO11*$G$4+JUNIO!$BO11*$I$4+SEPTIEMBRE!$BO11*$K$4+DICIEMBRE!$BO11*$M$4</f>
        <v>23406858</v>
      </c>
      <c r="E34" s="554">
        <f>MARZO!$BP11*$G$4+JUNIO!$BP11*$I$4+SEPTIEMBRE!$BP11*$K$4+DICIEMBRE!$BP11*$M$4</f>
        <v>23406858</v>
      </c>
      <c r="F34" s="256">
        <f>ENERO!$BQ11</f>
        <v>0</v>
      </c>
      <c r="G34" s="257">
        <f>FEBRERO!$BQ11</f>
        <v>12213669</v>
      </c>
      <c r="H34" s="257">
        <f>MARZO!$BQ11</f>
        <v>11193189</v>
      </c>
      <c r="I34" s="257">
        <f>ABRIL!$BQ11</f>
        <v>12765132</v>
      </c>
      <c r="J34" s="257">
        <f>MAYO!$BQ11</f>
        <v>10856098</v>
      </c>
      <c r="K34" s="257">
        <f>JUNIO!$BQ11</f>
        <v>10706039</v>
      </c>
      <c r="L34" s="257">
        <f>JULIO!$BQ11</f>
        <v>13734840</v>
      </c>
      <c r="M34" s="257">
        <f>AGOSTO!$BQ11</f>
        <v>16406182</v>
      </c>
      <c r="N34" s="257">
        <f>SEPTIEMBRE!$BQ11</f>
        <v>14349921</v>
      </c>
      <c r="O34" s="257">
        <f>OCTUBRE!$BQ11</f>
        <v>12395531</v>
      </c>
      <c r="P34" s="257">
        <f>NOVIEMBRE!$BQ11</f>
        <v>13856837</v>
      </c>
      <c r="Q34" s="570">
        <f>DICIEMBRE!$BQ11</f>
        <v>26467522</v>
      </c>
      <c r="R34" s="541">
        <f t="shared" si="10"/>
        <v>154944960</v>
      </c>
      <c r="S34" s="585"/>
    </row>
    <row r="35" spans="1:19" s="584" customFormat="1" ht="24.95" customHeight="1">
      <c r="A35" s="587"/>
      <c r="B35" s="740" t="s">
        <v>427</v>
      </c>
      <c r="C35" s="554">
        <f>MARZO!$BN12*$G$4+JUNIO!$BN12*$I$4+SEPTIEMBRE!$BN12*$K$4+DICIEMBRE!$BN12*$M$4</f>
        <v>1522778226</v>
      </c>
      <c r="D35" s="554">
        <f>MARZO!$BO12*$G$4+JUNIO!$BO12*$I$4+SEPTIEMBRE!$BO12*$K$4+DICIEMBRE!$BO12*$M$4</f>
        <v>50994994</v>
      </c>
      <c r="E35" s="554">
        <f>MARZO!$BP12*$G$4+JUNIO!$BP12*$I$4+SEPTIEMBRE!$BP12*$K$4+DICIEMBRE!$BP12*$M$4</f>
        <v>50994994</v>
      </c>
      <c r="F35" s="256">
        <f>ENERO!$BQ12</f>
        <v>22994755</v>
      </c>
      <c r="G35" s="257">
        <f>FEBRERO!$BQ12</f>
        <v>17181847</v>
      </c>
      <c r="H35" s="257">
        <f>MARZO!$BQ12</f>
        <v>10818392</v>
      </c>
      <c r="I35" s="257">
        <f>ABRIL!$BQ12</f>
        <v>15478582</v>
      </c>
      <c r="J35" s="257">
        <f>MAYO!$BQ12</f>
        <v>16194543</v>
      </c>
      <c r="K35" s="257">
        <f>JUNIO!$BQ12</f>
        <v>164129414</v>
      </c>
      <c r="L35" s="257">
        <f>JULIO!$BQ12</f>
        <v>62270129</v>
      </c>
      <c r="M35" s="257">
        <f>AGOSTO!$BQ12</f>
        <v>28107987</v>
      </c>
      <c r="N35" s="257">
        <f>SEPTIEMBRE!$BQ12</f>
        <v>9977553</v>
      </c>
      <c r="O35" s="257">
        <f>OCTUBRE!$BQ12</f>
        <v>10457477</v>
      </c>
      <c r="P35" s="257">
        <f>NOVIEMBRE!$BQ12</f>
        <v>331384523</v>
      </c>
      <c r="Q35" s="570">
        <f>DICIEMBRE!$BQ12</f>
        <v>38614154</v>
      </c>
      <c r="R35" s="541">
        <f t="shared" si="10"/>
        <v>727609356</v>
      </c>
      <c r="S35" s="585"/>
    </row>
    <row r="36" spans="1:19" s="584" customFormat="1" ht="24.95" customHeight="1">
      <c r="A36" s="587"/>
      <c r="B36" s="739" t="s">
        <v>428</v>
      </c>
      <c r="C36" s="553">
        <f>MARZO!$BN13*$G$4+JUNIO!$BN13*$I$4+SEPTIEMBRE!$BN13*$K$4+DICIEMBRE!$BN13*$M$4</f>
        <v>3914230005</v>
      </c>
      <c r="D36" s="554">
        <f>MARZO!$BO13*$G$4+JUNIO!$BO13*$I$4+SEPTIEMBRE!$BO13*$K$4+DICIEMBRE!$BO13*$M$4</f>
        <v>218215525</v>
      </c>
      <c r="E36" s="554">
        <f>MARZO!$BP13*$G$4+JUNIO!$BP13*$I$4+SEPTIEMBRE!$BP13*$K$4+DICIEMBRE!$BP13*$M$4</f>
        <v>218215525</v>
      </c>
      <c r="F36" s="256">
        <f>ENERO!$BQ13</f>
        <v>0</v>
      </c>
      <c r="G36" s="257">
        <f>FEBRERO!$BQ13</f>
        <v>96552795</v>
      </c>
      <c r="H36" s="257">
        <f>MARZO!$BQ13</f>
        <v>96376060</v>
      </c>
      <c r="I36" s="257">
        <f>ABRIL!$BQ13</f>
        <v>95740399</v>
      </c>
      <c r="J36" s="257">
        <f>MAYO!$BQ13</f>
        <v>96120309</v>
      </c>
      <c r="K36" s="257">
        <f>JUNIO!$BQ13</f>
        <v>94403368</v>
      </c>
      <c r="L36" s="257">
        <f>JULIO!$BQ13</f>
        <v>109337633</v>
      </c>
      <c r="M36" s="257">
        <f>AGOSTO!$BQ13</f>
        <v>100281851</v>
      </c>
      <c r="N36" s="257">
        <f>SEPTIEMBRE!$BQ13</f>
        <v>114694889</v>
      </c>
      <c r="O36" s="257">
        <f>OCTUBRE!$BQ13</f>
        <v>102099231</v>
      </c>
      <c r="P36" s="257">
        <f>NOVIEMBRE!$BQ13</f>
        <v>98926751</v>
      </c>
      <c r="Q36" s="570">
        <f>DICIEMBRE!$BQ13</f>
        <v>211812851</v>
      </c>
      <c r="R36" s="541">
        <f t="shared" si="10"/>
        <v>1216346137</v>
      </c>
      <c r="S36" s="585"/>
    </row>
    <row r="37" spans="1:19" s="584" customFormat="1" ht="24.95" customHeight="1">
      <c r="A37" s="587"/>
      <c r="B37" s="739" t="s">
        <v>424</v>
      </c>
      <c r="C37" s="553">
        <f>MARZO!$BN14*$G$4+JUNIO!$BN14*$I$4+SEPTIEMBRE!$BN14*$K$4+DICIEMBRE!$BN14*$M$4</f>
        <v>23397553383</v>
      </c>
      <c r="D37" s="554">
        <f>MARZO!$BO14*$G$4+JUNIO!$BO14*$I$4+SEPTIEMBRE!$BO14*$K$4+DICIEMBRE!$BO14*$M$4</f>
        <v>20885762361</v>
      </c>
      <c r="E37" s="554">
        <f>MARZO!$BP14*$G$4+JUNIO!$BP14*$I$4+SEPTIEMBRE!$BP14*$K$4+DICIEMBRE!$BP14*$M$4</f>
        <v>5313800835</v>
      </c>
      <c r="F37" s="256">
        <f>ENERO!$BQ14</f>
        <v>94195773</v>
      </c>
      <c r="G37" s="257">
        <f>FEBRERO!$BQ14</f>
        <v>114154212</v>
      </c>
      <c r="H37" s="257">
        <f>MARZO!$BQ14</f>
        <v>346697835</v>
      </c>
      <c r="I37" s="257">
        <f>ABRIL!$BQ14</f>
        <v>1110044699</v>
      </c>
      <c r="J37" s="257">
        <f>MAYO!$BQ14</f>
        <v>1508257343</v>
      </c>
      <c r="K37" s="257">
        <f>JUNIO!$BQ14</f>
        <v>911842063</v>
      </c>
      <c r="L37" s="257">
        <f>JULIO!$BQ14</f>
        <v>2246044322</v>
      </c>
      <c r="M37" s="257">
        <f>AGOSTO!$BQ14</f>
        <v>1230577833</v>
      </c>
      <c r="N37" s="257">
        <f>SEPTIEMBRE!$BQ14</f>
        <v>2219814903</v>
      </c>
      <c r="O37" s="257">
        <f>OCTUBRE!$BQ14</f>
        <v>1776228440</v>
      </c>
      <c r="P37" s="257">
        <f>NOVIEMBRE!$BQ14</f>
        <v>1842889299</v>
      </c>
      <c r="Q37" s="570">
        <f>DICIEMBRE!$BQ14</f>
        <v>2797918424</v>
      </c>
      <c r="R37" s="541">
        <f t="shared" si="10"/>
        <v>16198665146</v>
      </c>
      <c r="S37" s="585"/>
    </row>
    <row r="38" spans="1:19" s="590" customFormat="1" ht="24.95" customHeight="1">
      <c r="A38" s="588"/>
      <c r="B38" s="547" t="s">
        <v>235</v>
      </c>
      <c r="C38" s="553">
        <f>SUM(C39:C44)</f>
        <v>11693819527</v>
      </c>
      <c r="D38" s="553">
        <f t="shared" ref="D38:I38" si="11">SUM(D39:D44)</f>
        <v>6477438574</v>
      </c>
      <c r="E38" s="553">
        <f t="shared" si="11"/>
        <v>2253266548</v>
      </c>
      <c r="F38" s="544">
        <f t="shared" si="11"/>
        <v>108530146</v>
      </c>
      <c r="G38" s="545">
        <f t="shared" si="11"/>
        <v>301892552</v>
      </c>
      <c r="H38" s="545">
        <f t="shared" si="11"/>
        <v>517568468</v>
      </c>
      <c r="I38" s="545">
        <f t="shared" si="11"/>
        <v>564440326</v>
      </c>
      <c r="J38" s="545">
        <f t="shared" ref="J38:R38" si="12">SUM(J39:J44)</f>
        <v>859251449</v>
      </c>
      <c r="K38" s="545">
        <f t="shared" si="12"/>
        <v>612994752</v>
      </c>
      <c r="L38" s="545">
        <f t="shared" si="12"/>
        <v>1575152554</v>
      </c>
      <c r="M38" s="545">
        <f t="shared" si="12"/>
        <v>496231946</v>
      </c>
      <c r="N38" s="545">
        <f t="shared" si="12"/>
        <v>644744113</v>
      </c>
      <c r="O38" s="545">
        <f t="shared" si="12"/>
        <v>1002695087</v>
      </c>
      <c r="P38" s="545">
        <f t="shared" si="12"/>
        <v>625878038</v>
      </c>
      <c r="Q38" s="569">
        <f t="shared" si="12"/>
        <v>1507012700</v>
      </c>
      <c r="R38" s="553">
        <f t="shared" si="12"/>
        <v>8816392131</v>
      </c>
      <c r="S38" s="589"/>
    </row>
    <row r="39" spans="1:19" s="584" customFormat="1" ht="24.95" customHeight="1">
      <c r="A39" s="587"/>
      <c r="B39" s="740" t="s">
        <v>618</v>
      </c>
      <c r="C39" s="554">
        <f>MARZO!$BN16*$G$4+JUNIO!$BN16*$I$4+SEPTIEMBRE!$BN16*$K$4+DICIEMBRE!$BN16*$M$4</f>
        <v>2180000000</v>
      </c>
      <c r="D39" s="554">
        <f>MARZO!$BO16*$G$4+JUNIO!$BO16*$I$4+SEPTIEMBRE!$BO16*$K$4+DICIEMBRE!$BO16*$M$4</f>
        <v>496349500</v>
      </c>
      <c r="E39" s="554">
        <f>MARZO!$BP16*$G$4+JUNIO!$BP16*$I$4+SEPTIEMBRE!$BP16*$K$4+DICIEMBRE!$BP16*$M$4</f>
        <v>172513755</v>
      </c>
      <c r="F39" s="256">
        <f>ENERO!$BQ16</f>
        <v>2476536</v>
      </c>
      <c r="G39" s="257">
        <f>FEBRERO!$BQ16</f>
        <v>22227891</v>
      </c>
      <c r="H39" s="257">
        <f>MARZO!$BQ16</f>
        <v>29663426</v>
      </c>
      <c r="I39" s="257">
        <f>ABRIL!$BQ16</f>
        <v>27552555</v>
      </c>
      <c r="J39" s="257">
        <f>MAYO!$BQ16</f>
        <v>26851236</v>
      </c>
      <c r="K39" s="257">
        <f>JUNIO!$BQ16</f>
        <v>316627160</v>
      </c>
      <c r="L39" s="257">
        <f>JULIO!$BQ16</f>
        <v>164825619</v>
      </c>
      <c r="M39" s="257">
        <f>AGOSTO!$BQ16</f>
        <v>44332159</v>
      </c>
      <c r="N39" s="257">
        <f>SEPTIEMBRE!$BQ16</f>
        <v>30116809</v>
      </c>
      <c r="O39" s="257">
        <f>OCTUBRE!$BQ16</f>
        <v>70433748</v>
      </c>
      <c r="P39" s="257">
        <f>NOVIEMBRE!$BQ16</f>
        <v>256247001</v>
      </c>
      <c r="Q39" s="570">
        <f>DICIEMBRE!$BQ16</f>
        <v>314491444</v>
      </c>
      <c r="R39" s="541">
        <f t="shared" si="10"/>
        <v>1305845584</v>
      </c>
      <c r="S39" s="585"/>
    </row>
    <row r="40" spans="1:19" s="584" customFormat="1" ht="24.95" customHeight="1">
      <c r="A40" s="587"/>
      <c r="B40" s="740" t="s">
        <v>619</v>
      </c>
      <c r="C40" s="554">
        <f>MARZO!$BN17*$G$4+JUNIO!$BN17*$I$4+SEPTIEMBRE!$BN17*$K$4+DICIEMBRE!$BN17*$M$4</f>
        <v>5044712263</v>
      </c>
      <c r="D40" s="554">
        <f>MARZO!$BO17*$G$4+JUNIO!$BO17*$I$4+SEPTIEMBRE!$BO17*$K$4+DICIEMBRE!$BO17*$M$4</f>
        <v>3660262344</v>
      </c>
      <c r="E40" s="554">
        <f>MARZO!$BP17*$G$4+JUNIO!$BP17*$I$4+SEPTIEMBRE!$BP17*$K$4+DICIEMBRE!$BP17*$M$4</f>
        <v>1119523617</v>
      </c>
      <c r="F40" s="256">
        <f>ENERO!$BQ17</f>
        <v>5721753</v>
      </c>
      <c r="G40" s="257">
        <f>FEBRERO!$BQ17</f>
        <v>72011720</v>
      </c>
      <c r="H40" s="257">
        <f>MARZO!$BQ17</f>
        <v>212992550</v>
      </c>
      <c r="I40" s="257">
        <f>ABRIL!$BQ17</f>
        <v>113812625</v>
      </c>
      <c r="J40" s="257">
        <f>MAYO!$BQ17</f>
        <v>550398011</v>
      </c>
      <c r="K40" s="257">
        <f>JUNIO!$BQ17</f>
        <v>164629219</v>
      </c>
      <c r="L40" s="257">
        <f>JULIO!$BQ17</f>
        <v>812367075</v>
      </c>
      <c r="M40" s="257">
        <f>AGOSTO!$BQ17</f>
        <v>241066552</v>
      </c>
      <c r="N40" s="257">
        <f>SEPTIEMBRE!$BQ17</f>
        <v>287664924</v>
      </c>
      <c r="O40" s="257">
        <f>OCTUBRE!$BQ17</f>
        <v>387511616</v>
      </c>
      <c r="P40" s="257">
        <f>NOVIEMBRE!$BQ17</f>
        <v>225833249</v>
      </c>
      <c r="Q40" s="570">
        <f>DICIEMBRE!$BQ17</f>
        <v>646991821</v>
      </c>
      <c r="R40" s="541">
        <f t="shared" si="10"/>
        <v>3721001115</v>
      </c>
      <c r="S40" s="585"/>
    </row>
    <row r="41" spans="1:19" s="584" customFormat="1" ht="24.95" customHeight="1">
      <c r="A41" s="587"/>
      <c r="B41" s="740" t="s">
        <v>620</v>
      </c>
      <c r="C41" s="554">
        <f>MARZO!$BN18*$G$4+JUNIO!$BN18*$I$4+SEPTIEMBRE!$BN18*$K$4+DICIEMBRE!$BN18*$M$4</f>
        <v>3202025000</v>
      </c>
      <c r="D41" s="554">
        <f>MARZO!$BO18*$G$4+JUNIO!$BO18*$I$4+SEPTIEMBRE!$BO18*$K$4+DICIEMBRE!$BO18*$M$4</f>
        <v>1996957727</v>
      </c>
      <c r="E41" s="554">
        <f>MARZO!$BP18*$G$4+JUNIO!$BP18*$I$4+SEPTIEMBRE!$BP18*$K$4+DICIEMBRE!$BP18*$M$4</f>
        <v>637360173</v>
      </c>
      <c r="F41" s="256">
        <f>ENERO!$BQ18</f>
        <v>17585000</v>
      </c>
      <c r="G41" s="257">
        <f>FEBRERO!$BQ18</f>
        <v>113932650</v>
      </c>
      <c r="H41" s="257">
        <f>MARZO!$BQ18</f>
        <v>188703727</v>
      </c>
      <c r="I41" s="257">
        <f>ABRIL!$BQ18</f>
        <v>339357448</v>
      </c>
      <c r="J41" s="257">
        <f>MAYO!$BQ18</f>
        <v>211466982</v>
      </c>
      <c r="K41" s="257">
        <f>JUNIO!$BQ18</f>
        <v>57422557</v>
      </c>
      <c r="L41" s="257">
        <f>JULIO!$BQ18</f>
        <v>531099226</v>
      </c>
      <c r="M41" s="257">
        <f>AGOSTO!$BQ18</f>
        <v>174325545</v>
      </c>
      <c r="N41" s="257">
        <f>SEPTIEMBRE!$BQ18</f>
        <v>253852161</v>
      </c>
      <c r="O41" s="257">
        <f>OCTUBRE!$BQ18</f>
        <v>427623739</v>
      </c>
      <c r="P41" s="257">
        <f>NOVIEMBRE!$BQ18</f>
        <v>84357907</v>
      </c>
      <c r="Q41" s="570">
        <f>DICIEMBRE!$BQ18</f>
        <v>456501702</v>
      </c>
      <c r="R41" s="541">
        <f t="shared" si="10"/>
        <v>2856228644</v>
      </c>
      <c r="S41" s="585"/>
    </row>
    <row r="42" spans="1:19" s="584" customFormat="1" ht="24.95" customHeight="1">
      <c r="A42" s="587"/>
      <c r="B42" s="740" t="s">
        <v>621</v>
      </c>
      <c r="C42" s="554">
        <f>MARZO!$BN19*$G$4+JUNIO!$BN19*$I$4+SEPTIEMBRE!$BN19*$K$4+DICIEMBRE!$BN19*$M$4</f>
        <v>740000000</v>
      </c>
      <c r="D42" s="554">
        <f>MARZO!$BO19*$G$4+JUNIO!$BO19*$I$4+SEPTIEMBRE!$BO19*$K$4+DICIEMBRE!$BO19*$M$4</f>
        <v>212039691</v>
      </c>
      <c r="E42" s="554">
        <f>MARZO!$BP19*$G$4+JUNIO!$BP19*$I$4+SEPTIEMBRE!$BP19*$K$4+DICIEMBRE!$BP19*$M$4</f>
        <v>212039691</v>
      </c>
      <c r="F42" s="256">
        <f>ENERO!$BQ19</f>
        <v>53459587</v>
      </c>
      <c r="G42" s="257">
        <f>FEBRERO!$BQ19</f>
        <v>52257558</v>
      </c>
      <c r="H42" s="257">
        <f>MARZO!$BQ19</f>
        <v>57599779</v>
      </c>
      <c r="I42" s="257">
        <f>ABRIL!$BQ19</f>
        <v>53504825</v>
      </c>
      <c r="J42" s="257">
        <f>MAYO!$BQ19</f>
        <v>53054480</v>
      </c>
      <c r="K42" s="257">
        <f>JUNIO!$BQ19</f>
        <v>57099504</v>
      </c>
      <c r="L42" s="257">
        <f>JULIO!$BQ19</f>
        <v>49911394</v>
      </c>
      <c r="M42" s="257">
        <f>AGOSTO!$BQ19</f>
        <v>19828192</v>
      </c>
      <c r="N42" s="257">
        <f>SEPTIEMBRE!$BQ19</f>
        <v>56703162</v>
      </c>
      <c r="O42" s="257">
        <f>OCTUBRE!$BQ19</f>
        <v>99971091</v>
      </c>
      <c r="P42" s="257">
        <f>NOVIEMBRE!$BQ19</f>
        <v>43585904</v>
      </c>
      <c r="Q42" s="570">
        <f>DICIEMBRE!$BQ19</f>
        <v>73454452</v>
      </c>
      <c r="R42" s="541">
        <f t="shared" si="10"/>
        <v>670429928</v>
      </c>
      <c r="S42" s="585"/>
    </row>
    <row r="43" spans="1:19" s="584" customFormat="1" ht="24.95" customHeight="1">
      <c r="A43" s="587"/>
      <c r="B43" s="740" t="s">
        <v>429</v>
      </c>
      <c r="C43" s="554">
        <f>MARZO!$BN20*$G$4+JUNIO!$BN20*$I$4+SEPTIEMBRE!$BN20*$K$4+DICIEMBRE!$BN20*$M$4</f>
        <v>527082264</v>
      </c>
      <c r="D43" s="554">
        <f>MARZO!$BO20*$G$4+JUNIO!$BO20*$I$4+SEPTIEMBRE!$BO20*$K$4+DICIEMBRE!$BO20*$M$4</f>
        <v>111829312</v>
      </c>
      <c r="E43" s="554">
        <f>MARZO!$BP20*$G$4+JUNIO!$BP20*$I$4+SEPTIEMBRE!$BP20*$K$4+DICIEMBRE!$BP20*$M$4</f>
        <v>111829312</v>
      </c>
      <c r="F43" s="256">
        <f>ENERO!$BQ20</f>
        <v>29287270</v>
      </c>
      <c r="G43" s="257">
        <f>FEBRERO!$BQ20</f>
        <v>41462733</v>
      </c>
      <c r="H43" s="257">
        <f>MARZO!$BQ20</f>
        <v>28608986</v>
      </c>
      <c r="I43" s="257">
        <f>ABRIL!$BQ20</f>
        <v>30212873</v>
      </c>
      <c r="J43" s="257">
        <f>MAYO!$BQ20</f>
        <v>17480740</v>
      </c>
      <c r="K43" s="257">
        <f>JUNIO!$BQ20</f>
        <v>17216312</v>
      </c>
      <c r="L43" s="257">
        <f>JULIO!$BQ20</f>
        <v>16949240</v>
      </c>
      <c r="M43" s="257">
        <f>AGOSTO!$BQ20</f>
        <v>16679498</v>
      </c>
      <c r="N43" s="257">
        <f>SEPTIEMBRE!$BQ20</f>
        <v>16407057</v>
      </c>
      <c r="O43" s="257">
        <f>OCTUBRE!$BQ20</f>
        <v>17154893</v>
      </c>
      <c r="P43" s="257">
        <f>NOVIEMBRE!$BQ20</f>
        <v>15853977</v>
      </c>
      <c r="Q43" s="570">
        <f>DICIEMBRE!$BQ20</f>
        <v>15573281</v>
      </c>
      <c r="R43" s="541">
        <f t="shared" si="10"/>
        <v>262886860</v>
      </c>
      <c r="S43" s="585"/>
    </row>
    <row r="44" spans="1:19" s="584" customFormat="1" ht="24.95" customHeight="1">
      <c r="A44" s="587"/>
      <c r="B44" s="740" t="s">
        <v>80</v>
      </c>
      <c r="C44" s="554">
        <f>MARZO!$BN21*$G$4+JUNIO!$BN21*$I$4+SEPTIEMBRE!$BN21*$K$4+DICIEMBRE!$BN21*$M$4</f>
        <v>0</v>
      </c>
      <c r="D44" s="554">
        <f>MARZO!$BO21*$G$4+JUNIO!$BO21*$I$4+SEPTIEMBRE!$BO21*$K$4+DICIEMBRE!$BO21*$M$4</f>
        <v>0</v>
      </c>
      <c r="E44" s="554">
        <f>MARZO!$BP21*$G$4+JUNIO!$BP21*$I$4+SEPTIEMBRE!$BP21*$K$4+DICIEMBRE!$BP21*$M$4</f>
        <v>0</v>
      </c>
      <c r="F44" s="256">
        <f>ENERO!$BQ21</f>
        <v>0</v>
      </c>
      <c r="G44" s="257">
        <f>FEBRERO!$BQ21</f>
        <v>0</v>
      </c>
      <c r="H44" s="257">
        <f>MARZO!$BQ21</f>
        <v>0</v>
      </c>
      <c r="I44" s="257">
        <f>ABRIL!$BQ21</f>
        <v>0</v>
      </c>
      <c r="J44" s="257">
        <f>MAYO!$BQ21</f>
        <v>0</v>
      </c>
      <c r="K44" s="257">
        <f>JUNIO!$BQ21</f>
        <v>0</v>
      </c>
      <c r="L44" s="257">
        <f>JULIO!$BQ21</f>
        <v>0</v>
      </c>
      <c r="M44" s="257">
        <f>AGOSTO!$BQ21</f>
        <v>0</v>
      </c>
      <c r="N44" s="257">
        <f>SEPTIEMBRE!$BQ21</f>
        <v>0</v>
      </c>
      <c r="O44" s="257">
        <f>OCTUBRE!$BQ21</f>
        <v>0</v>
      </c>
      <c r="P44" s="257">
        <f>NOVIEMBRE!$BQ21</f>
        <v>0</v>
      </c>
      <c r="Q44" s="570">
        <f>DICIEMBRE!$BQ21</f>
        <v>0</v>
      </c>
      <c r="R44" s="541">
        <f t="shared" si="10"/>
        <v>0</v>
      </c>
      <c r="S44" s="585"/>
    </row>
    <row r="45" spans="1:19" s="590" customFormat="1" ht="24.95" customHeight="1">
      <c r="A45" s="588"/>
      <c r="B45" s="547" t="s">
        <v>294</v>
      </c>
      <c r="C45" s="553">
        <f>SUM(C46:C47)</f>
        <v>1260354144</v>
      </c>
      <c r="D45" s="553">
        <f t="shared" ref="D45:R45" si="13">SUM(D46:D47)</f>
        <v>294949251</v>
      </c>
      <c r="E45" s="553">
        <f t="shared" si="13"/>
        <v>288870149</v>
      </c>
      <c r="F45" s="544">
        <f t="shared" si="13"/>
        <v>111894244</v>
      </c>
      <c r="G45" s="545">
        <f t="shared" si="13"/>
        <v>61541785</v>
      </c>
      <c r="H45" s="545">
        <f t="shared" si="13"/>
        <v>115434120</v>
      </c>
      <c r="I45" s="545">
        <f t="shared" si="13"/>
        <v>67315134</v>
      </c>
      <c r="J45" s="545">
        <f t="shared" si="13"/>
        <v>78462914</v>
      </c>
      <c r="K45" s="545">
        <f t="shared" si="13"/>
        <v>119750014</v>
      </c>
      <c r="L45" s="545">
        <f t="shared" si="13"/>
        <v>87453069</v>
      </c>
      <c r="M45" s="545">
        <f t="shared" si="13"/>
        <v>78230754</v>
      </c>
      <c r="N45" s="545">
        <f t="shared" si="13"/>
        <v>61315031</v>
      </c>
      <c r="O45" s="545">
        <f t="shared" si="13"/>
        <v>61363814</v>
      </c>
      <c r="P45" s="545">
        <f t="shared" si="13"/>
        <v>129460537</v>
      </c>
      <c r="Q45" s="569">
        <f t="shared" si="13"/>
        <v>87720340</v>
      </c>
      <c r="R45" s="553">
        <f t="shared" si="13"/>
        <v>1059941756</v>
      </c>
      <c r="S45" s="589"/>
    </row>
    <row r="46" spans="1:19" s="584" customFormat="1" ht="24.95" customHeight="1">
      <c r="A46" s="587"/>
      <c r="B46" s="740" t="s">
        <v>622</v>
      </c>
      <c r="C46" s="554">
        <f>MARZO!$BN23*$G$4+JUNIO!$BN23*$I$4+SEPTIEMBRE!$BN23*$K$4+DICIEMBRE!$BN23*$M$4</f>
        <v>965336472</v>
      </c>
      <c r="D46" s="554">
        <f>MARZO!$BO23*$G$4+JUNIO!$BO23*$I$4+SEPTIEMBRE!$BO23*$K$4+DICIEMBRE!$BO23*$M$4</f>
        <v>184479187</v>
      </c>
      <c r="E46" s="554">
        <f>MARZO!$BP23*$G$4+JUNIO!$BP23*$I$4+SEPTIEMBRE!$BP23*$K$4+DICIEMBRE!$BP23*$M$4</f>
        <v>184479187</v>
      </c>
      <c r="F46" s="256">
        <f>ENERO!$BQ23</f>
        <v>62152617</v>
      </c>
      <c r="G46" s="257">
        <f>FEBRERO!$BQ23</f>
        <v>61313538</v>
      </c>
      <c r="H46" s="257">
        <f>MARZO!$BQ23</f>
        <v>61013032</v>
      </c>
      <c r="I46" s="257">
        <f>ABRIL!$BQ23</f>
        <v>61013032</v>
      </c>
      <c r="J46" s="257">
        <f>MAYO!$BQ23</f>
        <v>59753470</v>
      </c>
      <c r="K46" s="257">
        <f>JUNIO!$BQ23</f>
        <v>119077725</v>
      </c>
      <c r="L46" s="257">
        <f>JULIO!$BQ23</f>
        <v>59753470</v>
      </c>
      <c r="M46" s="257">
        <f>AGOSTO!$BQ23</f>
        <v>68138421</v>
      </c>
      <c r="N46" s="257">
        <f>SEPTIEMBRE!$BQ23</f>
        <v>61315031</v>
      </c>
      <c r="O46" s="257">
        <f>OCTUBRE!$BQ23</f>
        <v>61013032</v>
      </c>
      <c r="P46" s="257">
        <f>NOVIEMBRE!$BQ23</f>
        <v>125274949</v>
      </c>
      <c r="Q46" s="570">
        <f>DICIEMBRE!$BQ23</f>
        <v>68737907</v>
      </c>
      <c r="R46" s="541">
        <f t="shared" si="10"/>
        <v>868556224</v>
      </c>
      <c r="S46" s="585"/>
    </row>
    <row r="47" spans="1:19" s="584" customFormat="1" ht="24.95" customHeight="1">
      <c r="A47" s="587"/>
      <c r="B47" s="740" t="s">
        <v>623</v>
      </c>
      <c r="C47" s="554">
        <f>MARZO!$BN24*$G$4+JUNIO!$BN24*$I$4+SEPTIEMBRE!$BN24*$K$4+DICIEMBRE!$BN24*$M$4</f>
        <v>295017672</v>
      </c>
      <c r="D47" s="554">
        <f>MARZO!$BO24*$G$4+JUNIO!$BO24*$I$4+SEPTIEMBRE!$BO24*$K$4+DICIEMBRE!$BO24*$M$4</f>
        <v>110470064</v>
      </c>
      <c r="E47" s="554">
        <f>MARZO!$BP24*$G$4+JUNIO!$BP24*$I$4+SEPTIEMBRE!$BP24*$K$4+DICIEMBRE!$BP24*$M$4</f>
        <v>104390962</v>
      </c>
      <c r="F47" s="256">
        <f>ENERO!$BQ24</f>
        <v>49741627</v>
      </c>
      <c r="G47" s="257">
        <f>FEBRERO!$BQ24</f>
        <v>228247</v>
      </c>
      <c r="H47" s="257">
        <f>MARZO!$BQ24</f>
        <v>54421088</v>
      </c>
      <c r="I47" s="257">
        <f>ABRIL!$BQ24</f>
        <v>6302102</v>
      </c>
      <c r="J47" s="257">
        <f>MAYO!$BQ24</f>
        <v>18709444</v>
      </c>
      <c r="K47" s="257">
        <f>JUNIO!$BQ24</f>
        <v>672289</v>
      </c>
      <c r="L47" s="257">
        <f>JULIO!$BQ24</f>
        <v>27699599</v>
      </c>
      <c r="M47" s="257">
        <f>AGOSTO!$BQ24</f>
        <v>10092333</v>
      </c>
      <c r="N47" s="257">
        <f>SEPTIEMBRE!$BQ24</f>
        <v>0</v>
      </c>
      <c r="O47" s="257">
        <f>OCTUBRE!$BQ24</f>
        <v>350782</v>
      </c>
      <c r="P47" s="257">
        <f>NOVIEMBRE!$BQ24</f>
        <v>4185588</v>
      </c>
      <c r="Q47" s="570">
        <f>DICIEMBRE!$BQ24</f>
        <v>18982433</v>
      </c>
      <c r="R47" s="541">
        <f t="shared" si="10"/>
        <v>191385532</v>
      </c>
      <c r="S47" s="585"/>
    </row>
    <row r="48" spans="1:19" s="590" customFormat="1" ht="47.25" customHeight="1">
      <c r="A48" s="588"/>
      <c r="B48" s="548" t="s">
        <v>530</v>
      </c>
      <c r="C48" s="553">
        <f>SUM(C49:C51)</f>
        <v>11252444359</v>
      </c>
      <c r="D48" s="553">
        <f t="shared" ref="D48:R48" si="14">SUM(D49:D51)</f>
        <v>8721393641</v>
      </c>
      <c r="E48" s="553">
        <f t="shared" si="14"/>
        <v>5243432546</v>
      </c>
      <c r="F48" s="544">
        <f t="shared" si="14"/>
        <v>23217658</v>
      </c>
      <c r="G48" s="545">
        <f t="shared" si="14"/>
        <v>685670174</v>
      </c>
      <c r="H48" s="545">
        <f t="shared" si="14"/>
        <v>287664822</v>
      </c>
      <c r="I48" s="545">
        <f t="shared" si="14"/>
        <v>1063327651</v>
      </c>
      <c r="J48" s="545">
        <f t="shared" si="14"/>
        <v>812292127</v>
      </c>
      <c r="K48" s="545">
        <f t="shared" si="14"/>
        <v>583778324</v>
      </c>
      <c r="L48" s="545">
        <f t="shared" si="14"/>
        <v>2378518047</v>
      </c>
      <c r="M48" s="545">
        <f t="shared" si="14"/>
        <v>781043394</v>
      </c>
      <c r="N48" s="545">
        <f t="shared" si="14"/>
        <v>742774995</v>
      </c>
      <c r="O48" s="545">
        <f t="shared" si="14"/>
        <v>3937514274</v>
      </c>
      <c r="P48" s="545">
        <f t="shared" si="14"/>
        <v>328366428</v>
      </c>
      <c r="Q48" s="569">
        <f t="shared" si="14"/>
        <v>3355981646</v>
      </c>
      <c r="R48" s="553">
        <f t="shared" si="14"/>
        <v>14980149540</v>
      </c>
      <c r="S48" s="589"/>
    </row>
    <row r="49" spans="1:19" s="584" customFormat="1" ht="30.75" customHeight="1">
      <c r="A49" s="587"/>
      <c r="B49" s="740" t="s">
        <v>431</v>
      </c>
      <c r="C49" s="554">
        <f>MARZO!$BN26*$G$4+JUNIO!$BN26*$I$4+SEPTIEMBRE!$BN26*$K$4+DICIEMBRE!$BN26*$M$4</f>
        <v>4590000000</v>
      </c>
      <c r="D49" s="554">
        <f>MARZO!$BO26*$G$4+JUNIO!$BO26*$I$4+SEPTIEMBRE!$BO26*$K$4+DICIEMBRE!$BO26*$M$4</f>
        <v>3684513046</v>
      </c>
      <c r="E49" s="554">
        <f>MARZO!$BP26*$G$4+JUNIO!$BP26*$I$4+SEPTIEMBRE!$BP26*$K$4+DICIEMBRE!$BP26*$M$4</f>
        <v>2318884378</v>
      </c>
      <c r="F49" s="256">
        <f>ENERO!$BQ26</f>
        <v>22910258</v>
      </c>
      <c r="G49" s="257">
        <f>FEBRERO!$BQ26</f>
        <v>340632155</v>
      </c>
      <c r="H49" s="257">
        <f>MARZO!$BQ26</f>
        <v>61810117</v>
      </c>
      <c r="I49" s="257">
        <f>ABRIL!$BQ26</f>
        <v>389653709</v>
      </c>
      <c r="J49" s="257">
        <f>MAYO!$BQ26</f>
        <v>273946045</v>
      </c>
      <c r="K49" s="257">
        <f>JUNIO!$BQ26</f>
        <v>124154637</v>
      </c>
      <c r="L49" s="257">
        <f>JULIO!$BQ26</f>
        <v>727746244</v>
      </c>
      <c r="M49" s="257">
        <f>AGOSTO!$BQ26</f>
        <v>451552500</v>
      </c>
      <c r="N49" s="257">
        <f>SEPTIEMBRE!$BQ26</f>
        <v>308067202</v>
      </c>
      <c r="O49" s="257">
        <f>OCTUBRE!$BQ26</f>
        <v>1653616784</v>
      </c>
      <c r="P49" s="257">
        <f>NOVIEMBRE!$BQ26</f>
        <v>109724280</v>
      </c>
      <c r="Q49" s="570">
        <f>DICIEMBRE!$BQ26</f>
        <v>1624569142</v>
      </c>
      <c r="R49" s="541">
        <f t="shared" si="10"/>
        <v>6088383073</v>
      </c>
      <c r="S49" s="585"/>
    </row>
    <row r="50" spans="1:19" s="584" customFormat="1" ht="30.75" customHeight="1">
      <c r="A50" s="587"/>
      <c r="B50" s="740" t="s">
        <v>531</v>
      </c>
      <c r="C50" s="554">
        <f>MARZO!$BN27*$G$4+JUNIO!$BN27*$I$4+SEPTIEMBRE!$BN27*$K$4+DICIEMBRE!$BN27*$M$4</f>
        <v>0</v>
      </c>
      <c r="D50" s="554">
        <f>MARZO!$BO27*$G$4+JUNIO!$BO27*$I$4+SEPTIEMBRE!$BO27*$K$4+DICIEMBRE!$BO27*$M$4</f>
        <v>0</v>
      </c>
      <c r="E50" s="554">
        <f>MARZO!$BP27*$G$4+JUNIO!$BP27*$I$4+SEPTIEMBRE!$BP27*$K$4+DICIEMBRE!$BP27*$M$4</f>
        <v>0</v>
      </c>
      <c r="F50" s="256">
        <f>ENERO!$BQ27</f>
        <v>0</v>
      </c>
      <c r="G50" s="257">
        <f>FEBRERO!$BQ27</f>
        <v>0</v>
      </c>
      <c r="H50" s="257">
        <f>MARZO!$BQ27</f>
        <v>0</v>
      </c>
      <c r="I50" s="257">
        <f>ABRIL!$BQ27</f>
        <v>0</v>
      </c>
      <c r="J50" s="257">
        <f>MAYO!$BQ27</f>
        <v>0</v>
      </c>
      <c r="K50" s="257">
        <f>JUNIO!$BQ27</f>
        <v>0</v>
      </c>
      <c r="L50" s="257">
        <f>JULIO!$BQ27</f>
        <v>0</v>
      </c>
      <c r="M50" s="257">
        <f>AGOSTO!$BQ27</f>
        <v>0</v>
      </c>
      <c r="N50" s="257">
        <f>SEPTIEMBRE!$BQ27</f>
        <v>0</v>
      </c>
      <c r="O50" s="257">
        <f>OCTUBRE!$BQ27</f>
        <v>0</v>
      </c>
      <c r="P50" s="257">
        <f>NOVIEMBRE!$BQ27</f>
        <v>0</v>
      </c>
      <c r="Q50" s="570">
        <f>DICIEMBRE!$BQ27</f>
        <v>0</v>
      </c>
      <c r="R50" s="541">
        <f t="shared" si="10"/>
        <v>0</v>
      </c>
      <c r="S50" s="585"/>
    </row>
    <row r="51" spans="1:19" s="584" customFormat="1" ht="32.25" customHeight="1">
      <c r="A51" s="587"/>
      <c r="B51" s="740" t="s">
        <v>532</v>
      </c>
      <c r="C51" s="554">
        <f>MARZO!$BN28*$G$4+JUNIO!$BN28*$I$4+SEPTIEMBRE!$BN28*$K$4+DICIEMBRE!$BN28*$M$4</f>
        <v>6662444359</v>
      </c>
      <c r="D51" s="554">
        <f>MARZO!$BO28*$G$4+JUNIO!$BO28*$I$4+SEPTIEMBRE!$BO28*$K$4+DICIEMBRE!$BO28*$M$4</f>
        <v>5036880595</v>
      </c>
      <c r="E51" s="554">
        <f>MARZO!$BP28*$G$4+JUNIO!$BP28*$I$4+SEPTIEMBRE!$BP28*$K$4+DICIEMBRE!$BP28*$M$4</f>
        <v>2924548168</v>
      </c>
      <c r="F51" s="256">
        <f>ENERO!$BQ28</f>
        <v>307400</v>
      </c>
      <c r="G51" s="257">
        <f>FEBRERO!$BQ28</f>
        <v>345038019</v>
      </c>
      <c r="H51" s="257">
        <f>MARZO!$BQ28</f>
        <v>225854705</v>
      </c>
      <c r="I51" s="257">
        <f>ABRIL!$BQ28</f>
        <v>673673942</v>
      </c>
      <c r="J51" s="257">
        <f>MAYO!$BQ28</f>
        <v>538346082</v>
      </c>
      <c r="K51" s="257">
        <f>JUNIO!$BQ28</f>
        <v>459623687</v>
      </c>
      <c r="L51" s="257">
        <f>JULIO!$BQ28</f>
        <v>1650771803</v>
      </c>
      <c r="M51" s="257">
        <f>AGOSTO!$BQ28</f>
        <v>329490894</v>
      </c>
      <c r="N51" s="257">
        <f>SEPTIEMBRE!$BQ28</f>
        <v>434707793</v>
      </c>
      <c r="O51" s="257">
        <f>OCTUBRE!$BQ28</f>
        <v>2283897490</v>
      </c>
      <c r="P51" s="257">
        <f>NOVIEMBRE!$BQ28</f>
        <v>218642148</v>
      </c>
      <c r="Q51" s="570">
        <f>DICIEMBRE!$BQ28</f>
        <v>1731412504</v>
      </c>
      <c r="R51" s="541">
        <f t="shared" si="10"/>
        <v>8891766467</v>
      </c>
      <c r="S51" s="585"/>
    </row>
    <row r="52" spans="1:19" s="590" customFormat="1" ht="24.95" customHeight="1">
      <c r="A52" s="588"/>
      <c r="B52" s="548" t="s">
        <v>70</v>
      </c>
      <c r="C52" s="553">
        <f>MARZO!$BN29*$G$4+JUNIO!$BN29*$I$4+SEPTIEMBRE!$BN29*$K$4+DICIEMBRE!$BN29*$M$4</f>
        <v>18829618396</v>
      </c>
      <c r="D52" s="553">
        <f>MARZO!$BO29*$G$4+JUNIO!$BO29*$I$4+SEPTIEMBRE!$BO29*$K$4+DICIEMBRE!$BO29*$M$4</f>
        <v>8760368877</v>
      </c>
      <c r="E52" s="553">
        <f>MARZO!$BP29*$G$4+JUNIO!$BP29*$I$4+SEPTIEMBRE!$BP29*$K$4+DICIEMBRE!$BP29*$M$4</f>
        <v>2602281257</v>
      </c>
      <c r="F52" s="256">
        <f>ENERO!$BQ29</f>
        <v>142068007</v>
      </c>
      <c r="G52" s="257">
        <f>FEBRERO!$BQ29</f>
        <v>690499903</v>
      </c>
      <c r="H52" s="257">
        <f>MARZO!$BQ29</f>
        <v>999216963</v>
      </c>
      <c r="I52" s="257">
        <f>ABRIL!$BQ29</f>
        <v>1541904622</v>
      </c>
      <c r="J52" s="257">
        <f>MAYO!$BQ29</f>
        <v>2340642343</v>
      </c>
      <c r="K52" s="257">
        <f>JUNIO!$BQ29</f>
        <v>930649839</v>
      </c>
      <c r="L52" s="257">
        <f>JULIO!$BQ29</f>
        <v>3868516401</v>
      </c>
      <c r="M52" s="257">
        <f>AGOSTO!$BQ29</f>
        <v>305817927</v>
      </c>
      <c r="N52" s="257">
        <f>SEPTIEMBRE!$BQ29</f>
        <v>405519828</v>
      </c>
      <c r="O52" s="257">
        <f>OCTUBRE!$BQ29</f>
        <v>689617623</v>
      </c>
      <c r="P52" s="257">
        <f>NOVIEMBRE!$BQ29</f>
        <v>908333762</v>
      </c>
      <c r="Q52" s="570">
        <f>DICIEMBRE!$BQ29</f>
        <v>3007394421</v>
      </c>
      <c r="R52" s="541">
        <f t="shared" si="10"/>
        <v>15830181639</v>
      </c>
      <c r="S52" s="589"/>
    </row>
    <row r="53" spans="1:19" s="590" customFormat="1" ht="24.95" customHeight="1">
      <c r="A53" s="588"/>
      <c r="B53" s="548" t="s">
        <v>74</v>
      </c>
      <c r="C53" s="553">
        <f>MARZO!$BN30*$G$4+JUNIO!$BN30*$I$4+SEPTIEMBRE!$BN30*$K$4+DICIEMBRE!$BN30*$M$4</f>
        <v>262344980</v>
      </c>
      <c r="D53" s="553">
        <f>MARZO!$BO30*$G$4+JUNIO!$BO30*$I$4+SEPTIEMBRE!$BO30*$K$4+DICIEMBRE!$BO30*$M$4</f>
        <v>77957237</v>
      </c>
      <c r="E53" s="553">
        <f>MARZO!$BP30*$G$4+JUNIO!$BP30*$I$4+SEPTIEMBRE!$BP30*$K$4+DICIEMBRE!$BP30*$M$4</f>
        <v>77957237</v>
      </c>
      <c r="F53" s="256">
        <f>ENERO!$BQ30</f>
        <v>0</v>
      </c>
      <c r="G53" s="257">
        <f>FEBRERO!$BQ30</f>
        <v>25857009</v>
      </c>
      <c r="H53" s="257">
        <f>MARZO!$BQ30</f>
        <v>26080012</v>
      </c>
      <c r="I53" s="257">
        <f>ABRIL!$BQ30</f>
        <v>26020216</v>
      </c>
      <c r="J53" s="257">
        <f>MAYO!$BQ30</f>
        <v>25834146</v>
      </c>
      <c r="K53" s="257">
        <f>JUNIO!$BQ30</f>
        <v>25585532</v>
      </c>
      <c r="L53" s="257">
        <f>JULIO!$BQ30</f>
        <v>25525562</v>
      </c>
      <c r="M53" s="257">
        <f>AGOSTO!$BQ30</f>
        <v>25403879</v>
      </c>
      <c r="N53" s="257">
        <f>SEPTIEMBRE!$BQ30</f>
        <v>25261251</v>
      </c>
      <c r="O53" s="257">
        <f>OCTUBRE!$BQ30</f>
        <v>21324925</v>
      </c>
      <c r="P53" s="257">
        <f>NOVIEMBRE!$BQ30</f>
        <v>0</v>
      </c>
      <c r="Q53" s="570">
        <f>DICIEMBRE!$BQ30</f>
        <v>0</v>
      </c>
      <c r="R53" s="541">
        <f t="shared" si="10"/>
        <v>226892532</v>
      </c>
      <c r="S53" s="589"/>
    </row>
    <row r="54" spans="1:19" s="590" customFormat="1" ht="36.75" customHeight="1" thickBot="1">
      <c r="A54" s="588"/>
      <c r="B54" s="549" t="s">
        <v>128</v>
      </c>
      <c r="C54" s="555">
        <f>MARZO!$BN31*$G$4+JUNIO!$BN31*$I$4+SEPTIEMBRE!$BN31*$K$4+DICIEMBRE!$BN31*$M$4</f>
        <v>17096022853</v>
      </c>
      <c r="D54" s="555">
        <f>MARZO!$BO31*$G$4+JUNIO!$BO31*$I$4+SEPTIEMBRE!$BO31*$K$4+DICIEMBRE!$BO31*$M$4</f>
        <v>8465104871</v>
      </c>
      <c r="E54" s="561">
        <f>MARZO!$BP31*$G$4+JUNIO!$BP31*$I$4+SEPTIEMBRE!$BP31*$K$4+DICIEMBRE!$BP31*$M$4</f>
        <v>8465104871</v>
      </c>
      <c r="F54" s="542">
        <f>ENERO!$BQ31</f>
        <v>2405286651</v>
      </c>
      <c r="G54" s="543">
        <f>FEBRERO!$BQ31</f>
        <v>2121547071</v>
      </c>
      <c r="H54" s="543">
        <f>MARZO!$BQ31</f>
        <v>3938271149</v>
      </c>
      <c r="I54" s="543">
        <f>ABRIL!$BQ31</f>
        <v>3364520702</v>
      </c>
      <c r="J54" s="543">
        <f>MAYO!$BQ31</f>
        <v>789125531</v>
      </c>
      <c r="K54" s="543">
        <f>JUNIO!$BQ31</f>
        <v>372182215</v>
      </c>
      <c r="L54" s="543">
        <f>JULIO!$BQ31</f>
        <v>1526928890</v>
      </c>
      <c r="M54" s="543">
        <f>AGOSTO!$BQ31</f>
        <v>678610637</v>
      </c>
      <c r="N54" s="543">
        <f>SEPTIEMBRE!$BQ31</f>
        <v>922121196</v>
      </c>
      <c r="O54" s="543">
        <f>OCTUBRE!$BQ31</f>
        <v>2018324781</v>
      </c>
      <c r="P54" s="543">
        <f>NOVIEMBRE!$BQ31</f>
        <v>525288970</v>
      </c>
      <c r="Q54" s="571">
        <f>DICIEMBRE!$BQ31</f>
        <v>766504097</v>
      </c>
      <c r="R54" s="565">
        <f t="shared" si="10"/>
        <v>19428711890</v>
      </c>
      <c r="S54" s="589"/>
    </row>
    <row r="55" spans="1:19" s="584" customFormat="1" ht="24.95" customHeight="1" thickBot="1">
      <c r="A55" s="587"/>
      <c r="B55" s="550" t="s">
        <v>134</v>
      </c>
      <c r="C55" s="258">
        <f>C29+C48+C52+C53+C54</f>
        <v>94859073150</v>
      </c>
      <c r="D55" s="258">
        <f t="shared" ref="D55:R55" si="15">D29+D48+D52+D53+D54</f>
        <v>54785545310</v>
      </c>
      <c r="E55" s="557">
        <f t="shared" si="15"/>
        <v>25347263941</v>
      </c>
      <c r="F55" s="260">
        <f t="shared" si="15"/>
        <v>3169470614</v>
      </c>
      <c r="G55" s="260">
        <f t="shared" si="15"/>
        <v>4407016072</v>
      </c>
      <c r="H55" s="260">
        <f t="shared" si="15"/>
        <v>6618065696</v>
      </c>
      <c r="I55" s="260">
        <f t="shared" si="15"/>
        <v>8131208528</v>
      </c>
      <c r="J55" s="260">
        <f t="shared" si="15"/>
        <v>6808585015</v>
      </c>
      <c r="K55" s="260">
        <f t="shared" si="15"/>
        <v>4118659155</v>
      </c>
      <c r="L55" s="260">
        <f t="shared" si="15"/>
        <v>12185691302</v>
      </c>
      <c r="M55" s="260">
        <f t="shared" si="15"/>
        <v>4047765520</v>
      </c>
      <c r="N55" s="260">
        <f t="shared" si="15"/>
        <v>5441901547</v>
      </c>
      <c r="O55" s="260">
        <f t="shared" si="15"/>
        <v>9913005945</v>
      </c>
      <c r="P55" s="260">
        <f t="shared" si="15"/>
        <v>5097037552</v>
      </c>
      <c r="Q55" s="260">
        <f t="shared" si="15"/>
        <v>12096917498</v>
      </c>
      <c r="R55" s="558">
        <f t="shared" si="15"/>
        <v>82035324444</v>
      </c>
      <c r="S55" s="585"/>
    </row>
    <row r="56" spans="1:19" s="584" customFormat="1" ht="24.95" customHeight="1" thickBot="1">
      <c r="A56" s="587"/>
      <c r="B56" s="551" t="s">
        <v>131</v>
      </c>
      <c r="C56" s="556">
        <f>C25-C55</f>
        <v>0</v>
      </c>
      <c r="D56" s="556">
        <f t="shared" ref="D56:R56" si="16">D25-D55</f>
        <v>-14535895741</v>
      </c>
      <c r="E56" s="556">
        <f>+D25-E55</f>
        <v>14902385628</v>
      </c>
      <c r="F56" s="259">
        <f t="shared" si="16"/>
        <v>11207581331</v>
      </c>
      <c r="G56" s="259">
        <f t="shared" si="16"/>
        <v>10990927117</v>
      </c>
      <c r="H56" s="259">
        <f t="shared" si="16"/>
        <v>10680383224</v>
      </c>
      <c r="I56" s="259">
        <f t="shared" si="16"/>
        <v>10174790384.150002</v>
      </c>
      <c r="J56" s="259">
        <f t="shared" si="16"/>
        <v>7990683727.7600021</v>
      </c>
      <c r="K56" s="259">
        <f t="shared" si="16"/>
        <v>15234213806.760002</v>
      </c>
      <c r="L56" s="259">
        <f t="shared" si="16"/>
        <v>11995649075.760002</v>
      </c>
      <c r="M56" s="259">
        <f t="shared" si="16"/>
        <v>12011926472.760002</v>
      </c>
      <c r="N56" s="259">
        <f t="shared" si="16"/>
        <v>11424060013.760002</v>
      </c>
      <c r="O56" s="259">
        <f t="shared" si="16"/>
        <v>10128777169.760002</v>
      </c>
      <c r="P56" s="259">
        <f t="shared" si="16"/>
        <v>9438338616.7600021</v>
      </c>
      <c r="Q56" s="259">
        <f t="shared" si="16"/>
        <v>27709860786.760002</v>
      </c>
      <c r="R56" s="559">
        <f t="shared" si="16"/>
        <v>27709860786.76001</v>
      </c>
      <c r="S56" s="585"/>
    </row>
    <row r="69" spans="2:2" ht="24.95" customHeight="1">
      <c r="B69" s="614"/>
    </row>
    <row r="121" spans="2:2" ht="24.95" customHeight="1">
      <c r="B121" s="614"/>
    </row>
  </sheetData>
  <sheetProtection password="C577" sheet="1" objects="1" scenarios="1" formatCells="0" formatColumns="0"/>
  <mergeCells count="31">
    <mergeCell ref="B1:J1"/>
    <mergeCell ref="H2:R2"/>
    <mergeCell ref="B4:D4"/>
    <mergeCell ref="B6:B7"/>
    <mergeCell ref="R6:R7"/>
    <mergeCell ref="B3:M3"/>
    <mergeCell ref="C6:C7"/>
    <mergeCell ref="B27:B28"/>
    <mergeCell ref="D27:D28"/>
    <mergeCell ref="R27:R28"/>
    <mergeCell ref="E27:E28"/>
    <mergeCell ref="D6:E7"/>
    <mergeCell ref="D8:E8"/>
    <mergeCell ref="D10:E10"/>
    <mergeCell ref="D11:E11"/>
    <mergeCell ref="D12:E12"/>
    <mergeCell ref="C27:C28"/>
    <mergeCell ref="D9:E9"/>
    <mergeCell ref="D19:E19"/>
    <mergeCell ref="D20:E20"/>
    <mergeCell ref="D22:E22"/>
    <mergeCell ref="D23:E23"/>
    <mergeCell ref="D24:E24"/>
    <mergeCell ref="D25:E25"/>
    <mergeCell ref="D13:E13"/>
    <mergeCell ref="D14:E14"/>
    <mergeCell ref="D15:E15"/>
    <mergeCell ref="D16:E16"/>
    <mergeCell ref="D17:E17"/>
    <mergeCell ref="D18:E18"/>
    <mergeCell ref="D21:E21"/>
  </mergeCells>
  <dataValidations count="1">
    <dataValidation type="custom" allowBlank="1" showInputMessage="1" showErrorMessage="1" errorTitle="CUIDADO..." error="Debe registrar el número 1 en el cuadro correspondiente al trimestre que consolidará. o puede seleccionar mas de un trimestre a la vez_x000a__x000a_CANOBO - 2010" sqref="G4 I4 K4 M4">
      <formula1>+SUM($G$4:$M$4)=1</formula1>
    </dataValidation>
  </dataValidations>
  <printOptions horizontalCentered="1" verticalCentered="1"/>
  <pageMargins left="0.59055118110236227" right="0.59055118110236227" top="0.43307086614173229" bottom="0.39370078740157483" header="0.23622047244094491" footer="0.23622047244094491"/>
  <pageSetup paperSize="14" scale="45" orientation="landscape" blackAndWhite="1" horizontalDpi="300" verticalDpi="300" r:id="rId1"/>
  <headerFooter alignWithMargins="0">
    <oddFooter>&amp;CPágina &amp;P de &amp;N</oddFooter>
  </headerFooter>
  <rowBreaks count="1" manualBreakCount="1">
    <brk id="26" min="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3"/>
  <sheetViews>
    <sheetView zoomScale="80" zoomScaleNormal="80" workbookViewId="0">
      <selection activeCell="I24" sqref="I24"/>
    </sheetView>
  </sheetViews>
  <sheetFormatPr baseColWidth="10" defaultRowHeight="12.75"/>
  <cols>
    <col min="1" max="1" width="24.28515625" customWidth="1"/>
    <col min="2" max="2" width="25" customWidth="1"/>
    <col min="3" max="3" width="26" customWidth="1"/>
    <col min="4" max="4" width="23.140625" customWidth="1"/>
    <col min="5" max="5" width="19.140625" customWidth="1"/>
    <col min="6" max="6" width="18.28515625" customWidth="1"/>
    <col min="7" max="7" width="24.5703125" customWidth="1"/>
    <col min="8" max="8" width="22.5703125" customWidth="1"/>
    <col min="9" max="9" width="23.5703125" customWidth="1"/>
    <col min="10" max="10" width="25" customWidth="1"/>
    <col min="11" max="11" width="4.42578125" customWidth="1"/>
  </cols>
  <sheetData>
    <row r="1" spans="1:12" ht="26.25">
      <c r="A1" s="1037" t="str">
        <f>+CONCATENATE("SEGUIMIENTO A LA EJECUCION PRESUPUESTAL - VIGENCIA ",INSTRUCCIONES!F3)</f>
        <v>SEGUIMIENTO A LA EJECUCION PRESUPUESTAL - VIGENCIA 2019</v>
      </c>
      <c r="B1" s="1037"/>
      <c r="C1" s="1037"/>
      <c r="D1" s="1037"/>
      <c r="E1" s="1037"/>
      <c r="F1" s="1037"/>
      <c r="G1" s="1037"/>
      <c r="H1" s="1037"/>
      <c r="I1" s="1037"/>
      <c r="J1" s="228"/>
      <c r="K1" s="34"/>
      <c r="L1" s="229"/>
    </row>
    <row r="2" spans="1:12" ht="26.25">
      <c r="A2" s="1039" t="str">
        <f>+CONCATENATE(INSTRUCCIONES!B5," - ",INSTRUCCIONES!B3)</f>
        <v>ESE HOSPITAL LA MARIA - MEDELLIN</v>
      </c>
      <c r="B2" s="1039"/>
      <c r="C2" s="1039"/>
      <c r="D2" s="1039"/>
      <c r="E2" s="1039"/>
      <c r="F2" s="1039"/>
      <c r="G2" s="1039"/>
      <c r="H2" s="1039"/>
      <c r="I2" s="228"/>
      <c r="J2" s="228"/>
      <c r="K2" s="34"/>
      <c r="L2" s="229"/>
    </row>
    <row r="3" spans="1:12" ht="26.25">
      <c r="A3" s="1039"/>
      <c r="B3" s="1039"/>
      <c r="C3" s="1039"/>
      <c r="D3" s="1039"/>
      <c r="E3" s="1039"/>
      <c r="F3" s="1039"/>
      <c r="G3" s="1039"/>
      <c r="H3" s="1039"/>
      <c r="I3" s="34"/>
      <c r="J3" s="230"/>
      <c r="K3" s="34"/>
      <c r="L3" s="229"/>
    </row>
    <row r="4" spans="1:12" ht="15.75">
      <c r="A4" s="802" t="s">
        <v>601</v>
      </c>
      <c r="B4" s="232"/>
      <c r="C4" s="232"/>
      <c r="D4" s="232"/>
      <c r="E4" s="232"/>
      <c r="F4" s="232"/>
      <c r="G4" s="232"/>
      <c r="H4" s="232"/>
      <c r="I4" s="34"/>
      <c r="J4" s="230"/>
      <c r="K4" s="34"/>
      <c r="L4" s="229"/>
    </row>
    <row r="5" spans="1:12">
      <c r="A5" s="233"/>
      <c r="B5" s="234"/>
      <c r="C5" s="235"/>
      <c r="D5" s="235"/>
      <c r="E5" s="236"/>
      <c r="F5" s="236"/>
      <c r="G5" s="237"/>
      <c r="H5" s="233"/>
      <c r="I5" s="34"/>
      <c r="J5" s="230"/>
      <c r="K5" s="34"/>
      <c r="L5" s="229"/>
    </row>
    <row r="6" spans="1:12" s="231" customFormat="1">
      <c r="A6" s="1038" t="s">
        <v>36</v>
      </c>
      <c r="B6" s="1040" t="s">
        <v>11</v>
      </c>
      <c r="C6" s="1040"/>
      <c r="D6" s="1041" t="s">
        <v>503</v>
      </c>
      <c r="E6" s="1038" t="s">
        <v>51</v>
      </c>
      <c r="F6" s="1038"/>
      <c r="G6" s="1038" t="s">
        <v>491</v>
      </c>
      <c r="H6" s="1038"/>
      <c r="I6" s="1038" t="s">
        <v>504</v>
      </c>
      <c r="J6" s="1038"/>
    </row>
    <row r="7" spans="1:12" s="231" customFormat="1">
      <c r="A7" s="1038"/>
      <c r="B7" s="808" t="s">
        <v>28</v>
      </c>
      <c r="C7" s="808" t="s">
        <v>29</v>
      </c>
      <c r="D7" s="1042"/>
      <c r="E7" s="807" t="s">
        <v>43</v>
      </c>
      <c r="F7" s="807" t="s">
        <v>22</v>
      </c>
      <c r="G7" s="807" t="s">
        <v>492</v>
      </c>
      <c r="H7" s="807" t="s">
        <v>493</v>
      </c>
      <c r="I7" s="807" t="s">
        <v>492</v>
      </c>
      <c r="J7" s="807" t="s">
        <v>493</v>
      </c>
    </row>
    <row r="8" spans="1:12" s="231" customFormat="1" ht="17.25" customHeight="1">
      <c r="A8" s="1038"/>
      <c r="B8" s="238" t="s">
        <v>25</v>
      </c>
      <c r="C8" s="238" t="s">
        <v>318</v>
      </c>
      <c r="D8" s="239" t="s">
        <v>327</v>
      </c>
      <c r="E8" s="240" t="s">
        <v>334</v>
      </c>
      <c r="F8" s="240" t="s">
        <v>355</v>
      </c>
      <c r="G8" s="239" t="s">
        <v>494</v>
      </c>
      <c r="H8" s="239" t="s">
        <v>495</v>
      </c>
      <c r="I8" s="239" t="s">
        <v>505</v>
      </c>
      <c r="J8" s="239" t="s">
        <v>506</v>
      </c>
    </row>
    <row r="9" spans="1:12" s="231" customFormat="1" ht="73.5" customHeight="1">
      <c r="A9" s="742">
        <f>+DICIEMBRE!$F$8</f>
        <v>137255115108</v>
      </c>
      <c r="B9" s="742">
        <f>+DICIEMBRE!$I$8</f>
        <v>148172894167</v>
      </c>
      <c r="C9" s="743">
        <f>+DICIEMBRE!$L$8</f>
        <v>109745185230.76001</v>
      </c>
      <c r="D9" s="241">
        <f>+C9/B9</f>
        <v>0.74065628432060193</v>
      </c>
      <c r="E9" s="743">
        <f>+DICIEMBRE!$AA$8</f>
        <v>96093187852</v>
      </c>
      <c r="F9" s="743">
        <f>+DICIEMBRE!$AG$8</f>
        <v>82035324444</v>
      </c>
      <c r="G9" s="242">
        <f>+B9/E9</f>
        <v>1.5419708460001522</v>
      </c>
      <c r="H9" s="242">
        <f>+C9/E9</f>
        <v>1.1420703973291679</v>
      </c>
      <c r="I9" s="742">
        <f>+B9-E9</f>
        <v>52079706315</v>
      </c>
      <c r="J9" s="742">
        <f>+C9-E9</f>
        <v>13651997378.76001</v>
      </c>
    </row>
    <row r="10" spans="1:12">
      <c r="A10" s="243"/>
      <c r="B10" s="243"/>
      <c r="C10" s="243"/>
      <c r="D10" s="243"/>
      <c r="E10" s="243"/>
      <c r="F10" s="243"/>
      <c r="G10" s="243"/>
      <c r="H10" s="243"/>
    </row>
    <row r="11" spans="1:12">
      <c r="A11" s="243"/>
      <c r="B11" s="243"/>
      <c r="C11" s="243"/>
      <c r="D11" s="243"/>
      <c r="E11" s="243"/>
      <c r="F11" s="243"/>
      <c r="G11" s="243"/>
      <c r="H11" s="243"/>
    </row>
    <row r="12" spans="1:12">
      <c r="A12" s="243"/>
      <c r="B12" s="243"/>
      <c r="C12" s="243"/>
      <c r="D12" s="243"/>
      <c r="E12" s="243"/>
      <c r="F12" s="243"/>
      <c r="G12" s="243"/>
      <c r="H12" s="243"/>
    </row>
    <row r="13" spans="1:12">
      <c r="A13" s="802" t="s">
        <v>602</v>
      </c>
      <c r="B13" s="243"/>
      <c r="C13" s="243"/>
      <c r="D13" s="243"/>
      <c r="E13" s="243"/>
      <c r="F13" s="243"/>
      <c r="G13" s="243"/>
      <c r="H13" s="243"/>
    </row>
    <row r="14" spans="1:12">
      <c r="A14" s="243"/>
      <c r="B14" s="243"/>
      <c r="C14" s="243"/>
      <c r="D14" s="243"/>
      <c r="E14" s="243"/>
      <c r="F14" s="243"/>
      <c r="G14" s="243"/>
      <c r="H14" s="243"/>
    </row>
    <row r="15" spans="1:12">
      <c r="A15" s="1038" t="s">
        <v>36</v>
      </c>
      <c r="B15" s="1040" t="s">
        <v>11</v>
      </c>
      <c r="C15" s="1040"/>
      <c r="D15" s="1041" t="s">
        <v>503</v>
      </c>
      <c r="E15" s="1038" t="s">
        <v>51</v>
      </c>
      <c r="F15" s="1038"/>
      <c r="G15" s="1038" t="s">
        <v>491</v>
      </c>
      <c r="H15" s="1038"/>
      <c r="I15" s="1038" t="s">
        <v>504</v>
      </c>
      <c r="J15" s="1038"/>
    </row>
    <row r="16" spans="1:12">
      <c r="A16" s="1038"/>
      <c r="B16" s="808" t="s">
        <v>28</v>
      </c>
      <c r="C16" s="808" t="s">
        <v>29</v>
      </c>
      <c r="D16" s="1042"/>
      <c r="E16" s="807" t="s">
        <v>43</v>
      </c>
      <c r="F16" s="807" t="s">
        <v>22</v>
      </c>
      <c r="G16" s="807" t="s">
        <v>492</v>
      </c>
      <c r="H16" s="807" t="s">
        <v>493</v>
      </c>
      <c r="I16" s="807" t="s">
        <v>492</v>
      </c>
      <c r="J16" s="807" t="s">
        <v>493</v>
      </c>
    </row>
    <row r="17" spans="1:10">
      <c r="A17" s="1038"/>
      <c r="B17" s="238" t="s">
        <v>25</v>
      </c>
      <c r="C17" s="238" t="s">
        <v>318</v>
      </c>
      <c r="D17" s="239" t="s">
        <v>327</v>
      </c>
      <c r="E17" s="240" t="s">
        <v>334</v>
      </c>
      <c r="F17" s="240" t="s">
        <v>355</v>
      </c>
      <c r="G17" s="239" t="s">
        <v>494</v>
      </c>
      <c r="H17" s="239" t="s">
        <v>495</v>
      </c>
      <c r="I17" s="239" t="s">
        <v>505</v>
      </c>
      <c r="J17" s="239" t="s">
        <v>506</v>
      </c>
    </row>
    <row r="18" spans="1:10" ht="73.5" customHeight="1">
      <c r="A18" s="742">
        <f>+DICIEMBRE!$F$126</f>
        <v>116818501399</v>
      </c>
      <c r="B18" s="742">
        <f>+DICIEMBRE!$I$126</f>
        <v>125761035953</v>
      </c>
      <c r="C18" s="743">
        <f>+DICIEMBRE!$L$126</f>
        <v>87333327017.070007</v>
      </c>
      <c r="D18" s="241">
        <f>+C18/B18</f>
        <v>0.69443867375351953</v>
      </c>
      <c r="E18" s="743">
        <f>+DICIEMBRE!$AA$260</f>
        <v>76664475962</v>
      </c>
      <c r="F18" s="743">
        <f>+DICIEMBRE!$AG$260</f>
        <v>62606612554</v>
      </c>
      <c r="G18" s="242">
        <f>+B18/E18</f>
        <v>1.6404082122120747</v>
      </c>
      <c r="H18" s="242">
        <f>+C18/E18</f>
        <v>1.1391629033029351</v>
      </c>
      <c r="I18" s="742">
        <f>+B18-E18</f>
        <v>49096559991</v>
      </c>
      <c r="J18" s="742">
        <f>+C18-E18</f>
        <v>10668851055.070007</v>
      </c>
    </row>
    <row r="19" spans="1:10">
      <c r="A19" s="243"/>
      <c r="B19" s="243"/>
      <c r="C19" s="243"/>
      <c r="D19" s="243"/>
      <c r="E19" s="243"/>
      <c r="F19" s="243"/>
      <c r="G19" s="243"/>
      <c r="H19" s="243"/>
    </row>
    <row r="20" spans="1:10">
      <c r="A20" s="243"/>
      <c r="B20" s="243"/>
      <c r="C20" s="243"/>
      <c r="D20" s="243"/>
      <c r="E20" s="243"/>
      <c r="F20" s="243"/>
      <c r="G20" s="243"/>
      <c r="H20" s="243"/>
    </row>
    <row r="21" spans="1:10">
      <c r="A21" s="243"/>
      <c r="B21" s="243"/>
      <c r="C21" s="243"/>
      <c r="D21" s="243"/>
      <c r="E21" s="243"/>
      <c r="F21" s="243"/>
      <c r="G21" s="243"/>
      <c r="H21" s="243"/>
    </row>
    <row r="22" spans="1:10">
      <c r="A22" s="243"/>
      <c r="B22" s="243"/>
      <c r="C22" s="243"/>
      <c r="D22" s="243"/>
      <c r="E22" s="243"/>
      <c r="F22" s="243"/>
      <c r="G22" s="243"/>
      <c r="H22" s="243"/>
    </row>
    <row r="23" spans="1:10">
      <c r="A23" s="243" t="s">
        <v>496</v>
      </c>
      <c r="B23" s="243"/>
      <c r="C23" s="243"/>
      <c r="D23" s="243"/>
      <c r="E23" s="243"/>
      <c r="F23" s="243"/>
      <c r="G23" s="243"/>
      <c r="H23" s="243"/>
    </row>
    <row r="24" spans="1:10">
      <c r="A24" s="243"/>
      <c r="B24" s="243"/>
      <c r="C24" s="243"/>
      <c r="D24" s="243"/>
      <c r="E24" s="243"/>
      <c r="F24" s="243"/>
      <c r="G24" s="243"/>
      <c r="H24" s="243"/>
    </row>
    <row r="25" spans="1:10">
      <c r="A25" s="243" t="s">
        <v>497</v>
      </c>
      <c r="B25" s="243"/>
      <c r="C25" s="243" t="s">
        <v>502</v>
      </c>
      <c r="D25" s="243"/>
      <c r="E25" s="243"/>
      <c r="F25" s="243"/>
      <c r="G25" s="243"/>
      <c r="H25" s="243"/>
    </row>
    <row r="26" spans="1:10">
      <c r="A26" s="243" t="s">
        <v>508</v>
      </c>
      <c r="B26" s="243"/>
      <c r="C26" s="243" t="s">
        <v>501</v>
      </c>
      <c r="D26" s="243"/>
      <c r="E26" s="243"/>
      <c r="F26" s="243"/>
      <c r="G26" s="243"/>
      <c r="H26" s="243"/>
    </row>
    <row r="27" spans="1:10">
      <c r="A27" s="243"/>
      <c r="B27" s="243"/>
      <c r="C27" s="243"/>
      <c r="D27" s="243"/>
      <c r="E27" s="243"/>
      <c r="F27" s="243"/>
      <c r="G27" s="243"/>
      <c r="H27" s="243"/>
    </row>
    <row r="28" spans="1:10">
      <c r="A28" s="243"/>
      <c r="B28" s="243"/>
      <c r="C28" s="243"/>
      <c r="D28" s="243"/>
      <c r="E28" s="243"/>
      <c r="F28" s="243"/>
      <c r="G28" s="243"/>
      <c r="H28" s="243"/>
    </row>
    <row r="81" spans="2:2">
      <c r="B81" s="613"/>
    </row>
    <row r="133" spans="2:2">
      <c r="B133" s="616"/>
    </row>
  </sheetData>
  <sheetProtection password="C577" sheet="1" objects="1" scenarios="1" formatCells="0" formatColumns="0"/>
  <mergeCells count="15">
    <mergeCell ref="I15:J15"/>
    <mergeCell ref="A15:A17"/>
    <mergeCell ref="B15:C15"/>
    <mergeCell ref="D15:D16"/>
    <mergeCell ref="E15:F15"/>
    <mergeCell ref="G15:H15"/>
    <mergeCell ref="A1:I1"/>
    <mergeCell ref="I6:J6"/>
    <mergeCell ref="A2:H2"/>
    <mergeCell ref="A3:H3"/>
    <mergeCell ref="A6:A8"/>
    <mergeCell ref="B6:C6"/>
    <mergeCell ref="D6:D7"/>
    <mergeCell ref="E6:F6"/>
    <mergeCell ref="G6:H6"/>
  </mergeCell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22"/>
  <sheetViews>
    <sheetView zoomScale="80" zoomScaleNormal="80" workbookViewId="0">
      <selection sqref="A1:V1"/>
    </sheetView>
  </sheetViews>
  <sheetFormatPr baseColWidth="10" defaultRowHeight="12.75"/>
  <cols>
    <col min="1" max="1" width="20.140625" style="223" customWidth="1"/>
    <col min="2" max="3" width="21.28515625" style="223" customWidth="1"/>
    <col min="4" max="22" width="17.85546875" style="223" customWidth="1"/>
    <col min="23" max="23" width="19.28515625" style="223" customWidth="1"/>
    <col min="24" max="16384" width="11.42578125" style="223"/>
  </cols>
  <sheetData>
    <row r="1" spans="1:23" ht="26.25">
      <c r="A1" s="1048" t="str">
        <f>+CONCATENATE("EJECUCION DE RECURSOS DE MANTENIMIENTO HOSPITALARIO - VIGENCIA ",INSTRUCCIONES!F3)</f>
        <v>EJECUCION DE RECURSOS DE MANTENIMIENTO HOSPITALARIO - VIGENCIA 2019</v>
      </c>
      <c r="B1" s="1049"/>
      <c r="C1" s="1049"/>
      <c r="D1" s="1049"/>
      <c r="E1" s="1049"/>
      <c r="F1" s="1049"/>
      <c r="G1" s="1049"/>
      <c r="H1" s="1049"/>
      <c r="I1" s="1049"/>
      <c r="J1" s="1049"/>
      <c r="K1" s="1049"/>
      <c r="L1" s="1049"/>
      <c r="M1" s="1049"/>
      <c r="N1" s="1049"/>
      <c r="O1" s="1049"/>
      <c r="P1" s="1049"/>
      <c r="Q1" s="1049"/>
      <c r="R1" s="1049"/>
      <c r="S1" s="1049"/>
      <c r="T1" s="1049"/>
      <c r="U1" s="1049"/>
      <c r="V1" s="1049"/>
    </row>
    <row r="2" spans="1:23" ht="26.25">
      <c r="A2" s="1050" t="str">
        <f>+CONCATENATE(INSTRUCCIONES!B5," - ",INSTRUCCIONES!B3)</f>
        <v>ESE HOSPITAL LA MARIA - MEDELLIN</v>
      </c>
      <c r="B2" s="1051"/>
      <c r="C2" s="1051"/>
      <c r="D2" s="1051"/>
      <c r="E2" s="1051"/>
      <c r="F2" s="1051"/>
      <c r="G2" s="1051"/>
      <c r="H2" s="1051"/>
      <c r="I2" s="1051"/>
      <c r="J2" s="1051"/>
      <c r="K2" s="1051"/>
      <c r="L2" s="1051"/>
      <c r="M2" s="1051"/>
      <c r="N2" s="1051"/>
      <c r="O2" s="1051"/>
      <c r="P2" s="1051"/>
      <c r="Q2" s="1051"/>
      <c r="R2" s="1051"/>
      <c r="S2" s="1051"/>
      <c r="T2" s="1051"/>
      <c r="U2" s="1051"/>
      <c r="V2" s="1051"/>
    </row>
    <row r="3" spans="1:23" ht="26.25">
      <c r="A3" s="1050"/>
      <c r="B3" s="1051"/>
      <c r="C3" s="1051"/>
      <c r="D3" s="1051"/>
      <c r="E3" s="1051"/>
      <c r="F3" s="1051"/>
      <c r="G3" s="1051"/>
      <c r="H3" s="1051"/>
      <c r="I3" s="1051"/>
      <c r="J3" s="1051"/>
      <c r="K3" s="1051"/>
      <c r="L3" s="1051"/>
      <c r="M3" s="1051"/>
      <c r="N3" s="1051"/>
      <c r="O3" s="1051"/>
      <c r="P3" s="1051"/>
      <c r="Q3" s="1051"/>
      <c r="R3" s="1051"/>
      <c r="S3" s="1051"/>
      <c r="T3" s="1051"/>
      <c r="U3" s="1051"/>
      <c r="V3" s="1051"/>
    </row>
    <row r="8" spans="1:23" ht="51" customHeight="1">
      <c r="A8" s="1047" t="s">
        <v>567</v>
      </c>
      <c r="B8" s="1047" t="s">
        <v>568</v>
      </c>
      <c r="C8" s="1047" t="s">
        <v>569</v>
      </c>
      <c r="D8" s="1045" t="s">
        <v>485</v>
      </c>
      <c r="E8" s="1046"/>
      <c r="F8" s="1043" t="s">
        <v>571</v>
      </c>
      <c r="G8" s="1043" t="s">
        <v>570</v>
      </c>
      <c r="H8" s="1043" t="s">
        <v>572</v>
      </c>
      <c r="I8" s="1045" t="s">
        <v>486</v>
      </c>
      <c r="J8" s="1046"/>
      <c r="K8" s="1043" t="s">
        <v>573</v>
      </c>
      <c r="L8" s="1043" t="s">
        <v>574</v>
      </c>
      <c r="M8" s="1043" t="s">
        <v>575</v>
      </c>
      <c r="N8" s="1045" t="s">
        <v>487</v>
      </c>
      <c r="O8" s="1046"/>
      <c r="P8" s="1043" t="s">
        <v>576</v>
      </c>
      <c r="Q8" s="1043" t="s">
        <v>577</v>
      </c>
      <c r="R8" s="1043" t="s">
        <v>578</v>
      </c>
      <c r="S8" s="1045" t="s">
        <v>488</v>
      </c>
      <c r="T8" s="1046"/>
      <c r="U8" s="1043" t="s">
        <v>579</v>
      </c>
      <c r="V8" s="1043" t="s">
        <v>580</v>
      </c>
      <c r="W8" s="1043" t="s">
        <v>581</v>
      </c>
    </row>
    <row r="9" spans="1:23" ht="60.75" customHeight="1">
      <c r="A9" s="1047"/>
      <c r="B9" s="1047"/>
      <c r="C9" s="1047"/>
      <c r="D9" s="809" t="s">
        <v>489</v>
      </c>
      <c r="E9" s="809" t="s">
        <v>490</v>
      </c>
      <c r="F9" s="1044"/>
      <c r="G9" s="1044"/>
      <c r="H9" s="1044"/>
      <c r="I9" s="809" t="s">
        <v>489</v>
      </c>
      <c r="J9" s="809" t="s">
        <v>490</v>
      </c>
      <c r="K9" s="1044"/>
      <c r="L9" s="1044"/>
      <c r="M9" s="1044"/>
      <c r="N9" s="809" t="s">
        <v>489</v>
      </c>
      <c r="O9" s="809" t="s">
        <v>490</v>
      </c>
      <c r="P9" s="1044"/>
      <c r="Q9" s="1044"/>
      <c r="R9" s="1044"/>
      <c r="S9" s="809" t="s">
        <v>489</v>
      </c>
      <c r="T9" s="809" t="s">
        <v>490</v>
      </c>
      <c r="U9" s="1044"/>
      <c r="V9" s="1044"/>
      <c r="W9" s="1044"/>
    </row>
    <row r="10" spans="1:23" s="226" customFormat="1" ht="79.5" customHeight="1">
      <c r="A10" s="227">
        <f>+DICIEMBRE!F17-DICIEMBRE!F94-(SUMIF(DICIEMBRE!B21:B111,DICIEMBRE!B24,DICIEMBRE!F21:F111))</f>
        <v>66295985090</v>
      </c>
      <c r="B10" s="227">
        <f>+DICIEMBRE!I17-DICIEMBRE!I94-(SUMIF(DICIEMBRE!B21:B111,DICIEMBRE!B24,DICIEMBRE!I21:I111))</f>
        <v>76301970057</v>
      </c>
      <c r="C10" s="227">
        <f>+DICIEMBRE!L17-DICIEMBRE!L94-(SUMIF(DICIEMBRE!B21:B111,DICIEMBRE!B24,DICIEMBRE!L21:L111))</f>
        <v>37874261121.070007</v>
      </c>
      <c r="D10" s="227">
        <f>+DICIEMBRE!X148</f>
        <v>752000000</v>
      </c>
      <c r="E10" s="227">
        <f>+DICIEMBRE!X156</f>
        <v>3012025000</v>
      </c>
      <c r="F10" s="225">
        <f>+IF(A10=0," ",($D$10+$E$10)/A10)</f>
        <v>5.6776062606056076E-2</v>
      </c>
      <c r="G10" s="225">
        <f>+IF(B10=0," ",($D$10+$E$10)/B10)</f>
        <v>4.9330639788044181E-2</v>
      </c>
      <c r="H10" s="225">
        <f>+IF(C10=0," ",($D$10+$E$10)/C10)</f>
        <v>9.9382136801766344E-2</v>
      </c>
      <c r="I10" s="227">
        <f>+DICIEMBRE!AA148</f>
        <v>549568314</v>
      </c>
      <c r="J10" s="227">
        <f>+DICIEMBRE!AA156</f>
        <v>2860576059</v>
      </c>
      <c r="K10" s="224">
        <f>+IF(A10=0," ",($I$10+$J$10)/A10)</f>
        <v>5.1438173342934185E-2</v>
      </c>
      <c r="L10" s="224">
        <f>+IF(B10=0," ",($I$10+$J$10)/B10)</f>
        <v>4.4692743456722202E-2</v>
      </c>
      <c r="M10" s="224">
        <f>+IF(C10=0," ",($I$10+$J$10)/C10)</f>
        <v>9.0038571633094824E-2</v>
      </c>
      <c r="N10" s="227">
        <f>+DICIEMBRE!AD148</f>
        <v>549568314</v>
      </c>
      <c r="O10" s="227">
        <f>+DICIEMBRE!AD156</f>
        <v>2860576059</v>
      </c>
      <c r="P10" s="224">
        <f>+IF(A10=0," ",($N$10+$O$10)/A10)</f>
        <v>5.1438173342934185E-2</v>
      </c>
      <c r="Q10" s="224">
        <f>+IF(B10=0," ",($N$10+$O$10)/B10)</f>
        <v>4.4692743456722202E-2</v>
      </c>
      <c r="R10" s="224">
        <f>+IF(C10=0," ",($N$10+$O$10)/C10)</f>
        <v>9.0038571633094824E-2</v>
      </c>
      <c r="S10" s="227">
        <f>+DICIEMBRE!AG148</f>
        <v>269107445</v>
      </c>
      <c r="T10" s="227">
        <f>+DICIEMBRE!AG156</f>
        <v>2587121199</v>
      </c>
      <c r="U10" s="224">
        <f>+IF(A10=0," ",($S$10+$T$10)/A10)</f>
        <v>4.3082980668022831E-2</v>
      </c>
      <c r="V10" s="224">
        <f>+IF(B10=0," ",($S$10+$T$10)/B10)</f>
        <v>3.7433222783976698E-2</v>
      </c>
      <c r="W10" s="224">
        <f>+IF(C10=0," ",($S$10+$T$10)/C10)</f>
        <v>7.5413448591635707E-2</v>
      </c>
    </row>
    <row r="70" spans="2:3">
      <c r="B70" s="612"/>
      <c r="C70" s="612"/>
    </row>
    <row r="122" spans="2:3">
      <c r="B122" s="615"/>
      <c r="C122" s="615"/>
    </row>
  </sheetData>
  <sheetProtection password="C577" sheet="1" objects="1" scenarios="1" formatCells="0" formatColumns="0"/>
  <mergeCells count="22">
    <mergeCell ref="W8:W9"/>
    <mergeCell ref="V8:V9"/>
    <mergeCell ref="A1:V1"/>
    <mergeCell ref="A2:V2"/>
    <mergeCell ref="A3:V3"/>
    <mergeCell ref="I8:J8"/>
    <mergeCell ref="K8:K9"/>
    <mergeCell ref="N8:O8"/>
    <mergeCell ref="P8:P9"/>
    <mergeCell ref="S8:T8"/>
    <mergeCell ref="U8:U9"/>
    <mergeCell ref="Q8:Q9"/>
    <mergeCell ref="A8:A9"/>
    <mergeCell ref="B8:B9"/>
    <mergeCell ref="H8:H9"/>
    <mergeCell ref="M8:M9"/>
    <mergeCell ref="R8:R9"/>
    <mergeCell ref="D8:E8"/>
    <mergeCell ref="C8:C9"/>
    <mergeCell ref="F8:F9"/>
    <mergeCell ref="G8:G9"/>
    <mergeCell ref="L8:L9"/>
  </mergeCells>
  <printOptions horizontalCentered="1"/>
  <pageMargins left="0.59055118110236227" right="0.59055118110236227" top="0.43307086614173229" bottom="0.39370078740157483" header="0.23622047244094491" footer="0.23622047244094491"/>
  <pageSetup paperSize="14" scale="40" orientation="landscape" blackAndWhite="1" horizontalDpi="300" verticalDpi="300" r:id="rId1"/>
  <headerFooter alignWithMargins="0">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116</vt:i4>
      </vt:variant>
    </vt:vector>
  </HeadingPairs>
  <TitlesOfParts>
    <vt:vector size="132" baseType="lpstr">
      <vt:lpstr>INSTRUCCIONES</vt:lpstr>
      <vt:lpstr>ENERO</vt:lpstr>
      <vt:lpstr>FEBRERO</vt:lpstr>
      <vt:lpstr>MARZO</vt:lpstr>
      <vt:lpstr>ABRIL</vt:lpstr>
      <vt:lpstr>MAYO</vt:lpstr>
      <vt:lpstr>JUNIO</vt:lpstr>
      <vt:lpstr>JULIO</vt:lpstr>
      <vt:lpstr>AGOSTO</vt:lpstr>
      <vt:lpstr>SEPTIEMBRE</vt:lpstr>
      <vt:lpstr>OCTUBRE</vt:lpstr>
      <vt:lpstr>NOVIEMBRE</vt:lpstr>
      <vt:lpstr>DICIEMBRE</vt:lpstr>
      <vt:lpstr>Datos para el 2193</vt:lpstr>
      <vt:lpstr>SEGUIMIENTO EQUILIBRIOS</vt:lpstr>
      <vt:lpstr>VERIFICACION MANTENIMIENTO</vt:lpstr>
      <vt:lpstr>Adiciones_y_modificaciones_gastos_abr</vt:lpstr>
      <vt:lpstr>Adiciones_y_modificaciones_gastos_ago</vt:lpstr>
      <vt:lpstr>Adiciones_y_modificaciones_gastos_dic</vt:lpstr>
      <vt:lpstr>Adiciones_y_modificaciones_gastos_ene</vt:lpstr>
      <vt:lpstr>Adiciones_y_modificaciones_gastos_feb</vt:lpstr>
      <vt:lpstr>Adiciones_y_modificaciones_gastos_jul</vt:lpstr>
      <vt:lpstr>Adiciones_y_modificaciones_gastos_jun</vt:lpstr>
      <vt:lpstr>Adiciones_y_modificaciones_gastos_mar</vt:lpstr>
      <vt:lpstr>Adiciones_y_modificaciones_gastos_may</vt:lpstr>
      <vt:lpstr>Adiciones_y_modificaciones_gastos_nov</vt:lpstr>
      <vt:lpstr>Adiciones_y_modificaciones_gastos_oct</vt:lpstr>
      <vt:lpstr>Adiciones_y_modificaciones_gastos_sep</vt:lpstr>
      <vt:lpstr>Adiciones_y_modificaciones_ingresos_abr</vt:lpstr>
      <vt:lpstr>Adiciones_y_modificaciones_ingresos_ago</vt:lpstr>
      <vt:lpstr>Adiciones_y_modificaciones_ingresos_dic</vt:lpstr>
      <vt:lpstr>Adiciones_y_modificaciones_ingresos_ene</vt:lpstr>
      <vt:lpstr>Adiciones_y_modificaciones_ingresos_feb</vt:lpstr>
      <vt:lpstr>Adiciones_y_modificaciones_ingresos_jul</vt:lpstr>
      <vt:lpstr>Adiciones_y_modificaciones_ingresos_jun</vt:lpstr>
      <vt:lpstr>Adiciones_y_modificaciones_ingresos_mar</vt:lpstr>
      <vt:lpstr>Adiciones_y_modificaciones_ingresos_may</vt:lpstr>
      <vt:lpstr>Adiciones_y_modificaciones_ingresos_nov</vt:lpstr>
      <vt:lpstr>Adiciones_y_modificaciones_ingresos_oct</vt:lpstr>
      <vt:lpstr>Adiciones_y_modificaciones_ingresos_sep</vt:lpstr>
      <vt:lpstr>ABRIL!Área_de_impresión</vt:lpstr>
      <vt:lpstr>AGOSTO!Área_de_impresión</vt:lpstr>
      <vt:lpstr>'Datos para el 2193'!Área_de_impresión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'SEGUIMIENTO EQUILIBRIOS'!Área_de_impresión</vt:lpstr>
      <vt:lpstr>SEPTIEMBRE!Área_de_impresión</vt:lpstr>
      <vt:lpstr>'VERIFICACION MANTENIMIENTO'!Área_de_impresión</vt:lpstr>
      <vt:lpstr>Compromisos_abr</vt:lpstr>
      <vt:lpstr>Compromisos_ago</vt:lpstr>
      <vt:lpstr>Compromisos_dic</vt:lpstr>
      <vt:lpstr>Compromisos_ene</vt:lpstr>
      <vt:lpstr>Compromisos_feb</vt:lpstr>
      <vt:lpstr>Compromisos_jul</vt:lpstr>
      <vt:lpstr>Compromisos_jun</vt:lpstr>
      <vt:lpstr>Compromisos_mar</vt:lpstr>
      <vt:lpstr>Compromisos_may</vt:lpstr>
      <vt:lpstr>Compromisos_nov</vt:lpstr>
      <vt:lpstr>Compromisos_oct</vt:lpstr>
      <vt:lpstr>Compromisos_sep</vt:lpstr>
      <vt:lpstr>Obligaciones_abr</vt:lpstr>
      <vt:lpstr>Obligaciones_ago</vt:lpstr>
      <vt:lpstr>Obligaciones_dic</vt:lpstr>
      <vt:lpstr>Obligaciones_ene</vt:lpstr>
      <vt:lpstr>Obligaciones_feb</vt:lpstr>
      <vt:lpstr>Obligaciones_jul</vt:lpstr>
      <vt:lpstr>Obligaciones_jun</vt:lpstr>
      <vt:lpstr>Obligaciones_mar</vt:lpstr>
      <vt:lpstr>Obligaciones_may</vt:lpstr>
      <vt:lpstr>Obligaciones_nov</vt:lpstr>
      <vt:lpstr>Obligaciones_oct</vt:lpstr>
      <vt:lpstr>Obligaciones_sep</vt:lpstr>
      <vt:lpstr>Pagos_abr</vt:lpstr>
      <vt:lpstr>Pagos_ago</vt:lpstr>
      <vt:lpstr>Pagos_dic</vt:lpstr>
      <vt:lpstr>Pagos_ene</vt:lpstr>
      <vt:lpstr>Pagos_feb</vt:lpstr>
      <vt:lpstr>Pagos_jul</vt:lpstr>
      <vt:lpstr>Pagos_jun</vt:lpstr>
      <vt:lpstr>Pagos_mar</vt:lpstr>
      <vt:lpstr>Pagos_may</vt:lpstr>
      <vt:lpstr>Pagos_nov</vt:lpstr>
      <vt:lpstr>Pagos_oct</vt:lpstr>
      <vt:lpstr>Pagos_sep</vt:lpstr>
      <vt:lpstr>Presupuesto_inicial_gastos</vt:lpstr>
      <vt:lpstr>Presupuesto_inicial_ingresos</vt:lpstr>
      <vt:lpstr>Recaudos_abr</vt:lpstr>
      <vt:lpstr>Recaudos_ago</vt:lpstr>
      <vt:lpstr>Recaudos_dic</vt:lpstr>
      <vt:lpstr>Recaudos_ene</vt:lpstr>
      <vt:lpstr>Recaudos_feb</vt:lpstr>
      <vt:lpstr>Recaudos_jul</vt:lpstr>
      <vt:lpstr>Recaudos_jun</vt:lpstr>
      <vt:lpstr>Recaudos_mar</vt:lpstr>
      <vt:lpstr>Recaudos_may</vt:lpstr>
      <vt:lpstr>Recaudos_nov</vt:lpstr>
      <vt:lpstr>Recaudos_oct</vt:lpstr>
      <vt:lpstr>Recaudos_sep</vt:lpstr>
      <vt:lpstr>Reconocimiento_dispon_inicial_ene</vt:lpstr>
      <vt:lpstr>Reconocimiento_dispon_inicial_feb</vt:lpstr>
      <vt:lpstr>Reconocimiento_dispon_inicial_mar</vt:lpstr>
      <vt:lpstr>Reconocimientos_abr</vt:lpstr>
      <vt:lpstr>Reconocimientos_ago</vt:lpstr>
      <vt:lpstr>Reconocimientos_dic</vt:lpstr>
      <vt:lpstr>Reconocimientos_ene</vt:lpstr>
      <vt:lpstr>Reconocimientos_feb</vt:lpstr>
      <vt:lpstr>Reconocimientos_jul</vt:lpstr>
      <vt:lpstr>Reconocimientos_jun</vt:lpstr>
      <vt:lpstr>Reconocimientos_mar</vt:lpstr>
      <vt:lpstr>Reconocimientos_may</vt:lpstr>
      <vt:lpstr>Reconocimientos_nov</vt:lpstr>
      <vt:lpstr>Reconocimientos_oct</vt:lpstr>
      <vt:lpstr>Reconocimientos_sep</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Company>DSSA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SX2000;MARIA EUGENIA ZAPATA MARIN</dc:creator>
  <cp:lastModifiedBy>PRESUPUESTO1</cp:lastModifiedBy>
  <cp:lastPrinted>2018-12-27T13:28:41Z</cp:lastPrinted>
  <dcterms:created xsi:type="dcterms:W3CDTF">2009-01-29T18:34:20Z</dcterms:created>
  <dcterms:modified xsi:type="dcterms:W3CDTF">2020-01-22T15:18:13Z</dcterms:modified>
</cp:coreProperties>
</file>